
<file path=[Content_Types].xml><?xml version="1.0" encoding="utf-8"?>
<Types xmlns="http://schemas.openxmlformats.org/package/2006/content-types">
  <Override PartName="/xl/drawings/drawing1.xml" ContentType="application/vnd.openxmlformats-officedocument.drawing+xml"/>
  <Override PartName="/xl/_rels/workbook.xml.rels" ContentType="application/vnd.openxmlformats-package.relationships+xml"/>
  <Override PartName="/xl/sharedStrings.xml" ContentType="application/vnd.openxmlformats-officedocument.spreadsheetml.sharedStrings+xml"/>
  <Override PartName="/xl/worksheets/_rels/sheet1.xml.rels" ContentType="application/vnd.openxmlformats-package.relationships+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29.xml" ContentType="application/vnd.openxmlformats-officedocument.spreadsheetml.worksheet+xml"/>
  <Override PartName="/xl/worksheets/sheet28.xml" ContentType="application/vnd.openxmlformats-officedocument.spreadsheetml.worksheet+xml"/>
  <Override PartName="/xl/worksheets/sheet27.xml" ContentType="application/vnd.openxmlformats-officedocument.spreadsheetml.worksheet+xml"/>
  <Override PartName="/xl/worksheets/sheet26.xml" ContentType="application/vnd.openxmlformats-officedocument.spreadsheetml.worksheet+xml"/>
  <Override PartName="/xl/worksheets/sheet25.xml" ContentType="application/vnd.openxmlformats-officedocument.spreadsheetml.worksheet+xml"/>
  <Override PartName="/xl/worksheets/sheet24.xml" ContentType="application/vnd.openxmlformats-officedocument.spreadsheetml.worksheet+xml"/>
  <Override PartName="/xl/worksheets/sheet23.xml" ContentType="application/vnd.openxmlformats-officedocument.spreadsheetml.worksheet+xml"/>
  <Override PartName="/xl/worksheets/sheet22.xml" ContentType="application/vnd.openxmlformats-officedocument.spreadsheetml.worksheet+xml"/>
  <Override PartName="/xl/worksheets/sheet21.xml" ContentType="application/vnd.openxmlformats-officedocument.spreadsheetml.worksheet+xml"/>
  <Override PartName="/xl/worksheets/sheet20.xml" ContentType="application/vnd.openxmlformats-officedocument.spreadsheetml.worksheet+xml"/>
  <Override PartName="/xl/worksheets/sheet19.xml" ContentType="application/vnd.openxmlformats-officedocument.spreadsheetml.worksheet+xml"/>
  <Override PartName="/xl/worksheets/sheet18.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0.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1"/>
  </bookViews>
  <sheets>
    <sheet name="ReadMe" sheetId="1" state="visible" r:id="rId2"/>
    <sheet name="Elements Ordering" sheetId="2" state="visible" r:id="rId3"/>
    <sheet name="Elements Lewis" sheetId="3" state="visible" r:id="rId4"/>
    <sheet name="Elements ICT 29" sheetId="4" state="visible" r:id="rId5"/>
    <sheet name="Elements Historical" sheetId="5" state="visible" r:id="rId6"/>
    <sheet name="Elements CODATA" sheetId="6" state="visible" r:id="rId7"/>
    <sheet name="Elements Modern" sheetId="7" state="visible" r:id="rId8"/>
    <sheet name="Elements Combo" sheetId="8" state="visible" r:id="rId9"/>
    <sheet name="Elements NBS" sheetId="9" state="visible" r:id="rId10"/>
    <sheet name="Elements USGS" sheetId="10" state="visible" r:id="rId11"/>
    <sheet name="Elements JANAF" sheetId="11" state="visible" r:id="rId12"/>
    <sheet name="Elements C89&amp;NEA w Uncert" sheetId="12" state="visible" r:id="rId13"/>
    <sheet name="AGS Species C89&amp;NEA w Uncert" sheetId="13" state="visible" r:id="rId14"/>
    <sheet name="AGS Species C89 w Gibbs" sheetId="14" state="visible" r:id="rId15"/>
    <sheet name="AGS Species NBS" sheetId="15" state="visible" r:id="rId16"/>
    <sheet name="AGS Species USGS" sheetId="16" state="visible" r:id="rId17"/>
    <sheet name="AGS Species JANAF" sheetId="17" state="visible" r:id="rId18"/>
    <sheet name="AGS Species USBM 677" sheetId="18" state="visible" r:id="rId19"/>
    <sheet name="AGS Species CODATA 76 75" sheetId="19" state="visible" r:id="rId20"/>
    <sheet name="AGS Species C7675 w Gibbs" sheetId="20" state="visible" r:id="rId21"/>
    <sheet name="AGS Species CODATA 78 77" sheetId="21" state="visible" r:id="rId22"/>
    <sheet name="AGS Species C7877 w Gibbs" sheetId="22" state="visible" r:id="rId23"/>
    <sheet name="Summary H2O" sheetId="23" state="visible" r:id="rId24"/>
    <sheet name="Summary Aq Sp" sheetId="24" state="visible" r:id="rId25"/>
    <sheet name="Summary Solids" sheetId="25" state="visible" r:id="rId26"/>
    <sheet name="Summary P4O10" sheetId="26" state="visible" r:id="rId27"/>
    <sheet name="AGS Species C89 w Gibbs (2)" sheetId="27" state="visible" r:id="rId28"/>
    <sheet name="Misc Aq Sp" sheetId="28" state="visible" r:id="rId29"/>
    <sheet name="Misc Solids" sheetId="29" state="visible" r:id="rId30"/>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<sst xmlns="http://schemas.openxmlformats.org/spreadsheetml/2006/main" count="18491" uniqueCount="2338">
  <si>
    <t xml:space="preserve">Standard Partial Molar Entropies of the Chemical Elements in Their Reference Forms at 298.15K and Standard Pressure</t>
  </si>
  <si>
    <t xml:space="preserve">Thomas J. Wolery (LLNL) </t>
  </si>
  <si>
    <t xml:space="preserve">Carlos F. Jove-Colon</t>
  </si>
  <si>
    <t xml:space="preserve">wolery1@llnl.gov</t>
  </si>
  <si>
    <t xml:space="preserve">cfjovec@sandia.gov</t>
  </si>
  <si>
    <t xml:space="preserve">(925) 422-5789</t>
  </si>
  <si>
    <t xml:space="preserve">(505 284-5494</t>
  </si>
  <si>
    <t xml:space="preserve">Elemental Reference Entropies (S°): Ordering</t>
  </si>
  <si>
    <t xml:space="preserve">The elements are here presented in alphabetical order. The NBS numbering sequence is included. Elemental entropy data are customarily </t>
  </si>
  <si>
    <t xml:space="preserve">presented for the elemental reference forms, eight of which are diatomic (At2, Br2, Cl2, F2, H2, I2, N2, and O2). Eleven reference forms</t>
  </si>
  <si>
    <t xml:space="preserve">are gas species (Ar,Cl2, F2, H2, He, Kr, N2, Ne, O2, Rn, and Xe). For these, the  value the entropy depends to some significance extent </t>
  </si>
  <si>
    <t xml:space="preserve">on the reference pressure (1 atm or 1 bar). For any of these, to correct going from 1 atm to 1 bar, add 0.1094 J/mol-K (see Wagman et al., 1982).</t>
  </si>
  <si>
    <t xml:space="preserve">This value will be used in the present spreadsheet. Cox et al. (1989) give a slightly less precise correction of 0.109 J/mol-K. Robie and</t>
  </si>
  <si>
    <t xml:space="preserve">Hemingway (1995) give a still less precise correction of 0.11 J/mol-K. Chase et al. (1985) give a value of 0.109442 J/mol-K, which is</t>
  </si>
  <si>
    <t xml:space="preserve">generally overly precise. For reference forms that are condensed phases, the pressure change effect is insignificant and no correction</t>
  </si>
  <si>
    <t xml:space="preserve"> is applied (see for example Wagman et al., 1982; Chase et all., 1985; Cox et al., 1989; and Robie and Hemingway, 1995).</t>
  </si>
  <si>
    <t xml:space="preserve">Ref. Form</t>
  </si>
  <si>
    <t xml:space="preserve">Reference</t>
  </si>
  <si>
    <t xml:space="preserve">NBS</t>
  </si>
  <si>
    <t xml:space="preserve">Stoichio-</t>
  </si>
  <si>
    <t xml:space="preserve">Elemental</t>
  </si>
  <si>
    <t xml:space="preserve">Form as </t>
  </si>
  <si>
    <t xml:space="preserve">Sequence</t>
  </si>
  <si>
    <t xml:space="preserve">metric</t>
  </si>
  <si>
    <t xml:space="preserve">Gas species</t>
  </si>
  <si>
    <t xml:space="preserve">Unit</t>
  </si>
  <si>
    <t xml:space="preserve">Element</t>
  </si>
  <si>
    <t xml:space="preserve">Number</t>
  </si>
  <si>
    <t xml:space="preserve">(=1 if yes)</t>
  </si>
  <si>
    <t xml:space="preserve">Form</t>
  </si>
  <si>
    <t xml:space="preserve">Ac</t>
  </si>
  <si>
    <t xml:space="preserve">Ag</t>
  </si>
  <si>
    <t xml:space="preserve">Al</t>
  </si>
  <si>
    <t xml:space="preserve">Am</t>
  </si>
  <si>
    <t xml:space="preserve">Ar</t>
  </si>
  <si>
    <t xml:space="preserve">As</t>
  </si>
  <si>
    <t xml:space="preserve">At</t>
  </si>
  <si>
    <t xml:space="preserve">At2</t>
  </si>
  <si>
    <t xml:space="preserve">½At2</t>
  </si>
  <si>
    <t xml:space="preserve">Au</t>
  </si>
  <si>
    <t xml:space="preserve">B</t>
  </si>
  <si>
    <t xml:space="preserve">Ba</t>
  </si>
  <si>
    <t xml:space="preserve">Be</t>
  </si>
  <si>
    <t xml:space="preserve">Bi</t>
  </si>
  <si>
    <t xml:space="preserve">Bk</t>
  </si>
  <si>
    <t xml:space="preserve">Br</t>
  </si>
  <si>
    <t xml:space="preserve">Br2</t>
  </si>
  <si>
    <t xml:space="preserve">½Br2</t>
  </si>
  <si>
    <t xml:space="preserve">C</t>
  </si>
  <si>
    <t xml:space="preserve">Ca</t>
  </si>
  <si>
    <t xml:space="preserve">Cd</t>
  </si>
  <si>
    <t xml:space="preserve">Ce</t>
  </si>
  <si>
    <t xml:space="preserve">Cf</t>
  </si>
  <si>
    <t xml:space="preserve">Cl</t>
  </si>
  <si>
    <t xml:space="preserve">Cl2</t>
  </si>
  <si>
    <t xml:space="preserve">½Cl2</t>
  </si>
  <si>
    <t xml:space="preserve">Cm</t>
  </si>
  <si>
    <t xml:space="preserve">Co</t>
  </si>
  <si>
    <t xml:space="preserve">Cr</t>
  </si>
  <si>
    <t xml:space="preserve">Cs</t>
  </si>
  <si>
    <t xml:space="preserve">Cu</t>
  </si>
  <si>
    <t xml:space="preserve">Dy</t>
  </si>
  <si>
    <t xml:space="preserve">Er</t>
  </si>
  <si>
    <t xml:space="preserve">Es</t>
  </si>
  <si>
    <t xml:space="preserve">Eu</t>
  </si>
  <si>
    <t xml:space="preserve">F</t>
  </si>
  <si>
    <t xml:space="preserve">F2</t>
  </si>
  <si>
    <t xml:space="preserve">½F2</t>
  </si>
  <si>
    <t xml:space="preserve">Fe</t>
  </si>
  <si>
    <t xml:space="preserve">Fm</t>
  </si>
  <si>
    <t xml:space="preserve">Fr</t>
  </si>
  <si>
    <t xml:space="preserve">Ga</t>
  </si>
  <si>
    <t xml:space="preserve">Gd</t>
  </si>
  <si>
    <t xml:space="preserve">Ge</t>
  </si>
  <si>
    <t xml:space="preserve">H</t>
  </si>
  <si>
    <t xml:space="preserve">H2</t>
  </si>
  <si>
    <t xml:space="preserve">½H2</t>
  </si>
  <si>
    <t xml:space="preserve">He</t>
  </si>
  <si>
    <t xml:space="preserve">Hf</t>
  </si>
  <si>
    <t xml:space="preserve">Hg</t>
  </si>
  <si>
    <t xml:space="preserve">Ho</t>
  </si>
  <si>
    <t xml:space="preserve">I</t>
  </si>
  <si>
    <t xml:space="preserve">I2</t>
  </si>
  <si>
    <t xml:space="preserve">½I2</t>
  </si>
  <si>
    <t xml:space="preserve">In</t>
  </si>
  <si>
    <t xml:space="preserve">Ir</t>
  </si>
  <si>
    <t xml:space="preserve">K</t>
  </si>
  <si>
    <t xml:space="preserve">Kr</t>
  </si>
  <si>
    <t xml:space="preserve">La</t>
  </si>
  <si>
    <t xml:space="preserve">Li</t>
  </si>
  <si>
    <t xml:space="preserve">Lr</t>
  </si>
  <si>
    <t xml:space="preserve">Lu</t>
  </si>
  <si>
    <t xml:space="preserve">Md</t>
  </si>
  <si>
    <t xml:space="preserve">Mg</t>
  </si>
  <si>
    <t xml:space="preserve">Mn</t>
  </si>
  <si>
    <t xml:space="preserve">Mo</t>
  </si>
  <si>
    <t xml:space="preserve">N</t>
  </si>
  <si>
    <t xml:space="preserve">N2</t>
  </si>
  <si>
    <t xml:space="preserve">½N2</t>
  </si>
  <si>
    <t xml:space="preserve">Na</t>
  </si>
  <si>
    <t xml:space="preserve">Nb</t>
  </si>
  <si>
    <t xml:space="preserve">Nd</t>
  </si>
  <si>
    <t xml:space="preserve">Ne</t>
  </si>
  <si>
    <t xml:space="preserve">Ni</t>
  </si>
  <si>
    <t xml:space="preserve">No</t>
  </si>
  <si>
    <t xml:space="preserve">Np</t>
  </si>
  <si>
    <t xml:space="preserve">O</t>
  </si>
  <si>
    <t xml:space="preserve">O2</t>
  </si>
  <si>
    <t xml:space="preserve">½O2</t>
  </si>
  <si>
    <t xml:space="preserve">Os</t>
  </si>
  <si>
    <t xml:space="preserve">P</t>
  </si>
  <si>
    <t xml:space="preserve">Pa</t>
  </si>
  <si>
    <t xml:space="preserve">Pb</t>
  </si>
  <si>
    <t xml:space="preserve">Pd</t>
  </si>
  <si>
    <t xml:space="preserve">Pm</t>
  </si>
  <si>
    <t xml:space="preserve">Po</t>
  </si>
  <si>
    <t xml:space="preserve">Pr</t>
  </si>
  <si>
    <t xml:space="preserve">Pt</t>
  </si>
  <si>
    <t xml:space="preserve">Pu</t>
  </si>
  <si>
    <t xml:space="preserve">Ra</t>
  </si>
  <si>
    <t xml:space="preserve">Rb</t>
  </si>
  <si>
    <t xml:space="preserve">Re</t>
  </si>
  <si>
    <t xml:space="preserve">Rh</t>
  </si>
  <si>
    <t xml:space="preserve">Rn</t>
  </si>
  <si>
    <t xml:space="preserve">Ru</t>
  </si>
  <si>
    <t xml:space="preserve">S</t>
  </si>
  <si>
    <t xml:space="preserve">Sb</t>
  </si>
  <si>
    <t xml:space="preserve">Sc</t>
  </si>
  <si>
    <t xml:space="preserve">Se</t>
  </si>
  <si>
    <t xml:space="preserve">Si</t>
  </si>
  <si>
    <t xml:space="preserve">Sm</t>
  </si>
  <si>
    <t xml:space="preserve">Sn</t>
  </si>
  <si>
    <t xml:space="preserve">Sr</t>
  </si>
  <si>
    <t xml:space="preserve">Ta</t>
  </si>
  <si>
    <t xml:space="preserve">Tb</t>
  </si>
  <si>
    <t xml:space="preserve">Tc</t>
  </si>
  <si>
    <t xml:space="preserve">Te</t>
  </si>
  <si>
    <t xml:space="preserve">Th</t>
  </si>
  <si>
    <t xml:space="preserve">Ti</t>
  </si>
  <si>
    <t xml:space="preserve">Tl</t>
  </si>
  <si>
    <t xml:space="preserve">Tm</t>
  </si>
  <si>
    <t xml:space="preserve">U</t>
  </si>
  <si>
    <t xml:space="preserve">V</t>
  </si>
  <si>
    <t xml:space="preserve">W</t>
  </si>
  <si>
    <t xml:space="preserve">Xe</t>
  </si>
  <si>
    <t xml:space="preserve">Y</t>
  </si>
  <si>
    <t xml:space="preserve">Yb</t>
  </si>
  <si>
    <t xml:space="preserve">Zn</t>
  </si>
  <si>
    <t xml:space="preserve">Zr</t>
  </si>
  <si>
    <t xml:space="preserve">Elemental Reference Entropies (S°): Lewis papers</t>
  </si>
  <si>
    <t xml:space="preserve">Original values are stored as text to retain trailing zeroes.</t>
  </si>
  <si>
    <t xml:space="preserve">The string '=IF(ISBLANK(A1),TRUE,(TRIM(A1)=""))' allows testing a blank cell that is formatted as text.</t>
  </si>
  <si>
    <t xml:space="preserve">Text format</t>
  </si>
  <si>
    <t xml:space="preserve">Fixed numerical format</t>
  </si>
  <si>
    <t xml:space="preserve">(from the source)</t>
  </si>
  <si>
    <t xml:space="preserve">Reference form format</t>
  </si>
  <si>
    <t xml:space="preserve">Joule units, 1 atm</t>
  </si>
  <si>
    <t xml:space="preserve">Joule units, 1 bar</t>
  </si>
  <si>
    <t xml:space="preserve">Calorie units, 1 bar</t>
  </si>
  <si>
    <t xml:space="preserve">Calorie units, 1 atm</t>
  </si>
  <si>
    <t xml:space="preserve">Handle</t>
  </si>
  <si>
    <t xml:space="preserve">-----</t>
  </si>
  <si>
    <t xml:space="preserve">Lewis and</t>
  </si>
  <si>
    <t xml:space="preserve">Lewis</t>
  </si>
  <si>
    <t xml:space="preserve">Gibson</t>
  </si>
  <si>
    <t xml:space="preserve">et al.</t>
  </si>
  <si>
    <r>
      <rPr>
        <b val="true"/>
        <sz val="10"/>
        <rFont val="Arial"/>
        <family val="2"/>
        <charset val="1"/>
      </rPr>
      <t xml:space="preserve">cal mol</t>
    </r>
    <r>
      <rPr>
        <b val="true"/>
        <vertAlign val="superscript"/>
        <sz val="10"/>
        <rFont val="Arial"/>
        <family val="2"/>
        <charset val="1"/>
      </rPr>
      <t xml:space="preserve">-1 </t>
    </r>
    <r>
      <rPr>
        <b val="true"/>
        <sz val="10"/>
        <rFont val="Arial"/>
        <family val="2"/>
        <charset val="1"/>
      </rPr>
      <t xml:space="preserve">K</t>
    </r>
    <r>
      <rPr>
        <b val="true"/>
        <vertAlign val="superscript"/>
        <sz val="10"/>
        <rFont val="Arial"/>
        <family val="2"/>
        <charset val="1"/>
      </rPr>
      <t xml:space="preserve">-1</t>
    </r>
  </si>
  <si>
    <r>
      <rPr>
        <b val="true"/>
        <sz val="10"/>
        <rFont val="Arial"/>
        <family val="2"/>
        <charset val="1"/>
      </rPr>
      <t xml:space="preserve">J mol</t>
    </r>
    <r>
      <rPr>
        <b val="true"/>
        <vertAlign val="superscript"/>
        <sz val="10"/>
        <rFont val="Arial"/>
        <family val="2"/>
        <charset val="1"/>
      </rPr>
      <t xml:space="preserve">-1 </t>
    </r>
    <r>
      <rPr>
        <b val="true"/>
        <sz val="10"/>
        <rFont val="Arial"/>
        <family val="2"/>
        <charset val="1"/>
      </rPr>
      <t xml:space="preserve">K</t>
    </r>
    <r>
      <rPr>
        <b val="true"/>
        <vertAlign val="superscript"/>
        <sz val="10"/>
        <rFont val="Arial"/>
        <family val="2"/>
        <charset val="1"/>
      </rPr>
      <t xml:space="preserve">-1</t>
    </r>
  </si>
  <si>
    <t xml:space="preserve">36.70</t>
  </si>
  <si>
    <t xml:space="preserve">11.0</t>
  </si>
  <si>
    <t xml:space="preserve">37.0</t>
  </si>
  <si>
    <t xml:space="preserve">32.6</t>
  </si>
  <si>
    <t xml:space="preserve">11.80</t>
  </si>
  <si>
    <t xml:space="preserve">51.4</t>
  </si>
  <si>
    <t xml:space="preserve">52.6</t>
  </si>
  <si>
    <t xml:space="preserve">8.0</t>
  </si>
  <si>
    <t xml:space="preserve">31.8</t>
  </si>
  <si>
    <t xml:space="preserve">29.44</t>
  </si>
  <si>
    <t xml:space="preserve">31.4</t>
  </si>
  <si>
    <t xml:space="preserve">26.6</t>
  </si>
  <si>
    <t xml:space="preserve">45.6</t>
  </si>
  <si>
    <t xml:space="preserve">24.0</t>
  </si>
  <si>
    <t xml:space="preserve">48.2</t>
  </si>
  <si>
    <t xml:space="preserve">48.0</t>
  </si>
  <si>
    <t xml:space="preserve">10.0</t>
  </si>
  <si>
    <t xml:space="preserve">Count</t>
  </si>
  <si>
    <t xml:space="preserve">Sponsor</t>
  </si>
  <si>
    <t xml:space="preserve">P(white)</t>
  </si>
  <si>
    <t xml:space="preserve">P(red)</t>
  </si>
  <si>
    <t xml:space="preserve">undefined</t>
  </si>
  <si>
    <t xml:space="preserve">Elemental Reference Entropies (S°): International Critical Tables. Rodebush and Rodebush (1929), in v. 5, pp. 87-89.</t>
  </si>
  <si>
    <t xml:space="preserve">Int. Crit.</t>
  </si>
  <si>
    <t xml:space="preserve">Tables</t>
  </si>
  <si>
    <t xml:space="preserve">154.0</t>
  </si>
  <si>
    <t xml:space="preserve">33.60</t>
  </si>
  <si>
    <t xml:space="preserve">64.0</t>
  </si>
  <si>
    <t xml:space="preserve">128.0</t>
  </si>
  <si>
    <t xml:space="preserve">116.8</t>
  </si>
  <si>
    <t xml:space="preserve">69.0</t>
  </si>
  <si>
    <t xml:space="preserve">34.0</t>
  </si>
  <si>
    <t xml:space="preserve">192.2</t>
  </si>
  <si>
    <t xml:space="preserve">65.0</t>
  </si>
  <si>
    <t xml:space="preserve">19.0</t>
  </si>
  <si>
    <t xml:space="preserve">33.90</t>
  </si>
  <si>
    <t xml:space="preserve">NRC</t>
  </si>
  <si>
    <t xml:space="preserve">Elemental Reference Entropies (S°): Historical (original data in calorie units and for 1 atm pressure)</t>
  </si>
  <si>
    <t xml:space="preserve">The NBS 270-3 value of the entropy of Dy was corrected from 18.0 cal/mol-K to 17.87 cal/mol-K in NBS 270-8 (Appendix, p. 130). The corrected value is given here.</t>
  </si>
  <si>
    <t xml:space="preserve">USBM 350</t>
  </si>
  <si>
    <t xml:space="preserve">NBS 500</t>
  </si>
  <si>
    <t xml:space="preserve">ACS 18</t>
  </si>
  <si>
    <t xml:space="preserve">USBM 592</t>
  </si>
  <si>
    <t xml:space="preserve">USGS 1259</t>
  </si>
  <si>
    <t xml:space="preserve">NBS 270</t>
  </si>
  <si>
    <t xml:space="preserve">JANAF 2</t>
  </si>
  <si>
    <t xml:space="preserve">USBM 672</t>
  </si>
  <si>
    <t xml:space="preserve">Rossini</t>
  </si>
  <si>
    <t xml:space="preserve">Stull and</t>
  </si>
  <si>
    <t xml:space="preserve">Kelley</t>
  </si>
  <si>
    <t xml:space="preserve">Robie and</t>
  </si>
  <si>
    <t xml:space="preserve">NBS 270-3</t>
  </si>
  <si>
    <t xml:space="preserve">Hultgren</t>
  </si>
  <si>
    <t xml:space="preserve">Sinke</t>
  </si>
  <si>
    <t xml:space="preserve">and King</t>
  </si>
  <si>
    <t xml:space="preserve">Waldbaum</t>
  </si>
  <si>
    <t xml:space="preserve">to 270-8</t>
  </si>
  <si>
    <t xml:space="preserve">Prophet</t>
  </si>
  <si>
    <t xml:space="preserve">Pankratz</t>
  </si>
  <si>
    <t xml:space="preserve">1968-1981</t>
  </si>
  <si>
    <t xml:space="preserve">15.00</t>
  </si>
  <si>
    <t xml:space="preserve">15.0</t>
  </si>
  <si>
    <t xml:space="preserve">10.2</t>
  </si>
  <si>
    <t xml:space="preserve">10.20</t>
  </si>
  <si>
    <t xml:space="preserve">10.170</t>
  </si>
  <si>
    <t xml:space="preserve">6.75</t>
  </si>
  <si>
    <t xml:space="preserve">6.77</t>
  </si>
  <si>
    <t xml:space="preserve">36.99</t>
  </si>
  <si>
    <t xml:space="preserve">36.98</t>
  </si>
  <si>
    <t xml:space="preserve">36.982</t>
  </si>
  <si>
    <t xml:space="preserve">8.4</t>
  </si>
  <si>
    <t xml:space="preserve">8.40</t>
  </si>
  <si>
    <t xml:space="preserve">8.53</t>
  </si>
  <si>
    <t xml:space="preserve">29.00</t>
  </si>
  <si>
    <t xml:space="preserve">29.0</t>
  </si>
  <si>
    <t xml:space="preserve">11.4</t>
  </si>
  <si>
    <t xml:space="preserve">11.32</t>
  </si>
  <si>
    <t xml:space="preserve">11.35</t>
  </si>
  <si>
    <t xml:space="preserve">11.330</t>
  </si>
  <si>
    <t xml:space="preserve">1.40</t>
  </si>
  <si>
    <t xml:space="preserve">1.410</t>
  </si>
  <si>
    <t xml:space="preserve">10.9</t>
  </si>
  <si>
    <t xml:space="preserve">16.</t>
  </si>
  <si>
    <t xml:space="preserve">15.50</t>
  </si>
  <si>
    <t xml:space="preserve">16.0</t>
  </si>
  <si>
    <t xml:space="preserve">14.918</t>
  </si>
  <si>
    <t xml:space="preserve">2.14</t>
  </si>
  <si>
    <t xml:space="preserve">2.28</t>
  </si>
  <si>
    <t xml:space="preserve">2.280</t>
  </si>
  <si>
    <t xml:space="preserve">2.27</t>
  </si>
  <si>
    <t xml:space="preserve">2.270</t>
  </si>
  <si>
    <t xml:space="preserve">13.8</t>
  </si>
  <si>
    <t xml:space="preserve">13.58</t>
  </si>
  <si>
    <t xml:space="preserve">13.56</t>
  </si>
  <si>
    <t xml:space="preserve">13.560</t>
  </si>
  <si>
    <t xml:space="preserve">36.6</t>
  </si>
  <si>
    <t xml:space="preserve">36.25</t>
  </si>
  <si>
    <t xml:space="preserve">1.3</t>
  </si>
  <si>
    <t xml:space="preserve">1.37</t>
  </si>
  <si>
    <t xml:space="preserve">9.95</t>
  </si>
  <si>
    <t xml:space="preserve">9.90</t>
  </si>
  <si>
    <t xml:space="preserve">9.9</t>
  </si>
  <si>
    <t xml:space="preserve">9.940</t>
  </si>
  <si>
    <t xml:space="preserve">12.3</t>
  </si>
  <si>
    <t xml:space="preserve">12.37</t>
  </si>
  <si>
    <t xml:space="preserve">12.38</t>
  </si>
  <si>
    <t xml:space="preserve">12.380</t>
  </si>
  <si>
    <t xml:space="preserve">16.64</t>
  </si>
  <si>
    <t xml:space="preserve">16.6</t>
  </si>
  <si>
    <t xml:space="preserve">17.200</t>
  </si>
  <si>
    <t xml:space="preserve">53.0</t>
  </si>
  <si>
    <t xml:space="preserve">53.29</t>
  </si>
  <si>
    <t xml:space="preserve">53.289</t>
  </si>
  <si>
    <t xml:space="preserve">53.292</t>
  </si>
  <si>
    <t xml:space="preserve">53.290</t>
  </si>
  <si>
    <t xml:space="preserve">6.8</t>
  </si>
  <si>
    <t xml:space="preserve">7.18</t>
  </si>
  <si>
    <t xml:space="preserve">7.180</t>
  </si>
  <si>
    <t xml:space="preserve">5.6</t>
  </si>
  <si>
    <t xml:space="preserve">5.70</t>
  </si>
  <si>
    <t xml:space="preserve">5.65</t>
  </si>
  <si>
    <t xml:space="preserve">5.650</t>
  </si>
  <si>
    <t xml:space="preserve">20.16</t>
  </si>
  <si>
    <t xml:space="preserve">20.33</t>
  </si>
  <si>
    <t xml:space="preserve">20.370</t>
  </si>
  <si>
    <t xml:space="preserve">7.9</t>
  </si>
  <si>
    <t xml:space="preserve">7.97</t>
  </si>
  <si>
    <t xml:space="preserve">7.923</t>
  </si>
  <si>
    <t xml:space="preserve">17.87</t>
  </si>
  <si>
    <t xml:space="preserve">17.90</t>
  </si>
  <si>
    <t xml:space="preserve">17.900</t>
  </si>
  <si>
    <t xml:space="preserve">17.48</t>
  </si>
  <si>
    <t xml:space="preserve">17.49</t>
  </si>
  <si>
    <t xml:space="preserve">17.490</t>
  </si>
  <si>
    <t xml:space="preserve">17.00</t>
  </si>
  <si>
    <t xml:space="preserve">17.0</t>
  </si>
  <si>
    <t xml:space="preserve">19.31</t>
  </si>
  <si>
    <t xml:space="preserve">18.600</t>
  </si>
  <si>
    <t xml:space="preserve">48.45</t>
  </si>
  <si>
    <t xml:space="preserve">48.438</t>
  </si>
  <si>
    <t xml:space="preserve">6.5</t>
  </si>
  <si>
    <t xml:space="preserve">6.49</t>
  </si>
  <si>
    <t xml:space="preserve">6.52</t>
  </si>
  <si>
    <t xml:space="preserve">6.520</t>
  </si>
  <si>
    <t xml:space="preserve">22.50</t>
  </si>
  <si>
    <t xml:space="preserve">9.82</t>
  </si>
  <si>
    <t xml:space="preserve">9.758</t>
  </si>
  <si>
    <t xml:space="preserve">14.</t>
  </si>
  <si>
    <t xml:space="preserve">15.77</t>
  </si>
  <si>
    <t xml:space="preserve">16.24</t>
  </si>
  <si>
    <t xml:space="preserve">16.240</t>
  </si>
  <si>
    <t xml:space="preserve">9.7</t>
  </si>
  <si>
    <t xml:space="preserve">7.43</t>
  </si>
  <si>
    <t xml:space="preserve">7.430</t>
  </si>
  <si>
    <t xml:space="preserve">31.23</t>
  </si>
  <si>
    <t xml:space="preserve">31.21</t>
  </si>
  <si>
    <t xml:space="preserve">31.208</t>
  </si>
  <si>
    <t xml:space="preserve">30.13</t>
  </si>
  <si>
    <t xml:space="preserve">30.124</t>
  </si>
  <si>
    <t xml:space="preserve">10.91</t>
  </si>
  <si>
    <t xml:space="preserve">10.41</t>
  </si>
  <si>
    <t xml:space="preserve">10.410</t>
  </si>
  <si>
    <t xml:space="preserve">18.5</t>
  </si>
  <si>
    <t xml:space="preserve">18.19</t>
  </si>
  <si>
    <t xml:space="preserve">18.140</t>
  </si>
  <si>
    <t xml:space="preserve">17.77</t>
  </si>
  <si>
    <t xml:space="preserve">18.0</t>
  </si>
  <si>
    <t xml:space="preserve">17.93</t>
  </si>
  <si>
    <t xml:space="preserve">17.930</t>
  </si>
  <si>
    <t xml:space="preserve">27.9</t>
  </si>
  <si>
    <t xml:space="preserve">27.90</t>
  </si>
  <si>
    <t xml:space="preserve">27.76</t>
  </si>
  <si>
    <t xml:space="preserve">14.5</t>
  </si>
  <si>
    <t xml:space="preserve">13.82</t>
  </si>
  <si>
    <t xml:space="preserve">13.820</t>
  </si>
  <si>
    <t xml:space="preserve">8.7</t>
  </si>
  <si>
    <t xml:space="preserve">8.70</t>
  </si>
  <si>
    <t xml:space="preserve">8.486</t>
  </si>
  <si>
    <t xml:space="preserve">15.2</t>
  </si>
  <si>
    <t xml:space="preserve">15.39</t>
  </si>
  <si>
    <t xml:space="preserve">15.46</t>
  </si>
  <si>
    <t xml:space="preserve">39.17</t>
  </si>
  <si>
    <t xml:space="preserve">39.19</t>
  </si>
  <si>
    <t xml:space="preserve">39.191</t>
  </si>
  <si>
    <t xml:space="preserve">13.7</t>
  </si>
  <si>
    <t xml:space="preserve">13.60</t>
  </si>
  <si>
    <t xml:space="preserve">13.6</t>
  </si>
  <si>
    <t xml:space="preserve">13.600</t>
  </si>
  <si>
    <t xml:space="preserve">7.6</t>
  </si>
  <si>
    <t xml:space="preserve">6.70</t>
  </si>
  <si>
    <t xml:space="preserve">6.997</t>
  </si>
  <si>
    <t xml:space="preserve">11.75</t>
  </si>
  <si>
    <t xml:space="preserve">12.18</t>
  </si>
  <si>
    <t xml:space="preserve">12.180</t>
  </si>
  <si>
    <t xml:space="preserve">7.8</t>
  </si>
  <si>
    <t xml:space="preserve">7.81</t>
  </si>
  <si>
    <t xml:space="preserve">7.810</t>
  </si>
  <si>
    <t xml:space="preserve">7.3</t>
  </si>
  <si>
    <t xml:space="preserve">7.65</t>
  </si>
  <si>
    <t xml:space="preserve">7.650</t>
  </si>
  <si>
    <t xml:space="preserve">6.83</t>
  </si>
  <si>
    <t xml:space="preserve">6.85</t>
  </si>
  <si>
    <t xml:space="preserve">6.850</t>
  </si>
  <si>
    <t xml:space="preserve">45.8</t>
  </si>
  <si>
    <t xml:space="preserve">45.77</t>
  </si>
  <si>
    <t xml:space="preserve">45.770</t>
  </si>
  <si>
    <t xml:space="preserve">12.2</t>
  </si>
  <si>
    <t xml:space="preserve">12.21</t>
  </si>
  <si>
    <t xml:space="preserve">12.230</t>
  </si>
  <si>
    <t xml:space="preserve">8.73</t>
  </si>
  <si>
    <t xml:space="preserve">9.0</t>
  </si>
  <si>
    <t xml:space="preserve">8.700</t>
  </si>
  <si>
    <t xml:space="preserve">17.50</t>
  </si>
  <si>
    <t xml:space="preserve">16.99</t>
  </si>
  <si>
    <t xml:space="preserve">17.100</t>
  </si>
  <si>
    <t xml:space="preserve">34.96</t>
  </si>
  <si>
    <t xml:space="preserve">34.95</t>
  </si>
  <si>
    <t xml:space="preserve">34.947</t>
  </si>
  <si>
    <t xml:space="preserve">7.1</t>
  </si>
  <si>
    <t xml:space="preserve">7.20</t>
  </si>
  <si>
    <t xml:space="preserve">7.14</t>
  </si>
  <si>
    <t xml:space="preserve">7.140</t>
  </si>
  <si>
    <t xml:space="preserve">12.060</t>
  </si>
  <si>
    <t xml:space="preserve">49.03</t>
  </si>
  <si>
    <t xml:space="preserve">49.01</t>
  </si>
  <si>
    <t xml:space="preserve">49.004</t>
  </si>
  <si>
    <t xml:space="preserve">7.80</t>
  </si>
  <si>
    <t xml:space="preserve">7.800</t>
  </si>
  <si>
    <t xml:space="preserve">10.6</t>
  </si>
  <si>
    <t xml:space="preserve">5.46</t>
  </si>
  <si>
    <t xml:space="preserve">9.80</t>
  </si>
  <si>
    <t xml:space="preserve">5.45</t>
  </si>
  <si>
    <t xml:space="preserve">5.450</t>
  </si>
  <si>
    <t xml:space="preserve">9.800</t>
  </si>
  <si>
    <t xml:space="preserve">9.820</t>
  </si>
  <si>
    <t xml:space="preserve">12.40</t>
  </si>
  <si>
    <t xml:space="preserve">12.400</t>
  </si>
  <si>
    <t xml:space="preserve">15.6</t>
  </si>
  <si>
    <t xml:space="preserve">15.49</t>
  </si>
  <si>
    <t xml:space="preserve">15.55</t>
  </si>
  <si>
    <t xml:space="preserve">15.490</t>
  </si>
  <si>
    <t xml:space="preserve">8.9</t>
  </si>
  <si>
    <t xml:space="preserve">9.05</t>
  </si>
  <si>
    <t xml:space="preserve">9.04</t>
  </si>
  <si>
    <t xml:space="preserve">17.21</t>
  </si>
  <si>
    <t xml:space="preserve">12.7</t>
  </si>
  <si>
    <t xml:space="preserve">17.45</t>
  </si>
  <si>
    <t xml:space="preserve">17.67</t>
  </si>
  <si>
    <t xml:space="preserve">17.670</t>
  </si>
  <si>
    <t xml:space="preserve">10.00</t>
  </si>
  <si>
    <t xml:space="preserve">9.950</t>
  </si>
  <si>
    <t xml:space="preserve">13.420</t>
  </si>
  <si>
    <t xml:space="preserve">17.</t>
  </si>
  <si>
    <t xml:space="preserve">17.2</t>
  </si>
  <si>
    <t xml:space="preserve">18.22</t>
  </si>
  <si>
    <t xml:space="preserve">18.35</t>
  </si>
  <si>
    <t xml:space="preserve">18.350</t>
  </si>
  <si>
    <t xml:space="preserve">10.</t>
  </si>
  <si>
    <t xml:space="preserve">8.89</t>
  </si>
  <si>
    <t xml:space="preserve">8.730</t>
  </si>
  <si>
    <t xml:space="preserve">7.60</t>
  </si>
  <si>
    <t xml:space="preserve">7.530</t>
  </si>
  <si>
    <t xml:space="preserve">42.10</t>
  </si>
  <si>
    <t xml:space="preserve">42.094</t>
  </si>
  <si>
    <t xml:space="preserve">6.9</t>
  </si>
  <si>
    <t xml:space="preserve">6.90</t>
  </si>
  <si>
    <t xml:space="preserve">6.82</t>
  </si>
  <si>
    <t xml:space="preserve">7.62</t>
  </si>
  <si>
    <t xml:space="preserve">10.5</t>
  </si>
  <si>
    <t xml:space="preserve">10.92</t>
  </si>
  <si>
    <t xml:space="preserve">10.88</t>
  </si>
  <si>
    <t xml:space="preserve">10.880</t>
  </si>
  <si>
    <t xml:space="preserve">9.00</t>
  </si>
  <si>
    <t xml:space="preserve">8.28</t>
  </si>
  <si>
    <t xml:space="preserve">8.280</t>
  </si>
  <si>
    <t xml:space="preserve">10.15</t>
  </si>
  <si>
    <t xml:space="preserve">10.03</t>
  </si>
  <si>
    <t xml:space="preserve">4.50</t>
  </si>
  <si>
    <t xml:space="preserve">4.53</t>
  </si>
  <si>
    <t xml:space="preserve">4.500</t>
  </si>
  <si>
    <t xml:space="preserve">16.28</t>
  </si>
  <si>
    <t xml:space="preserve">16.61</t>
  </si>
  <si>
    <t xml:space="preserve">16.630</t>
  </si>
  <si>
    <t xml:space="preserve">12.29</t>
  </si>
  <si>
    <t xml:space="preserve">12.236</t>
  </si>
  <si>
    <t xml:space="preserve">13.0</t>
  </si>
  <si>
    <t xml:space="preserve">12.50</t>
  </si>
  <si>
    <t xml:space="preserve">12.5</t>
  </si>
  <si>
    <t xml:space="preserve">12.500</t>
  </si>
  <si>
    <t xml:space="preserve">9.4</t>
  </si>
  <si>
    <t xml:space="preserve">9.92</t>
  </si>
  <si>
    <t xml:space="preserve">9.920</t>
  </si>
  <si>
    <t xml:space="preserve">17.46</t>
  </si>
  <si>
    <t xml:space="preserve">17.52</t>
  </si>
  <si>
    <t xml:space="preserve">17.520</t>
  </si>
  <si>
    <t xml:space="preserve">9.</t>
  </si>
  <si>
    <t xml:space="preserve">8.00</t>
  </si>
  <si>
    <t xml:space="preserve">11.88</t>
  </si>
  <si>
    <t xml:space="preserve">11.83</t>
  </si>
  <si>
    <t xml:space="preserve">11.880</t>
  </si>
  <si>
    <t xml:space="preserve">12.76</t>
  </si>
  <si>
    <t xml:space="preserve">12.760</t>
  </si>
  <si>
    <t xml:space="preserve">6.6</t>
  </si>
  <si>
    <t xml:space="preserve">7.33</t>
  </si>
  <si>
    <t xml:space="preserve">7.30</t>
  </si>
  <si>
    <t xml:space="preserve">7.32</t>
  </si>
  <si>
    <t xml:space="preserve">7.320</t>
  </si>
  <si>
    <t xml:space="preserve">15.5</t>
  </si>
  <si>
    <t xml:space="preserve">15.35</t>
  </si>
  <si>
    <t xml:space="preserve">15.34</t>
  </si>
  <si>
    <t xml:space="preserve">15.340</t>
  </si>
  <si>
    <t xml:space="preserve">17.06</t>
  </si>
  <si>
    <t xml:space="preserve">17.69</t>
  </si>
  <si>
    <t xml:space="preserve">17.690</t>
  </si>
  <si>
    <t xml:space="preserve">11.1</t>
  </si>
  <si>
    <t xml:space="preserve">12.03</t>
  </si>
  <si>
    <t xml:space="preserve">12.00</t>
  </si>
  <si>
    <t xml:space="preserve">12.02</t>
  </si>
  <si>
    <t xml:space="preserve">12.000</t>
  </si>
  <si>
    <t xml:space="preserve">7.01</t>
  </si>
  <si>
    <t xml:space="preserve">6.91</t>
  </si>
  <si>
    <t xml:space="preserve">8.04</t>
  </si>
  <si>
    <t xml:space="preserve">40.51</t>
  </si>
  <si>
    <t xml:space="preserve">40.53</t>
  </si>
  <si>
    <t xml:space="preserve">40.5290</t>
  </si>
  <si>
    <t xml:space="preserve">40.519</t>
  </si>
  <si>
    <t xml:space="preserve">40.530</t>
  </si>
  <si>
    <t xml:space="preserve">11.00</t>
  </si>
  <si>
    <t xml:space="preserve">10.62</t>
  </si>
  <si>
    <t xml:space="preserve">10.620</t>
  </si>
  <si>
    <t xml:space="preserve">14.30</t>
  </si>
  <si>
    <t xml:space="preserve">14.300</t>
  </si>
  <si>
    <t xml:space="preserve">9.5</t>
  </si>
  <si>
    <t xml:space="preserve">9.29</t>
  </si>
  <si>
    <t xml:space="preserve">9.32</t>
  </si>
  <si>
    <t xml:space="preserve">9.320</t>
  </si>
  <si>
    <t xml:space="preserve">5.460</t>
  </si>
  <si>
    <t xml:space="preserve">white</t>
  </si>
  <si>
    <t xml:space="preserve">red</t>
  </si>
  <si>
    <t xml:space="preserve">1. Kelley and King (1961): Table 6 (p. 110) give "18.71" as the "recommended value " for the entropy of Hg(l). This is clearly a transposition error</t>
  </si>
  <si>
    <t xml:space="preserve">(see to the left of the table entry; see also the text on p. 64). Here we tabulate the intended value of 18.71.</t>
  </si>
  <si>
    <t xml:space="preserve">Rossini et al. 1952 (NBS)</t>
  </si>
  <si>
    <t xml:space="preserve">NBS 270-3 1968 (NBS)</t>
  </si>
  <si>
    <r>
      <rPr>
        <b val="true"/>
        <sz val="10"/>
        <rFont val="Arial"/>
        <family val="2"/>
        <charset val="1"/>
      </rPr>
      <t xml:space="preserve">Δ</t>
    </r>
    <r>
      <rPr>
        <b val="true"/>
        <vertAlign val="subscript"/>
        <sz val="10"/>
        <rFont val="Arial"/>
        <family val="2"/>
        <charset val="1"/>
      </rPr>
      <t xml:space="preserve">f</t>
    </r>
    <r>
      <rPr>
        <b val="true"/>
        <sz val="10"/>
        <rFont val="Arial"/>
        <family val="2"/>
        <charset val="1"/>
      </rPr>
      <t xml:space="preserve">G°</t>
    </r>
  </si>
  <si>
    <r>
      <rPr>
        <b val="true"/>
        <sz val="10"/>
        <rFont val="Arial"/>
        <family val="2"/>
        <charset val="1"/>
      </rPr>
      <t xml:space="preserve">Δ</t>
    </r>
    <r>
      <rPr>
        <b val="true"/>
        <vertAlign val="subscript"/>
        <sz val="10"/>
        <rFont val="Arial"/>
        <family val="2"/>
        <charset val="1"/>
      </rPr>
      <t xml:space="preserve">f</t>
    </r>
    <r>
      <rPr>
        <b val="true"/>
        <sz val="10"/>
        <rFont val="Arial"/>
        <family val="2"/>
        <charset val="1"/>
      </rPr>
      <t xml:space="preserve">H°</t>
    </r>
  </si>
  <si>
    <t xml:space="preserve">S°</t>
  </si>
  <si>
    <r>
      <rPr>
        <b val="true"/>
        <sz val="10"/>
        <rFont val="Arial"/>
        <family val="2"/>
        <charset val="1"/>
      </rPr>
      <t xml:space="preserve">kcal mol</t>
    </r>
    <r>
      <rPr>
        <b val="true"/>
        <vertAlign val="superscript"/>
        <sz val="10"/>
        <rFont val="Arial"/>
        <family val="2"/>
        <charset val="1"/>
      </rPr>
      <t xml:space="preserve">-1</t>
    </r>
  </si>
  <si>
    <t xml:space="preserve">Kelley and King 1961 (USBM)</t>
  </si>
  <si>
    <t xml:space="preserve">Pankratz 1982 (USBM)</t>
  </si>
  <si>
    <t xml:space="preserve">-2.900</t>
  </si>
  <si>
    <t xml:space="preserve">-4.200</t>
  </si>
  <si>
    <t xml:space="preserve">Robie and Waldbaum 1968 (USGS)</t>
  </si>
  <si>
    <t xml:space="preserve">Stull and Prophet 1971 (JANAF)</t>
  </si>
  <si>
    <t xml:space="preserve">0.000</t>
  </si>
  <si>
    <t xml:space="preserve">Elemental Reference Entropies (S°): CODATA</t>
  </si>
  <si>
    <t xml:space="preserve">CODATA 89 gives the original data for both 1 atm and 1 bar pressure. The calculated values here in Joule units for 1 bar precisely match those given in the source.</t>
  </si>
  <si>
    <t xml:space="preserve">CODATA 71</t>
  </si>
  <si>
    <t xml:space="preserve">CODATA 73</t>
  </si>
  <si>
    <t xml:space="preserve">CODATA 75</t>
  </si>
  <si>
    <t xml:space="preserve">CODATA 76</t>
  </si>
  <si>
    <t xml:space="preserve">CODATA 77</t>
  </si>
  <si>
    <t xml:space="preserve">CODATA 89</t>
  </si>
  <si>
    <t xml:space="preserve">Cox</t>
  </si>
  <si>
    <t xml:space="preserve">CODATA</t>
  </si>
  <si>
    <t xml:space="preserve">28.30</t>
  </si>
  <si>
    <t xml:space="preserve">154.737</t>
  </si>
  <si>
    <t xml:space="preserve">5.90</t>
  </si>
  <si>
    <t xml:space="preserve">9.50</t>
  </si>
  <si>
    <t xml:space="preserve">152.210</t>
  </si>
  <si>
    <t xml:space="preserve">152.21</t>
  </si>
  <si>
    <t xml:space="preserve">51.80</t>
  </si>
  <si>
    <t xml:space="preserve">222.972</t>
  </si>
  <si>
    <t xml:space="preserve">202.682</t>
  </si>
  <si>
    <t xml:space="preserve">130.570</t>
  </si>
  <si>
    <t xml:space="preserve">130.571</t>
  </si>
  <si>
    <t xml:space="preserve">126.044</t>
  </si>
  <si>
    <t xml:space="preserve">75.90</t>
  </si>
  <si>
    <t xml:space="preserve">116.14</t>
  </si>
  <si>
    <t xml:space="preserve">163.976</t>
  </si>
  <si>
    <t xml:space="preserve">191.500</t>
  </si>
  <si>
    <t xml:space="preserve">51.30</t>
  </si>
  <si>
    <t xml:space="preserve">146.219</t>
  </si>
  <si>
    <t xml:space="preserve">205.043</t>
  </si>
  <si>
    <t xml:space="preserve">64.80</t>
  </si>
  <si>
    <t xml:space="preserve">50.20</t>
  </si>
  <si>
    <t xml:space="preserve">169.576</t>
  </si>
  <si>
    <t xml:space="preserve">41.09</t>
  </si>
  <si>
    <t xml:space="preserve">Elemental Reference Entropies (S°) - "Modern"</t>
  </si>
  <si>
    <t xml:space="preserve">USGS 1452</t>
  </si>
  <si>
    <t xml:space="preserve">NBS 82</t>
  </si>
  <si>
    <t xml:space="preserve">JANAF 3</t>
  </si>
  <si>
    <t xml:space="preserve">Gurvich 4</t>
  </si>
  <si>
    <t xml:space="preserve">NEA TDB</t>
  </si>
  <si>
    <t xml:space="preserve">Barin 95</t>
  </si>
  <si>
    <t xml:space="preserve">JANAF 4</t>
  </si>
  <si>
    <t xml:space="preserve">USGS 2131</t>
  </si>
  <si>
    <t xml:space="preserve">NASA 3287</t>
  </si>
  <si>
    <t xml:space="preserve">Lange 05</t>
  </si>
  <si>
    <t xml:space="preserve">Robie</t>
  </si>
  <si>
    <t xml:space="preserve">Wagman</t>
  </si>
  <si>
    <t xml:space="preserve">Chase </t>
  </si>
  <si>
    <t xml:space="preserve">Gurvich</t>
  </si>
  <si>
    <t xml:space="preserve">Barin</t>
  </si>
  <si>
    <t xml:space="preserve">Chase</t>
  </si>
  <si>
    <t xml:space="preserve">McBride</t>
  </si>
  <si>
    <t xml:space="preserve">Lange's</t>
  </si>
  <si>
    <t xml:space="preserve">Series</t>
  </si>
  <si>
    <t xml:space="preserve">(ed.)</t>
  </si>
  <si>
    <t xml:space="preserve">Hemingway</t>
  </si>
  <si>
    <t xml:space="preserve">Handbook</t>
  </si>
  <si>
    <t xml:space="preserve">1989-1993</t>
  </si>
  <si>
    <t xml:space="preserve">1992-2013</t>
  </si>
  <si>
    <t xml:space="preserve">1989-1994</t>
  </si>
  <si>
    <t xml:space="preserve">42.550</t>
  </si>
  <si>
    <t xml:space="preserve">28.300</t>
  </si>
  <si>
    <t xml:space="preserve">55.400</t>
  </si>
  <si>
    <t xml:space="preserve">154.845</t>
  </si>
  <si>
    <t xml:space="preserve">154.847</t>
  </si>
  <si>
    <t xml:space="preserve">35.100</t>
  </si>
  <si>
    <t xml:space="preserve">47.40</t>
  </si>
  <si>
    <t xml:space="preserve">5.900</t>
  </si>
  <si>
    <t xml:space="preserve">5.830</t>
  </si>
  <si>
    <t xml:space="preserve">5.834</t>
  </si>
  <si>
    <t xml:space="preserve">62.42</t>
  </si>
  <si>
    <t xml:space="preserve">62.500</t>
  </si>
  <si>
    <t xml:space="preserve">62.420</t>
  </si>
  <si>
    <t xml:space="preserve">62.352</t>
  </si>
  <si>
    <t xml:space="preserve">9.440</t>
  </si>
  <si>
    <t xml:space="preserve">9.500</t>
  </si>
  <si>
    <t xml:space="preserve">9.503</t>
  </si>
  <si>
    <t xml:space="preserve">56.740</t>
  </si>
  <si>
    <t xml:space="preserve">152.20</t>
  </si>
  <si>
    <t xml:space="preserve">5.740</t>
  </si>
  <si>
    <t xml:space="preserve">5.734</t>
  </si>
  <si>
    <t xml:space="preserve">41.590</t>
  </si>
  <si>
    <t xml:space="preserve">42.90</t>
  </si>
  <si>
    <t xml:space="preserve">42.536</t>
  </si>
  <si>
    <t xml:space="preserve">51.800</t>
  </si>
  <si>
    <t xml:space="preserve">72.0</t>
  </si>
  <si>
    <t xml:space="preserve">223.079</t>
  </si>
  <si>
    <t xml:space="preserve">223.082</t>
  </si>
  <si>
    <t xml:space="preserve">30.067</t>
  </si>
  <si>
    <t xml:space="preserve">30.0</t>
  </si>
  <si>
    <t xml:space="preserve">23.640</t>
  </si>
  <si>
    <t xml:space="preserve">23.618</t>
  </si>
  <si>
    <t xml:space="preserve">85.230</t>
  </si>
  <si>
    <t xml:space="preserve">33.150</t>
  </si>
  <si>
    <t xml:space="preserve">202.790</t>
  </si>
  <si>
    <t xml:space="preserve">202.792</t>
  </si>
  <si>
    <t xml:space="preserve">27.085</t>
  </si>
  <si>
    <t xml:space="preserve">27.280</t>
  </si>
  <si>
    <t xml:space="preserve">27.321</t>
  </si>
  <si>
    <t xml:space="preserve">95.40</t>
  </si>
  <si>
    <t xml:space="preserve">41.220</t>
  </si>
  <si>
    <t xml:space="preserve">31.090</t>
  </si>
  <si>
    <t xml:space="preserve">130.680</t>
  </si>
  <si>
    <t xml:space="preserve">130.681</t>
  </si>
  <si>
    <t xml:space="preserve">126.150</t>
  </si>
  <si>
    <t xml:space="preserve">126.152</t>
  </si>
  <si>
    <t xml:space="preserve">126.154</t>
  </si>
  <si>
    <t xml:space="preserve">43.560</t>
  </si>
  <si>
    <t xml:space="preserve">75.900</t>
  </si>
  <si>
    <t xml:space="preserve">76.028</t>
  </si>
  <si>
    <t xml:space="preserve">116.140</t>
  </si>
  <si>
    <t xml:space="preserve">116.139</t>
  </si>
  <si>
    <t xml:space="preserve">57.650</t>
  </si>
  <si>
    <t xml:space="preserve">64.670</t>
  </si>
  <si>
    <t xml:space="preserve">64.680</t>
  </si>
  <si>
    <t xml:space="preserve">164.084</t>
  </si>
  <si>
    <t xml:space="preserve">164.086</t>
  </si>
  <si>
    <t xml:space="preserve">164.085</t>
  </si>
  <si>
    <t xml:space="preserve">56.90</t>
  </si>
  <si>
    <t xml:space="preserve">29.120</t>
  </si>
  <si>
    <t xml:space="preserve">29.080</t>
  </si>
  <si>
    <t xml:space="preserve">32.680</t>
  </si>
  <si>
    <t xml:space="preserve">32.670</t>
  </si>
  <si>
    <t xml:space="preserve">32.535</t>
  </si>
  <si>
    <t xml:space="preserve">32.010</t>
  </si>
  <si>
    <t xml:space="preserve">28.605</t>
  </si>
  <si>
    <t xml:space="preserve">191.607</t>
  </si>
  <si>
    <t xml:space="preserve">191.610</t>
  </si>
  <si>
    <t xml:space="preserve">51.300</t>
  </si>
  <si>
    <t xml:space="preserve">36.40</t>
  </si>
  <si>
    <t xml:space="preserve">36.464</t>
  </si>
  <si>
    <t xml:space="preserve">71.6</t>
  </si>
  <si>
    <t xml:space="preserve">146.327</t>
  </si>
  <si>
    <t xml:space="preserve">146.330</t>
  </si>
  <si>
    <t xml:space="preserve">29.870</t>
  </si>
  <si>
    <t xml:space="preserve">50.460</t>
  </si>
  <si>
    <t xml:space="preserve">205.148</t>
  </si>
  <si>
    <t xml:space="preserve">205.149</t>
  </si>
  <si>
    <t xml:space="preserve">22.85</t>
  </si>
  <si>
    <t xml:space="preserve">41.090</t>
  </si>
  <si>
    <t xml:space="preserve">41.070</t>
  </si>
  <si>
    <t xml:space="preserve">64.800</t>
  </si>
  <si>
    <t xml:space="preserve">54.460</t>
  </si>
  <si>
    <t xml:space="preserve">71.</t>
  </si>
  <si>
    <t xml:space="preserve">76.780</t>
  </si>
  <si>
    <t xml:space="preserve">176.235</t>
  </si>
  <si>
    <t xml:space="preserve">31.80</t>
  </si>
  <si>
    <t xml:space="preserve">32.070</t>
  </si>
  <si>
    <t xml:space="preserve">45.520</t>
  </si>
  <si>
    <t xml:space="preserve">42.090</t>
  </si>
  <si>
    <t xml:space="preserve">18.820</t>
  </si>
  <si>
    <t xml:space="preserve">18.810</t>
  </si>
  <si>
    <t xml:space="preserve">69.50</t>
  </si>
  <si>
    <t xml:space="preserve">51.20</t>
  </si>
  <si>
    <t xml:space="preserve">51.180</t>
  </si>
  <si>
    <t xml:space="preserve">55.40</t>
  </si>
  <si>
    <t xml:space="preserve">55.700</t>
  </si>
  <si>
    <t xml:space="preserve">55.690</t>
  </si>
  <si>
    <t xml:space="preserve">54.999</t>
  </si>
  <si>
    <t xml:space="preserve">55.0</t>
  </si>
  <si>
    <t xml:space="preserve">41.471</t>
  </si>
  <si>
    <t xml:space="preserve">73.30</t>
  </si>
  <si>
    <t xml:space="preserve">32.506</t>
  </si>
  <si>
    <t xml:space="preserve">49.50</t>
  </si>
  <si>
    <t xml:space="preserve">49.70</t>
  </si>
  <si>
    <t xml:space="preserve">52.640</t>
  </si>
  <si>
    <t xml:space="preserve">51.830</t>
  </si>
  <si>
    <t xml:space="preserve">30.720</t>
  </si>
  <si>
    <t xml:space="preserve">64.300</t>
  </si>
  <si>
    <t xml:space="preserve">50.200</t>
  </si>
  <si>
    <t xml:space="preserve">28.936</t>
  </si>
  <si>
    <t xml:space="preserve">32.660</t>
  </si>
  <si>
    <t xml:space="preserve">169.685</t>
  </si>
  <si>
    <t xml:space="preserve">169.686</t>
  </si>
  <si>
    <t xml:space="preserve">41.630</t>
  </si>
  <si>
    <t xml:space="preserve">39.080</t>
  </si>
  <si>
    <t xml:space="preserve">38.869</t>
  </si>
  <si>
    <t xml:space="preserve">39.0</t>
  </si>
  <si>
    <t xml:space="preserve">22.850</t>
  </si>
  <si>
    <t xml:space="preserve">Elemental Reference Entropies (S°) - "Combo"</t>
  </si>
  <si>
    <t xml:space="preserve">This worksheet includes statistical analysis of the elemental data.</t>
  </si>
  <si>
    <t xml:space="preserve">Fixed format</t>
  </si>
  <si>
    <t xml:space="preserve">Numerical format</t>
  </si>
  <si>
    <t xml:space="preserve">Kelly</t>
  </si>
  <si>
    <t xml:space="preserve">Min</t>
  </si>
  <si>
    <t xml:space="preserve">Max</t>
  </si>
  <si>
    <t xml:space="preserve">Elemental Reference Entropies (S°): NBS</t>
  </si>
  <si>
    <t xml:space="preserve">Comparing NBS series data, all in joule units, for 1 bar.</t>
  </si>
  <si>
    <t xml:space="preserve">Threshhold:</t>
  </si>
  <si>
    <t xml:space="preserve">J/mol-K</t>
  </si>
  <si>
    <t xml:space="preserve">Mixed format</t>
  </si>
  <si>
    <t xml:space="preserve">All numeric format</t>
  </si>
  <si>
    <t xml:space="preserve">Difference from NBS 82</t>
  </si>
  <si>
    <t xml:space="preserve">Elemental Reference Entropies (S°): USGS</t>
  </si>
  <si>
    <t xml:space="preserve">Comparing USGS series data, all in joule units, for 1 bar.</t>
  </si>
  <si>
    <t xml:space="preserve">Difference from USGS 2131</t>
  </si>
  <si>
    <t xml:space="preserve">Elemental Reference Entropies (S°): JANAF</t>
  </si>
  <si>
    <t xml:space="preserve">Comparing JANAF Tables series data, all in joule units, for 1 bar.</t>
  </si>
  <si>
    <t xml:space="preserve">Difference from JANAF 4</t>
  </si>
  <si>
    <t xml:space="preserve">Elemental Reference Entropies (S°): NEA with uncertainties</t>
  </si>
  <si>
    <t xml:space="preserve">Differences</t>
  </si>
  <si>
    <t xml:space="preserve">          CODATA 89</t>
  </si>
  <si>
    <t xml:space="preserve">             NEA TDB</t>
  </si>
  <si>
    <t xml:space="preserve">  NEA TDB - CODATA89</t>
  </si>
  <si>
    <t xml:space="preserve">Uncertainty</t>
  </si>
  <si>
    <t xml:space="preserve">Value</t>
  </si>
  <si>
    <t xml:space="preserve">(2σ)</t>
  </si>
  <si>
    <t xml:space="preserve">0.20</t>
  </si>
  <si>
    <t xml:space="preserve">0.200</t>
  </si>
  <si>
    <t xml:space="preserve">0.10</t>
  </si>
  <si>
    <t xml:space="preserve">0.100</t>
  </si>
  <si>
    <t xml:space="preserve">2.000</t>
  </si>
  <si>
    <t xml:space="preserve">154.846</t>
  </si>
  <si>
    <t xml:space="preserve">0.003</t>
  </si>
  <si>
    <t xml:space="preserve">0.600</t>
  </si>
  <si>
    <t xml:space="preserve">0.08</t>
  </si>
  <si>
    <t xml:space="preserve">0.080</t>
  </si>
  <si>
    <t xml:space="preserve">0.840</t>
  </si>
  <si>
    <t xml:space="preserve">0.420</t>
  </si>
  <si>
    <t xml:space="preserve">0.30</t>
  </si>
  <si>
    <t xml:space="preserve">0.300</t>
  </si>
  <si>
    <t xml:space="preserve">0.40</t>
  </si>
  <si>
    <t xml:space="preserve">0.400</t>
  </si>
  <si>
    <t xml:space="preserve">0.15</t>
  </si>
  <si>
    <t xml:space="preserve">0.150</t>
  </si>
  <si>
    <t xml:space="preserve">223.081</t>
  </si>
  <si>
    <t xml:space="preserve">0.010</t>
  </si>
  <si>
    <t xml:space="preserve">202.791</t>
  </si>
  <si>
    <t xml:space="preserve">0.005</t>
  </si>
  <si>
    <t xml:space="preserve">0.160</t>
  </si>
  <si>
    <t xml:space="preserve">x</t>
  </si>
  <si>
    <t xml:space="preserve">126.153</t>
  </si>
  <si>
    <t xml:space="preserve">0.002</t>
  </si>
  <si>
    <t xml:space="preserve">0.12</t>
  </si>
  <si>
    <t xml:space="preserve">0.120</t>
  </si>
  <si>
    <t xml:space="preserve">191.609</t>
  </si>
  <si>
    <t xml:space="preserve">0.004</t>
  </si>
  <si>
    <t xml:space="preserve">146.328</t>
  </si>
  <si>
    <t xml:space="preserve">0.800</t>
  </si>
  <si>
    <t xml:space="preserve">205.152</t>
  </si>
  <si>
    <t xml:space="preserve">0.25</t>
  </si>
  <si>
    <t xml:space="preserve">0.250</t>
  </si>
  <si>
    <t xml:space="preserve">0.050</t>
  </si>
  <si>
    <t xml:space="preserve">0.210</t>
  </si>
  <si>
    <t xml:space="preserve">0.330</t>
  </si>
  <si>
    <t xml:space="preserve">0.700</t>
  </si>
  <si>
    <t xml:space="preserve">0.5</t>
  </si>
  <si>
    <t xml:space="preserve">0.500</t>
  </si>
  <si>
    <t xml:space="preserve">*Tc:</t>
  </si>
  <si>
    <t xml:space="preserve">32.500</t>
  </si>
  <si>
    <t xml:space="preserve">in the Tc volume</t>
  </si>
  <si>
    <t xml:space="preserve">The Tc data used here are from the Update volume.</t>
  </si>
  <si>
    <t xml:space="preserve">               white</t>
  </si>
  <si>
    <t xml:space="preserve">G-H-S Data for Key Aqueous, Gas, and Solid Species: C89&amp;NEA, with uncertainties</t>
  </si>
  <si>
    <t xml:space="preserve">Data for "alternate aqueous species" are calculated by us.</t>
  </si>
  <si>
    <t xml:space="preserve">Gibbs energy data are not given by this source. Calculated</t>
  </si>
  <si>
    <t xml:space="preserve">All numerical format</t>
  </si>
  <si>
    <t xml:space="preserve">values from "AGS Species C889 w Gibbs" are shown here.</t>
  </si>
  <si>
    <r>
      <rPr>
        <b val="true"/>
        <sz val="10"/>
        <rFont val="Arial"/>
        <family val="2"/>
        <charset val="1"/>
      </rPr>
      <t xml:space="preserve">               Δ</t>
    </r>
    <r>
      <rPr>
        <b val="true"/>
        <vertAlign val="subscript"/>
        <sz val="10"/>
        <rFont val="Arial"/>
        <family val="2"/>
        <charset val="1"/>
      </rPr>
      <t xml:space="preserve">f</t>
    </r>
    <r>
      <rPr>
        <b val="true"/>
        <sz val="10"/>
        <rFont val="Arial"/>
        <family val="2"/>
        <charset val="1"/>
      </rPr>
      <t xml:space="preserve">G°</t>
    </r>
  </si>
  <si>
    <r>
      <rPr>
        <b val="true"/>
        <sz val="10"/>
        <rFont val="Arial"/>
        <family val="2"/>
        <charset val="1"/>
      </rPr>
      <t xml:space="preserve">               Δ</t>
    </r>
    <r>
      <rPr>
        <b val="true"/>
        <vertAlign val="subscript"/>
        <sz val="10"/>
        <rFont val="Arial"/>
        <family val="2"/>
        <charset val="1"/>
      </rPr>
      <t xml:space="preserve">f</t>
    </r>
    <r>
      <rPr>
        <b val="true"/>
        <sz val="10"/>
        <rFont val="Arial"/>
        <family val="2"/>
        <charset val="1"/>
      </rPr>
      <t xml:space="preserve">H°</t>
    </r>
  </si>
  <si>
    <t xml:space="preserve">               S°</t>
  </si>
  <si>
    <t xml:space="preserve">Aqueous</t>
  </si>
  <si>
    <t xml:space="preserve">Species</t>
  </si>
  <si>
    <r>
      <rPr>
        <b val="true"/>
        <sz val="10"/>
        <rFont val="Arial"/>
        <family val="2"/>
        <charset val="1"/>
      </rPr>
      <t xml:space="preserve">kJ mol</t>
    </r>
    <r>
      <rPr>
        <b val="true"/>
        <vertAlign val="superscript"/>
        <sz val="10"/>
        <rFont val="Arial"/>
        <family val="2"/>
        <charset val="1"/>
      </rPr>
      <t xml:space="preserve">-1</t>
    </r>
  </si>
  <si>
    <t xml:space="preserve">H+</t>
  </si>
  <si>
    <t xml:space="preserve">0</t>
  </si>
  <si>
    <t xml:space="preserve">OH-</t>
  </si>
  <si>
    <t xml:space="preserve">-230.015</t>
  </si>
  <si>
    <t xml:space="preserve">0.040</t>
  </si>
  <si>
    <t xml:space="preserve">-10.90</t>
  </si>
  <si>
    <t xml:space="preserve">-157.220</t>
  </si>
  <si>
    <t xml:space="preserve">0.072</t>
  </si>
  <si>
    <t xml:space="preserve">-10.900</t>
  </si>
  <si>
    <t xml:space="preserve">H2O(l)</t>
  </si>
  <si>
    <t xml:space="preserve">-285.830</t>
  </si>
  <si>
    <t xml:space="preserve">69.95</t>
  </si>
  <si>
    <t xml:space="preserve">0.03</t>
  </si>
  <si>
    <t xml:space="preserve">-237.140</t>
  </si>
  <si>
    <t xml:space="preserve">0.041</t>
  </si>
  <si>
    <t xml:space="preserve">69.950</t>
  </si>
  <si>
    <t xml:space="preserve">0.030</t>
  </si>
  <si>
    <t xml:space="preserve">F-</t>
  </si>
  <si>
    <t xml:space="preserve">-335.35</t>
  </si>
  <si>
    <t xml:space="preserve">0.65</t>
  </si>
  <si>
    <t xml:space="preserve">-13.8</t>
  </si>
  <si>
    <t xml:space="preserve">0.8</t>
  </si>
  <si>
    <t xml:space="preserve">-281.523</t>
  </si>
  <si>
    <t xml:space="preserve">0.692</t>
  </si>
  <si>
    <t xml:space="preserve">-335.350</t>
  </si>
  <si>
    <t xml:space="preserve">0.650</t>
  </si>
  <si>
    <t xml:space="preserve">-13.800</t>
  </si>
  <si>
    <t xml:space="preserve">Cl-</t>
  </si>
  <si>
    <t xml:space="preserve">-167.080</t>
  </si>
  <si>
    <t xml:space="preserve">56.60</t>
  </si>
  <si>
    <t xml:space="preserve">-131.217</t>
  </si>
  <si>
    <t xml:space="preserve">0.117</t>
  </si>
  <si>
    <t xml:space="preserve">56.600</t>
  </si>
  <si>
    <t xml:space="preserve">Br-</t>
  </si>
  <si>
    <t xml:space="preserve">-121.41</t>
  </si>
  <si>
    <t xml:space="preserve">82.55</t>
  </si>
  <si>
    <t xml:space="preserve">-103.850</t>
  </si>
  <si>
    <t xml:space="preserve">0.167</t>
  </si>
  <si>
    <t xml:space="preserve">-121.410</t>
  </si>
  <si>
    <t xml:space="preserve">82.550</t>
  </si>
  <si>
    <t xml:space="preserve">I-</t>
  </si>
  <si>
    <t xml:space="preserve">-56.78</t>
  </si>
  <si>
    <t xml:space="preserve">0.05</t>
  </si>
  <si>
    <t xml:space="preserve">106.45</t>
  </si>
  <si>
    <t xml:space="preserve">-51.724</t>
  </si>
  <si>
    <t xml:space="preserve">0.112</t>
  </si>
  <si>
    <t xml:space="preserve">-56.780</t>
  </si>
  <si>
    <t xml:space="preserve">106.450</t>
  </si>
  <si>
    <t xml:space="preserve">SO4--</t>
  </si>
  <si>
    <t xml:space="preserve">-909.34</t>
  </si>
  <si>
    <t xml:space="preserve">18.50</t>
  </si>
  <si>
    <t xml:space="preserve">-744.004</t>
  </si>
  <si>
    <t xml:space="preserve">0.418</t>
  </si>
  <si>
    <t xml:space="preserve">-909.340</t>
  </si>
  <si>
    <t xml:space="preserve">18.500</t>
  </si>
  <si>
    <t xml:space="preserve">HS-</t>
  </si>
  <si>
    <t xml:space="preserve">-16.3</t>
  </si>
  <si>
    <t xml:space="preserve">1.5</t>
  </si>
  <si>
    <t xml:space="preserve">67</t>
  </si>
  <si>
    <t xml:space="preserve">5</t>
  </si>
  <si>
    <t xml:space="preserve">12.243</t>
  </si>
  <si>
    <t xml:space="preserve">2.115</t>
  </si>
  <si>
    <t xml:space="preserve">-16.300</t>
  </si>
  <si>
    <t xml:space="preserve">1.500</t>
  </si>
  <si>
    <t xml:space="preserve">67.000</t>
  </si>
  <si>
    <t xml:space="preserve">5.000</t>
  </si>
  <si>
    <t xml:space="preserve">NO3-</t>
  </si>
  <si>
    <t xml:space="preserve">-206.85</t>
  </si>
  <si>
    <t xml:space="preserve">146.70</t>
  </si>
  <si>
    <t xml:space="preserve">-110.794</t>
  </si>
  <si>
    <t xml:space="preserve">0.417</t>
  </si>
  <si>
    <t xml:space="preserve">-206.850</t>
  </si>
  <si>
    <t xml:space="preserve">146.700</t>
  </si>
  <si>
    <t xml:space="preserve">NH3(aq)</t>
  </si>
  <si>
    <t xml:space="preserve">-26.673</t>
  </si>
  <si>
    <t xml:space="preserve">0.305</t>
  </si>
  <si>
    <t xml:space="preserve">-81.170</t>
  </si>
  <si>
    <t xml:space="preserve">0.326</t>
  </si>
  <si>
    <t xml:space="preserve">109.040</t>
  </si>
  <si>
    <t xml:space="preserve">0.913</t>
  </si>
  <si>
    <t xml:space="preserve">NH4+</t>
  </si>
  <si>
    <t xml:space="preserve">-133.26</t>
  </si>
  <si>
    <t xml:space="preserve">111.17</t>
  </si>
  <si>
    <t xml:space="preserve">-79.398</t>
  </si>
  <si>
    <t xml:space="preserve">0.278</t>
  </si>
  <si>
    <t xml:space="preserve">-133.260</t>
  </si>
  <si>
    <t xml:space="preserve">111.170</t>
  </si>
  <si>
    <t xml:space="preserve">HPO4--</t>
  </si>
  <si>
    <t xml:space="preserve">-1299.0</t>
  </si>
  <si>
    <t xml:space="preserve">-33.5</t>
  </si>
  <si>
    <t xml:space="preserve">-1095.985</t>
  </si>
  <si>
    <t xml:space="preserve">1.567</t>
  </si>
  <si>
    <t xml:space="preserve">-1299.000</t>
  </si>
  <si>
    <t xml:space="preserve">-33.500</t>
  </si>
  <si>
    <t xml:space="preserve">H2PO4-</t>
  </si>
  <si>
    <t xml:space="preserve">-1302.6</t>
  </si>
  <si>
    <t xml:space="preserve">92.5</t>
  </si>
  <si>
    <t xml:space="preserve">-1137.152</t>
  </si>
  <si>
    <t xml:space="preserve">-1302.600</t>
  </si>
  <si>
    <t xml:space="preserve">92.500</t>
  </si>
  <si>
    <t xml:space="preserve">CO2(aq)</t>
  </si>
  <si>
    <t xml:space="preserve">-413.26</t>
  </si>
  <si>
    <t xml:space="preserve">119.36</t>
  </si>
  <si>
    <t xml:space="preserve">0.6</t>
  </si>
  <si>
    <t xml:space="preserve">-385.970</t>
  </si>
  <si>
    <t xml:space="preserve">0.270</t>
  </si>
  <si>
    <t xml:space="preserve">-413.260</t>
  </si>
  <si>
    <t xml:space="preserve">119.360</t>
  </si>
  <si>
    <t xml:space="preserve">CO3--</t>
  </si>
  <si>
    <t xml:space="preserve">-675.23</t>
  </si>
  <si>
    <t xml:space="preserve">-50.0</t>
  </si>
  <si>
    <t xml:space="preserve">1.0</t>
  </si>
  <si>
    <t xml:space="preserve">-527.900</t>
  </si>
  <si>
    <t xml:space="preserve">0.390</t>
  </si>
  <si>
    <t xml:space="preserve">-675.230</t>
  </si>
  <si>
    <t xml:space="preserve">-50.000</t>
  </si>
  <si>
    <t xml:space="preserve">1.000</t>
  </si>
  <si>
    <t xml:space="preserve">HCO3-</t>
  </si>
  <si>
    <t xml:space="preserve">-689.93</t>
  </si>
  <si>
    <t xml:space="preserve">98.4</t>
  </si>
  <si>
    <t xml:space="preserve">-586.845</t>
  </si>
  <si>
    <t xml:space="preserve">0.251</t>
  </si>
  <si>
    <t xml:space="preserve">-689.930</t>
  </si>
  <si>
    <t xml:space="preserve">98.400</t>
  </si>
  <si>
    <t xml:space="preserve">H4SiO4(aq)</t>
  </si>
  <si>
    <t xml:space="preserve">-1307.735</t>
  </si>
  <si>
    <t xml:space="preserve">1.156</t>
  </si>
  <si>
    <t xml:space="preserve">-1456.960</t>
  </si>
  <si>
    <t xml:space="preserve">3.163</t>
  </si>
  <si>
    <t xml:space="preserve">189.973</t>
  </si>
  <si>
    <t xml:space="preserve">11.296</t>
  </si>
  <si>
    <t xml:space="preserve">H3BO3(aq)</t>
  </si>
  <si>
    <t xml:space="preserve">-1072.8</t>
  </si>
  <si>
    <t xml:space="preserve">162.4</t>
  </si>
  <si>
    <t xml:space="preserve">-969.268</t>
  </si>
  <si>
    <t xml:space="preserve">0.820</t>
  </si>
  <si>
    <t xml:space="preserve">-1072.800</t>
  </si>
  <si>
    <t xml:space="preserve">162.400</t>
  </si>
  <si>
    <t xml:space="preserve">B(OH)4-</t>
  </si>
  <si>
    <t xml:space="preserve">Al+++</t>
  </si>
  <si>
    <t xml:space="preserve">-538.4</t>
  </si>
  <si>
    <t xml:space="preserve">-325</t>
  </si>
  <si>
    <t xml:space="preserve">10</t>
  </si>
  <si>
    <t xml:space="preserve">-491.507</t>
  </si>
  <si>
    <t xml:space="preserve">3.338</t>
  </si>
  <si>
    <t xml:space="preserve">-538.400</t>
  </si>
  <si>
    <t xml:space="preserve">-325.000</t>
  </si>
  <si>
    <t xml:space="preserve">10.000</t>
  </si>
  <si>
    <t xml:space="preserve">Al(OH)4-</t>
  </si>
  <si>
    <t xml:space="preserve">Ni++</t>
  </si>
  <si>
    <t xml:space="preserve">-45.773</t>
  </si>
  <si>
    <t xml:space="preserve">0.771</t>
  </si>
  <si>
    <t xml:space="preserve">-55.012</t>
  </si>
  <si>
    <t xml:space="preserve">0.878</t>
  </si>
  <si>
    <t xml:space="preserve">-131.800</t>
  </si>
  <si>
    <t xml:space="preserve">1.400</t>
  </si>
  <si>
    <t xml:space="preserve">Fe++</t>
  </si>
  <si>
    <t xml:space="preserve">-90.719</t>
  </si>
  <si>
    <t xml:space="preserve">0.641</t>
  </si>
  <si>
    <t xml:space="preserve">-90.215</t>
  </si>
  <si>
    <t xml:space="preserve">0.522</t>
  </si>
  <si>
    <t xml:space="preserve">-102.171</t>
  </si>
  <si>
    <t xml:space="preserve">2.778</t>
  </si>
  <si>
    <t xml:space="preserve">Fe+++</t>
  </si>
  <si>
    <t xml:space="preserve">-16.226</t>
  </si>
  <si>
    <t xml:space="preserve">-50.056</t>
  </si>
  <si>
    <t xml:space="preserve">0.973</t>
  </si>
  <si>
    <t xml:space="preserve">-282.404</t>
  </si>
  <si>
    <t xml:space="preserve">3.927</t>
  </si>
  <si>
    <t xml:space="preserve">Mg++</t>
  </si>
  <si>
    <t xml:space="preserve">-467.0</t>
  </si>
  <si>
    <t xml:space="preserve">-137</t>
  </si>
  <si>
    <t xml:space="preserve">4</t>
  </si>
  <si>
    <t xml:space="preserve">-455.375</t>
  </si>
  <si>
    <t xml:space="preserve">1.335</t>
  </si>
  <si>
    <t xml:space="preserve">-467.000</t>
  </si>
  <si>
    <t xml:space="preserve">-137.000</t>
  </si>
  <si>
    <t xml:space="preserve">4.000</t>
  </si>
  <si>
    <t xml:space="preserve">Ca++</t>
  </si>
  <si>
    <t xml:space="preserve">-543.0</t>
  </si>
  <si>
    <t xml:space="preserve">-56.2</t>
  </si>
  <si>
    <t xml:space="preserve">-552.806</t>
  </si>
  <si>
    <t xml:space="preserve">1.050</t>
  </si>
  <si>
    <t xml:space="preserve">-543.000</t>
  </si>
  <si>
    <t xml:space="preserve">-56.200</t>
  </si>
  <si>
    <t xml:space="preserve">Sr++</t>
  </si>
  <si>
    <t xml:space="preserve">-563.864</t>
  </si>
  <si>
    <t xml:space="preserve">0.781</t>
  </si>
  <si>
    <t xml:space="preserve">-550.900</t>
  </si>
  <si>
    <t xml:space="preserve">-31.500</t>
  </si>
  <si>
    <t xml:space="preserve">Ba++</t>
  </si>
  <si>
    <t xml:space="preserve">-557.656</t>
  </si>
  <si>
    <t xml:space="preserve">2.582</t>
  </si>
  <si>
    <t xml:space="preserve">-534.800</t>
  </si>
  <si>
    <t xml:space="preserve">2.500</t>
  </si>
  <si>
    <t xml:space="preserve">8.400</t>
  </si>
  <si>
    <t xml:space="preserve">Ra++</t>
  </si>
  <si>
    <t xml:space="preserve">Li+</t>
  </si>
  <si>
    <t xml:space="preserve">-278.47</t>
  </si>
  <si>
    <t xml:space="preserve">12.24</t>
  </si>
  <si>
    <t xml:space="preserve">-292.918</t>
  </si>
  <si>
    <t xml:space="preserve">0.109</t>
  </si>
  <si>
    <t xml:space="preserve">-278.470</t>
  </si>
  <si>
    <t xml:space="preserve">12.240</t>
  </si>
  <si>
    <t xml:space="preserve">Na+</t>
  </si>
  <si>
    <t xml:space="preserve">-240.34</t>
  </si>
  <si>
    <t xml:space="preserve">0.06</t>
  </si>
  <si>
    <t xml:space="preserve">58.45</t>
  </si>
  <si>
    <t xml:space="preserve">-261.953</t>
  </si>
  <si>
    <t xml:space="preserve">0.096</t>
  </si>
  <si>
    <t xml:space="preserve">-240.340</t>
  </si>
  <si>
    <t xml:space="preserve">0.060</t>
  </si>
  <si>
    <t xml:space="preserve">58.450</t>
  </si>
  <si>
    <t xml:space="preserve">K+</t>
  </si>
  <si>
    <t xml:space="preserve">-252.14</t>
  </si>
  <si>
    <t xml:space="preserve">101.20</t>
  </si>
  <si>
    <t xml:space="preserve">-282.510</t>
  </si>
  <si>
    <t xml:space="preserve">0.116</t>
  </si>
  <si>
    <t xml:space="preserve">-252.140</t>
  </si>
  <si>
    <t xml:space="preserve">101.200</t>
  </si>
  <si>
    <t xml:space="preserve">Rb+</t>
  </si>
  <si>
    <t xml:space="preserve">-251.12</t>
  </si>
  <si>
    <t xml:space="preserve">121.75</t>
  </si>
  <si>
    <t xml:space="preserve">-284.009</t>
  </si>
  <si>
    <t xml:space="preserve">0.153</t>
  </si>
  <si>
    <t xml:space="preserve">-251.120</t>
  </si>
  <si>
    <t xml:space="preserve">121.750</t>
  </si>
  <si>
    <t xml:space="preserve">Cs+</t>
  </si>
  <si>
    <t xml:space="preserve">-258.00</t>
  </si>
  <si>
    <t xml:space="preserve">0.50</t>
  </si>
  <si>
    <t xml:space="preserve">132.1</t>
  </si>
  <si>
    <t xml:space="preserve">-291.456</t>
  </si>
  <si>
    <t xml:space="preserve">0.535</t>
  </si>
  <si>
    <t xml:space="preserve">-258.000</t>
  </si>
  <si>
    <t xml:space="preserve">132.100</t>
  </si>
  <si>
    <t xml:space="preserve">Alternate</t>
  </si>
  <si>
    <t xml:space="preserve">SiO2(aq)</t>
  </si>
  <si>
    <t xml:space="preserve">BO2-</t>
  </si>
  <si>
    <t xml:space="preserve">AlO2-</t>
  </si>
  <si>
    <t xml:space="preserve">Gas</t>
  </si>
  <si>
    <t xml:space="preserve">O2(g)</t>
  </si>
  <si>
    <t xml:space="preserve">H2(g)</t>
  </si>
  <si>
    <t xml:space="preserve">H2O(g)</t>
  </si>
  <si>
    <t xml:space="preserve">-241.826</t>
  </si>
  <si>
    <t xml:space="preserve">188.835</t>
  </si>
  <si>
    <t xml:space="preserve">-228.582</t>
  </si>
  <si>
    <t xml:space="preserve">CO2(g)</t>
  </si>
  <si>
    <t xml:space="preserve">-393.51</t>
  </si>
  <si>
    <t xml:space="preserve">0.13</t>
  </si>
  <si>
    <t xml:space="preserve">213.785</t>
  </si>
  <si>
    <t xml:space="preserve">-394.373</t>
  </si>
  <si>
    <t xml:space="preserve">0.133</t>
  </si>
  <si>
    <t xml:space="preserve">-393.510</t>
  </si>
  <si>
    <t xml:space="preserve">0.130</t>
  </si>
  <si>
    <t xml:space="preserve">Solid</t>
  </si>
  <si>
    <t xml:space="preserve">Name</t>
  </si>
  <si>
    <t xml:space="preserve">P4O10</t>
  </si>
  <si>
    <t xml:space="preserve">Quartz</t>
  </si>
  <si>
    <t xml:space="preserve">SiO2</t>
  </si>
  <si>
    <t xml:space="preserve">-910.7</t>
  </si>
  <si>
    <t xml:space="preserve">41.46</t>
  </si>
  <si>
    <t xml:space="preserve">-856.287</t>
  </si>
  <si>
    <t xml:space="preserve">1.002</t>
  </si>
  <si>
    <t xml:space="preserve">-910.700</t>
  </si>
  <si>
    <t xml:space="preserve">41.460</t>
  </si>
  <si>
    <t xml:space="preserve">B2O3</t>
  </si>
  <si>
    <t xml:space="preserve">-1273.5</t>
  </si>
  <si>
    <t xml:space="preserve">1.4</t>
  </si>
  <si>
    <t xml:space="preserve">53.97</t>
  </si>
  <si>
    <t xml:space="preserve">-1194.324</t>
  </si>
  <si>
    <t xml:space="preserve">1.404</t>
  </si>
  <si>
    <t xml:space="preserve">-1273.500</t>
  </si>
  <si>
    <t xml:space="preserve">53.970</t>
  </si>
  <si>
    <t xml:space="preserve">Boric acid</t>
  </si>
  <si>
    <t xml:space="preserve">H3BO3</t>
  </si>
  <si>
    <t xml:space="preserve">-1094.8</t>
  </si>
  <si>
    <t xml:space="preserve">89.95</t>
  </si>
  <si>
    <t xml:space="preserve">0.60</t>
  </si>
  <si>
    <t xml:space="preserve">-969.667</t>
  </si>
  <si>
    <t xml:space="preserve">-1094.800</t>
  </si>
  <si>
    <t xml:space="preserve">89.950</t>
  </si>
  <si>
    <t xml:space="preserve">Corundum</t>
  </si>
  <si>
    <t xml:space="preserve">Al2O3</t>
  </si>
  <si>
    <t xml:space="preserve">-1675.7</t>
  </si>
  <si>
    <t xml:space="preserve">50.92</t>
  </si>
  <si>
    <t xml:space="preserve">-1582.257</t>
  </si>
  <si>
    <t xml:space="preserve">1.302</t>
  </si>
  <si>
    <t xml:space="preserve">-1675.700</t>
  </si>
  <si>
    <t xml:space="preserve">1.300</t>
  </si>
  <si>
    <t xml:space="preserve">50.920</t>
  </si>
  <si>
    <t xml:space="preserve">Gibbsite</t>
  </si>
  <si>
    <t xml:space="preserve">Al(OH)3</t>
  </si>
  <si>
    <t xml:space="preserve">-1293.3</t>
  </si>
  <si>
    <t xml:space="preserve">68.44</t>
  </si>
  <si>
    <t xml:space="preserve">0.17</t>
  </si>
  <si>
    <t xml:space="preserve">AlCl3•6H2O</t>
  </si>
  <si>
    <t xml:space="preserve">-2693.1</t>
  </si>
  <si>
    <t xml:space="preserve">318.1</t>
  </si>
  <si>
    <t xml:space="preserve">2.5</t>
  </si>
  <si>
    <t xml:space="preserve">Andalusite</t>
  </si>
  <si>
    <t xml:space="preserve">Al2SiO5</t>
  </si>
  <si>
    <t xml:space="preserve">Hematite</t>
  </si>
  <si>
    <t xml:space="preserve">Fe2O3</t>
  </si>
  <si>
    <t xml:space="preserve">-744.448</t>
  </si>
  <si>
    <t xml:space="preserve">2.632</t>
  </si>
  <si>
    <t xml:space="preserve">-826.290</t>
  </si>
  <si>
    <t xml:space="preserve">2.630</t>
  </si>
  <si>
    <t xml:space="preserve">87.400</t>
  </si>
  <si>
    <t xml:space="preserve">Magnetite</t>
  </si>
  <si>
    <t xml:space="preserve">Fe3O4</t>
  </si>
  <si>
    <t xml:space="preserve">-1012.719</t>
  </si>
  <si>
    <t xml:space="preserve">1.609</t>
  </si>
  <si>
    <t xml:space="preserve">-1115.780</t>
  </si>
  <si>
    <t xml:space="preserve">1.600</t>
  </si>
  <si>
    <t xml:space="preserve">145.890</t>
  </si>
  <si>
    <t xml:space="preserve">Fayalite</t>
  </si>
  <si>
    <t xml:space="preserve">Fe2SiO4</t>
  </si>
  <si>
    <t xml:space="preserve">-1377.720</t>
  </si>
  <si>
    <t xml:space="preserve">1.076</t>
  </si>
  <si>
    <t xml:space="preserve">-1476.790</t>
  </si>
  <si>
    <t xml:space="preserve">1.070</t>
  </si>
  <si>
    <t xml:space="preserve">151.000</t>
  </si>
  <si>
    <t xml:space="preserve">Periclase</t>
  </si>
  <si>
    <t xml:space="preserve">MgO</t>
  </si>
  <si>
    <t xml:space="preserve">-601.60</t>
  </si>
  <si>
    <t xml:space="preserve">26.95</t>
  </si>
  <si>
    <t xml:space="preserve">-569.312</t>
  </si>
  <si>
    <t xml:space="preserve">-601.600</t>
  </si>
  <si>
    <t xml:space="preserve">26.950</t>
  </si>
  <si>
    <t xml:space="preserve">Brucite</t>
  </si>
  <si>
    <t xml:space="preserve">Mg(OH)2</t>
  </si>
  <si>
    <t xml:space="preserve">-924.450</t>
  </si>
  <si>
    <t xml:space="preserve">0.352</t>
  </si>
  <si>
    <t xml:space="preserve">63.18</t>
  </si>
  <si>
    <t xml:space="preserve">Magnesite</t>
  </si>
  <si>
    <t xml:space="preserve">MgCO3</t>
  </si>
  <si>
    <t xml:space="preserve">Forsterite</t>
  </si>
  <si>
    <t xml:space="preserve">Mg2SiO4</t>
  </si>
  <si>
    <t xml:space="preserve">Lime</t>
  </si>
  <si>
    <t xml:space="preserve">CaO</t>
  </si>
  <si>
    <t xml:space="preserve">-634.92</t>
  </si>
  <si>
    <t xml:space="preserve">0.90</t>
  </si>
  <si>
    <t xml:space="preserve">38.1</t>
  </si>
  <si>
    <t xml:space="preserve">0.4</t>
  </si>
  <si>
    <t xml:space="preserve">-603.296</t>
  </si>
  <si>
    <t xml:space="preserve">0.916</t>
  </si>
  <si>
    <t xml:space="preserve">-634.920</t>
  </si>
  <si>
    <t xml:space="preserve">0.900</t>
  </si>
  <si>
    <t xml:space="preserve">38.100</t>
  </si>
  <si>
    <t xml:space="preserve">Portlandite</t>
  </si>
  <si>
    <t xml:space="preserve">Ca(OH)2</t>
  </si>
  <si>
    <t xml:space="preserve">-986.000</t>
  </si>
  <si>
    <t xml:space="preserve">0.950</t>
  </si>
  <si>
    <t xml:space="preserve">83.39</t>
  </si>
  <si>
    <t xml:space="preserve">Calcite</t>
  </si>
  <si>
    <t xml:space="preserve">CaCO3</t>
  </si>
  <si>
    <t xml:space="preserve">-1207.980</t>
  </si>
  <si>
    <t xml:space="preserve">1.193</t>
  </si>
  <si>
    <t xml:space="preserve">91.71</t>
  </si>
  <si>
    <t xml:space="preserve">Wollastonite</t>
  </si>
  <si>
    <t xml:space="preserve">CaSiO3</t>
  </si>
  <si>
    <t xml:space="preserve">Na2O</t>
  </si>
  <si>
    <t xml:space="preserve">Halite</t>
  </si>
  <si>
    <t xml:space="preserve">NaCl</t>
  </si>
  <si>
    <t xml:space="preserve">72.13</t>
  </si>
  <si>
    <t xml:space="preserve">-384.221</t>
  </si>
  <si>
    <t xml:space="preserve">0.147</t>
  </si>
  <si>
    <t xml:space="preserve">-411.260</t>
  </si>
  <si>
    <t xml:space="preserve">72.150</t>
  </si>
  <si>
    <t xml:space="preserve">K2O</t>
  </si>
  <si>
    <t xml:space="preserve">Sylvite</t>
  </si>
  <si>
    <t xml:space="preserve">KCl</t>
  </si>
  <si>
    <t xml:space="preserve">82.57</t>
  </si>
  <si>
    <t xml:space="preserve">-436.461</t>
  </si>
  <si>
    <t xml:space="preserve">0.129</t>
  </si>
  <si>
    <t xml:space="preserve">data given by the source in the notes</t>
  </si>
  <si>
    <t xml:space="preserve">data calculated from data given by the source in the notes</t>
  </si>
  <si>
    <t xml:space="preserve">Brucite:</t>
  </si>
  <si>
    <t xml:space="preserve">Note 130(d), p. 58</t>
  </si>
  <si>
    <t xml:space="preserve">Mixed sources</t>
  </si>
  <si>
    <r>
      <rPr>
        <sz val="10"/>
        <rFont val="Arial"/>
        <family val="2"/>
        <charset val="1"/>
      </rPr>
      <t xml:space="preserve">Δ</t>
    </r>
    <r>
      <rPr>
        <vertAlign val="subscript"/>
        <sz val="10"/>
        <rFont val="Arial"/>
        <family val="2"/>
        <charset val="1"/>
      </rPr>
      <t xml:space="preserve">sol</t>
    </r>
    <r>
      <rPr>
        <sz val="10"/>
        <rFont val="Arial"/>
        <family val="2"/>
        <charset val="1"/>
      </rPr>
      <t xml:space="preserve">H°</t>
    </r>
  </si>
  <si>
    <t xml:space="preserve">0.70</t>
  </si>
  <si>
    <r>
      <rPr>
        <sz val="10"/>
        <rFont val="Arial"/>
        <family val="2"/>
        <charset val="1"/>
      </rPr>
      <t xml:space="preserve">kJ mol</t>
    </r>
    <r>
      <rPr>
        <vertAlign val="superscript"/>
        <sz val="10"/>
        <rFont val="Arial"/>
        <family val="2"/>
        <charset val="1"/>
      </rPr>
      <t xml:space="preserve">-1</t>
    </r>
  </si>
  <si>
    <t xml:space="preserve">Mg(OH)2 = Mg++ + 2 OH-</t>
  </si>
  <si>
    <r>
      <rPr>
        <sz val="10"/>
        <rFont val="Arial"/>
        <family val="2"/>
        <charset val="1"/>
      </rPr>
      <t xml:space="preserve">Δ</t>
    </r>
    <r>
      <rPr>
        <vertAlign val="subscript"/>
        <sz val="10"/>
        <rFont val="Arial"/>
        <family val="2"/>
        <charset val="1"/>
      </rPr>
      <t xml:space="preserve">sol</t>
    </r>
    <r>
      <rPr>
        <sz val="10"/>
        <rFont val="Arial"/>
        <family val="2"/>
        <charset val="1"/>
      </rPr>
      <t xml:space="preserve">H° = ΔH°(Mg++) + 2*ΔH°(OH-) - ΔH°(Brucite)</t>
    </r>
  </si>
  <si>
    <t xml:space="preserve">Check:</t>
  </si>
  <si>
    <t xml:space="preserve">-221.00</t>
  </si>
  <si>
    <r>
      <rPr>
        <sz val="10"/>
        <rFont val="Arial"/>
        <family val="2"/>
        <charset val="1"/>
      </rPr>
      <t xml:space="preserve">kcal mol</t>
    </r>
    <r>
      <rPr>
        <vertAlign val="superscript"/>
        <sz val="10"/>
        <rFont val="Arial"/>
        <family val="2"/>
        <charset val="1"/>
      </rPr>
      <t xml:space="preserve">-1</t>
    </r>
  </si>
  <si>
    <t xml:space="preserve">Note 135(a), p. 60</t>
  </si>
  <si>
    <r>
      <rPr>
        <sz val="10"/>
        <rFont val="Arial"/>
        <family val="2"/>
        <charset val="1"/>
      </rPr>
      <t xml:space="preserve">Δ</t>
    </r>
    <r>
      <rPr>
        <vertAlign val="subscript"/>
        <sz val="10"/>
        <rFont val="Arial"/>
        <family val="2"/>
        <charset val="1"/>
      </rPr>
      <t xml:space="preserve">r</t>
    </r>
    <r>
      <rPr>
        <sz val="10"/>
        <rFont val="Arial"/>
        <family val="2"/>
        <charset val="1"/>
      </rPr>
      <t xml:space="preserve">H°</t>
    </r>
  </si>
  <si>
    <t xml:space="preserve">-65.25</t>
  </si>
  <si>
    <t xml:space="preserve">CaO + H2O = Ca(OH)2</t>
  </si>
  <si>
    <r>
      <rPr>
        <sz val="10"/>
        <rFont val="Arial"/>
        <family val="2"/>
        <charset val="1"/>
      </rPr>
      <t xml:space="preserve">Δ</t>
    </r>
    <r>
      <rPr>
        <vertAlign val="subscript"/>
        <sz val="10"/>
        <rFont val="Arial"/>
        <family val="2"/>
        <charset val="1"/>
      </rPr>
      <t xml:space="preserve">r</t>
    </r>
    <r>
      <rPr>
        <sz val="10"/>
        <rFont val="Arial"/>
        <family val="2"/>
        <charset val="1"/>
      </rPr>
      <t xml:space="preserve">H° = ΔH°(Portlandite) - ΔH°(Ca++) - ΔH°(H2O)</t>
    </r>
  </si>
  <si>
    <t xml:space="preserve">H2O</t>
  </si>
  <si>
    <t xml:space="preserve">-235.80</t>
  </si>
  <si>
    <t xml:space="preserve">Note 135(e), p. 60</t>
  </si>
  <si>
    <t xml:space="preserve">-10.25</t>
  </si>
  <si>
    <t xml:space="preserve">CaCO3 = Ca++ + CO3--</t>
  </si>
  <si>
    <r>
      <rPr>
        <sz val="10"/>
        <rFont val="Arial"/>
        <family val="2"/>
        <charset val="1"/>
      </rPr>
      <t xml:space="preserve">Δ</t>
    </r>
    <r>
      <rPr>
        <vertAlign val="subscript"/>
        <sz val="10"/>
        <rFont val="Arial"/>
        <family val="2"/>
        <charset val="1"/>
      </rPr>
      <t xml:space="preserve">sol</t>
    </r>
    <r>
      <rPr>
        <sz val="10"/>
        <rFont val="Arial"/>
        <family val="2"/>
        <charset val="1"/>
      </rPr>
      <t xml:space="preserve">H° = ΔH°(Ca++) + ΔH°(CO3--) - ΔH°(Calcite)</t>
    </r>
  </si>
  <si>
    <t xml:space="preserve">G-H-S Data for Key Aqueous, Gas, and Solid Species: C89, with calculated Gibbs energies</t>
  </si>
  <si>
    <t xml:space="preserve">Scratch table</t>
  </si>
  <si>
    <t xml:space="preserve">Elem. Ref.</t>
  </si>
  <si>
    <t xml:space="preserve">z</t>
  </si>
  <si>
    <t xml:space="preserve">Gibbs energy data are not given by this source (at least not</t>
  </si>
  <si>
    <t xml:space="preserve">Entropy</t>
  </si>
  <si>
    <t xml:space="preserve">in the table of recommended values). Here values are calculated.</t>
  </si>
  <si>
    <t xml:space="preserve">2σ</t>
  </si>
  <si>
    <t xml:space="preserve">σ²</t>
  </si>
  <si>
    <t xml:space="preserve">                                                                 Elemental Reference Form Composition</t>
  </si>
  <si>
    <t xml:space="preserve">General format</t>
  </si>
  <si>
    <t xml:space="preserve">Elemental Reference Form Composition (Coefficients squared)</t>
  </si>
  <si>
    <t xml:space="preserve">(the z factor is -sign(z)*z^2)</t>
  </si>
  <si>
    <t xml:space="preserve">G-H-S Data for Key Aqueous, Gas, and Solid Species: NBS (no uncertainties were given)</t>
  </si>
  <si>
    <t xml:space="preserve">Intercomparison of the data given here is best accomplished using the tables to the right, where all values are given in Joule units for 1 bar standard pressure.</t>
  </si>
  <si>
    <t xml:space="preserve">Entropy correction:</t>
  </si>
  <si>
    <r>
      <rPr>
        <sz val="10"/>
        <rFont val="Arial"/>
        <family val="2"/>
        <charset val="1"/>
      </rPr>
      <t xml:space="preserve">J mol</t>
    </r>
    <r>
      <rPr>
        <vertAlign val="superscript"/>
        <sz val="10"/>
        <rFont val="Arial"/>
        <family val="2"/>
        <charset val="1"/>
      </rPr>
      <t xml:space="preserve">-1 </t>
    </r>
    <r>
      <rPr>
        <sz val="10"/>
        <rFont val="Arial"/>
        <family val="2"/>
        <charset val="1"/>
      </rPr>
      <t xml:space="preserve">K</t>
    </r>
    <r>
      <rPr>
        <vertAlign val="superscript"/>
        <sz val="10"/>
        <rFont val="Arial"/>
        <family val="2"/>
        <charset val="1"/>
      </rPr>
      <t xml:space="preserve">-1</t>
    </r>
    <r>
      <rPr>
        <sz val="10"/>
        <rFont val="Arial"/>
        <family val="2"/>
        <charset val="1"/>
      </rPr>
      <t xml:space="preserve"> (for a gas species)</t>
    </r>
  </si>
  <si>
    <r>
      <rPr>
        <sz val="10"/>
        <rFont val="Arial"/>
        <family val="2"/>
        <charset val="1"/>
      </rPr>
      <t xml:space="preserve">cal mol</t>
    </r>
    <r>
      <rPr>
        <vertAlign val="superscript"/>
        <sz val="10"/>
        <rFont val="Arial"/>
        <family val="2"/>
        <charset val="1"/>
      </rPr>
      <t xml:space="preserve">-1 </t>
    </r>
    <r>
      <rPr>
        <sz val="10"/>
        <rFont val="Arial"/>
        <family val="2"/>
        <charset val="1"/>
      </rPr>
      <t xml:space="preserve">K</t>
    </r>
    <r>
      <rPr>
        <vertAlign val="superscript"/>
        <sz val="10"/>
        <rFont val="Arial"/>
        <family val="2"/>
        <charset val="1"/>
      </rPr>
      <t xml:space="preserve">-1</t>
    </r>
    <r>
      <rPr>
        <sz val="10"/>
        <rFont val="Arial"/>
        <family val="2"/>
        <charset val="1"/>
      </rPr>
      <t xml:space="preserve"> (for a gas species)</t>
    </r>
  </si>
  <si>
    <t xml:space="preserve">The data for the aqueous phosphate species in  NBS 270-3 (Wagman et al., 1968) and the later report by Wagman et al. (1982)  were found unreliable by Rard and Wolery (2007).</t>
  </si>
  <si>
    <t xml:space="preserve">Gibbs energy correction:</t>
  </si>
  <si>
    <r>
      <rPr>
        <sz val="10"/>
        <rFont val="Arial"/>
        <family val="2"/>
        <charset val="1"/>
      </rPr>
      <t xml:space="preserve">kJ mol</t>
    </r>
    <r>
      <rPr>
        <vertAlign val="superscript"/>
        <sz val="10"/>
        <rFont val="Arial"/>
        <family val="2"/>
        <charset val="1"/>
      </rPr>
      <t xml:space="preserve">-1</t>
    </r>
    <r>
      <rPr>
        <sz val="10"/>
        <rFont val="Arial"/>
        <family val="2"/>
        <charset val="1"/>
      </rPr>
      <t xml:space="preserve"> per unit </t>
    </r>
    <r>
      <rPr>
        <sz val="10"/>
        <rFont val="Calibri"/>
        <family val="2"/>
        <charset val="1"/>
      </rPr>
      <t xml:space="preserve">δ</t>
    </r>
  </si>
  <si>
    <r>
      <rPr>
        <sz val="10"/>
        <rFont val="Arial"/>
        <family val="2"/>
        <charset val="1"/>
      </rPr>
      <t xml:space="preserve">kcal mol</t>
    </r>
    <r>
      <rPr>
        <vertAlign val="superscript"/>
        <sz val="10"/>
        <rFont val="Arial"/>
        <family val="2"/>
        <charset val="1"/>
      </rPr>
      <t xml:space="preserve">-1</t>
    </r>
    <r>
      <rPr>
        <sz val="10"/>
        <rFont val="Arial"/>
        <family val="2"/>
        <charset val="1"/>
      </rPr>
      <t xml:space="preserve"> per unit </t>
    </r>
    <r>
      <rPr>
        <sz val="10"/>
        <rFont val="Calibri"/>
        <family val="2"/>
        <charset val="1"/>
      </rPr>
      <t xml:space="preserve">δ</t>
    </r>
  </si>
  <si>
    <t xml:space="preserve">The Gibbs energy value for H2PO4- in NBS 270-3 is -260.17 kcal/mol. This was a typographical error corrected in NBS 270-4 (Appendix, p 139) to -270.17 kcal/mol.</t>
  </si>
  <si>
    <t xml:space="preserve">Gibbs energy z correction:</t>
  </si>
  <si>
    <r>
      <rPr>
        <sz val="10"/>
        <rFont val="Arial"/>
        <family val="2"/>
        <charset val="1"/>
      </rPr>
      <t xml:space="preserve">kJ mol</t>
    </r>
    <r>
      <rPr>
        <vertAlign val="superscript"/>
        <sz val="10"/>
        <rFont val="Arial"/>
        <family val="2"/>
        <charset val="1"/>
      </rPr>
      <t xml:space="preserve">-1</t>
    </r>
    <r>
      <rPr>
        <sz val="10"/>
        <rFont val="Arial"/>
        <family val="2"/>
        <charset val="1"/>
      </rPr>
      <t xml:space="preserve"> per unit charge</t>
    </r>
  </si>
  <si>
    <r>
      <rPr>
        <sz val="10"/>
        <rFont val="Arial"/>
        <family val="2"/>
        <charset val="1"/>
      </rPr>
      <t xml:space="preserve">kcal mol</t>
    </r>
    <r>
      <rPr>
        <vertAlign val="superscript"/>
        <sz val="10"/>
        <rFont val="Arial"/>
        <family val="2"/>
        <charset val="1"/>
      </rPr>
      <t xml:space="preserve">-1</t>
    </r>
    <r>
      <rPr>
        <sz val="10"/>
        <rFont val="Arial"/>
        <family val="2"/>
        <charset val="1"/>
      </rPr>
      <t xml:space="preserve"> per unit charge</t>
    </r>
  </si>
  <si>
    <t xml:space="preserve">The corrected value is given here. However, it is still "unreliable."</t>
  </si>
  <si>
    <t xml:space="preserve">NBS 500, Rossini et al. (1952)</t>
  </si>
  <si>
    <t xml:space="preserve">NBS 270-(3-8), Wagman et al. (1968) and others</t>
  </si>
  <si>
    <t xml:space="preserve">NBS, Wagman et al. (1982)</t>
  </si>
  <si>
    <t xml:space="preserve">δ</t>
  </si>
  <si>
    <t xml:space="preserve">-54.970</t>
  </si>
  <si>
    <t xml:space="preserve">-79.50</t>
  </si>
  <si>
    <t xml:space="preserve">-31.350</t>
  </si>
  <si>
    <t xml:space="preserve">-28.90</t>
  </si>
  <si>
    <t xml:space="preserve">19.29</t>
  </si>
  <si>
    <t xml:space="preserve">-12.35</t>
  </si>
  <si>
    <t xml:space="preserve">-13.37</t>
  </si>
  <si>
    <t xml:space="preserve">26.14</t>
  </si>
  <si>
    <t xml:space="preserve">-12.33</t>
  </si>
  <si>
    <t xml:space="preserve">-13.19</t>
  </si>
  <si>
    <t xml:space="preserve">-51.57</t>
  </si>
  <si>
    <t xml:space="preserve">-55.19</t>
  </si>
  <si>
    <t xml:space="preserve">111.3</t>
  </si>
  <si>
    <t xml:space="preserve">-216.90</t>
  </si>
  <si>
    <t xml:space="preserve">35.0</t>
  </si>
  <si>
    <t xml:space="preserve">-205.0</t>
  </si>
  <si>
    <t xml:space="preserve">-26.50</t>
  </si>
  <si>
    <t xml:space="preserve">-19.00</t>
  </si>
  <si>
    <t xml:space="preserve">-8.0</t>
  </si>
  <si>
    <t xml:space="preserve">-270.17</t>
  </si>
  <si>
    <t xml:space="preserve">-98.90</t>
  </si>
  <si>
    <t xml:space="preserve">-413.80</t>
  </si>
  <si>
    <t xml:space="preserve">-126.22</t>
  </si>
  <si>
    <t xml:space="preserve">-351.0</t>
  </si>
  <si>
    <t xml:space="preserve">43.</t>
  </si>
  <si>
    <t xml:space="preserve">180.</t>
  </si>
  <si>
    <t xml:space="preserve">-274.320</t>
  </si>
  <si>
    <t xml:space="preserve">-115.0</t>
  </si>
  <si>
    <t xml:space="preserve">-116.</t>
  </si>
  <si>
    <t xml:space="preserve">-127.</t>
  </si>
  <si>
    <t xml:space="preserve">-485.</t>
  </si>
  <si>
    <t xml:space="preserve">-531.</t>
  </si>
  <si>
    <t xml:space="preserve">-355.235</t>
  </si>
  <si>
    <t xml:space="preserve">28.</t>
  </si>
  <si>
    <t xml:space="preserve">-10.9</t>
  </si>
  <si>
    <t xml:space="preserve">-12.9</t>
  </si>
  <si>
    <t xml:space="preserve">-30.8</t>
  </si>
  <si>
    <t xml:space="preserve">-45.6</t>
  </si>
  <si>
    <t xml:space="preserve">-54.0</t>
  </si>
  <si>
    <t xml:space="preserve">-128.9</t>
  </si>
  <si>
    <t xml:space="preserve">-20.30</t>
  </si>
  <si>
    <t xml:space="preserve">-21.0</t>
  </si>
  <si>
    <t xml:space="preserve">-78.90</t>
  </si>
  <si>
    <t xml:space="preserve">-33.0</t>
  </si>
  <si>
    <t xml:space="preserve">-132.30</t>
  </si>
  <si>
    <t xml:space="preserve">-545.80</t>
  </si>
  <si>
    <t xml:space="preserve">-134.0</t>
  </si>
  <si>
    <t xml:space="preserve">3.</t>
  </si>
  <si>
    <t xml:space="preserve">-128.50</t>
  </si>
  <si>
    <t xml:space="preserve">-560.77</t>
  </si>
  <si>
    <t xml:space="preserve">-537.64</t>
  </si>
  <si>
    <t xml:space="preserve">9.6</t>
  </si>
  <si>
    <t xml:space="preserve">-134.5</t>
  </si>
  <si>
    <t xml:space="preserve">-126.</t>
  </si>
  <si>
    <t xml:space="preserve">13.</t>
  </si>
  <si>
    <t xml:space="preserve">-561.5</t>
  </si>
  <si>
    <t xml:space="preserve">-527.6</t>
  </si>
  <si>
    <t xml:space="preserve">54.</t>
  </si>
  <si>
    <t xml:space="preserve">-70.10</t>
  </si>
  <si>
    <t xml:space="preserve">-293.31</t>
  </si>
  <si>
    <t xml:space="preserve">59.0</t>
  </si>
  <si>
    <t xml:space="preserve">-67.70</t>
  </si>
  <si>
    <t xml:space="preserve">-67.45</t>
  </si>
  <si>
    <t xml:space="preserve">-58.9</t>
  </si>
  <si>
    <t xml:space="preserve">29.7</t>
  </si>
  <si>
    <t xml:space="preserve">-283.98</t>
  </si>
  <si>
    <t xml:space="preserve">-251.17</t>
  </si>
  <si>
    <t xml:space="preserve">121.50</t>
  </si>
  <si>
    <t xml:space="preserve">-67.41</t>
  </si>
  <si>
    <t xml:space="preserve">-59.2</t>
  </si>
  <si>
    <t xml:space="preserve">-292.02</t>
  </si>
  <si>
    <t xml:space="preserve">-258.28</t>
  </si>
  <si>
    <t xml:space="preserve">133.05</t>
  </si>
  <si>
    <t xml:space="preserve">-111.25</t>
  </si>
  <si>
    <t xml:space="preserve">-207.36</t>
  </si>
  <si>
    <t xml:space="preserve">1989 Errata</t>
  </si>
  <si>
    <t xml:space="preserve">H2BO3-</t>
  </si>
  <si>
    <t xml:space="preserve">-196.8</t>
  </si>
  <si>
    <t xml:space="preserve">-219.6</t>
  </si>
  <si>
    <t xml:space="preserve">-5.</t>
  </si>
  <si>
    <t xml:space="preserve">H2CO3(aq)</t>
  </si>
  <si>
    <t xml:space="preserve">-623.08</t>
  </si>
  <si>
    <t xml:space="preserve">-699.65</t>
  </si>
  <si>
    <t xml:space="preserve">187.4</t>
  </si>
  <si>
    <t xml:space="preserve">-148.94</t>
  </si>
  <si>
    <t xml:space="preserve">-167.22</t>
  </si>
  <si>
    <t xml:space="preserve">44.8</t>
  </si>
  <si>
    <t xml:space="preserve">-149.0</t>
  </si>
  <si>
    <t xml:space="preserve">-167.0</t>
  </si>
  <si>
    <t xml:space="preserve">45.7</t>
  </si>
  <si>
    <t xml:space="preserve">species</t>
  </si>
  <si>
    <t xml:space="preserve">31.211</t>
  </si>
  <si>
    <t xml:space="preserve">31.204</t>
  </si>
  <si>
    <t xml:space="preserve">130.684</t>
  </si>
  <si>
    <t xml:space="preserve">-54.6357</t>
  </si>
  <si>
    <t xml:space="preserve">-57.7979</t>
  </si>
  <si>
    <t xml:space="preserve">45.106</t>
  </si>
  <si>
    <t xml:space="preserve">-54.634</t>
  </si>
  <si>
    <t xml:space="preserve">-57.796</t>
  </si>
  <si>
    <t xml:space="preserve">45.014</t>
  </si>
  <si>
    <t xml:space="preserve">-228.572</t>
  </si>
  <si>
    <t xml:space="preserve">-241.818</t>
  </si>
  <si>
    <t xml:space="preserve">188.825</t>
  </si>
  <si>
    <t xml:space="preserve">-94.2598</t>
  </si>
  <si>
    <t xml:space="preserve">-94.0518</t>
  </si>
  <si>
    <t xml:space="preserve">51.061</t>
  </si>
  <si>
    <t xml:space="preserve">-94.254</t>
  </si>
  <si>
    <t xml:space="preserve">-94.051</t>
  </si>
  <si>
    <t xml:space="preserve">51.06</t>
  </si>
  <si>
    <t xml:space="preserve">-394.359</t>
  </si>
  <si>
    <t xml:space="preserve">-393.509</t>
  </si>
  <si>
    <t xml:space="preserve">213.74</t>
  </si>
  <si>
    <t xml:space="preserve">22.80</t>
  </si>
  <si>
    <t xml:space="preserve">-720.0</t>
  </si>
  <si>
    <t xml:space="preserve">-644.8</t>
  </si>
  <si>
    <t xml:space="preserve">-713.2</t>
  </si>
  <si>
    <t xml:space="preserve">54.70</t>
  </si>
  <si>
    <t xml:space="preserve">-2697.7</t>
  </si>
  <si>
    <t xml:space="preserve">-2984.0</t>
  </si>
  <si>
    <t xml:space="preserve">228.86</t>
  </si>
  <si>
    <t xml:space="preserve">-283.0</t>
  </si>
  <si>
    <t xml:space="preserve">-302.0</t>
  </si>
  <si>
    <t xml:space="preserve">12.91</t>
  </si>
  <si>
    <t xml:space="preserve">-285.30</t>
  </si>
  <si>
    <t xml:space="preserve">-304.20</t>
  </si>
  <si>
    <t xml:space="preserve">12.90</t>
  </si>
  <si>
    <t xml:space="preserve">-1193.65</t>
  </si>
  <si>
    <t xml:space="preserve">-1272.77</t>
  </si>
  <si>
    <t xml:space="preserve">-230.2</t>
  </si>
  <si>
    <t xml:space="preserve">-260.2</t>
  </si>
  <si>
    <t xml:space="preserve">21.41</t>
  </si>
  <si>
    <t xml:space="preserve">-231.60</t>
  </si>
  <si>
    <t xml:space="preserve">-261.55</t>
  </si>
  <si>
    <t xml:space="preserve">21.23</t>
  </si>
  <si>
    <t xml:space="preserve">-968.92</t>
  </si>
  <si>
    <t xml:space="preserve">-1094.33</t>
  </si>
  <si>
    <t xml:space="preserve">88.83</t>
  </si>
  <si>
    <t xml:space="preserve">90.</t>
  </si>
  <si>
    <t xml:space="preserve">-643.3</t>
  </si>
  <si>
    <t xml:space="preserve">-2261.1</t>
  </si>
  <si>
    <t xml:space="preserve">-2691.6</t>
  </si>
  <si>
    <t xml:space="preserve">318.0</t>
  </si>
  <si>
    <t xml:space="preserve">25.0</t>
  </si>
  <si>
    <t xml:space="preserve">-620.8</t>
  </si>
  <si>
    <t xml:space="preserve">-655.9</t>
  </si>
  <si>
    <t xml:space="preserve">22.28</t>
  </si>
  <si>
    <t xml:space="preserve">-2442.66</t>
  </si>
  <si>
    <t xml:space="preserve">-2590.27</t>
  </si>
  <si>
    <t xml:space="preserve">93.22</t>
  </si>
  <si>
    <t xml:space="preserve">-177.1</t>
  </si>
  <si>
    <t xml:space="preserve">-196.5</t>
  </si>
  <si>
    <t xml:space="preserve">21.5</t>
  </si>
  <si>
    <t xml:space="preserve">-177.4</t>
  </si>
  <si>
    <t xml:space="preserve">-197.0</t>
  </si>
  <si>
    <t xml:space="preserve">20.89</t>
  </si>
  <si>
    <t xml:space="preserve">-742.2</t>
  </si>
  <si>
    <t xml:space="preserve">-824.2</t>
  </si>
  <si>
    <t xml:space="preserve">87.40</t>
  </si>
  <si>
    <t xml:space="preserve">-242.4</t>
  </si>
  <si>
    <t xml:space="preserve">-267.0</t>
  </si>
  <si>
    <t xml:space="preserve">-242.7</t>
  </si>
  <si>
    <t xml:space="preserve">-267.3</t>
  </si>
  <si>
    <t xml:space="preserve">-1015.4</t>
  </si>
  <si>
    <t xml:space="preserve">-1118.4</t>
  </si>
  <si>
    <t xml:space="preserve">146.4</t>
  </si>
  <si>
    <t xml:space="preserve">-319.8</t>
  </si>
  <si>
    <t xml:space="preserve">-343.7</t>
  </si>
  <si>
    <t xml:space="preserve">35.4</t>
  </si>
  <si>
    <t xml:space="preserve">-329.6</t>
  </si>
  <si>
    <t xml:space="preserve">-353.7</t>
  </si>
  <si>
    <t xml:space="preserve">34.7</t>
  </si>
  <si>
    <t xml:space="preserve">-1379.0</t>
  </si>
  <si>
    <t xml:space="preserve">-1479.9</t>
  </si>
  <si>
    <t xml:space="preserve">145.2</t>
  </si>
  <si>
    <t xml:space="preserve">-136.13</t>
  </si>
  <si>
    <t xml:space="preserve">-143.84</t>
  </si>
  <si>
    <t xml:space="preserve">6.4</t>
  </si>
  <si>
    <t xml:space="preserve">-136.10</t>
  </si>
  <si>
    <t xml:space="preserve">-143.81</t>
  </si>
  <si>
    <t xml:space="preserve">6.44</t>
  </si>
  <si>
    <t xml:space="preserve">-569.43</t>
  </si>
  <si>
    <t xml:space="preserve">-601.70</t>
  </si>
  <si>
    <t xml:space="preserve">26.94</t>
  </si>
  <si>
    <t xml:space="preserve">-199.27</t>
  </si>
  <si>
    <t xml:space="preserve">15.09</t>
  </si>
  <si>
    <t xml:space="preserve">-199.23</t>
  </si>
  <si>
    <t xml:space="preserve">-220.97</t>
  </si>
  <si>
    <t xml:space="preserve">15.10</t>
  </si>
  <si>
    <t xml:space="preserve">-833.51</t>
  </si>
  <si>
    <t xml:space="preserve">-924.54</t>
  </si>
  <si>
    <t xml:space="preserve">-246.</t>
  </si>
  <si>
    <t xml:space="preserve">-266.</t>
  </si>
  <si>
    <t xml:space="preserve">15.7</t>
  </si>
  <si>
    <t xml:space="preserve">-241.9</t>
  </si>
  <si>
    <t xml:space="preserve">-261.9</t>
  </si>
  <si>
    <t xml:space="preserve">-1012.1</t>
  </si>
  <si>
    <t xml:space="preserve">-1095.8</t>
  </si>
  <si>
    <t xml:space="preserve">65.7</t>
  </si>
  <si>
    <t xml:space="preserve">-459.8</t>
  </si>
  <si>
    <t xml:space="preserve">-488.2</t>
  </si>
  <si>
    <t xml:space="preserve">22.7</t>
  </si>
  <si>
    <t xml:space="preserve">-491.2</t>
  </si>
  <si>
    <t xml:space="preserve">-519.6</t>
  </si>
  <si>
    <t xml:space="preserve">22.74</t>
  </si>
  <si>
    <t xml:space="preserve">-2055.1</t>
  </si>
  <si>
    <t xml:space="preserve">-2174.0</t>
  </si>
  <si>
    <t xml:space="preserve">95.14</t>
  </si>
  <si>
    <t xml:space="preserve">-144.4</t>
  </si>
  <si>
    <t xml:space="preserve">-151.9</t>
  </si>
  <si>
    <t xml:space="preserve">-144.37</t>
  </si>
  <si>
    <t xml:space="preserve">-151.79</t>
  </si>
  <si>
    <t xml:space="preserve">-604.03</t>
  </si>
  <si>
    <t xml:space="preserve">-635.09</t>
  </si>
  <si>
    <t xml:space="preserve">39.75</t>
  </si>
  <si>
    <t xml:space="preserve">-214.33</t>
  </si>
  <si>
    <t xml:space="preserve">18.2</t>
  </si>
  <si>
    <t xml:space="preserve">-214.76</t>
  </si>
  <si>
    <t xml:space="preserve">-235.68</t>
  </si>
  <si>
    <t xml:space="preserve">19.93</t>
  </si>
  <si>
    <t xml:space="preserve">-898.49</t>
  </si>
  <si>
    <t xml:space="preserve">-986.09</t>
  </si>
  <si>
    <t xml:space="preserve">-269.80</t>
  </si>
  <si>
    <t xml:space="preserve">-358.2</t>
  </si>
  <si>
    <t xml:space="preserve">-378.6</t>
  </si>
  <si>
    <t xml:space="preserve">19.6</t>
  </si>
  <si>
    <t xml:space="preserve">-370.39</t>
  </si>
  <si>
    <t xml:space="preserve">-390.76</t>
  </si>
  <si>
    <t xml:space="preserve">19.58</t>
  </si>
  <si>
    <t xml:space="preserve">-1549.66</t>
  </si>
  <si>
    <t xml:space="preserve">-1634.94</t>
  </si>
  <si>
    <t xml:space="preserve">81.92</t>
  </si>
  <si>
    <t xml:space="preserve">-90.0</t>
  </si>
  <si>
    <t xml:space="preserve">-99.4</t>
  </si>
  <si>
    <t xml:space="preserve">17.4</t>
  </si>
  <si>
    <t xml:space="preserve">-89.74</t>
  </si>
  <si>
    <t xml:space="preserve">-99.00</t>
  </si>
  <si>
    <t xml:space="preserve">17.94</t>
  </si>
  <si>
    <t xml:space="preserve">-375.46</t>
  </si>
  <si>
    <t xml:space="preserve">-414.22</t>
  </si>
  <si>
    <t xml:space="preserve">75.06</t>
  </si>
  <si>
    <t xml:space="preserve">-91.785</t>
  </si>
  <si>
    <t xml:space="preserve">-98.232</t>
  </si>
  <si>
    <t xml:space="preserve">17.30</t>
  </si>
  <si>
    <t xml:space="preserve">-91.815</t>
  </si>
  <si>
    <t xml:space="preserve">-98.268</t>
  </si>
  <si>
    <t xml:space="preserve">17.24</t>
  </si>
  <si>
    <t xml:space="preserve">-384.138</t>
  </si>
  <si>
    <t xml:space="preserve">-411.153</t>
  </si>
  <si>
    <t xml:space="preserve">-86.4</t>
  </si>
  <si>
    <t xml:space="preserve">-361.5</t>
  </si>
  <si>
    <t xml:space="preserve">-97.592</t>
  </si>
  <si>
    <t xml:space="preserve">-104.175</t>
  </si>
  <si>
    <t xml:space="preserve">19.76</t>
  </si>
  <si>
    <t xml:space="preserve">-97.79</t>
  </si>
  <si>
    <t xml:space="preserve">-104.385</t>
  </si>
  <si>
    <t xml:space="preserve">19.74</t>
  </si>
  <si>
    <t xml:space="preserve">-409.14</t>
  </si>
  <si>
    <t xml:space="preserve">-436.747</t>
  </si>
  <si>
    <t xml:space="preserve">82.59</t>
  </si>
  <si>
    <t xml:space="preserve">P4O10 above is described as c, II"</t>
  </si>
  <si>
    <t xml:space="preserve">P4O10 above is described as "hexagonal"</t>
  </si>
  <si>
    <r>
      <rPr>
        <sz val="10"/>
        <rFont val="Arial"/>
        <family val="2"/>
        <charset val="1"/>
      </rPr>
      <t xml:space="preserve">Enthalpy of fm. for P4O10(am) is -734. kcal mol</t>
    </r>
    <r>
      <rPr>
        <vertAlign val="superscript"/>
        <sz val="10"/>
        <rFont val="Arial"/>
        <family val="2"/>
        <charset val="1"/>
      </rPr>
      <t xml:space="preserve">-1</t>
    </r>
  </si>
  <si>
    <r>
      <rPr>
        <sz val="10"/>
        <rFont val="Arial"/>
        <family val="2"/>
        <charset val="1"/>
      </rPr>
      <t xml:space="preserve">Enthalpy of fm. for P4O10(am) is -727. kcal mol</t>
    </r>
    <r>
      <rPr>
        <vertAlign val="superscript"/>
        <sz val="10"/>
        <rFont val="Arial"/>
        <family val="2"/>
        <charset val="1"/>
      </rPr>
      <t xml:space="preserve">-1</t>
    </r>
  </si>
  <si>
    <r>
      <rPr>
        <sz val="10"/>
        <rFont val="Arial"/>
        <family val="2"/>
        <charset val="1"/>
      </rPr>
      <t xml:space="preserve">Enthalpy of fm. for P4O10(am) is -3042. kJ mol</t>
    </r>
    <r>
      <rPr>
        <vertAlign val="superscript"/>
        <sz val="10"/>
        <rFont val="Arial"/>
        <family val="2"/>
        <charset val="1"/>
      </rPr>
      <t xml:space="preserve">-1</t>
    </r>
  </si>
  <si>
    <t xml:space="preserve">Gibbsite = Al2O3•3H2O, double the usual formula.</t>
  </si>
  <si>
    <t xml:space="preserve">data for alternate species forms given by the source</t>
  </si>
  <si>
    <t xml:space="preserve">Al2O3•3H2O</t>
  </si>
  <si>
    <t xml:space="preserve">136.90</t>
  </si>
  <si>
    <t xml:space="preserve">data calculated from data for alternate species given by the source</t>
  </si>
  <si>
    <t xml:space="preserve">G-H-S Data for Key Aqueous, Gas, and Solid Species: USGS (nuncertainties are given but not reproduced here)</t>
  </si>
  <si>
    <t xml:space="preserve">SO4-- Gibbs energy is-177.97 kcal/mol from the cited</t>
  </si>
  <si>
    <t xml:space="preserve">HS- data are incorrect.</t>
  </si>
  <si>
    <t xml:space="preserve">source, NBS 270-1. HS- Gibbs energy has sign error</t>
  </si>
  <si>
    <t xml:space="preserve">H4SiO4(aq) Gibbs energy for this and USGS 2131</t>
  </si>
  <si>
    <t xml:space="preserve">PO4 was not corrected from P(red) to P(white)</t>
  </si>
  <si>
    <t xml:space="preserve">repeated from NBS 270-1. "H2SiO3(aq)" Gibbs energy</t>
  </si>
  <si>
    <t xml:space="preserve">are about 8 kJ/mol higher than for USGS 1259 and</t>
  </si>
  <si>
    <t xml:space="preserve">For H4SiO4(aq) Gibbs energy this report has -1307.5 </t>
  </si>
  <si>
    <t xml:space="preserve">is from NBS 270-2, converted to H4SiO4(aq).</t>
  </si>
  <si>
    <t xml:space="preserve">the NBS series.</t>
  </si>
  <si>
    <t xml:space="preserve">J/mol on p. 9 and -1307.8 J/mol on p. 19</t>
  </si>
  <si>
    <t xml:space="preserve">USGS 1259, Robie and Waldbaum (1968)</t>
  </si>
  <si>
    <t xml:space="preserve">USGS 1452, Robie et al. (1978)</t>
  </si>
  <si>
    <t xml:space="preserve">USGS 2131, Robie and Hemingway (1995) </t>
  </si>
  <si>
    <r>
      <rPr>
        <b val="true"/>
        <sz val="10"/>
        <rFont val="Arial"/>
        <family val="2"/>
        <charset val="1"/>
      </rPr>
      <t xml:space="preserve">cal mol</t>
    </r>
    <r>
      <rPr>
        <b val="true"/>
        <vertAlign val="superscript"/>
        <sz val="10"/>
        <rFont val="Arial"/>
        <family val="2"/>
        <charset val="1"/>
      </rPr>
      <t xml:space="preserve">-1</t>
    </r>
    <r>
      <rPr>
        <b val="true"/>
        <sz val="10"/>
        <rFont val="Arial"/>
        <family val="2"/>
        <charset val="1"/>
      </rPr>
      <t xml:space="preserve">-K</t>
    </r>
    <r>
      <rPr>
        <b val="true"/>
        <vertAlign val="superscript"/>
        <sz val="10"/>
        <rFont val="Arial"/>
        <family val="2"/>
        <charset val="1"/>
      </rPr>
      <t xml:space="preserve">-1</t>
    </r>
  </si>
  <si>
    <t xml:space="preserve">0.</t>
  </si>
  <si>
    <t xml:space="preserve">0.0</t>
  </si>
  <si>
    <t xml:space="preserve">0.00</t>
  </si>
  <si>
    <t xml:space="preserve">-37.594</t>
  </si>
  <si>
    <t xml:space="preserve">-157.328</t>
  </si>
  <si>
    <t xml:space="preserve">-230.025</t>
  </si>
  <si>
    <t xml:space="preserve">-10.71</t>
  </si>
  <si>
    <t xml:space="preserve">-157.3</t>
  </si>
  <si>
    <t xml:space="preserve">-230.0</t>
  </si>
  <si>
    <t xml:space="preserve">-10.7</t>
  </si>
  <si>
    <t xml:space="preserve">-56.688</t>
  </si>
  <si>
    <t xml:space="preserve">-68.315</t>
  </si>
  <si>
    <t xml:space="preserve">16.71</t>
  </si>
  <si>
    <t xml:space="preserve">-237.141</t>
  </si>
  <si>
    <t xml:space="preserve">-237.1</t>
  </si>
  <si>
    <t xml:space="preserve">-285.8</t>
  </si>
  <si>
    <t xml:space="preserve">70.0</t>
  </si>
  <si>
    <t xml:space="preserve">-66.640</t>
  </si>
  <si>
    <t xml:space="preserve">-281.705</t>
  </si>
  <si>
    <t xml:space="preserve">-13.18</t>
  </si>
  <si>
    <t xml:space="preserve">-281.5</t>
  </si>
  <si>
    <t xml:space="preserve">-335.4</t>
  </si>
  <si>
    <t xml:space="preserve">-31.372</t>
  </si>
  <si>
    <t xml:space="preserve">-131.270</t>
  </si>
  <si>
    <t xml:space="preserve">56.73</t>
  </si>
  <si>
    <t xml:space="preserve">-131.2</t>
  </si>
  <si>
    <t xml:space="preserve">-167.1</t>
  </si>
  <si>
    <t xml:space="preserve">-24.850</t>
  </si>
  <si>
    <t xml:space="preserve">-104.010</t>
  </si>
  <si>
    <t xml:space="preserve">-121.500</t>
  </si>
  <si>
    <t xml:space="preserve">82.84</t>
  </si>
  <si>
    <t xml:space="preserve">-103.8</t>
  </si>
  <si>
    <t xml:space="preserve">-121.4</t>
  </si>
  <si>
    <t xml:space="preserve">-12.330</t>
  </si>
  <si>
    <t xml:space="preserve">-51.915</t>
  </si>
  <si>
    <t xml:space="preserve">-56.900</t>
  </si>
  <si>
    <t xml:space="preserve">106.70</t>
  </si>
  <si>
    <t xml:space="preserve">-51.7</t>
  </si>
  <si>
    <t xml:space="preserve">-56.8</t>
  </si>
  <si>
    <t xml:space="preserve">-117.970</t>
  </si>
  <si>
    <t xml:space="preserve">-744.630</t>
  </si>
  <si>
    <t xml:space="preserve">-909.270</t>
  </si>
  <si>
    <t xml:space="preserve">20.00</t>
  </si>
  <si>
    <t xml:space="preserve">-744.0</t>
  </si>
  <si>
    <t xml:space="preserve">-909.3</t>
  </si>
  <si>
    <t xml:space="preserve">-2.880</t>
  </si>
  <si>
    <t xml:space="preserve">12.100</t>
  </si>
  <si>
    <t xml:space="preserve">-16.999</t>
  </si>
  <si>
    <t xml:space="preserve">62.80</t>
  </si>
  <si>
    <t xml:space="preserve">16.3</t>
  </si>
  <si>
    <t xml:space="preserve">67.0</t>
  </si>
  <si>
    <t xml:space="preserve">-26.610</t>
  </si>
  <si>
    <t xml:space="preserve">-111.500</t>
  </si>
  <si>
    <t xml:space="preserve">-207.400</t>
  </si>
  <si>
    <t xml:space="preserve">146.94</t>
  </si>
  <si>
    <t xml:space="preserve">-110.8</t>
  </si>
  <si>
    <t xml:space="preserve">-206.9</t>
  </si>
  <si>
    <t xml:space="preserve">146.7</t>
  </si>
  <si>
    <t xml:space="preserve">-26.600</t>
  </si>
  <si>
    <t xml:space="preserve">-80.290</t>
  </si>
  <si>
    <t xml:space="preserve">111.00</t>
  </si>
  <si>
    <t xml:space="preserve">-18.970</t>
  </si>
  <si>
    <t xml:space="preserve">-79.457</t>
  </si>
  <si>
    <t xml:space="preserve">-79.4</t>
  </si>
  <si>
    <t xml:space="preserve">-133.3</t>
  </si>
  <si>
    <t xml:space="preserve">-126.170</t>
  </si>
  <si>
    <t xml:space="preserve">-677.140</t>
  </si>
  <si>
    <t xml:space="preserve">-56.90</t>
  </si>
  <si>
    <t xml:space="preserve">-527.0</t>
  </si>
  <si>
    <t xml:space="preserve">-675.2</t>
  </si>
  <si>
    <t xml:space="preserve">-140.260</t>
  </si>
  <si>
    <t xml:space="preserve">-586.850</t>
  </si>
  <si>
    <t xml:space="preserve">-691.990</t>
  </si>
  <si>
    <t xml:space="preserve">91.20</t>
  </si>
  <si>
    <t xml:space="preserve">-586.8</t>
  </si>
  <si>
    <t xml:space="preserve">-689.9</t>
  </si>
  <si>
    <t xml:space="preserve">-1308.000</t>
  </si>
  <si>
    <t xml:space="preserve">-1460.000</t>
  </si>
  <si>
    <t xml:space="preserve">180.00</t>
  </si>
  <si>
    <t xml:space="preserve">-1307.5</t>
  </si>
  <si>
    <t xml:space="preserve">-1460.0</t>
  </si>
  <si>
    <t xml:space="preserve">180.0</t>
  </si>
  <si>
    <t xml:space="preserve">-116.000</t>
  </si>
  <si>
    <t xml:space="preserve">-489.400</t>
  </si>
  <si>
    <t xml:space="preserve">-531.000</t>
  </si>
  <si>
    <t xml:space="preserve">-308.00</t>
  </si>
  <si>
    <t xml:space="preserve">-489.4</t>
  </si>
  <si>
    <t xml:space="preserve">-332.</t>
  </si>
  <si>
    <t xml:space="preserve">-11.100</t>
  </si>
  <si>
    <t xml:space="preserve">-45.600</t>
  </si>
  <si>
    <t xml:space="preserve">-54.000</t>
  </si>
  <si>
    <t xml:space="preserve">-129.00</t>
  </si>
  <si>
    <t xml:space="preserve">-20.300</t>
  </si>
  <si>
    <t xml:space="preserve">-78.870</t>
  </si>
  <si>
    <t xml:space="preserve">-89.100</t>
  </si>
  <si>
    <t xml:space="preserve">-138.00</t>
  </si>
  <si>
    <t xml:space="preserve">-91.1</t>
  </si>
  <si>
    <t xml:space="preserve">-107.1</t>
  </si>
  <si>
    <t xml:space="preserve">-2.520</t>
  </si>
  <si>
    <t xml:space="preserve">-4.600</t>
  </si>
  <si>
    <t xml:space="preserve">-48.500</t>
  </si>
  <si>
    <t xml:space="preserve">-316.00</t>
  </si>
  <si>
    <t xml:space="preserve">-16.7</t>
  </si>
  <si>
    <t xml:space="preserve">-49.9</t>
  </si>
  <si>
    <t xml:space="preserve">-280.0</t>
  </si>
  <si>
    <t xml:space="preserve">-108.900</t>
  </si>
  <si>
    <t xml:space="preserve">-454.800</t>
  </si>
  <si>
    <t xml:space="preserve">-466.850</t>
  </si>
  <si>
    <t xml:space="preserve">-455.4</t>
  </si>
  <si>
    <t xml:space="preserve">-137.0</t>
  </si>
  <si>
    <t xml:space="preserve">-132.180</t>
  </si>
  <si>
    <t xml:space="preserve">-553.540</t>
  </si>
  <si>
    <t xml:space="preserve">-542.830</t>
  </si>
  <si>
    <t xml:space="preserve">-53.10</t>
  </si>
  <si>
    <t xml:space="preserve">-553.6</t>
  </si>
  <si>
    <t xml:space="preserve">-133.200</t>
  </si>
  <si>
    <t xml:space="preserve">-559.440</t>
  </si>
  <si>
    <t xml:space="preserve">-545.800</t>
  </si>
  <si>
    <t xml:space="preserve">-33.00</t>
  </si>
  <si>
    <t xml:space="preserve">-563.8</t>
  </si>
  <si>
    <t xml:space="preserve">-550.9</t>
  </si>
  <si>
    <t xml:space="preserve">-31.5</t>
  </si>
  <si>
    <t xml:space="preserve">-134.000</t>
  </si>
  <si>
    <t xml:space="preserve">-560.740</t>
  </si>
  <si>
    <t xml:space="preserve">-537.640</t>
  </si>
  <si>
    <t xml:space="preserve">9.60</t>
  </si>
  <si>
    <t xml:space="preserve">-555.4</t>
  </si>
  <si>
    <t xml:space="preserve">-532.5</t>
  </si>
  <si>
    <t xml:space="preserve">-70.220</t>
  </si>
  <si>
    <t xml:space="preserve">-292.620</t>
  </si>
  <si>
    <t xml:space="preserve">-278.455</t>
  </si>
  <si>
    <t xml:space="preserve">11.30</t>
  </si>
  <si>
    <t xml:space="preserve">-292.9</t>
  </si>
  <si>
    <t xml:space="preserve">-278.5</t>
  </si>
  <si>
    <t xml:space="preserve">-62.539</t>
  </si>
  <si>
    <t xml:space="preserve">-261.900</t>
  </si>
  <si>
    <t xml:space="preserve">-240.300</t>
  </si>
  <si>
    <t xml:space="preserve">58.41</t>
  </si>
  <si>
    <t xml:space="preserve">-261.5</t>
  </si>
  <si>
    <t xml:space="preserve">-240.3</t>
  </si>
  <si>
    <t xml:space="preserve">-67.700</t>
  </si>
  <si>
    <t xml:space="preserve">-282.490</t>
  </si>
  <si>
    <t xml:space="preserve">-252.170</t>
  </si>
  <si>
    <t xml:space="preserve">101.04</t>
  </si>
  <si>
    <t xml:space="preserve">-282.5</t>
  </si>
  <si>
    <t xml:space="preserve">-252.1</t>
  </si>
  <si>
    <t xml:space="preserve">-291.715</t>
  </si>
  <si>
    <t xml:space="preserve">120.46</t>
  </si>
  <si>
    <t xml:space="preserve">-283.625</t>
  </si>
  <si>
    <t xml:space="preserve">-258.040</t>
  </si>
  <si>
    <t xml:space="preserve">132.84</t>
  </si>
  <si>
    <t xml:space="preserve">-291.5</t>
  </si>
  <si>
    <t xml:space="preserve">-258.0</t>
  </si>
  <si>
    <t xml:space="preserve">-177.970</t>
  </si>
  <si>
    <t xml:space="preserve">H2SiO3(aq)</t>
  </si>
  <si>
    <t xml:space="preserve">-623.170</t>
  </si>
  <si>
    <t xml:space="preserve">-699.650</t>
  </si>
  <si>
    <t xml:space="preserve">187.00</t>
  </si>
  <si>
    <t xml:space="preserve">-623.2</t>
  </si>
  <si>
    <t xml:space="preserve">-699.7</t>
  </si>
  <si>
    <t xml:space="preserve">184.7</t>
  </si>
  <si>
    <t xml:space="preserve">-148.940</t>
  </si>
  <si>
    <t xml:space="preserve">kJ/mol</t>
  </si>
  <si>
    <t xml:space="preserve">48.996</t>
  </si>
  <si>
    <t xml:space="preserve">205.15</t>
  </si>
  <si>
    <t xml:space="preserve">130.68</t>
  </si>
  <si>
    <t xml:space="preserve">-54.635</t>
  </si>
  <si>
    <t xml:space="preserve">45.104</t>
  </si>
  <si>
    <t xml:space="preserve">-228.569</t>
  </si>
  <si>
    <t xml:space="preserve">-241.814</t>
  </si>
  <si>
    <t xml:space="preserve">188.72</t>
  </si>
  <si>
    <t xml:space="preserve">-228.6</t>
  </si>
  <si>
    <t xml:space="preserve">-241.8</t>
  </si>
  <si>
    <t xml:space="preserve">188.8</t>
  </si>
  <si>
    <t xml:space="preserve">-94.257</t>
  </si>
  <si>
    <t xml:space="preserve">-394.375</t>
  </si>
  <si>
    <t xml:space="preserve">213.79</t>
  </si>
  <si>
    <t xml:space="preserve">-394.4</t>
  </si>
  <si>
    <t xml:space="preserve">-393.5</t>
  </si>
  <si>
    <t xml:space="preserve">213.8</t>
  </si>
  <si>
    <t xml:space="preserve">-713.200</t>
  </si>
  <si>
    <t xml:space="preserve">-2940.000</t>
  </si>
  <si>
    <t xml:space="preserve">231.000</t>
  </si>
  <si>
    <t xml:space="preserve">-2723.200</t>
  </si>
  <si>
    <t xml:space="preserve">-3009.800</t>
  </si>
  <si>
    <t xml:space="preserve">228.800</t>
  </si>
  <si>
    <t xml:space="preserve">-204.646</t>
  </si>
  <si>
    <t xml:space="preserve">-217.650</t>
  </si>
  <si>
    <t xml:space="preserve">9.88</t>
  </si>
  <si>
    <t xml:space="preserve">-856.3</t>
  </si>
  <si>
    <t xml:space="preserve">41.5</t>
  </si>
  <si>
    <t xml:space="preserve">-284.729</t>
  </si>
  <si>
    <t xml:space="preserve">-303.640</t>
  </si>
  <si>
    <t xml:space="preserve">-1194.325</t>
  </si>
  <si>
    <t xml:space="preserve">-1194.4</t>
  </si>
  <si>
    <t xml:space="preserve">54.0</t>
  </si>
  <si>
    <t xml:space="preserve">-378.082</t>
  </si>
  <si>
    <t xml:space="preserve">-400.400</t>
  </si>
  <si>
    <t xml:space="preserve">-1582.228</t>
  </si>
  <si>
    <t xml:space="preserve">-1582.3</t>
  </si>
  <si>
    <t xml:space="preserve">50.9</t>
  </si>
  <si>
    <t xml:space="preserve">-273.486</t>
  </si>
  <si>
    <t xml:space="preserve">-306.380</t>
  </si>
  <si>
    <t xml:space="preserve">16.75</t>
  </si>
  <si>
    <t xml:space="preserve">-1154.889</t>
  </si>
  <si>
    <t xml:space="preserve">-1293.128</t>
  </si>
  <si>
    <t xml:space="preserve">-1154.9</t>
  </si>
  <si>
    <t xml:space="preserve">-1293.1</t>
  </si>
  <si>
    <t xml:space="preserve">68.4</t>
  </si>
  <si>
    <t xml:space="preserve">-584.134</t>
  </si>
  <si>
    <t xml:space="preserve">-619.390</t>
  </si>
  <si>
    <t xml:space="preserve">-2439.892</t>
  </si>
  <si>
    <t xml:space="preserve">-2587.525</t>
  </si>
  <si>
    <t xml:space="preserve">-2441.8</t>
  </si>
  <si>
    <t xml:space="preserve">-2589.9</t>
  </si>
  <si>
    <t xml:space="preserve">91.4</t>
  </si>
  <si>
    <t xml:space="preserve">-177.728</t>
  </si>
  <si>
    <t xml:space="preserve">-197.300</t>
  </si>
  <si>
    <t xml:space="preserve">-742.683</t>
  </si>
  <si>
    <t xml:space="preserve">-824.640</t>
  </si>
  <si>
    <t xml:space="preserve">-744.4</t>
  </si>
  <si>
    <t xml:space="preserve">-826.2</t>
  </si>
  <si>
    <t xml:space="preserve">87.4</t>
  </si>
  <si>
    <t xml:space="preserve">-243.094</t>
  </si>
  <si>
    <t xml:space="preserve">-267.400</t>
  </si>
  <si>
    <t xml:space="preserve">36.03</t>
  </si>
  <si>
    <t xml:space="preserve">-1012.566</t>
  </si>
  <si>
    <t xml:space="preserve">-1115.726</t>
  </si>
  <si>
    <t xml:space="preserve">146.14</t>
  </si>
  <si>
    <t xml:space="preserve">-1012.7</t>
  </si>
  <si>
    <t xml:space="preserve">-1115.7</t>
  </si>
  <si>
    <t xml:space="preserve">146.1</t>
  </si>
  <si>
    <t xml:space="preserve">-329.668</t>
  </si>
  <si>
    <t xml:space="preserve">-353.544</t>
  </si>
  <si>
    <t xml:space="preserve">35.45</t>
  </si>
  <si>
    <t xml:space="preserve">-1379.375</t>
  </si>
  <si>
    <t xml:space="preserve">-1479.360</t>
  </si>
  <si>
    <t xml:space="preserve">148.32</t>
  </si>
  <si>
    <t xml:space="preserve">-1379.1</t>
  </si>
  <si>
    <t xml:space="preserve">-1478.2</t>
  </si>
  <si>
    <t xml:space="preserve">151.0</t>
  </si>
  <si>
    <t xml:space="preserve">-136.087</t>
  </si>
  <si>
    <t xml:space="preserve">-143.800</t>
  </si>
  <si>
    <t xml:space="preserve">-569.196</t>
  </si>
  <si>
    <t xml:space="preserve">-601.490</t>
  </si>
  <si>
    <t xml:space="preserve">-569.3</t>
  </si>
  <si>
    <t xml:space="preserve">-601.6</t>
  </si>
  <si>
    <t xml:space="preserve">26.9</t>
  </si>
  <si>
    <t xml:space="preserve">-199.460</t>
  </si>
  <si>
    <t xml:space="preserve">-221.200</t>
  </si>
  <si>
    <t xml:space="preserve">-833.506</t>
  </si>
  <si>
    <t xml:space="preserve">-924.540</t>
  </si>
  <si>
    <t xml:space="preserve">-833.5</t>
  </si>
  <si>
    <t xml:space="preserve">-924.5</t>
  </si>
  <si>
    <t xml:space="preserve">63.2</t>
  </si>
  <si>
    <t xml:space="preserve">-246.112</t>
  </si>
  <si>
    <t xml:space="preserve">-266.081</t>
  </si>
  <si>
    <t xml:space="preserve">-1029.480</t>
  </si>
  <si>
    <t xml:space="preserve">-1113.280</t>
  </si>
  <si>
    <t xml:space="preserve">65.09</t>
  </si>
  <si>
    <t xml:space="preserve">-1029.5</t>
  </si>
  <si>
    <t xml:space="preserve">-1113.3</t>
  </si>
  <si>
    <t xml:space="preserve">65.1</t>
  </si>
  <si>
    <t xml:space="preserve">-491.938</t>
  </si>
  <si>
    <t xml:space="preserve">-520.370</t>
  </si>
  <si>
    <t xml:space="preserve">22.75</t>
  </si>
  <si>
    <t xml:space="preserve">-2051.325</t>
  </si>
  <si>
    <t xml:space="preserve">-2170.370</t>
  </si>
  <si>
    <t xml:space="preserve">95.19</t>
  </si>
  <si>
    <t xml:space="preserve">-2053.6</t>
  </si>
  <si>
    <t xml:space="preserve">-2173.0</t>
  </si>
  <si>
    <t xml:space="preserve">94.1</t>
  </si>
  <si>
    <t xml:space="preserve">-144.352</t>
  </si>
  <si>
    <t xml:space="preserve">-151.790</t>
  </si>
  <si>
    <t xml:space="preserve">-603.487</t>
  </si>
  <si>
    <t xml:space="preserve">-635.089</t>
  </si>
  <si>
    <t xml:space="preserve">38.21</t>
  </si>
  <si>
    <t xml:space="preserve">-603.1</t>
  </si>
  <si>
    <t xml:space="preserve">-635.1</t>
  </si>
  <si>
    <t xml:space="preserve">-214.673</t>
  </si>
  <si>
    <t xml:space="preserve">-235.610</t>
  </si>
  <si>
    <t xml:space="preserve">-898.408</t>
  </si>
  <si>
    <t xml:space="preserve">-986.085</t>
  </si>
  <si>
    <t xml:space="preserve">-898.0</t>
  </si>
  <si>
    <t xml:space="preserve">-986.1</t>
  </si>
  <si>
    <t xml:space="preserve">83.4</t>
  </si>
  <si>
    <t xml:space="preserve">-269.908</t>
  </si>
  <si>
    <t xml:space="preserve">-288.592</t>
  </si>
  <si>
    <t xml:space="preserve">22.15</t>
  </si>
  <si>
    <t xml:space="preserve">-1128.842</t>
  </si>
  <si>
    <t xml:space="preserve">-1207.370</t>
  </si>
  <si>
    <t xml:space="preserve">-1128.5</t>
  </si>
  <si>
    <t xml:space="preserve">-1207.4</t>
  </si>
  <si>
    <t xml:space="preserve">88.0</t>
  </si>
  <si>
    <t xml:space="preserve">-370.313</t>
  </si>
  <si>
    <t xml:space="preserve">-390.640</t>
  </si>
  <si>
    <t xml:space="preserve">19.60</t>
  </si>
  <si>
    <t xml:space="preserve">-1549.903</t>
  </si>
  <si>
    <t xml:space="preserve">-1635.220</t>
  </si>
  <si>
    <t xml:space="preserve">82.01</t>
  </si>
  <si>
    <t xml:space="preserve">-1549.0</t>
  </si>
  <si>
    <t xml:space="preserve">-1634.8</t>
  </si>
  <si>
    <t xml:space="preserve">81.7</t>
  </si>
  <si>
    <t xml:space="preserve">-90.161</t>
  </si>
  <si>
    <t xml:space="preserve">-99.400</t>
  </si>
  <si>
    <t xml:space="preserve">17.99</t>
  </si>
  <si>
    <t xml:space="preserve">-376.089</t>
  </si>
  <si>
    <t xml:space="preserve">-414.820</t>
  </si>
  <si>
    <t xml:space="preserve">75.27</t>
  </si>
  <si>
    <t xml:space="preserve">-376.0</t>
  </si>
  <si>
    <t xml:space="preserve">-414.8</t>
  </si>
  <si>
    <t xml:space="preserve">75.3</t>
  </si>
  <si>
    <t xml:space="preserve">-91.807</t>
  </si>
  <si>
    <t xml:space="preserve">-98.260</t>
  </si>
  <si>
    <t xml:space="preserve">-384.212</t>
  </si>
  <si>
    <t xml:space="preserve">72.12</t>
  </si>
  <si>
    <t xml:space="preserve">-384.2</t>
  </si>
  <si>
    <t xml:space="preserve">-411.3</t>
  </si>
  <si>
    <t xml:space="preserve">72.1</t>
  </si>
  <si>
    <t xml:space="preserve">-76.974</t>
  </si>
  <si>
    <t xml:space="preserve">-86.800</t>
  </si>
  <si>
    <t xml:space="preserve">22.5</t>
  </si>
  <si>
    <t xml:space="preserve">-322.087</t>
  </si>
  <si>
    <t xml:space="preserve">-363.171</t>
  </si>
  <si>
    <t xml:space="preserve">94.14</t>
  </si>
  <si>
    <t xml:space="preserve">-322.1</t>
  </si>
  <si>
    <t xml:space="preserve">-363.2</t>
  </si>
  <si>
    <t xml:space="preserve">-97.693</t>
  </si>
  <si>
    <t xml:space="preserve">-104.370</t>
  </si>
  <si>
    <t xml:space="preserve">19.73</t>
  </si>
  <si>
    <t xml:space="preserve">-408.554</t>
  </si>
  <si>
    <t xml:space="preserve">-436.470</t>
  </si>
  <si>
    <t xml:space="preserve">-408.6</t>
  </si>
  <si>
    <t xml:space="preserve">-436.5</t>
  </si>
  <si>
    <t xml:space="preserve">82.6</t>
  </si>
  <si>
    <t xml:space="preserve">P2O5</t>
  </si>
  <si>
    <t xml:space="preserve">-1337.897</t>
  </si>
  <si>
    <t xml:space="preserve">-1470.000</t>
  </si>
  <si>
    <t xml:space="preserve">115.50</t>
  </si>
  <si>
    <t xml:space="preserve">-1361.6</t>
  </si>
  <si>
    <t xml:space="preserve">-1504.9</t>
  </si>
  <si>
    <t xml:space="preserve">114.4</t>
  </si>
  <si>
    <t xml:space="preserve">from JANAF 4</t>
  </si>
  <si>
    <t xml:space="preserve">P2O5 above is described as "dimeric."</t>
  </si>
  <si>
    <t xml:space="preserve">-12.026</t>
  </si>
  <si>
    <t xml:space="preserve">-17.460</t>
  </si>
  <si>
    <t xml:space="preserve">22.853</t>
  </si>
  <si>
    <t xml:space="preserve">By comparison with other data, these data are</t>
  </si>
  <si>
    <t xml:space="preserve">P2O5 above is described as "crystals"</t>
  </si>
  <si>
    <t xml:space="preserve">P2O5 above bears no special designation.</t>
  </si>
  <si>
    <t xml:space="preserve">for (P2O5)2 or P4O10. These data are referenced to</t>
  </si>
  <si>
    <t xml:space="preserve">P4O10 above is described as "dimeric" and is </t>
  </si>
  <si>
    <t xml:space="preserve">Its exact idenity is therefore unknown.</t>
  </si>
  <si>
    <t xml:space="preserve">then for white phosphorus as the reference form,</t>
  </si>
  <si>
    <t xml:space="preserve">NBS 270-1.</t>
  </si>
  <si>
    <t xml:space="preserve">just 2x P2O5.</t>
  </si>
  <si>
    <t xml:space="preserve">This does not agree with USGS 1452 or USGS 2131.</t>
  </si>
  <si>
    <t xml:space="preserve">This agrees reasonably well with USGS 2131.</t>
  </si>
  <si>
    <t xml:space="preserve">The P4O10 formation data are referenced to NBS 270-1.</t>
  </si>
  <si>
    <t xml:space="preserve">G-H-S Data for Key Aqueous, Gas, and Solid Species: JANAF tables</t>
  </si>
  <si>
    <t xml:space="preserve">All entries in this JANAF 4 table are identical to </t>
  </si>
  <si>
    <t xml:space="preserve">those in the corresponding JANAF 3 table.</t>
  </si>
  <si>
    <t xml:space="preserve">JANAF 2 (Stull and Prophet, 1971)</t>
  </si>
  <si>
    <t xml:space="preserve">JANAF 3 (Chase et al., 1985)</t>
  </si>
  <si>
    <t xml:space="preserve">JANAF 4 (Chase, 1998)</t>
  </si>
  <si>
    <t xml:space="preserve">.000</t>
  </si>
  <si>
    <t xml:space="preserve">205.147</t>
  </si>
  <si>
    <t xml:space="preserve">-54.636</t>
  </si>
  <si>
    <t xml:space="preserve">-57.798</t>
  </si>
  <si>
    <t xml:space="preserve">188.834</t>
  </si>
  <si>
    <t xml:space="preserve">-94.265</t>
  </si>
  <si>
    <t xml:space="preserve">-94.054</t>
  </si>
  <si>
    <t xml:space="preserve">51.072</t>
  </si>
  <si>
    <t xml:space="preserve">-394.389</t>
  </si>
  <si>
    <t xml:space="preserve">-393.522</t>
  </si>
  <si>
    <t xml:space="preserve">213.795</t>
  </si>
  <si>
    <t xml:space="preserve">2.871</t>
  </si>
  <si>
    <t xml:space="preserve">4.173</t>
  </si>
  <si>
    <t xml:space="preserve">9.818</t>
  </si>
  <si>
    <t xml:space="preserve">41.077</t>
  </si>
  <si>
    <t xml:space="preserve">-639.450</t>
  </si>
  <si>
    <t xml:space="preserve">-702.700</t>
  </si>
  <si>
    <t xml:space="preserve">54.680</t>
  </si>
  <si>
    <t xml:space="preserve">-2723.335</t>
  </si>
  <si>
    <t xml:space="preserve">-3009.936</t>
  </si>
  <si>
    <t xml:space="preserve">228.781</t>
  </si>
  <si>
    <t xml:space="preserve">-204.703</t>
  </si>
  <si>
    <t xml:space="preserve">-217.700</t>
  </si>
  <si>
    <t xml:space="preserve">9.910</t>
  </si>
  <si>
    <t xml:space="preserve">-856.443</t>
  </si>
  <si>
    <t xml:space="preserve">-910.857</t>
  </si>
  <si>
    <t xml:space="preserve">41.463</t>
  </si>
  <si>
    <t xml:space="preserve">-284.725</t>
  </si>
  <si>
    <t xml:space="preserve">12.870</t>
  </si>
  <si>
    <t xml:space="preserve">-1192.796</t>
  </si>
  <si>
    <t xml:space="preserve">-1271.936</t>
  </si>
  <si>
    <t xml:space="preserve">53.953</t>
  </si>
  <si>
    <t xml:space="preserve">-231.503</t>
  </si>
  <si>
    <t xml:space="preserve">-261.470</t>
  </si>
  <si>
    <t xml:space="preserve">21.210</t>
  </si>
  <si>
    <t xml:space="preserve">-968.520</t>
  </si>
  <si>
    <t xml:space="preserve">-1093.990</t>
  </si>
  <si>
    <t xml:space="preserve">88.743</t>
  </si>
  <si>
    <t xml:space="preserve">-378.078</t>
  </si>
  <si>
    <t xml:space="preserve">12.174</t>
  </si>
  <si>
    <t xml:space="preserve">-1582.275</t>
  </si>
  <si>
    <t xml:space="preserve">-1675.692</t>
  </si>
  <si>
    <t xml:space="preserve">50.950</t>
  </si>
  <si>
    <t xml:space="preserve">-584.259</t>
  </si>
  <si>
    <t xml:space="preserve">-619.520</t>
  </si>
  <si>
    <t xml:space="preserve">22.280</t>
  </si>
  <si>
    <t xml:space="preserve">-2444.482</t>
  </si>
  <si>
    <t xml:space="preserve">-2592.072</t>
  </si>
  <si>
    <t xml:space="preserve">93.221</t>
  </si>
  <si>
    <t xml:space="preserve">-177.719</t>
  </si>
  <si>
    <t xml:space="preserve">20.889</t>
  </si>
  <si>
    <t xml:space="preserve">-743.523</t>
  </si>
  <si>
    <t xml:space="preserve">-825.503</t>
  </si>
  <si>
    <t xml:space="preserve">-243.191</t>
  </si>
  <si>
    <t xml:space="preserve">-267.900</t>
  </si>
  <si>
    <t xml:space="preserve">34.720</t>
  </si>
  <si>
    <t xml:space="preserve">-1017.438</t>
  </si>
  <si>
    <t xml:space="preserve">-1120.894</t>
  </si>
  <si>
    <t xml:space="preserve">145.266</t>
  </si>
  <si>
    <t xml:space="preserve">-135.985</t>
  </si>
  <si>
    <t xml:space="preserve">-143.700</t>
  </si>
  <si>
    <t xml:space="preserve">6.440</t>
  </si>
  <si>
    <t xml:space="preserve">-568.945</t>
  </si>
  <si>
    <t xml:space="preserve">-601.241</t>
  </si>
  <si>
    <t xml:space="preserve">26.924</t>
  </si>
  <si>
    <t xml:space="preserve">-199.257</t>
  </si>
  <si>
    <t xml:space="preserve">-221.000</t>
  </si>
  <si>
    <t xml:space="preserve">15.100</t>
  </si>
  <si>
    <t xml:space="preserve">-833.652</t>
  </si>
  <si>
    <t xml:space="preserve">-924.664</t>
  </si>
  <si>
    <t xml:space="preserve">63.242</t>
  </si>
  <si>
    <t xml:space="preserve">-245.742</t>
  </si>
  <si>
    <t xml:space="preserve">-265.700</t>
  </si>
  <si>
    <t xml:space="preserve">15.740</t>
  </si>
  <si>
    <t xml:space="preserve">-1028.124</t>
  </si>
  <si>
    <t xml:space="preserve">-1111.689</t>
  </si>
  <si>
    <t xml:space="preserve">65.854</t>
  </si>
  <si>
    <t xml:space="preserve">-491.858</t>
  </si>
  <si>
    <t xml:space="preserve">-520.300</t>
  </si>
  <si>
    <t xml:space="preserve">22.739</t>
  </si>
  <si>
    <t xml:space="preserve">-2057.879</t>
  </si>
  <si>
    <t xml:space="preserve">-2176.935</t>
  </si>
  <si>
    <t xml:space="preserve">95.140</t>
  </si>
  <si>
    <t xml:space="preserve">-603.501</t>
  </si>
  <si>
    <t xml:space="preserve">38.212</t>
  </si>
  <si>
    <t xml:space="preserve">-898.421</t>
  </si>
  <si>
    <t xml:space="preserve">83.387</t>
  </si>
  <si>
    <t xml:space="preserve">-90.609</t>
  </si>
  <si>
    <t xml:space="preserve">-99.900</t>
  </si>
  <si>
    <t xml:space="preserve">17.935</t>
  </si>
  <si>
    <t xml:space="preserve">-379.090</t>
  </si>
  <si>
    <t xml:space="preserve">-417.982</t>
  </si>
  <si>
    <t xml:space="preserve">75.042</t>
  </si>
  <si>
    <t xml:space="preserve">-91.788</t>
  </si>
  <si>
    <t xml:space="preserve">17.236</t>
  </si>
  <si>
    <t xml:space="preserve">-384.024</t>
  </si>
  <si>
    <t xml:space="preserve">-411.120</t>
  </si>
  <si>
    <t xml:space="preserve">72.115</t>
  </si>
  <si>
    <t xml:space="preserve">-76.986</t>
  </si>
  <si>
    <t xml:space="preserve">22.500</t>
  </si>
  <si>
    <t xml:space="preserve">-322.094</t>
  </si>
  <si>
    <t xml:space="preserve">94.140</t>
  </si>
  <si>
    <t xml:space="preserve">-97.700</t>
  </si>
  <si>
    <t xml:space="preserve">19.731</t>
  </si>
  <si>
    <t xml:space="preserve">-408.761</t>
  </si>
  <si>
    <t xml:space="preserve">-436.684</t>
  </si>
  <si>
    <t xml:space="preserve">82.554</t>
  </si>
  <si>
    <t xml:space="preserve">P4O10 described as "hex"</t>
  </si>
  <si>
    <t xml:space="preserve">for white phosphorus as the reference form,</t>
  </si>
  <si>
    <t xml:space="preserve">Enthalpy: different from JANAF 2 for B2O3 and Al2O3</t>
  </si>
  <si>
    <t xml:space="preserve">This agrees well with JANAF 3 and JANAF 4.</t>
  </si>
  <si>
    <t xml:space="preserve">G-H-S Data for Key Aqueous, Gas, and Solid Species: USBM 677</t>
  </si>
  <si>
    <t xml:space="preserve">The elements data in this report are all taken from</t>
  </si>
  <si>
    <t xml:space="preserve">USBM 672 (Pankratz, 1982).</t>
  </si>
  <si>
    <t xml:space="preserve">The data for K2O are catastrophically discrepant and</t>
  </si>
  <si>
    <t xml:space="preserve">are though to pertain to liquid K2O.</t>
  </si>
  <si>
    <t xml:space="preserve">USBM 677 (Pankratz et al., 1984)</t>
  </si>
  <si>
    <t xml:space="preserve">-56.690</t>
  </si>
  <si>
    <t xml:space="preserve">16.718</t>
  </si>
  <si>
    <t xml:space="preserve">49.005</t>
  </si>
  <si>
    <t xml:space="preserve">31.207</t>
  </si>
  <si>
    <t xml:space="preserve">-57.795</t>
  </si>
  <si>
    <t xml:space="preserve">-94.258</t>
  </si>
  <si>
    <t xml:space="preserve">51.070</t>
  </si>
  <si>
    <t xml:space="preserve">-650.937</t>
  </si>
  <si>
    <t xml:space="preserve">-719.400</t>
  </si>
  <si>
    <t xml:space="preserve">-204.749</t>
  </si>
  <si>
    <t xml:space="preserve">-217.720</t>
  </si>
  <si>
    <t xml:space="preserve">-285.459</t>
  </si>
  <si>
    <t xml:space="preserve">-304.370</t>
  </si>
  <si>
    <t xml:space="preserve">12.900</t>
  </si>
  <si>
    <t xml:space="preserve">-378.172</t>
  </si>
  <si>
    <t xml:space="preserve">-400.500</t>
  </si>
  <si>
    <t xml:space="preserve">12.170</t>
  </si>
  <si>
    <t xml:space="preserve">-583.873</t>
  </si>
  <si>
    <t xml:space="preserve">-619.100</t>
  </si>
  <si>
    <t xml:space="preserve">22.413</t>
  </si>
  <si>
    <t xml:space="preserve">-177.424</t>
  </si>
  <si>
    <t xml:space="preserve">-197.000</t>
  </si>
  <si>
    <t xml:space="preserve">20.890</t>
  </si>
  <si>
    <t xml:space="preserve">-242.661</t>
  </si>
  <si>
    <t xml:space="preserve">-267.300</t>
  </si>
  <si>
    <t xml:space="preserve">34.930</t>
  </si>
  <si>
    <t xml:space="preserve">-330.009</t>
  </si>
  <si>
    <t xml:space="preserve">-353.700</t>
  </si>
  <si>
    <t xml:space="preserve">36.090</t>
  </si>
  <si>
    <t xml:space="preserve">-136.046</t>
  </si>
  <si>
    <t xml:space="preserve">-143.760</t>
  </si>
  <si>
    <t xml:space="preserve">-246.020</t>
  </si>
  <si>
    <t xml:space="preserve">-266.035</t>
  </si>
  <si>
    <t xml:space="preserve">15.560</t>
  </si>
  <si>
    <t xml:space="preserve">-491.159</t>
  </si>
  <si>
    <t xml:space="preserve">-519.600</t>
  </si>
  <si>
    <t xml:space="preserve">-144.234</t>
  </si>
  <si>
    <t xml:space="preserve">9.100</t>
  </si>
  <si>
    <t xml:space="preserve">-269.857</t>
  </si>
  <si>
    <t xml:space="preserve">-288.610</t>
  </si>
  <si>
    <t xml:space="preserve">21.920</t>
  </si>
  <si>
    <t xml:space="preserve">-370.382</t>
  </si>
  <si>
    <t xml:space="preserve">-390.760</t>
  </si>
  <si>
    <t xml:space="preserve">19.600</t>
  </si>
  <si>
    <t xml:space="preserve">-90.425</t>
  </si>
  <si>
    <t xml:space="preserve">-99.700</t>
  </si>
  <si>
    <t xml:space="preserve">17.990</t>
  </si>
  <si>
    <t xml:space="preserve">-91.797</t>
  </si>
  <si>
    <t xml:space="preserve">17.240</t>
  </si>
  <si>
    <t xml:space="preserve">-72.006</t>
  </si>
  <si>
    <t xml:space="preserve">-81.260</t>
  </si>
  <si>
    <t xml:space="preserve">24.380</t>
  </si>
  <si>
    <t xml:space="preserve">-97.714</t>
  </si>
  <si>
    <t xml:space="preserve">19.729</t>
  </si>
  <si>
    <t xml:space="preserve">The bad K2O data are from USBM 672 (Pankratz,</t>
  </si>
  <si>
    <t xml:space="preserve">For K2O, compare with JANAF 4:</t>
  </si>
  <si>
    <t xml:space="preserve">1982), based on Byker et al. (1979): </t>
  </si>
  <si>
    <t xml:space="preserve">Byker, H. J., I. Eliezer, R. C. Howald, and T. C. Ehlert. Thermodynamic</t>
  </si>
  <si>
    <t xml:space="preserve">Properties of Potassium Oxides. High Temp. Sci., v. 11, 1979, pp.</t>
  </si>
  <si>
    <t xml:space="preserve">153-170.</t>
  </si>
  <si>
    <t xml:space="preserve">The bad K2O data appear to be for liquid K2O.</t>
  </si>
  <si>
    <t xml:space="preserve">G-H-S Data for Key Aqueous, Gas, and Solid Species: CODATA (1976) values for 1975</t>
  </si>
  <si>
    <t xml:space="preserve">Gibbs energy values shown below were calculated</t>
  </si>
  <si>
    <t xml:space="preserve">by us on worksheet "AGS Species C7675 w Gibbs".</t>
  </si>
  <si>
    <t xml:space="preserve">CODATA (1976) values for 1975</t>
  </si>
  <si>
    <t xml:space="preserve">-121.50</t>
  </si>
  <si>
    <t xml:space="preserve">-252.17</t>
  </si>
  <si>
    <t xml:space="preserve">-258.04</t>
  </si>
  <si>
    <t xml:space="preserve">205.037</t>
  </si>
  <si>
    <t xml:space="preserve">188.724</t>
  </si>
  <si>
    <t xml:space="preserve">213.677</t>
  </si>
  <si>
    <t xml:space="preserve">G-H-S Data for Key Aqueous, Gas, and Solid Species: CODATA (1976) values for 1975, with calculated Gibbs energies</t>
  </si>
  <si>
    <t xml:space="preserve">for 1975</t>
  </si>
  <si>
    <t xml:space="preserve">0.033</t>
  </si>
  <si>
    <t xml:space="preserve">0.045</t>
  </si>
  <si>
    <t xml:space="preserve">0.042</t>
  </si>
  <si>
    <t xml:space="preserve">0.54</t>
  </si>
  <si>
    <t xml:space="preserve">0.088</t>
  </si>
  <si>
    <t xml:space="preserve">0.16</t>
  </si>
  <si>
    <t xml:space="preserve">0.84</t>
  </si>
  <si>
    <t xml:space="preserve">0.85</t>
  </si>
  <si>
    <t xml:space="preserve">0.75</t>
  </si>
  <si>
    <t xml:space="preserve">0.090</t>
  </si>
  <si>
    <t xml:space="preserve">0.35</t>
  </si>
  <si>
    <t xml:space="preserve">0.065</t>
  </si>
  <si>
    <t xml:space="preserve">G-H-S Data for Key Aqueous, Gas, and Solid Species: CODATA (1978) values for 1977</t>
  </si>
  <si>
    <t xml:space="preserve">by us on worksheet "AGS Species C7877 w Gibbs".</t>
  </si>
  <si>
    <t xml:space="preserve">Four of the five additional species noted here (SO4--, </t>
  </si>
  <si>
    <t xml:space="preserve">P, MgO, and CaO) appeared in CODATA (1977) values</t>
  </si>
  <si>
    <t xml:space="preserve">for 1976. Ca++ first appears in the present data set.</t>
  </si>
  <si>
    <t xml:space="preserve">CODATA (1978) values for 1977</t>
  </si>
  <si>
    <t xml:space="preserve">-909.60</t>
  </si>
  <si>
    <t xml:space="preserve">18.83</t>
  </si>
  <si>
    <t xml:space="preserve">-543.10</t>
  </si>
  <si>
    <t xml:space="preserve">-56.4</t>
  </si>
  <si>
    <t xml:space="preserve">-601.5</t>
  </si>
  <si>
    <t xml:space="preserve">G-H-S Data for Key Aqueous, Gas, and Solid Species: CODATA (1978) values for 1977, with calculated Gibbs energies</t>
  </si>
  <si>
    <t xml:space="preserve">for 1977</t>
  </si>
  <si>
    <t xml:space="preserve">not in 7675</t>
  </si>
  <si>
    <t xml:space="preserve">0.80</t>
  </si>
  <si>
    <t xml:space="preserve">`</t>
  </si>
  <si>
    <t xml:space="preserve">0.3</t>
  </si>
  <si>
    <t xml:space="preserve">Summary of G-H-S Data for H2O(liquid), H2O(g), and CO2(g)</t>
  </si>
  <si>
    <t xml:space="preserve">H2O(liquid)</t>
  </si>
  <si>
    <t xml:space="preserve">Source</t>
  </si>
  <si>
    <t xml:space="preserve">Year of</t>
  </si>
  <si>
    <t xml:space="preserve">Publication*</t>
  </si>
  <si>
    <t xml:space="preserve">JANAF2</t>
  </si>
  <si>
    <t xml:space="preserve">USBM 677</t>
  </si>
  <si>
    <t xml:space="preserve">JANAF 3/4</t>
  </si>
  <si>
    <t xml:space="preserve">CODATA 89 2σ</t>
  </si>
  <si>
    <t xml:space="preserve">CODATA 89 Low</t>
  </si>
  <si>
    <t xml:space="preserve">CODATA 89 High</t>
  </si>
  <si>
    <t xml:space="preserve">Min - C Min</t>
  </si>
  <si>
    <t xml:space="preserve">Max - C Max</t>
  </si>
  <si>
    <t xml:space="preserve">*For a work published in series (NBS 270, NEA TDB), this refers to the first year.</t>
  </si>
  <si>
    <t xml:space="preserve">H&amp;K74PartI</t>
  </si>
  <si>
    <t xml:space="preserve">calorie units, attributed to NBS 270; the assumed 298.15/1bar values were used directly in the model</t>
  </si>
  <si>
    <t xml:space="preserve">H78</t>
  </si>
  <si>
    <t xml:space="preserve">calorie units, attributed to NBS 270</t>
  </si>
  <si>
    <t xml:space="preserve">SUPCRT92</t>
  </si>
  <si>
    <t xml:space="preserve">calorie units, run for 1 bar</t>
  </si>
  <si>
    <t xml:space="preserve">Joule units</t>
  </si>
  <si>
    <t xml:space="preserve">SUPCRT92 - CODATA</t>
  </si>
  <si>
    <t xml:space="preserve">Summary of G-H-S Data for Various Aqueous Species</t>
  </si>
  <si>
    <t xml:space="preserve">*For a work published in series, this refers to the first year.</t>
  </si>
  <si>
    <t xml:space="preserve">Mg2+</t>
  </si>
  <si>
    <t xml:space="preserve">Ca2+</t>
  </si>
  <si>
    <t xml:space="preserve">Sr2+</t>
  </si>
  <si>
    <t xml:space="preserve">SO42-</t>
  </si>
  <si>
    <t xml:space="preserve">CO32-</t>
  </si>
  <si>
    <t xml:space="preserve">Al3+</t>
  </si>
  <si>
    <t xml:space="preserve">Summary of G-H-S Data for Various Solids</t>
  </si>
  <si>
    <t xml:space="preserve">SiO2 (Quartz)</t>
  </si>
  <si>
    <t xml:space="preserve">Al2O3 (Corundum)</t>
  </si>
  <si>
    <t xml:space="preserve">Al(OH)3 (Gibbsite)</t>
  </si>
  <si>
    <t xml:space="preserve">*For a work published in series such as NBS 270, this refers to the first year.</t>
  </si>
  <si>
    <t xml:space="preserve">MgO (Periclase)</t>
  </si>
  <si>
    <t xml:space="preserve">CaO (Lime)</t>
  </si>
  <si>
    <t xml:space="preserve">CaCO3 (Calcite)</t>
  </si>
  <si>
    <t xml:space="preserve">NaCl (Halite)</t>
  </si>
  <si>
    <t xml:space="preserve">NEA 1992</t>
  </si>
  <si>
    <t xml:space="preserve">NEA TDB 2σ</t>
  </si>
  <si>
    <t xml:space="preserve">NEA TDB Low</t>
  </si>
  <si>
    <t xml:space="preserve">NEA TDB High</t>
  </si>
  <si>
    <t xml:space="preserve">KCl (Sylvite)</t>
  </si>
  <si>
    <t xml:space="preserve">Mixed with</t>
  </si>
  <si>
    <t xml:space="preserve">NEA</t>
  </si>
  <si>
    <t xml:space="preserve">for enthalpy</t>
  </si>
  <si>
    <t xml:space="preserve">of KCl</t>
  </si>
  <si>
    <t xml:space="preserve">Fe2O3 (Hematite)</t>
  </si>
  <si>
    <t xml:space="preserve">Fe3O4 (Magnetite)</t>
  </si>
  <si>
    <t xml:space="preserve">Summary of G-H-S Data for P4O10, P(red), P(white)</t>
  </si>
  <si>
    <t xml:space="preserve">Form for P</t>
  </si>
  <si>
    <t xml:space="preserve">Miscellaneous Analysis of G-H-S Data for Various Aqueous Species</t>
  </si>
  <si>
    <t xml:space="preserve">Robie et al. (1978)</t>
  </si>
  <si>
    <t xml:space="preserve">G</t>
  </si>
  <si>
    <t xml:space="preserve">Analysis and correction for aqueous silica</t>
  </si>
  <si>
    <t xml:space="preserve">Quick log K analysis</t>
  </si>
  <si>
    <t xml:space="preserve">Gibbs energy</t>
  </si>
  <si>
    <t xml:space="preserve">Quartz + 2 H2O = H4SiO4(aq)</t>
  </si>
  <si>
    <r>
      <rPr>
        <sz val="10"/>
        <rFont val="Calibri"/>
        <family val="2"/>
        <charset val="1"/>
      </rPr>
      <t xml:space="preserve">Δ</t>
    </r>
    <r>
      <rPr>
        <vertAlign val="subscript"/>
        <sz val="10"/>
        <rFont val="Calibri"/>
        <family val="2"/>
        <charset val="1"/>
      </rPr>
      <t xml:space="preserve">r</t>
    </r>
    <r>
      <rPr>
        <sz val="10"/>
        <rFont val="Arial"/>
        <family val="2"/>
        <charset val="1"/>
      </rPr>
      <t xml:space="preserve">G</t>
    </r>
  </si>
  <si>
    <t xml:space="preserve">log K</t>
  </si>
  <si>
    <t xml:space="preserve">exemplified lower-solublity paradigm</t>
  </si>
  <si>
    <t xml:space="preserve">Older, discredited data</t>
  </si>
  <si>
    <t xml:space="preserve">Higher-solubility data</t>
  </si>
  <si>
    <t xml:space="preserve">Close to Rimstidt (1997)</t>
  </si>
  <si>
    <t xml:space="preserve">Publication</t>
  </si>
  <si>
    <t xml:space="preserve">Walther and Helgeson (1977)</t>
  </si>
  <si>
    <t xml:space="preserve">Rimstidt (1997)</t>
  </si>
  <si>
    <t xml:space="preserve">used Robie et al. (1978) for other data</t>
  </si>
  <si>
    <r>
      <rPr>
        <sz val="10"/>
        <rFont val="Arial"/>
        <family val="2"/>
        <charset val="1"/>
      </rPr>
      <t xml:space="preserve">Gunnarsson and Arn</t>
    </r>
    <r>
      <rPr>
        <sz val="10"/>
        <rFont val="Calibri"/>
        <family val="2"/>
        <charset val="1"/>
      </rPr>
      <t xml:space="preserve">ó</t>
    </r>
    <r>
      <rPr>
        <sz val="10"/>
        <rFont val="Arial"/>
        <family val="2"/>
        <charset val="1"/>
      </rPr>
      <t xml:space="preserve">rsson (2000)</t>
    </r>
  </si>
  <si>
    <t xml:space="preserve">used Richet et al. (982) data for quartz, used CODATA 89 for other data</t>
  </si>
  <si>
    <t xml:space="preserve">Stefánsson (2001)</t>
  </si>
  <si>
    <t xml:space="preserve">used the Helgeson data (from NBS 270-3) for quartz and water, CODATA 89 for elements</t>
  </si>
  <si>
    <t xml:space="preserve">Apps and Spycher (2004)</t>
  </si>
  <si>
    <t xml:space="preserve">used the Helgeson data (from NBS 270-3)</t>
  </si>
  <si>
    <t xml:space="preserve">Lower-solubility G average</t>
  </si>
  <si>
    <t xml:space="preserve">Higher-solubility G average</t>
  </si>
  <si>
    <t xml:space="preserve">Difference between averages</t>
  </si>
  <si>
    <r>
      <rPr>
        <sz val="10"/>
        <rFont val="Arial"/>
        <family val="2"/>
        <charset val="1"/>
      </rPr>
      <t xml:space="preserve">kJ mol</t>
    </r>
    <r>
      <rPr>
        <vertAlign val="superscript"/>
        <sz val="10"/>
        <rFont val="Arial"/>
        <family val="2"/>
        <charset val="1"/>
      </rPr>
      <t xml:space="preserve">-1</t>
    </r>
    <r>
      <rPr>
        <sz val="10"/>
        <rFont val="Arial"/>
        <family val="2"/>
        <charset val="1"/>
      </rPr>
      <t xml:space="preserve"> per unit δ</t>
    </r>
  </si>
  <si>
    <t xml:space="preserve">Miscellaneous conversions and checks</t>
  </si>
  <si>
    <t xml:space="preserve">Change to J units, calculate H4SiO4(aq) data from SiO2(aq) data</t>
  </si>
  <si>
    <t xml:space="preserve">cal units</t>
  </si>
  <si>
    <t xml:space="preserve">change to J units</t>
  </si>
  <si>
    <t xml:space="preserve">J units</t>
  </si>
  <si>
    <t xml:space="preserve">H2O, SUPCRT92</t>
  </si>
  <si>
    <t xml:space="preserve">Sverjensky et al. (2014)</t>
  </si>
  <si>
    <t xml:space="preserve">Assume SUPCRT92 water data. This is uncertain.</t>
  </si>
  <si>
    <t xml:space="preserve">Check enthalpy value</t>
  </si>
  <si>
    <t xml:space="preserve">used CODATA 89 data for elemental entropies</t>
  </si>
  <si>
    <t xml:space="preserve">calculated enthalpy of formation</t>
  </si>
  <si>
    <r>
      <rPr>
        <sz val="10"/>
        <rFont val="Arial"/>
        <family val="2"/>
        <charset val="1"/>
      </rPr>
      <t xml:space="preserve">entropy of formation, J mol</t>
    </r>
    <r>
      <rPr>
        <vertAlign val="superscript"/>
        <sz val="10"/>
        <rFont val="Arial"/>
        <family val="2"/>
        <charset val="1"/>
      </rPr>
      <t xml:space="preserve">-1</t>
    </r>
    <r>
      <rPr>
        <sz val="10"/>
        <rFont val="Arial"/>
        <family val="2"/>
        <charset val="1"/>
      </rPr>
      <t xml:space="preserve"> K</t>
    </r>
    <r>
      <rPr>
        <vertAlign val="superscript"/>
        <sz val="10"/>
        <rFont val="Arial"/>
        <family val="2"/>
        <charset val="1"/>
      </rPr>
      <t xml:space="preserve">-1</t>
    </r>
  </si>
  <si>
    <t xml:space="preserve">H2O, NBS 270-3 (uncorrected)</t>
  </si>
  <si>
    <t xml:space="preserve">USGS 1452 (Robie et al., 1978)</t>
  </si>
  <si>
    <t xml:space="preserve">USGS 2131 (Robie and Hemingway (1995)</t>
  </si>
  <si>
    <t xml:space="preserve">Conversions of data for consistency with CODATA 89 data for quartz, liquid water, and the requisite elemental reference forms</t>
  </si>
  <si>
    <t xml:space="preserve">The requisite data for making the conversions</t>
  </si>
  <si>
    <t xml:space="preserve">G = H - TS</t>
  </si>
  <si>
    <t xml:space="preserve">H2O (Robie et al. (1978)</t>
  </si>
  <si>
    <t xml:space="preserve">H2O SUPCRT92 </t>
  </si>
  <si>
    <t xml:space="preserve">This is off a bit.</t>
  </si>
  <si>
    <t xml:space="preserve">H2O CODATA 89</t>
  </si>
  <si>
    <t xml:space="preserve">Quartz (Robie et al. (1978)</t>
  </si>
  <si>
    <t xml:space="preserve">Quartz SUPCRT92/NBS 270-3 </t>
  </si>
  <si>
    <t xml:space="preserve">Quartz CODATA 89</t>
  </si>
  <si>
    <t xml:space="preserve">Quartz (Richet et al., 1982)</t>
  </si>
  <si>
    <t xml:space="preserve">assuming Richet et al. used USGS elemental entropies</t>
  </si>
  <si>
    <r>
      <rPr>
        <sz val="10"/>
        <rFont val="Arial"/>
        <family val="2"/>
        <charset val="1"/>
      </rPr>
      <t xml:space="preserve">S, J mol</t>
    </r>
    <r>
      <rPr>
        <vertAlign val="superscript"/>
        <sz val="10"/>
        <rFont val="Arial"/>
        <family val="2"/>
        <charset val="1"/>
      </rPr>
      <t xml:space="preserve">-1 </t>
    </r>
    <r>
      <rPr>
        <sz val="10"/>
        <rFont val="Arial"/>
        <family val="2"/>
        <charset val="1"/>
      </rPr>
      <t xml:space="preserve">K</t>
    </r>
    <r>
      <rPr>
        <vertAlign val="superscript"/>
        <sz val="10"/>
        <rFont val="Arial"/>
        <family val="2"/>
        <charset val="1"/>
      </rPr>
      <t xml:space="preserve">-1</t>
    </r>
  </si>
  <si>
    <t xml:space="preserve">NBS 270-3 (data for 1 atm)</t>
  </si>
  <si>
    <r>
      <rPr>
        <sz val="10"/>
        <rFont val="Arial"/>
        <family val="2"/>
        <charset val="1"/>
      </rPr>
      <t xml:space="preserve">S, cal mol</t>
    </r>
    <r>
      <rPr>
        <vertAlign val="superscript"/>
        <sz val="10"/>
        <rFont val="Arial"/>
        <family val="2"/>
        <charset val="1"/>
      </rPr>
      <t xml:space="preserve">-1 </t>
    </r>
    <r>
      <rPr>
        <sz val="10"/>
        <rFont val="Arial"/>
        <family val="2"/>
        <charset val="1"/>
      </rPr>
      <t xml:space="preserve">K</t>
    </r>
    <r>
      <rPr>
        <vertAlign val="superscript"/>
        <sz val="10"/>
        <rFont val="Arial"/>
        <family val="2"/>
        <charset val="1"/>
      </rPr>
      <t xml:space="preserve">-1</t>
    </r>
  </si>
  <si>
    <t xml:space="preserve">Summary of data corrected for consistency with the requisite CODATA 89 data</t>
  </si>
  <si>
    <t xml:space="preserve">In three of the four cases, the original H value appears to have been miscalculated. The values below correct for that</t>
  </si>
  <si>
    <t xml:space="preserve">as well.</t>
  </si>
  <si>
    <t xml:space="preserve">The corrections below make use of the reaction: Quartz + 2 H2O = H4SiO4(aq)</t>
  </si>
  <si>
    <t xml:space="preserve">It looks like the original H value was miscalculated</t>
  </si>
  <si>
    <t xml:space="preserve">Uncorrected data</t>
  </si>
  <si>
    <t xml:space="preserve">Quartz + 2 H2O = H4SiO4(aq) (uncorrected)</t>
  </si>
  <si>
    <t xml:space="preserve">Corrected data</t>
  </si>
  <si>
    <t xml:space="preserve">Quartz + 2 H2O = H4SiO4(aq) (corrected)</t>
  </si>
  <si>
    <t xml:space="preserve">Check result</t>
  </si>
  <si>
    <t xml:space="preserve">H from G and S (best)</t>
  </si>
  <si>
    <t xml:space="preserve">Check H result</t>
  </si>
  <si>
    <t xml:space="preserve">Uncorr. H from uncorr. G and S</t>
  </si>
  <si>
    <t xml:space="preserve">Uncorr H of rxn. from uncorr. G and S of rxn.</t>
  </si>
  <si>
    <t xml:space="preserve">Use this as the corrected data</t>
  </si>
  <si>
    <t xml:space="preserve">Corrected data for SiO2(aq)</t>
  </si>
  <si>
    <t xml:space="preserve">Gunnarsson and Arnórsson (2000</t>
  </si>
  <si>
    <t xml:space="preserve">It looks like the original H value was miscalculated, but this is really a consistency problem internal</t>
  </si>
  <si>
    <t xml:space="preserve">to the SUPCRT92/NBS 270-3 data for quartz and water</t>
  </si>
  <si>
    <t xml:space="preserve">Sverjensky et al. (2014) monomer and dimer</t>
  </si>
  <si>
    <t xml:space="preserve">Assume quartz and elements data from Robie et al. (1978), as that matches Rimstidt (1997)</t>
  </si>
  <si>
    <t xml:space="preserve">Assume SUPCRT92 data for water. The quartz assumption is probably correct, the rest is uncertain.</t>
  </si>
  <si>
    <t xml:space="preserve">No original H value was given</t>
  </si>
  <si>
    <t xml:space="preserve">For the monomer</t>
  </si>
  <si>
    <t xml:space="preserve">Basically the G and S corrections are negligible, as the Robie et al. (1978) water and elements data agree strongly</t>
  </si>
  <si>
    <t xml:space="preserve">with the corresponding CODATA 89 data, and the SUPCRT92 quartz data agree strongly with the CODATA 89 data.</t>
  </si>
  <si>
    <t xml:space="preserve">So, it appears that one can use the data as originally given for the monomer and the dimer.</t>
  </si>
  <si>
    <t xml:space="preserve">For the dimer (Si2O4(aq))</t>
  </si>
  <si>
    <t xml:space="preserve">Use CODATA elements data</t>
  </si>
  <si>
    <t xml:space="preserve">Use this for Si2O4(aq)</t>
  </si>
  <si>
    <t xml:space="preserve">The largest corrections above are for the enthalpies. We don't really know what elemental data they used.</t>
  </si>
  <si>
    <t xml:space="preserve">That doesn't really matter to our result.</t>
  </si>
  <si>
    <t xml:space="preserve">Analysis and correction for Al+++</t>
  </si>
  <si>
    <t xml:space="preserve">Use corrected data for gibbsite from worksheet "Misc Solids". These data are the Robie et al. (1978) H-S data.</t>
  </si>
  <si>
    <t xml:space="preserve">The G value has been recalculated using CODATA 89 data for the elemental entropies.</t>
  </si>
  <si>
    <t xml:space="preserve">Corrected corundum and gibbsite data</t>
  </si>
  <si>
    <t xml:space="preserve">Correcting the Al+++ data from Pokrovskii and Helgeson (1995)</t>
  </si>
  <si>
    <t xml:space="preserve">Values from Pokrovskii and Helgeson (1995)</t>
  </si>
  <si>
    <t xml:space="preserve">Pokrovskii and Helgeson (1995)</t>
  </si>
  <si>
    <t xml:space="preserve">Convention</t>
  </si>
  <si>
    <t xml:space="preserve">Using the data from Pokrovskii and Helgeson (1995), the data for the reaction </t>
  </si>
  <si>
    <t xml:space="preserve">Al(OH)3 + 3 H+ = Al+++ + 3 H2O are:</t>
  </si>
  <si>
    <t xml:space="preserve">The corrected values preserving the G and S of reaction are:</t>
  </si>
  <si>
    <t xml:space="preserve">enthalpy value based on enthalpy values</t>
  </si>
  <si>
    <t xml:space="preserve">The final enthalpy value here is calculated from the G and S values.</t>
  </si>
  <si>
    <t xml:space="preserve">There are some minor inconsistencies in the enthalpy data used to</t>
  </si>
  <si>
    <t xml:space="preserve">calculate the enthalpy of reaction above. This eliminates them.</t>
  </si>
  <si>
    <t xml:space="preserve">Correcting the Al+++ data from Tagirov and Schott (2001)</t>
  </si>
  <si>
    <t xml:space="preserve">Values from Tagirov and Schott (2001)</t>
  </si>
  <si>
    <t xml:space="preserve">Tagirov and Schott (2011) </t>
  </si>
  <si>
    <t xml:space="preserve">Using the data from Tagirov and Schott (2001), the data for the reaction </t>
  </si>
  <si>
    <t xml:space="preserve">Re-analysis of CODATA (Cox et al., 1989) data for gibbsite and Al+++</t>
  </si>
  <si>
    <t xml:space="preserve">Enthalpy</t>
  </si>
  <si>
    <t xml:space="preserve">Based on AlCl3</t>
  </si>
  <si>
    <t xml:space="preserve">Based on AlCl3•6H2O</t>
  </si>
  <si>
    <t xml:space="preserve">Average</t>
  </si>
  <si>
    <t xml:space="preserve">Cox et al. (1989) give the uncertainty as 1.5</t>
  </si>
  <si>
    <t xml:space="preserve">Zeng et al. (1994) (based on HCl)</t>
  </si>
  <si>
    <t xml:space="preserve">Newer data</t>
  </si>
  <si>
    <t xml:space="preserve">Better</t>
  </si>
  <si>
    <t xml:space="preserve">  ----------&gt;</t>
  </si>
  <si>
    <t xml:space="preserve">"physics lab" rounding</t>
  </si>
  <si>
    <r>
      <rPr>
        <sz val="10"/>
        <rFont val="Arial"/>
        <family val="2"/>
        <charset val="1"/>
      </rPr>
      <t xml:space="preserve">J mol</t>
    </r>
    <r>
      <rPr>
        <vertAlign val="superscript"/>
        <sz val="10"/>
        <rFont val="Arial"/>
        <family val="2"/>
        <charset val="1"/>
      </rPr>
      <t xml:space="preserve">-1</t>
    </r>
    <r>
      <rPr>
        <sz val="10"/>
        <rFont val="Arial"/>
        <family val="2"/>
        <charset val="1"/>
      </rPr>
      <t xml:space="preserve"> K</t>
    </r>
    <r>
      <rPr>
        <vertAlign val="superscript"/>
        <sz val="10"/>
        <rFont val="Arial"/>
        <family val="2"/>
        <charset val="1"/>
      </rPr>
      <t xml:space="preserve">-1</t>
    </r>
  </si>
  <si>
    <t xml:space="preserve">H(sol) and solublity of AlCl3•6H2O</t>
  </si>
  <si>
    <t xml:space="preserve">H(sol) and solublity of gibbsite</t>
  </si>
  <si>
    <t xml:space="preserve">CsAl(SO4)2•12H2O</t>
  </si>
  <si>
    <t xml:space="preserve">This is a signfificant outlier</t>
  </si>
  <si>
    <t xml:space="preserve">Cox et al. (1989) give the uncertainty as 10</t>
  </si>
  <si>
    <t xml:space="preserve">(this is justified by the spead of entropy values)</t>
  </si>
  <si>
    <t xml:space="preserve">Better - eliminate the CsAl salt</t>
  </si>
  <si>
    <t xml:space="preserve">Miscellaneous Analysis of G-H-S Data for Various Solid Species</t>
  </si>
  <si>
    <t xml:space="preserve">kaolinite</t>
  </si>
  <si>
    <t xml:space="preserve">corundum</t>
  </si>
  <si>
    <t xml:space="preserve">gibbsite</t>
  </si>
  <si>
    <t xml:space="preserve">Possible At. Wt. corrections to </t>
  </si>
  <si>
    <t xml:space="preserve">NBS 500 corundum data</t>
  </si>
  <si>
    <t xml:space="preserve">CODATA 89 Al+++</t>
  </si>
  <si>
    <t xml:space="preserve">From H78:</t>
  </si>
  <si>
    <r>
      <rPr>
        <sz val="10"/>
        <rFont val="Arial"/>
        <family val="2"/>
        <charset val="1"/>
      </rPr>
      <t xml:space="preserve">H, kJ mol</t>
    </r>
    <r>
      <rPr>
        <vertAlign val="superscript"/>
        <sz val="10"/>
        <rFont val="Arial"/>
        <family val="2"/>
        <charset val="1"/>
      </rPr>
      <t xml:space="preserve">-1</t>
    </r>
  </si>
  <si>
    <t xml:space="preserve">H for gibbsite from Hemingway and Robie (1977a)</t>
  </si>
  <si>
    <r>
      <rPr>
        <sz val="10"/>
        <rFont val="Arial"/>
        <family val="2"/>
        <charset val="1"/>
      </rPr>
      <t xml:space="preserve"> kcal mol</t>
    </r>
    <r>
      <rPr>
        <vertAlign val="superscript"/>
        <sz val="10"/>
        <rFont val="Arial"/>
        <family val="2"/>
        <charset val="1"/>
      </rPr>
      <t xml:space="preserve">-1</t>
    </r>
    <r>
      <rPr>
        <sz val="10"/>
        <rFont val="Arial"/>
        <family val="2"/>
        <charset val="1"/>
      </rPr>
      <t xml:space="preserve">, with uncertainty of</t>
    </r>
  </si>
  <si>
    <t xml:space="preserve">&lt;-- or just use this!</t>
  </si>
  <si>
    <r>
      <rPr>
        <sz val="10"/>
        <rFont val="Arial"/>
        <family val="2"/>
        <charset val="1"/>
      </rPr>
      <t xml:space="preserve"> kcal mol</t>
    </r>
    <r>
      <rPr>
        <vertAlign val="superscript"/>
        <sz val="10"/>
        <rFont val="Arial"/>
        <family val="2"/>
        <charset val="1"/>
      </rPr>
      <t xml:space="preserve">-1</t>
    </r>
    <r>
      <rPr>
        <sz val="10"/>
        <rFont val="Arial"/>
        <family val="2"/>
        <charset val="1"/>
      </rPr>
      <t xml:space="preserve">.</t>
    </r>
  </si>
  <si>
    <t xml:space="preserve">That is </t>
  </si>
  <si>
    <t xml:space="preserve">Calculated:</t>
  </si>
  <si>
    <t xml:space="preserve">Data were used in USGS 1452 and USGS 2131,</t>
  </si>
  <si>
    <t xml:space="preserve">C89 Table:</t>
  </si>
  <si>
    <t xml:space="preserve">rounded in the latter.</t>
  </si>
  <si>
    <t xml:space="preserve">H from Barany and Kelley (1961)</t>
  </si>
  <si>
    <t xml:space="preserve">Peryea and Kittrick (1988) </t>
  </si>
  <si>
    <t xml:space="preserve">0.5 Corundum + 3 H+ = Al+++ + 1.5 H2O</t>
  </si>
  <si>
    <t xml:space="preserve">Gibbsite + 3 H+ = Al+++ + 3 H2O</t>
  </si>
  <si>
    <t xml:space="preserve">0.5 Corundum + 1.5 H2O  = Gibbsite</t>
  </si>
  <si>
    <t xml:space="preserve">Used in USGS 1259</t>
  </si>
  <si>
    <t xml:space="preserve">CODATA 89 gibbsite from Parks (1972)</t>
  </si>
  <si>
    <r>
      <rPr>
        <sz val="10"/>
        <rFont val="Calibri"/>
        <family val="2"/>
        <charset val="1"/>
      </rPr>
      <t xml:space="preserve">Δ</t>
    </r>
    <r>
      <rPr>
        <sz val="10"/>
        <rFont val="Arial"/>
        <family val="2"/>
        <charset val="1"/>
      </rPr>
      <t xml:space="preserve">Gr</t>
    </r>
  </si>
  <si>
    <t xml:space="preserve">Al(OH)3 = Al+++ + 3 OH-</t>
  </si>
  <si>
    <t xml:space="preserve">From Parks</t>
  </si>
  <si>
    <t xml:space="preserve">Apps et al. (1988)</t>
  </si>
  <si>
    <t xml:space="preserve">Gibbsite (Robie et al., 1978)</t>
  </si>
  <si>
    <t xml:space="preserve">(Robinson et al., 1982)</t>
  </si>
  <si>
    <t xml:space="preserve">CODATA 89 chose this</t>
  </si>
  <si>
    <t xml:space="preserve">and got this</t>
  </si>
  <si>
    <t xml:space="preserve">(H CODATA 89)</t>
  </si>
  <si>
    <t xml:space="preserve">(CODATA 89)</t>
  </si>
  <si>
    <t xml:space="preserve">Original</t>
  </si>
  <si>
    <t xml:space="preserve">Shock et al. (1997)</t>
  </si>
  <si>
    <t xml:space="preserve">H Hemingway and Robie (1977)</t>
  </si>
  <si>
    <t xml:space="preserve">(off AlO2- data)</t>
  </si>
  <si>
    <t xml:space="preserve">Tagirov and Schott (2001)</t>
  </si>
  <si>
    <t xml:space="preserve">(says Robie et al., 1978)</t>
  </si>
  <si>
    <t xml:space="preserve">(do not say)</t>
  </si>
  <si>
    <t xml:space="preserve">Analysis of CODATA 89 treatment of Gross et al. (1970) data for gibbsite</t>
  </si>
  <si>
    <t xml:space="preserve">CODATA89 said that: </t>
  </si>
  <si>
    <r>
      <rPr>
        <sz val="10"/>
        <rFont val="Arial"/>
        <family val="0"/>
        <charset val="1"/>
      </rPr>
      <t xml:space="preserve">ΔH</t>
    </r>
    <r>
      <rPr>
        <sz val="11"/>
        <color rgb="FF000000"/>
        <rFont val="Calibri"/>
        <family val="2"/>
        <charset val="1"/>
      </rPr>
      <t xml:space="preserve">°</t>
    </r>
    <r>
      <rPr>
        <vertAlign val="subscript"/>
        <sz val="11"/>
        <color rgb="FF000000"/>
        <rFont val="Calibri"/>
        <family val="2"/>
        <charset val="1"/>
      </rPr>
      <t xml:space="preserve">f</t>
    </r>
    <r>
      <rPr>
        <sz val="10"/>
        <rFont val="Arial"/>
        <family val="2"/>
        <charset val="1"/>
      </rPr>
      <t xml:space="preserve"> was</t>
    </r>
  </si>
  <si>
    <r>
      <rPr>
        <sz val="10"/>
        <rFont val="Arial"/>
        <family val="2"/>
        <charset val="1"/>
      </rPr>
      <t xml:space="preserve">kJ mol</t>
    </r>
    <r>
      <rPr>
        <vertAlign val="superscript"/>
        <sz val="10"/>
        <rFont val="Arial"/>
        <family val="2"/>
        <charset val="1"/>
      </rPr>
      <t xml:space="preserve">-1</t>
    </r>
    <r>
      <rPr>
        <sz val="10"/>
        <rFont val="Arial"/>
        <family val="2"/>
        <charset val="1"/>
      </rPr>
      <t xml:space="preserve"> for normal (1x) gibbsite from Gross et al. (1970), report dated Sep. 1970</t>
    </r>
  </si>
  <si>
    <t xml:space="preserve">This equates to</t>
  </si>
  <si>
    <t xml:space="preserve">for 2xGibbsite (Al2O3•3H2O)</t>
  </si>
  <si>
    <r>
      <rPr>
        <sz val="10"/>
        <rFont val="Arial"/>
        <family val="2"/>
        <charset val="1"/>
      </rPr>
      <t xml:space="preserve">This is off from the -618.7 kcal mol</t>
    </r>
    <r>
      <rPr>
        <vertAlign val="superscript"/>
        <sz val="10"/>
        <rFont val="Arial"/>
        <family val="2"/>
        <charset val="1"/>
      </rPr>
      <t xml:space="preserve">-1</t>
    </r>
    <r>
      <rPr>
        <sz val="10"/>
        <rFont val="Arial"/>
        <family val="2"/>
        <charset val="1"/>
      </rPr>
      <t xml:space="preserve"> reported by  Gross and Hayman (1970), report dated Mar. 1970.</t>
    </r>
  </si>
  <si>
    <t xml:space="preserve">Gross et al. (1970) focused on the reaction: Al2O3 + 3 H2O = Al2O3•3H2O, where Al2O3•3H2O is equivalent to 2 Al(OH)3</t>
  </si>
  <si>
    <t xml:space="preserve">The actual data for this reaction was computed in the earlier report by Gross and Haymon (1970).</t>
  </si>
  <si>
    <t xml:space="preserve">Gross and Hayman (1970)</t>
  </si>
  <si>
    <r>
      <rPr>
        <sz val="10"/>
        <rFont val="Arial"/>
        <family val="2"/>
        <charset val="1"/>
      </rPr>
      <t xml:space="preserve">Δ</t>
    </r>
    <r>
      <rPr>
        <vertAlign val="subscript"/>
        <sz val="10"/>
        <rFont val="Arial"/>
        <family val="2"/>
        <charset val="1"/>
      </rPr>
      <t xml:space="preserve">f</t>
    </r>
    <r>
      <rPr>
        <sz val="10"/>
        <rFont val="Arial"/>
        <family val="2"/>
        <charset val="1"/>
      </rPr>
      <t xml:space="preserve">H</t>
    </r>
    <r>
      <rPr>
        <sz val="11"/>
        <color rgb="FF000000"/>
        <rFont val="Calibri"/>
        <family val="2"/>
        <charset val="1"/>
      </rPr>
      <t xml:space="preserve">°</t>
    </r>
  </si>
  <si>
    <r>
      <rPr>
        <sz val="10"/>
        <rFont val="Arial"/>
        <family val="2"/>
        <charset val="1"/>
      </rPr>
      <t xml:space="preserve">Δ(Δ</t>
    </r>
    <r>
      <rPr>
        <vertAlign val="subscript"/>
        <sz val="10"/>
        <rFont val="Arial"/>
        <family val="2"/>
        <charset val="1"/>
      </rPr>
      <t xml:space="preserve">f</t>
    </r>
    <r>
      <rPr>
        <sz val="10"/>
        <rFont val="Arial"/>
        <family val="2"/>
        <charset val="1"/>
      </rPr>
      <t xml:space="preserve">H</t>
    </r>
    <r>
      <rPr>
        <sz val="11"/>
        <color rgb="FF000000"/>
        <rFont val="Calibri"/>
        <family val="2"/>
        <charset val="1"/>
      </rPr>
      <t xml:space="preserve">°</t>
    </r>
    <r>
      <rPr>
        <sz val="10"/>
        <rFont val="Arial"/>
        <family val="2"/>
        <charset val="1"/>
      </rPr>
      <t xml:space="preserve">)</t>
    </r>
  </si>
  <si>
    <t xml:space="preserve">2xGibbsite</t>
  </si>
  <si>
    <t xml:space="preserve">Reaction</t>
  </si>
  <si>
    <t xml:space="preserve">Check</t>
  </si>
  <si>
    <t xml:space="preserve">Back calc</t>
  </si>
  <si>
    <t xml:space="preserve">Gross et al. (1970) is consistent with Gross and Hayman (1970).</t>
  </si>
  <si>
    <t xml:space="preserve">What CODATA 89 should have gotten using the enthalpy of hydration value reported by Gross et al. (1970)</t>
  </si>
  <si>
    <t xml:space="preserve">with corrections to CODATA values for the enthalpies of Al2O3 and H2O.</t>
  </si>
  <si>
    <r>
      <rPr>
        <sz val="10"/>
        <rFont val="Arial"/>
        <family val="2"/>
        <charset val="1"/>
      </rPr>
      <t xml:space="preserve">kcal mol</t>
    </r>
    <r>
      <rPr>
        <vertAlign val="superscript"/>
        <sz val="10"/>
        <rFont val="Arial"/>
        <family val="2"/>
        <charset val="1"/>
      </rPr>
      <t xml:space="preserve">-1</t>
    </r>
    <r>
      <rPr>
        <sz val="10"/>
        <rFont val="Arial"/>
        <family val="2"/>
        <charset val="1"/>
      </rPr>
      <t xml:space="preserve"> (2xGibbsite)</t>
    </r>
  </si>
  <si>
    <t xml:space="preserve">(conceptually erroneous)</t>
  </si>
  <si>
    <t xml:space="preserve">If we corrected CODATA 89 using the value actually given by Gross and Hayman (1970) and implied in</t>
  </si>
  <si>
    <t xml:space="preserve">Gross et al. (1970), we would get the following:</t>
  </si>
  <si>
    <t xml:space="preserve">Hemingway and Robie</t>
  </si>
  <si>
    <t xml:space="preserve">Gross (actual)</t>
  </si>
  <si>
    <t xml:space="preserve">Average value</t>
  </si>
  <si>
    <t xml:space="preserve">However, we are inclined to merely take the Gross and Hayman (1970) result as confirming the later</t>
  </si>
  <si>
    <t xml:space="preserve">result of Hemingway and Robie (1977), which was adopted by Robie et al. (1978).</t>
  </si>
  <si>
    <t xml:space="preserve">Correcting the gibbsite and corundum data of Robie et al. (1978) for consistency with CODATA 89 elemental </t>
  </si>
  <si>
    <t xml:space="preserve">entropies.</t>
  </si>
  <si>
    <t xml:space="preserve">We accept the H-S values for these solids and calculate the G values.</t>
  </si>
  <si>
    <t xml:space="preserve">28.35</t>
  </si>
  <si>
    <t xml:space="preserve">Original data from Robie et al. (1978)</t>
  </si>
</sst>
</file>

<file path=xl/styles.xml><?xml version="1.0" encoding="utf-8"?>
<styleSheet xmlns="http://schemas.openxmlformats.org/spreadsheetml/2006/main">
  <numFmts count="10">
    <numFmt numFmtId="164" formatCode="General"/>
    <numFmt numFmtId="165" formatCode="D\-MMM\-YYYY;@"/>
    <numFmt numFmtId="166" formatCode="@"/>
    <numFmt numFmtId="167" formatCode="0.000"/>
    <numFmt numFmtId="168" formatCode="0.00"/>
    <numFmt numFmtId="169" formatCode="0.0"/>
    <numFmt numFmtId="170" formatCode="0.0000"/>
    <numFmt numFmtId="171" formatCode="_(\$* #,##0.00_);_(\$* \(#,##0.00\);_(\$* \-??_);_(@_)"/>
    <numFmt numFmtId="172" formatCode="#,##0.000"/>
    <numFmt numFmtId="173" formatCode="0"/>
  </numFmts>
  <fonts count="35">
    <font>
      <sz val="10"/>
      <name val="Arial"/>
      <family val="0"/>
      <charset val="1"/>
    </font>
    <font>
      <sz val="10"/>
      <name val="Arial"/>
      <family val="0"/>
    </font>
    <font>
      <sz val="10"/>
      <name val="Arial"/>
      <family val="0"/>
    </font>
    <font>
      <sz val="10"/>
      <name val="Arial"/>
      <family val="0"/>
    </font>
    <font>
      <sz val="10"/>
      <name val="Arial"/>
      <family val="2"/>
      <charset val="1"/>
    </font>
    <font>
      <b val="true"/>
      <sz val="10"/>
      <name val="Arial"/>
      <family val="2"/>
      <charset val="1"/>
    </font>
    <font>
      <sz val="11"/>
      <name val="Arial"/>
      <family val="2"/>
      <charset val="1"/>
    </font>
    <font>
      <u val="single"/>
      <sz val="10"/>
      <color rgb="FF0000FF"/>
      <name val="Arial"/>
      <family val="2"/>
      <charset val="1"/>
    </font>
    <font>
      <sz val="10"/>
      <color rgb="FF000000"/>
      <name val="Arial"/>
      <family val="2"/>
    </font>
    <font>
      <sz val="11"/>
      <color rgb="FF000000"/>
      <name val="DejaVu Sans"/>
      <family val="2"/>
    </font>
    <font>
      <sz val="11"/>
      <color rgb="FF000000"/>
      <name val="Cambria Math"/>
      <family val="0"/>
    </font>
    <font>
      <i val="true"/>
      <sz val="10"/>
      <color rgb="FF000000"/>
      <name val="Arial"/>
      <family val="2"/>
    </font>
    <font>
      <i val="true"/>
      <sz val="11"/>
      <color rgb="FF000000"/>
      <name val="Calibri"/>
      <family val="0"/>
    </font>
    <font>
      <vertAlign val="superscript"/>
      <sz val="10"/>
      <color rgb="FF000000"/>
      <name val="Arial"/>
      <family val="2"/>
    </font>
    <font>
      <b val="true"/>
      <sz val="12"/>
      <color rgb="FF000000"/>
      <name val="Times New Roman"/>
      <family val="1"/>
    </font>
    <font>
      <sz val="12"/>
      <color rgb="FF000000"/>
      <name val="Times New Roman"/>
      <family val="1"/>
    </font>
    <font>
      <sz val="12"/>
      <color rgb="FF000000"/>
      <name val="Times New Roman"/>
      <family val="0"/>
    </font>
    <font>
      <i val="true"/>
      <sz val="12"/>
      <color rgb="FF000000"/>
      <name val="Times New Roman"/>
      <family val="0"/>
    </font>
    <font>
      <u val="single"/>
      <sz val="12"/>
      <color rgb="FF0000FF"/>
      <name val="Times New Roman"/>
      <family val="0"/>
    </font>
    <font>
      <b val="true"/>
      <sz val="12"/>
      <color rgb="FF000000"/>
      <name val="Times New Roman"/>
      <family val="0"/>
    </font>
    <font>
      <u val="single"/>
      <sz val="12"/>
      <color rgb="FF000000"/>
      <name val="Times New Roman"/>
      <family val="1"/>
    </font>
    <font>
      <i val="true"/>
      <sz val="12"/>
      <color rgb="FF000000"/>
      <name val="Times New Roman"/>
      <family val="1"/>
    </font>
    <font>
      <u val="single"/>
      <sz val="12"/>
      <color rgb="FF0000FF"/>
      <name val="Times New Roman"/>
      <family val="1"/>
    </font>
    <font>
      <vertAlign val="subscript"/>
      <sz val="12"/>
      <color rgb="FF000000"/>
      <name val="Times New Roman"/>
      <family val="0"/>
    </font>
    <font>
      <u val="single"/>
      <sz val="11"/>
      <color rgb="FF000000"/>
      <name val="Calibri"/>
      <family val="0"/>
    </font>
    <font>
      <i val="true"/>
      <vertAlign val="superscript"/>
      <sz val="12"/>
      <color rgb="FF000000"/>
      <name val="Times New Roman"/>
      <family val="1"/>
    </font>
    <font>
      <b val="true"/>
      <vertAlign val="superscript"/>
      <sz val="10"/>
      <name val="Arial"/>
      <family val="2"/>
      <charset val="1"/>
    </font>
    <font>
      <b val="true"/>
      <vertAlign val="subscript"/>
      <sz val="10"/>
      <name val="Arial"/>
      <family val="2"/>
      <charset val="1"/>
    </font>
    <font>
      <vertAlign val="subscript"/>
      <sz val="10"/>
      <name val="Arial"/>
      <family val="2"/>
      <charset val="1"/>
    </font>
    <font>
      <vertAlign val="superscript"/>
      <sz val="10"/>
      <name val="Arial"/>
      <family val="2"/>
      <charset val="1"/>
    </font>
    <font>
      <sz val="10"/>
      <name val="Calibri"/>
      <family val="2"/>
      <charset val="1"/>
    </font>
    <font>
      <b val="true"/>
      <sz val="10"/>
      <name val="Calibri"/>
      <family val="2"/>
      <charset val="1"/>
    </font>
    <font>
      <vertAlign val="subscript"/>
      <sz val="10"/>
      <name val="Calibri"/>
      <family val="2"/>
      <charset val="1"/>
    </font>
    <font>
      <sz val="11"/>
      <color rgb="FF000000"/>
      <name val="Calibri"/>
      <family val="2"/>
      <charset val="1"/>
    </font>
    <font>
      <vertAlign val="subscript"/>
      <sz val="11"/>
      <color rgb="FF000000"/>
      <name val="Calibri"/>
      <family val="2"/>
      <charset val="1"/>
    </font>
  </fonts>
  <fills count="17">
    <fill>
      <patternFill patternType="none"/>
    </fill>
    <fill>
      <patternFill patternType="gray125"/>
    </fill>
    <fill>
      <patternFill patternType="solid">
        <fgColor rgb="FFE6E0EC"/>
        <bgColor rgb="FFDCE6F2"/>
      </patternFill>
    </fill>
    <fill>
      <patternFill patternType="solid">
        <fgColor rgb="FFF2F2F2"/>
        <bgColor rgb="FFF8F8F8"/>
      </patternFill>
    </fill>
    <fill>
      <patternFill patternType="solid">
        <fgColor rgb="FFDCE6F2"/>
        <bgColor rgb="FFE6E0EC"/>
      </patternFill>
    </fill>
    <fill>
      <patternFill patternType="solid">
        <fgColor rgb="FFF8F8F8"/>
        <bgColor rgb="FFF2F2F2"/>
      </patternFill>
    </fill>
    <fill>
      <patternFill patternType="solid">
        <fgColor rgb="FFFFFFCC"/>
        <bgColor rgb="FFF8F8F8"/>
      </patternFill>
    </fill>
    <fill>
      <patternFill patternType="solid">
        <fgColor rgb="FFCCFFFF"/>
        <bgColor rgb="FFCCFFCC"/>
      </patternFill>
    </fill>
    <fill>
      <patternFill patternType="solid">
        <fgColor rgb="FFCCFFCC"/>
        <bgColor rgb="FFCCFFFF"/>
      </patternFill>
    </fill>
    <fill>
      <patternFill patternType="solid">
        <fgColor rgb="FFD9D9D9"/>
        <bgColor rgb="FFE6E0EC"/>
      </patternFill>
    </fill>
    <fill>
      <patternFill patternType="solid">
        <fgColor rgb="FFEAEAEA"/>
        <bgColor rgb="FFF2F2F2"/>
      </patternFill>
    </fill>
    <fill>
      <patternFill patternType="solid">
        <fgColor rgb="FFFFCCCC"/>
        <bgColor rgb="FFFFCC99"/>
      </patternFill>
    </fill>
    <fill>
      <patternFill patternType="solid">
        <fgColor rgb="FFFFCC99"/>
        <bgColor rgb="FFFFCCCC"/>
      </patternFill>
    </fill>
    <fill>
      <patternFill patternType="solid">
        <fgColor rgb="FFFFFF00"/>
        <bgColor rgb="FFFFFF00"/>
      </patternFill>
    </fill>
    <fill>
      <patternFill patternType="solid">
        <fgColor rgb="FFFFCC66"/>
        <bgColor rgb="FFFFCC99"/>
      </patternFill>
    </fill>
    <fill>
      <patternFill patternType="solid">
        <fgColor rgb="FFCCFF99"/>
        <bgColor rgb="FFCCFFCC"/>
      </patternFill>
    </fill>
    <fill>
      <patternFill patternType="solid">
        <fgColor rgb="FFFF0000"/>
        <bgColor rgb="FF993300"/>
      </patternFill>
    </fill>
  </fills>
  <borders count="68">
    <border diagonalUp="false" diagonalDown="false">
      <left/>
      <right/>
      <top/>
      <bottom/>
      <diagonal/>
    </border>
    <border diagonalUp="false" diagonalDown="false">
      <left style="medium"/>
      <right style="medium"/>
      <top style="medium"/>
      <bottom/>
      <diagonal/>
    </border>
    <border diagonalUp="false" diagonalDown="false">
      <left style="medium"/>
      <right/>
      <top style="medium"/>
      <bottom/>
      <diagonal/>
    </border>
    <border diagonalUp="false" diagonalDown="false">
      <left style="medium"/>
      <right style="medium"/>
      <top/>
      <bottom/>
      <diagonal/>
    </border>
    <border diagonalUp="false" diagonalDown="false">
      <left style="medium"/>
      <right/>
      <top/>
      <bottom/>
      <diagonal/>
    </border>
    <border diagonalUp="false" diagonalDown="false">
      <left style="medium"/>
      <right style="medium"/>
      <top/>
      <bottom style="medium"/>
      <diagonal/>
    </border>
    <border diagonalUp="false" diagonalDown="false">
      <left style="medium"/>
      <right/>
      <top/>
      <bottom style="medium"/>
      <diagonal/>
    </border>
    <border diagonalUp="false" diagonalDown="false">
      <left style="medium"/>
      <right style="medium"/>
      <top/>
      <bottom style="thin"/>
      <diagonal/>
    </border>
    <border diagonalUp="false" diagonalDown="false">
      <left style="medium"/>
      <right/>
      <top/>
      <bottom style="thin"/>
      <diagonal/>
    </border>
    <border diagonalUp="false" diagonalDown="false">
      <left style="medium"/>
      <right style="medium"/>
      <top style="thin"/>
      <bottom style="thin"/>
      <diagonal/>
    </border>
    <border diagonalUp="false" diagonalDown="false">
      <left style="medium"/>
      <right/>
      <top style="thin"/>
      <bottom style="thin"/>
      <diagonal/>
    </border>
    <border diagonalUp="false" diagonalDown="false">
      <left style="medium"/>
      <right style="medium"/>
      <top style="thin"/>
      <bottom style="medium"/>
      <diagonal/>
    </border>
    <border diagonalUp="false" diagonalDown="false">
      <left style="medium"/>
      <right/>
      <top style="thin"/>
      <bottom style="medium"/>
      <diagonal/>
    </border>
    <border diagonalUp="false" diagonalDown="false">
      <left style="medium"/>
      <right/>
      <top style="medium"/>
      <bottom style="medium"/>
      <diagonal/>
    </border>
    <border diagonalUp="false" diagonalDown="false">
      <left style="medium"/>
      <right style="medium"/>
      <top style="medium"/>
      <bottom style="medium"/>
      <diagonal/>
    </border>
    <border diagonalUp="false" diagonalDown="false">
      <left style="medium"/>
      <right style="medium"/>
      <top style="medium"/>
      <bottom style="thin"/>
      <diagonal/>
    </border>
    <border diagonalUp="false" diagonalDown="false">
      <left/>
      <right/>
      <top style="medium"/>
      <bottom style="medium"/>
      <diagonal/>
    </border>
    <border diagonalUp="false" diagonalDown="false">
      <left/>
      <right/>
      <top style="medium"/>
      <bottom/>
      <diagonal/>
    </border>
    <border diagonalUp="false" diagonalDown="false">
      <left/>
      <right/>
      <top/>
      <bottom style="thin"/>
      <diagonal/>
    </border>
    <border diagonalUp="false" diagonalDown="false">
      <left/>
      <right/>
      <top style="thin"/>
      <bottom style="thin"/>
      <diagonal/>
    </border>
    <border diagonalUp="false" diagonalDown="false">
      <left/>
      <right/>
      <top style="thin"/>
      <bottom style="medium"/>
      <diagonal/>
    </border>
    <border diagonalUp="false" diagonalDown="false">
      <left/>
      <right style="medium"/>
      <top style="medium"/>
      <bottom style="medium"/>
      <diagonal/>
    </border>
    <border diagonalUp="false" diagonalDown="false">
      <left style="medium"/>
      <right style="medium"/>
      <top style="thin"/>
      <bottom/>
      <diagonal/>
    </border>
    <border diagonalUp="false" diagonalDown="false">
      <left/>
      <right/>
      <top style="medium"/>
      <bottom style="thin"/>
      <diagonal/>
    </border>
    <border diagonalUp="false" diagonalDown="false">
      <left/>
      <right style="medium"/>
      <top style="medium"/>
      <bottom/>
      <diagonal/>
    </border>
    <border diagonalUp="false" diagonalDown="false">
      <left/>
      <right style="medium"/>
      <top/>
      <bottom/>
      <diagonal/>
    </border>
    <border diagonalUp="false" diagonalDown="false">
      <left style="medium"/>
      <right/>
      <top style="medium"/>
      <bottom style="thin"/>
      <diagonal/>
    </border>
    <border diagonalUp="false" diagonalDown="false">
      <left/>
      <right/>
      <top style="thin"/>
      <bottom/>
      <diagonal/>
    </border>
    <border diagonalUp="false" diagonalDown="false">
      <left/>
      <right style="medium"/>
      <top style="medium"/>
      <bottom style="thin"/>
      <diagonal/>
    </border>
    <border diagonalUp="false" diagonalDown="false">
      <left style="medium"/>
      <right/>
      <top style="thin"/>
      <bottom/>
      <diagonal/>
    </border>
    <border diagonalUp="false" diagonalDown="false">
      <left/>
      <right style="medium"/>
      <top style="thin"/>
      <bottom/>
      <diagonal/>
    </border>
    <border diagonalUp="false" diagonalDown="false">
      <left/>
      <right style="medium"/>
      <top style="thin"/>
      <bottom style="medium"/>
      <diagonal/>
    </border>
    <border diagonalUp="false" diagonalDown="false">
      <left/>
      <right style="medium"/>
      <top/>
      <bottom style="medium"/>
      <diagonal/>
    </border>
    <border diagonalUp="false" diagonalDown="false">
      <left/>
      <right/>
      <top/>
      <bottom style="medium"/>
      <diagonal/>
    </border>
    <border diagonalUp="false" diagonalDown="false">
      <left style="thin"/>
      <right style="thin"/>
      <top style="thin"/>
      <bottom style="thin"/>
      <diagonal/>
    </border>
    <border diagonalUp="false" diagonalDown="false">
      <left/>
      <right style="medium"/>
      <top style="thin"/>
      <bottom style="thin"/>
      <diagonal/>
    </border>
    <border diagonalUp="false" diagonalDown="false">
      <left/>
      <right style="thin"/>
      <top style="medium"/>
      <bottom style="thin"/>
      <diagonal/>
    </border>
    <border diagonalUp="false" diagonalDown="false">
      <left style="thin"/>
      <right style="thin"/>
      <top style="medium"/>
      <bottom style="thin"/>
      <diagonal/>
    </border>
    <border diagonalUp="false" diagonalDown="false">
      <left style="thin"/>
      <right style="medium"/>
      <top style="medium"/>
      <bottom style="thin"/>
      <diagonal/>
    </border>
    <border diagonalUp="false" diagonalDown="false">
      <left style="thin"/>
      <right/>
      <top style="medium"/>
      <bottom style="thin"/>
      <diagonal/>
    </border>
    <border diagonalUp="false" diagonalDown="false">
      <left/>
      <right style="thin"/>
      <top style="thin"/>
      <bottom/>
      <diagonal/>
    </border>
    <border diagonalUp="false" diagonalDown="false">
      <left style="thin"/>
      <right style="thin"/>
      <top style="thin"/>
      <bottom/>
      <diagonal/>
    </border>
    <border diagonalUp="false" diagonalDown="false">
      <left style="thin"/>
      <right/>
      <top style="thin"/>
      <bottom/>
      <diagonal/>
    </border>
    <border diagonalUp="false" diagonalDown="false">
      <left/>
      <right style="thin"/>
      <top style="thin"/>
      <bottom style="medium"/>
      <diagonal/>
    </border>
    <border diagonalUp="false" diagonalDown="false">
      <left style="thin"/>
      <right style="thin"/>
      <top style="thin"/>
      <bottom style="medium"/>
      <diagonal/>
    </border>
    <border diagonalUp="false" diagonalDown="false">
      <left style="medium"/>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style="medium"/>
      <right style="thin"/>
      <top style="medium"/>
      <bottom/>
      <diagonal/>
    </border>
    <border diagonalUp="false" diagonalDown="false">
      <left style="thin"/>
      <right style="thin"/>
      <top style="medium"/>
      <bottom/>
      <diagonal/>
    </border>
    <border diagonalUp="false" diagonalDown="false">
      <left style="thin"/>
      <right style="medium"/>
      <top style="medium"/>
      <bottom/>
      <diagonal/>
    </border>
    <border diagonalUp="false" diagonalDown="false">
      <left style="medium"/>
      <right style="thin"/>
      <top/>
      <bottom style="thin"/>
      <diagonal/>
    </border>
    <border diagonalUp="false" diagonalDown="false">
      <left style="thin"/>
      <right style="thin"/>
      <top/>
      <bottom style="thin"/>
      <diagonal/>
    </border>
    <border diagonalUp="false" diagonalDown="false">
      <left style="thin"/>
      <right/>
      <top/>
      <bottom style="thin"/>
      <diagonal/>
    </border>
    <border diagonalUp="false" diagonalDown="false">
      <left style="thin"/>
      <right style="medium"/>
      <top/>
      <bottom style="thin"/>
      <diagonal/>
    </border>
    <border diagonalUp="false" diagonalDown="false">
      <left style="medium"/>
      <right style="thin"/>
      <top style="medium"/>
      <bottom style="thin"/>
      <diagonal/>
    </border>
    <border diagonalUp="false" diagonalDown="false">
      <left style="medium"/>
      <right style="thin"/>
      <top style="thin"/>
      <bottom style="thin"/>
      <diagonal/>
    </border>
    <border diagonalUp="false" diagonalDown="false">
      <left style="thin"/>
      <right/>
      <top style="thin"/>
      <bottom style="thin"/>
      <diagonal/>
    </border>
    <border diagonalUp="false" diagonalDown="false">
      <left style="thin"/>
      <right style="medium"/>
      <top style="thin"/>
      <bottom style="thin"/>
      <diagonal/>
    </border>
    <border diagonalUp="false" diagonalDown="false">
      <left style="medium"/>
      <right style="thin"/>
      <top style="thin"/>
      <bottom style="medium"/>
      <diagonal/>
    </border>
    <border diagonalUp="false" diagonalDown="false">
      <left style="thin"/>
      <right/>
      <top style="thin"/>
      <bottom style="medium"/>
      <diagonal/>
    </border>
    <border diagonalUp="false" diagonalDown="false">
      <left style="thin"/>
      <right style="medium"/>
      <top style="thin"/>
      <bottom style="medium"/>
      <diagonal/>
    </border>
    <border diagonalUp="false" diagonalDown="false">
      <left style="thin"/>
      <right/>
      <top/>
      <bottom/>
      <diagonal/>
    </border>
    <border diagonalUp="false" diagonalDown="false">
      <left style="thin"/>
      <right style="medium"/>
      <top/>
      <bottom style="medium"/>
      <diagonal/>
    </border>
    <border diagonalUp="false" diagonalDown="false">
      <left/>
      <right style="thin"/>
      <top style="thin"/>
      <bottom style="thin"/>
      <diagonal/>
    </border>
    <border diagonalUp="false" diagonalDown="false">
      <left/>
      <right style="thin"/>
      <top/>
      <bottom style="thin"/>
      <diagonal/>
    </border>
    <border diagonalUp="false" diagonalDown="false">
      <left style="medium"/>
      <right style="thin"/>
      <top style="thin"/>
      <bottom/>
      <diagonal/>
    </border>
    <border diagonalUp="false" diagonalDown="false">
      <left style="medium"/>
      <right style="thin"/>
      <top/>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171" fontId="0" fillId="0" borderId="0" applyFont="true" applyBorder="false" applyAlignment="true" applyProtection="false">
      <alignment horizontal="general" vertical="bottom" textRotation="0" wrapText="false" indent="0" shrinkToFit="false"/>
    </xf>
    <xf numFmtId="42" fontId="1" fillId="0" borderId="0" applyFont="true" applyBorder="false" applyAlignment="false" applyProtection="false"/>
    <xf numFmtId="9" fontId="1" fillId="0" borderId="0" applyFont="true" applyBorder="false" applyAlignment="false" applyProtection="false"/>
    <xf numFmtId="164" fontId="7" fillId="0" borderId="0" applyFont="true" applyBorder="false" applyAlignment="true" applyProtection="false">
      <alignment horizontal="general" vertical="bottom"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cellStyleXfs>
  <cellXfs count="759">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false" applyProtection="true">
      <alignment horizontal="general" vertical="bottom" textRotation="0" wrapText="false" indent="0" shrinkToFit="false"/>
      <protection locked="false" hidden="false"/>
    </xf>
    <xf numFmtId="164" fontId="5" fillId="0" borderId="0" xfId="0" applyFont="true" applyBorder="true" applyAlignment="false" applyProtection="false">
      <alignment horizontal="general" vertical="bottom" textRotation="0" wrapText="false" indent="0" shrinkToFit="false"/>
      <protection locked="true" hidden="false"/>
    </xf>
    <xf numFmtId="164" fontId="6" fillId="0" borderId="0" xfId="0" applyFont="true" applyBorder="true" applyAlignment="false" applyProtection="true">
      <alignment horizontal="general" vertical="bottom" textRotation="0" wrapText="false" indent="0" shrinkToFit="false"/>
      <protection locked="false" hidden="false"/>
    </xf>
    <xf numFmtId="164" fontId="4" fillId="0" borderId="0" xfId="0" applyFont="true" applyBorder="true" applyAlignment="false" applyProtection="true">
      <alignment horizontal="general" vertical="bottom" textRotation="0" wrapText="false" indent="0" shrinkToFit="false"/>
      <protection locked="false" hidden="false"/>
    </xf>
    <xf numFmtId="164" fontId="0" fillId="0" borderId="0" xfId="0" applyFont="false" applyBorder="true" applyAlignment="false" applyProtection="true">
      <alignment horizontal="general" vertical="bottom" textRotation="0" wrapText="false" indent="0" shrinkToFit="false"/>
      <protection locked="false" hidden="false"/>
    </xf>
    <xf numFmtId="164" fontId="5" fillId="0" borderId="0" xfId="0" applyFont="true" applyBorder="true" applyAlignment="false" applyProtection="true">
      <alignment horizontal="general" vertical="bottom" textRotation="0" wrapText="false" indent="0" shrinkToFit="false"/>
      <protection locked="false" hidden="false"/>
    </xf>
    <xf numFmtId="165" fontId="4" fillId="0" borderId="0" xfId="0" applyFont="true" applyBorder="false" applyAlignment="true" applyProtection="true">
      <alignment horizontal="left" vertical="bottom" textRotation="0" wrapText="false" indent="0" shrinkToFit="false"/>
      <protection locked="false" hidden="false"/>
    </xf>
    <xf numFmtId="164" fontId="7" fillId="0" borderId="0" xfId="20" applyFont="true" applyBorder="true" applyAlignment="true" applyProtection="true">
      <alignment horizontal="general" vertical="bottom" textRotation="0" wrapText="false" indent="0" shrinkToFit="false"/>
      <protection locked="fals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1" xfId="0" applyFont="true" applyBorder="true" applyAlignment="false" applyProtection="false">
      <alignment horizontal="general" vertical="bottom" textRotation="0" wrapText="false" indent="0" shrinkToFit="false"/>
      <protection locked="true" hidden="false"/>
    </xf>
    <xf numFmtId="164" fontId="5" fillId="2" borderId="2" xfId="0" applyFont="true" applyBorder="true" applyAlignment="false" applyProtection="false">
      <alignment horizontal="general" vertical="bottom" textRotation="0" wrapText="false" indent="0" shrinkToFit="false"/>
      <protection locked="true" hidden="false"/>
    </xf>
    <xf numFmtId="164" fontId="5" fillId="3" borderId="1" xfId="0" applyFont="true" applyBorder="true" applyAlignment="false" applyProtection="false">
      <alignment horizontal="general" vertical="bottom" textRotation="0" wrapText="false" indent="0" shrinkToFit="false"/>
      <protection locked="true" hidden="false"/>
    </xf>
    <xf numFmtId="164" fontId="5" fillId="4" borderId="1" xfId="0" applyFont="true" applyBorder="true" applyAlignment="false" applyProtection="false">
      <alignment horizontal="general" vertical="bottom" textRotation="0" wrapText="false" indent="0" shrinkToFit="false"/>
      <protection locked="true" hidden="false"/>
    </xf>
    <xf numFmtId="164" fontId="5" fillId="0" borderId="2" xfId="0" applyFont="true" applyBorder="true" applyAlignment="false" applyProtection="false">
      <alignment horizontal="general" vertical="bottom" textRotation="0" wrapText="false" indent="0" shrinkToFit="false"/>
      <protection locked="true" hidden="false"/>
    </xf>
    <xf numFmtId="164" fontId="5" fillId="0" borderId="3" xfId="0" applyFont="true" applyBorder="true" applyAlignment="false" applyProtection="false">
      <alignment horizontal="general" vertical="bottom" textRotation="0" wrapText="false" indent="0" shrinkToFit="false"/>
      <protection locked="true" hidden="false"/>
    </xf>
    <xf numFmtId="164" fontId="5" fillId="2" borderId="4" xfId="0" applyFont="true" applyBorder="true" applyAlignment="false" applyProtection="false">
      <alignment horizontal="general" vertical="bottom" textRotation="0" wrapText="false" indent="0" shrinkToFit="false"/>
      <protection locked="true" hidden="false"/>
    </xf>
    <xf numFmtId="164" fontId="5" fillId="3" borderId="3" xfId="0" applyFont="true" applyBorder="true" applyAlignment="false" applyProtection="false">
      <alignment horizontal="general" vertical="bottom" textRotation="0" wrapText="false" indent="0" shrinkToFit="false"/>
      <protection locked="true" hidden="false"/>
    </xf>
    <xf numFmtId="164" fontId="5" fillId="4" borderId="3" xfId="0" applyFont="true" applyBorder="true" applyAlignment="false" applyProtection="false">
      <alignment horizontal="general" vertical="bottom" textRotation="0" wrapText="false" indent="0" shrinkToFit="false"/>
      <protection locked="true" hidden="false"/>
    </xf>
    <xf numFmtId="164" fontId="5" fillId="0" borderId="4" xfId="0" applyFont="true" applyBorder="true" applyAlignment="false" applyProtection="false">
      <alignment horizontal="general" vertical="bottom" textRotation="0" wrapText="false" indent="0" shrinkToFit="false"/>
      <protection locked="true" hidden="false"/>
    </xf>
    <xf numFmtId="164" fontId="5" fillId="0" borderId="5" xfId="0" applyFont="true" applyBorder="true" applyAlignment="false" applyProtection="false">
      <alignment horizontal="general" vertical="bottom" textRotation="0" wrapText="false" indent="0" shrinkToFit="false"/>
      <protection locked="true" hidden="false"/>
    </xf>
    <xf numFmtId="164" fontId="5" fillId="2" borderId="6" xfId="0" applyFont="true" applyBorder="true" applyAlignment="false" applyProtection="false">
      <alignment horizontal="general" vertical="bottom" textRotation="0" wrapText="false" indent="0" shrinkToFit="false"/>
      <protection locked="true" hidden="false"/>
    </xf>
    <xf numFmtId="164" fontId="5" fillId="3" borderId="5" xfId="0" applyFont="true" applyBorder="true" applyAlignment="false" applyProtection="false">
      <alignment horizontal="general" vertical="bottom" textRotation="0" wrapText="false" indent="0" shrinkToFit="false"/>
      <protection locked="true" hidden="false"/>
    </xf>
    <xf numFmtId="164" fontId="5" fillId="4" borderId="5" xfId="0" applyFont="true" applyBorder="true" applyAlignment="false" applyProtection="false">
      <alignment horizontal="general" vertical="bottom" textRotation="0" wrapText="false" indent="0" shrinkToFit="false"/>
      <protection locked="true" hidden="false"/>
    </xf>
    <xf numFmtId="164" fontId="5" fillId="0" borderId="6" xfId="0" applyFont="true" applyBorder="true" applyAlignment="false" applyProtection="false">
      <alignment horizontal="general" vertical="bottom" textRotation="0" wrapText="false" indent="0" shrinkToFit="false"/>
      <protection locked="true" hidden="false"/>
    </xf>
    <xf numFmtId="164" fontId="4" fillId="0" borderId="7" xfId="0" applyFont="true" applyBorder="true" applyAlignment="false" applyProtection="false">
      <alignment horizontal="general" vertical="bottom" textRotation="0" wrapText="false" indent="0" shrinkToFit="false"/>
      <protection locked="true" hidden="false"/>
    </xf>
    <xf numFmtId="164" fontId="0" fillId="2" borderId="8" xfId="0" applyFont="false" applyBorder="true" applyAlignment="false" applyProtection="false">
      <alignment horizontal="general" vertical="bottom" textRotation="0" wrapText="false" indent="0" shrinkToFit="false"/>
      <protection locked="true" hidden="false"/>
    </xf>
    <xf numFmtId="164" fontId="0" fillId="3" borderId="7" xfId="0" applyFont="false" applyBorder="true" applyAlignment="false" applyProtection="false">
      <alignment horizontal="general" vertical="bottom" textRotation="0" wrapText="false" indent="0" shrinkToFit="false"/>
      <protection locked="true" hidden="false"/>
    </xf>
    <xf numFmtId="164" fontId="0" fillId="4" borderId="7" xfId="0" applyFont="false" applyBorder="true" applyAlignment="false" applyProtection="false">
      <alignment horizontal="general" vertical="bottom" textRotation="0" wrapText="false" indent="0" shrinkToFit="false"/>
      <protection locked="true" hidden="false"/>
    </xf>
    <xf numFmtId="164" fontId="4" fillId="3" borderId="7" xfId="0" applyFont="true" applyBorder="true" applyAlignment="false" applyProtection="false">
      <alignment horizontal="general" vertical="bottom" textRotation="0" wrapText="false" indent="0" shrinkToFit="false"/>
      <protection locked="true" hidden="false"/>
    </xf>
    <xf numFmtId="164" fontId="4" fillId="0" borderId="9" xfId="0" applyFont="true" applyBorder="true" applyAlignment="false" applyProtection="false">
      <alignment horizontal="general" vertical="bottom" textRotation="0" wrapText="false" indent="0" shrinkToFit="false"/>
      <protection locked="true" hidden="false"/>
    </xf>
    <xf numFmtId="164" fontId="0" fillId="2" borderId="10" xfId="0" applyFont="false" applyBorder="true" applyAlignment="false" applyProtection="false">
      <alignment horizontal="general" vertical="bottom" textRotation="0" wrapText="false" indent="0" shrinkToFit="false"/>
      <protection locked="true" hidden="false"/>
    </xf>
    <xf numFmtId="164" fontId="0" fillId="3" borderId="9" xfId="0" applyFont="false" applyBorder="true" applyAlignment="false" applyProtection="false">
      <alignment horizontal="general" vertical="bottom" textRotation="0" wrapText="false" indent="0" shrinkToFit="false"/>
      <protection locked="true" hidden="false"/>
    </xf>
    <xf numFmtId="164" fontId="0" fillId="4" borderId="9" xfId="0" applyFont="false" applyBorder="true" applyAlignment="false" applyProtection="false">
      <alignment horizontal="general" vertical="bottom" textRotation="0" wrapText="false" indent="0" shrinkToFit="false"/>
      <protection locked="true" hidden="false"/>
    </xf>
    <xf numFmtId="164" fontId="4" fillId="3" borderId="9" xfId="0" applyFont="true" applyBorder="true" applyAlignment="false" applyProtection="false">
      <alignment horizontal="general" vertical="bottom" textRotation="0" wrapText="false" indent="0" shrinkToFit="false"/>
      <protection locked="true" hidden="false"/>
    </xf>
    <xf numFmtId="164" fontId="4" fillId="5" borderId="9" xfId="0" applyFont="true" applyBorder="true" applyAlignment="false" applyProtection="false">
      <alignment horizontal="general" vertical="bottom" textRotation="0" wrapText="false" indent="0" shrinkToFit="false"/>
      <protection locked="true" hidden="false"/>
    </xf>
    <xf numFmtId="164" fontId="4" fillId="4" borderId="9" xfId="0" applyFont="true" applyBorder="true" applyAlignment="false" applyProtection="false">
      <alignment horizontal="general" vertical="bottom" textRotation="0" wrapText="false" indent="0" shrinkToFit="false"/>
      <protection locked="true" hidden="false"/>
    </xf>
    <xf numFmtId="164" fontId="4" fillId="0" borderId="9" xfId="0" applyFont="true" applyBorder="true" applyAlignment="false" applyProtection="false">
      <alignment horizontal="general" vertical="bottom" textRotation="0" wrapText="false" indent="0" shrinkToFit="false"/>
      <protection locked="true" hidden="false"/>
    </xf>
    <xf numFmtId="164" fontId="4" fillId="0" borderId="11" xfId="0" applyFont="true" applyBorder="true" applyAlignment="false" applyProtection="false">
      <alignment horizontal="general" vertical="bottom" textRotation="0" wrapText="false" indent="0" shrinkToFit="false"/>
      <protection locked="true" hidden="false"/>
    </xf>
    <xf numFmtId="164" fontId="0" fillId="2" borderId="12" xfId="0" applyFont="false" applyBorder="true" applyAlignment="false" applyProtection="false">
      <alignment horizontal="general" vertical="bottom" textRotation="0" wrapText="false" indent="0" shrinkToFit="false"/>
      <protection locked="true" hidden="false"/>
    </xf>
    <xf numFmtId="164" fontId="0" fillId="3" borderId="11" xfId="0" applyFont="false" applyBorder="true" applyAlignment="false" applyProtection="false">
      <alignment horizontal="general" vertical="bottom" textRotation="0" wrapText="false" indent="0" shrinkToFit="false"/>
      <protection locked="true" hidden="false"/>
    </xf>
    <xf numFmtId="164" fontId="0" fillId="4" borderId="11" xfId="0" applyFont="false" applyBorder="true" applyAlignment="false" applyProtection="false">
      <alignment horizontal="general" vertical="bottom" textRotation="0" wrapText="false" indent="0" shrinkToFit="false"/>
      <protection locked="true" hidden="false"/>
    </xf>
    <xf numFmtId="164" fontId="4" fillId="3" borderId="11"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true" applyAlignment="false" applyProtection="false">
      <alignment horizontal="general" vertical="bottom" textRotation="0" wrapText="false" indent="0" shrinkToFit="false"/>
      <protection locked="true" hidden="false"/>
    </xf>
    <xf numFmtId="164" fontId="5" fillId="0" borderId="13" xfId="0" applyFont="true" applyBorder="true" applyAlignment="false" applyProtection="false">
      <alignment horizontal="general" vertical="bottom" textRotation="0" wrapText="false" indent="0" shrinkToFit="false"/>
      <protection locked="true" hidden="false"/>
    </xf>
    <xf numFmtId="164" fontId="5" fillId="0" borderId="14" xfId="0" applyFont="true" applyBorder="true" applyAlignment="true" applyProtection="false">
      <alignment horizontal="center" vertical="bottom" textRotation="0" wrapText="false" indent="0" shrinkToFit="false"/>
      <protection locked="true" hidden="false"/>
    </xf>
    <xf numFmtId="164" fontId="5" fillId="0" borderId="0" xfId="0" applyFont="true" applyBorder="true" applyAlignment="true" applyProtection="false">
      <alignment horizontal="center" vertical="bottom" textRotation="0" wrapText="false" indent="0" shrinkToFit="false"/>
      <protection locked="true" hidden="false"/>
    </xf>
    <xf numFmtId="164" fontId="5" fillId="0" borderId="1" xfId="0" applyFont="true" applyBorder="true" applyAlignment="true" applyProtection="false">
      <alignment horizontal="center" vertical="bottom" textRotation="0" wrapText="false" indent="0" shrinkToFit="false"/>
      <protection locked="true" hidden="false"/>
    </xf>
    <xf numFmtId="164" fontId="5" fillId="0" borderId="1" xfId="0" applyFont="true" applyBorder="true" applyAlignment="true" applyProtection="false">
      <alignment horizontal="center" vertical="bottom" textRotation="0" wrapText="false" indent="0" shrinkToFit="false"/>
      <protection locked="true" hidden="false"/>
    </xf>
    <xf numFmtId="164" fontId="5" fillId="0" borderId="0" xfId="0" applyFont="true" applyBorder="true" applyAlignment="true" applyProtection="false">
      <alignment horizontal="center" vertical="bottom" textRotation="0" wrapText="false" indent="0" shrinkToFit="false"/>
      <protection locked="true" hidden="false"/>
    </xf>
    <xf numFmtId="164" fontId="5" fillId="0" borderId="3" xfId="0" applyFont="true" applyBorder="true" applyAlignment="true" applyProtection="false">
      <alignment horizontal="center" vertical="bottom" textRotation="0" wrapText="false" indent="0" shrinkToFit="false"/>
      <protection locked="true" hidden="false"/>
    </xf>
    <xf numFmtId="164" fontId="5" fillId="0" borderId="3" xfId="0" applyFont="true" applyBorder="true" applyAlignment="true" applyProtection="false">
      <alignment horizontal="center" vertical="bottom" textRotation="0" wrapText="false" indent="0" shrinkToFit="false"/>
      <protection locked="true" hidden="false"/>
    </xf>
    <xf numFmtId="164" fontId="5" fillId="0" borderId="5" xfId="0" applyFont="true" applyBorder="true" applyAlignment="true" applyProtection="false">
      <alignment horizontal="center" vertical="bottom" textRotation="0" wrapText="false" indent="0" shrinkToFit="false"/>
      <protection locked="true" hidden="false"/>
    </xf>
    <xf numFmtId="166" fontId="4" fillId="6" borderId="7" xfId="0" applyFont="true" applyBorder="true" applyAlignment="true" applyProtection="false">
      <alignment horizontal="right" vertical="bottom" textRotation="0" wrapText="false" indent="0" shrinkToFit="false"/>
      <protection locked="true" hidden="false"/>
    </xf>
    <xf numFmtId="166" fontId="0" fillId="7" borderId="7" xfId="0" applyFont="false" applyBorder="true" applyAlignment="true" applyProtection="false">
      <alignment horizontal="right" vertical="bottom" textRotation="0" wrapText="false" indent="0" shrinkToFit="false"/>
      <protection locked="true" hidden="false"/>
    </xf>
    <xf numFmtId="166" fontId="0" fillId="0" borderId="0" xfId="0" applyFont="false" applyBorder="true" applyAlignment="true" applyProtection="false">
      <alignment horizontal="right" vertical="bottom" textRotation="0" wrapText="false" indent="0" shrinkToFit="false"/>
      <protection locked="true" hidden="false"/>
    </xf>
    <xf numFmtId="166" fontId="0" fillId="6" borderId="7" xfId="0" applyFont="false" applyBorder="true" applyAlignment="true" applyProtection="false">
      <alignment horizontal="right" vertical="bottom" textRotation="0" wrapText="false" indent="0" shrinkToFit="false"/>
      <protection locked="true" hidden="false"/>
    </xf>
    <xf numFmtId="167" fontId="0" fillId="6" borderId="7" xfId="0" applyFont="false" applyBorder="true" applyAlignment="true" applyProtection="false">
      <alignment horizontal="right" vertical="bottom" textRotation="0" wrapText="false" indent="0" shrinkToFit="false"/>
      <protection locked="true" hidden="false"/>
    </xf>
    <xf numFmtId="167" fontId="0" fillId="7" borderId="7" xfId="0" applyFont="false" applyBorder="true" applyAlignment="true" applyProtection="false">
      <alignment horizontal="right" vertical="bottom" textRotation="0" wrapText="false" indent="0" shrinkToFit="false"/>
      <protection locked="true" hidden="false"/>
    </xf>
    <xf numFmtId="166" fontId="0" fillId="6" borderId="9" xfId="0" applyFont="false" applyBorder="true" applyAlignment="true" applyProtection="false">
      <alignment horizontal="right" vertical="bottom" textRotation="0" wrapText="false" indent="0" shrinkToFit="false"/>
      <protection locked="true" hidden="false"/>
    </xf>
    <xf numFmtId="166" fontId="0" fillId="7" borderId="9" xfId="0" applyFont="false" applyBorder="true" applyAlignment="true" applyProtection="false">
      <alignment horizontal="right" vertical="bottom" textRotation="0" wrapText="false" indent="0" shrinkToFit="false"/>
      <protection locked="true" hidden="false"/>
    </xf>
    <xf numFmtId="166" fontId="4" fillId="6" borderId="9" xfId="0" applyFont="true" applyBorder="true" applyAlignment="true" applyProtection="false">
      <alignment horizontal="right" vertical="bottom" textRotation="0" wrapText="false" indent="0" shrinkToFit="false"/>
      <protection locked="true" hidden="false"/>
    </xf>
    <xf numFmtId="166" fontId="4" fillId="7" borderId="9" xfId="0" applyFont="true" applyBorder="true" applyAlignment="true" applyProtection="false">
      <alignment horizontal="right" vertical="bottom" textRotation="0" wrapText="false" indent="0" shrinkToFit="false"/>
      <protection locked="true" hidden="false"/>
    </xf>
    <xf numFmtId="166" fontId="4" fillId="0" borderId="0" xfId="0" applyFont="true" applyBorder="true" applyAlignment="true" applyProtection="false">
      <alignment horizontal="right" vertical="bottom" textRotation="0" wrapText="false" indent="0" shrinkToFit="false"/>
      <protection locked="true" hidden="false"/>
    </xf>
    <xf numFmtId="166" fontId="0" fillId="6" borderId="11" xfId="0" applyFont="false" applyBorder="true" applyAlignment="true" applyProtection="false">
      <alignment horizontal="right" vertical="bottom" textRotation="0" wrapText="false" indent="0" shrinkToFit="false"/>
      <protection locked="true" hidden="false"/>
    </xf>
    <xf numFmtId="166" fontId="0" fillId="7" borderId="11" xfId="0" applyFont="false" applyBorder="true" applyAlignment="true" applyProtection="false">
      <alignment horizontal="right" vertical="bottom" textRotation="0" wrapText="false" indent="0" shrinkToFit="false"/>
      <protection locked="true" hidden="false"/>
    </xf>
    <xf numFmtId="164" fontId="4" fillId="0" borderId="13" xfId="0" applyFont="true" applyBorder="true" applyAlignment="false" applyProtection="false">
      <alignment horizontal="general" vertical="bottom" textRotation="0" wrapText="false" indent="0" shrinkToFit="false"/>
      <protection locked="true" hidden="false"/>
    </xf>
    <xf numFmtId="164" fontId="0" fillId="0" borderId="14" xfId="0" applyFont="false" applyBorder="true" applyAlignment="false" applyProtection="false">
      <alignment horizontal="general"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4" fillId="0" borderId="14"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4" fillId="0" borderId="15" xfId="0" applyFont="true" applyBorder="true" applyAlignment="false" applyProtection="false">
      <alignment horizontal="general" vertical="bottom" textRotation="0" wrapText="false" indent="0" shrinkToFit="false"/>
      <protection locked="true" hidden="false"/>
    </xf>
    <xf numFmtId="166" fontId="0" fillId="6" borderId="9" xfId="0" applyFont="false" applyBorder="true" applyAlignment="false" applyProtection="false">
      <alignment horizontal="general" vertical="bottom" textRotation="0" wrapText="false" indent="0" shrinkToFit="false"/>
      <protection locked="true" hidden="false"/>
    </xf>
    <xf numFmtId="166" fontId="0" fillId="7" borderId="9" xfId="0" applyFont="false" applyBorder="true" applyAlignment="false" applyProtection="false">
      <alignment horizontal="general" vertical="bottom" textRotation="0" wrapText="false" indent="0" shrinkToFit="false"/>
      <protection locked="true" hidden="false"/>
    </xf>
    <xf numFmtId="166" fontId="0" fillId="0" borderId="0" xfId="0" applyFont="false" applyBorder="true" applyAlignment="false" applyProtection="false">
      <alignment horizontal="general" vertical="bottom" textRotation="0" wrapText="false" indent="0" shrinkToFit="false"/>
      <protection locked="true" hidden="false"/>
    </xf>
    <xf numFmtId="167" fontId="0" fillId="6" borderId="9" xfId="0" applyFont="false" applyBorder="true" applyAlignment="false" applyProtection="false">
      <alignment horizontal="general" vertical="bottom" textRotation="0" wrapText="false" indent="0" shrinkToFit="false"/>
      <protection locked="true" hidden="false"/>
    </xf>
    <xf numFmtId="167" fontId="0" fillId="7" borderId="9" xfId="0" applyFont="false" applyBorder="true" applyAlignment="false" applyProtection="false">
      <alignment horizontal="general" vertical="bottom" textRotation="0" wrapText="false" indent="0" shrinkToFit="false"/>
      <protection locked="true" hidden="false"/>
    </xf>
    <xf numFmtId="164" fontId="5" fillId="0" borderId="13" xfId="0" applyFont="true" applyBorder="true" applyAlignment="false" applyProtection="false">
      <alignment horizontal="general" vertical="bottom" textRotation="0" wrapText="false" indent="0" shrinkToFit="false"/>
      <protection locked="true" hidden="false"/>
    </xf>
    <xf numFmtId="164" fontId="4" fillId="0" borderId="13" xfId="0" applyFont="true" applyBorder="true" applyAlignment="true" applyProtection="false">
      <alignment horizontal="center" vertical="bottom" textRotation="0" wrapText="false" indent="0" shrinkToFit="false"/>
      <protection locked="true" hidden="false"/>
    </xf>
    <xf numFmtId="164" fontId="4" fillId="0" borderId="14" xfId="0" applyFont="true" applyBorder="true" applyAlignment="true" applyProtection="false">
      <alignment horizontal="center" vertical="bottom" textRotation="0" wrapText="false" indent="0" shrinkToFit="false"/>
      <protection locked="true" hidden="false"/>
    </xf>
    <xf numFmtId="164" fontId="4" fillId="0" borderId="0" xfId="0" applyFont="true" applyBorder="true" applyAlignment="true" applyProtection="false">
      <alignment horizontal="center" vertical="bottom" textRotation="0" wrapText="false" indent="0" shrinkToFit="false"/>
      <protection locked="true" hidden="false"/>
    </xf>
    <xf numFmtId="164" fontId="4" fillId="0" borderId="0" xfId="0" applyFont="true" applyBorder="true" applyAlignment="false" applyProtection="false">
      <alignment horizontal="general" vertical="bottom" textRotation="0" wrapText="false" indent="0" shrinkToFit="false"/>
      <protection locked="true" hidden="false"/>
    </xf>
    <xf numFmtId="167" fontId="4" fillId="6" borderId="7" xfId="0" applyFont="true" applyBorder="true" applyAlignment="true" applyProtection="false">
      <alignment horizontal="right" vertical="bottom" textRotation="0" wrapText="false" indent="0" shrinkToFit="false"/>
      <protection locked="true" hidden="false"/>
    </xf>
    <xf numFmtId="168" fontId="4" fillId="0" borderId="0" xfId="0" applyFont="true" applyBorder="true" applyAlignment="true" applyProtection="false">
      <alignment horizontal="right"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9" fontId="4" fillId="0" borderId="0" xfId="0" applyFont="true" applyBorder="tru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false" applyProtection="false">
      <alignment horizontal="general" vertical="bottom" textRotation="0" wrapText="false" indent="0" shrinkToFit="false"/>
      <protection locked="true" hidden="false"/>
    </xf>
    <xf numFmtId="168" fontId="4" fillId="0" borderId="0" xfId="0" applyFont="true" applyBorder="true" applyAlignment="false" applyProtection="false">
      <alignment horizontal="general" vertical="bottom" textRotation="0" wrapText="false" indent="0" shrinkToFit="false"/>
      <protection locked="true" hidden="false"/>
    </xf>
    <xf numFmtId="166" fontId="4" fillId="6" borderId="11" xfId="0" applyFont="true" applyBorder="true" applyAlignment="true" applyProtection="false">
      <alignment horizontal="right" vertical="bottom" textRotation="0" wrapText="false" indent="0" shrinkToFit="false"/>
      <protection locked="true" hidden="false"/>
    </xf>
    <xf numFmtId="167" fontId="4" fillId="6" borderId="9" xfId="0" applyFont="true" applyBorder="true" applyAlignment="true" applyProtection="false">
      <alignment horizontal="right" vertical="bottom" textRotation="0" wrapText="false" indent="0" shrinkToFit="false"/>
      <protection locked="true" hidden="false"/>
    </xf>
    <xf numFmtId="164" fontId="4" fillId="0" borderId="0" xfId="0" applyFont="true" applyBorder="true" applyAlignment="true" applyProtection="false">
      <alignment horizontal="center" vertical="bottom" textRotation="0" wrapText="false" indent="0" shrinkToFit="false"/>
      <protection locked="true" hidden="false"/>
    </xf>
    <xf numFmtId="164" fontId="5" fillId="0" borderId="16" xfId="0" applyFont="true" applyBorder="true" applyAlignment="true" applyProtection="false">
      <alignment horizontal="center" vertical="bottom" textRotation="0" wrapText="false" indent="0" shrinkToFit="false"/>
      <protection locked="true" hidden="false"/>
    </xf>
    <xf numFmtId="164" fontId="5" fillId="0" borderId="17" xfId="0" applyFont="true" applyBorder="true" applyAlignment="true" applyProtection="false">
      <alignment horizontal="center" vertical="bottom" textRotation="0" wrapText="false" indent="0" shrinkToFit="false"/>
      <protection locked="true" hidden="false"/>
    </xf>
    <xf numFmtId="166" fontId="4" fillId="7" borderId="7" xfId="0" applyFont="true" applyBorder="true" applyAlignment="true" applyProtection="false">
      <alignment horizontal="right" vertical="bottom" textRotation="0" wrapText="false" indent="0" shrinkToFit="false"/>
      <protection locked="true" hidden="false"/>
    </xf>
    <xf numFmtId="166" fontId="0" fillId="7" borderId="18" xfId="0" applyFont="false" applyBorder="true" applyAlignment="true" applyProtection="false">
      <alignment horizontal="right" vertical="bottom" textRotation="0" wrapText="false" indent="0" shrinkToFit="false"/>
      <protection locked="true" hidden="false"/>
    </xf>
    <xf numFmtId="166" fontId="0" fillId="6" borderId="15" xfId="0" applyFont="false" applyBorder="true" applyAlignment="true" applyProtection="false">
      <alignment horizontal="right" vertical="bottom" textRotation="0" wrapText="false" indent="0" shrinkToFit="false"/>
      <protection locked="true" hidden="false"/>
    </xf>
    <xf numFmtId="166" fontId="0" fillId="7" borderId="15" xfId="0" applyFont="false" applyBorder="true" applyAlignment="true" applyProtection="false">
      <alignment horizontal="right" vertical="bottom" textRotation="0" wrapText="false" indent="0" shrinkToFit="false"/>
      <protection locked="true" hidden="false"/>
    </xf>
    <xf numFmtId="167" fontId="4" fillId="7" borderId="7" xfId="0" applyFont="true" applyBorder="true" applyAlignment="true" applyProtection="false">
      <alignment horizontal="right" vertical="bottom" textRotation="0" wrapText="false" indent="0" shrinkToFit="false"/>
      <protection locked="true" hidden="false"/>
    </xf>
    <xf numFmtId="166" fontId="0" fillId="7" borderId="19" xfId="0" applyFont="false" applyBorder="true" applyAlignment="true" applyProtection="false">
      <alignment horizontal="right" vertical="bottom" textRotation="0" wrapText="false" indent="0" shrinkToFit="false"/>
      <protection locked="true" hidden="false"/>
    </xf>
    <xf numFmtId="166" fontId="4" fillId="7" borderId="19" xfId="0" applyFont="true" applyBorder="true" applyAlignment="true" applyProtection="false">
      <alignment horizontal="right" vertical="bottom" textRotation="0" wrapText="false" indent="0" shrinkToFit="false"/>
      <protection locked="true" hidden="false"/>
    </xf>
    <xf numFmtId="166" fontId="0" fillId="7" borderId="20" xfId="0" applyFont="false" applyBorder="true" applyAlignment="true" applyProtection="false">
      <alignment horizontal="right" vertical="bottom" textRotation="0" wrapText="false" indent="0" shrinkToFit="false"/>
      <protection locked="true" hidden="false"/>
    </xf>
    <xf numFmtId="166" fontId="4" fillId="7" borderId="11" xfId="0" applyFont="true" applyBorder="true" applyAlignment="true" applyProtection="false">
      <alignment horizontal="right" vertical="bottom" textRotation="0" wrapText="false" indent="0" shrinkToFit="false"/>
      <protection locked="true" hidden="false"/>
    </xf>
    <xf numFmtId="164" fontId="0" fillId="0" borderId="16" xfId="0" applyFont="false" applyBorder="true" applyAlignment="false" applyProtection="false">
      <alignment horizontal="general" vertical="bottom" textRotation="0" wrapText="false" indent="0" shrinkToFit="false"/>
      <protection locked="true" hidden="false"/>
    </xf>
    <xf numFmtId="164" fontId="0" fillId="0" borderId="21" xfId="0" applyFont="false" applyBorder="true" applyAlignment="false" applyProtection="false">
      <alignment horizontal="general" vertical="bottom" textRotation="0" wrapText="false" indent="0" shrinkToFit="false"/>
      <protection locked="true" hidden="false"/>
    </xf>
    <xf numFmtId="167" fontId="0" fillId="6" borderId="9" xfId="0" applyFont="false" applyBorder="true" applyAlignment="true" applyProtection="false">
      <alignment horizontal="right" vertical="bottom" textRotation="0" wrapText="false" indent="0" shrinkToFit="false"/>
      <protection locked="true" hidden="false"/>
    </xf>
    <xf numFmtId="167" fontId="0" fillId="7" borderId="9" xfId="0" applyFont="false" applyBorder="true" applyAlignment="true" applyProtection="false">
      <alignment horizontal="right" vertical="bottom" textRotation="0" wrapText="false" indent="0" shrinkToFit="false"/>
      <protection locked="true" hidden="false"/>
    </xf>
    <xf numFmtId="166" fontId="4" fillId="7" borderId="22" xfId="0" applyFont="true" applyBorder="true" applyAlignment="true" applyProtection="false">
      <alignment horizontal="right" vertical="bottom" textRotation="0" wrapText="false" indent="0" shrinkToFit="false"/>
      <protection locked="true" hidden="false"/>
    </xf>
    <xf numFmtId="164" fontId="4" fillId="0" borderId="21" xfId="0" applyFont="true" applyBorder="true" applyAlignment="true" applyProtection="false">
      <alignment horizontal="center" vertical="bottom" textRotation="0" wrapText="false" indent="0" shrinkToFit="false"/>
      <protection locked="true" hidden="false"/>
    </xf>
    <xf numFmtId="164" fontId="4" fillId="0" borderId="0" xfId="0" applyFont="true" applyBorder="true" applyAlignment="false" applyProtection="false">
      <alignment horizontal="general" vertical="bottom" textRotation="0" wrapText="false" indent="0" shrinkToFit="false"/>
      <protection locked="true" hidden="false"/>
    </xf>
    <xf numFmtId="164" fontId="5" fillId="0" borderId="3" xfId="0" applyFont="true" applyBorder="true" applyAlignment="true" applyProtection="false">
      <alignment horizontal="center" vertical="bottom" textRotation="0" wrapText="true" indent="0" shrinkToFit="false"/>
      <protection locked="true" hidden="false"/>
    </xf>
    <xf numFmtId="166" fontId="0" fillId="8" borderId="15" xfId="0" applyFont="false" applyBorder="true" applyAlignment="true" applyProtection="false">
      <alignment horizontal="right" vertical="bottom" textRotation="0" wrapText="false" indent="0" shrinkToFit="false"/>
      <protection locked="true" hidden="false"/>
    </xf>
    <xf numFmtId="166" fontId="0" fillId="7" borderId="23" xfId="0" applyFont="false" applyBorder="true" applyAlignment="true" applyProtection="false">
      <alignment horizontal="right" vertical="bottom" textRotation="0" wrapText="false" indent="0" shrinkToFit="false"/>
      <protection locked="true" hidden="false"/>
    </xf>
    <xf numFmtId="166" fontId="4" fillId="6" borderId="15" xfId="0" applyFont="true" applyBorder="true" applyAlignment="true" applyProtection="false">
      <alignment horizontal="right" vertical="bottom" textRotation="0" wrapText="false" indent="0" shrinkToFit="false"/>
      <protection locked="true" hidden="false"/>
    </xf>
    <xf numFmtId="166" fontId="0" fillId="8" borderId="11" xfId="0" applyFont="false" applyBorder="true" applyAlignment="true" applyProtection="false">
      <alignment horizontal="right" vertical="bottom" textRotation="0" wrapText="false" indent="0" shrinkToFit="false"/>
      <protection locked="true" hidden="false"/>
    </xf>
    <xf numFmtId="166" fontId="4" fillId="8" borderId="11" xfId="0" applyFont="true" applyBorder="true" applyAlignment="true" applyProtection="false">
      <alignment horizontal="right" vertical="bottom" textRotation="0" wrapText="false" indent="0" shrinkToFit="false"/>
      <protection locked="true" hidden="false"/>
    </xf>
    <xf numFmtId="166" fontId="4" fillId="7" borderId="20" xfId="0" applyFont="true" applyBorder="true" applyAlignment="true" applyProtection="false">
      <alignment horizontal="right" vertical="bottom" textRotation="0" wrapText="false" indent="0" shrinkToFit="false"/>
      <protection locked="true" hidden="false"/>
    </xf>
    <xf numFmtId="164" fontId="5" fillId="0" borderId="14" xfId="0" applyFont="true" applyBorder="true" applyAlignment="false" applyProtection="false">
      <alignment horizontal="general" vertical="bottom" textRotation="0" wrapText="false" indent="0" shrinkToFit="false"/>
      <protection locked="true" hidden="false"/>
    </xf>
    <xf numFmtId="164" fontId="5" fillId="0" borderId="21" xfId="0" applyFont="true" applyBorder="true" applyAlignment="true" applyProtection="false">
      <alignment horizontal="center" vertical="bottom" textRotation="0" wrapText="false" indent="0" shrinkToFit="false"/>
      <protection locked="true" hidden="false"/>
    </xf>
    <xf numFmtId="164" fontId="5" fillId="0" borderId="24" xfId="0" applyFont="true" applyBorder="true" applyAlignment="true" applyProtection="false">
      <alignment horizontal="center" vertical="bottom"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4" fontId="0" fillId="0" borderId="17" xfId="0" applyFont="false" applyBorder="true" applyAlignment="false" applyProtection="false">
      <alignment horizontal="general" vertical="bottom" textRotation="0" wrapText="false" indent="0" shrinkToFit="false"/>
      <protection locked="true" hidden="false"/>
    </xf>
    <xf numFmtId="164" fontId="0" fillId="0" borderId="24" xfId="0" applyFont="false" applyBorder="true" applyAlignment="false" applyProtection="false">
      <alignment horizontal="general" vertical="bottom" textRotation="0" wrapText="false" indent="0" shrinkToFit="false"/>
      <protection locked="true" hidden="false"/>
    </xf>
    <xf numFmtId="164" fontId="5" fillId="0" borderId="2" xfId="0" applyFont="true" applyBorder="true" applyAlignment="true" applyProtection="false">
      <alignment horizontal="center" vertical="bottom" textRotation="0" wrapText="false" indent="0" shrinkToFit="false"/>
      <protection locked="true" hidden="false"/>
    </xf>
    <xf numFmtId="164" fontId="5" fillId="0" borderId="25" xfId="0" applyFont="true" applyBorder="true" applyAlignment="true" applyProtection="false">
      <alignment horizontal="center" vertical="bottom" textRotation="0" wrapText="false" indent="0" shrinkToFit="false"/>
      <protection locked="true" hidden="false"/>
    </xf>
    <xf numFmtId="164" fontId="5" fillId="0" borderId="4" xfId="0" applyFont="true" applyBorder="true" applyAlignment="true" applyProtection="false">
      <alignment horizontal="center" vertical="bottom" textRotation="0" wrapText="false" indent="0" shrinkToFit="false"/>
      <protection locked="true" hidden="false"/>
    </xf>
    <xf numFmtId="166" fontId="0" fillId="6" borderId="18" xfId="0" applyFont="false" applyBorder="true" applyAlignment="true" applyProtection="false">
      <alignment horizontal="right" vertical="bottom" textRotation="0" wrapText="false" indent="0" shrinkToFit="false"/>
      <protection locked="true" hidden="false"/>
    </xf>
    <xf numFmtId="167" fontId="4" fillId="6" borderId="18" xfId="0" applyFont="true" applyBorder="true" applyAlignment="true" applyProtection="false">
      <alignment horizontal="right" vertical="bottom" textRotation="0" wrapText="false" indent="0" shrinkToFit="false"/>
      <protection locked="true" hidden="false"/>
    </xf>
    <xf numFmtId="167" fontId="4" fillId="7" borderId="15" xfId="0" applyFont="true" applyBorder="true" applyAlignment="true" applyProtection="false">
      <alignment horizontal="right" vertical="bottom" textRotation="0" wrapText="false" indent="0" shrinkToFit="false"/>
      <protection locked="true" hidden="false"/>
    </xf>
    <xf numFmtId="167" fontId="4" fillId="6" borderId="19" xfId="0" applyFont="true" applyBorder="true" applyAlignment="true" applyProtection="false">
      <alignment horizontal="right" vertical="bottom" textRotation="0" wrapText="false" indent="0" shrinkToFit="false"/>
      <protection locked="true" hidden="false"/>
    </xf>
    <xf numFmtId="166" fontId="4" fillId="0" borderId="0" xfId="0" applyFont="true" applyBorder="false" applyAlignment="false" applyProtection="false">
      <alignment horizontal="general" vertical="bottom" textRotation="0" wrapText="false" indent="0" shrinkToFit="false"/>
      <protection locked="true" hidden="false"/>
    </xf>
    <xf numFmtId="164" fontId="4" fillId="0" borderId="8" xfId="0" applyFont="true" applyBorder="true" applyAlignment="false" applyProtection="false">
      <alignment horizontal="general" vertical="bottom" textRotation="0" wrapText="false" indent="0" shrinkToFit="false"/>
      <protection locked="true" hidden="false"/>
    </xf>
    <xf numFmtId="167" fontId="4" fillId="7" borderId="8" xfId="0" applyFont="true" applyBorder="true" applyAlignment="true" applyProtection="false">
      <alignment horizontal="right" vertical="bottom" textRotation="0" wrapText="false" indent="0" shrinkToFit="false"/>
      <protection locked="true" hidden="false"/>
    </xf>
    <xf numFmtId="166" fontId="0" fillId="6" borderId="19" xfId="0" applyFont="false" applyBorder="true" applyAlignment="true" applyProtection="false">
      <alignment horizontal="right" vertical="bottom" textRotation="0" wrapText="false" indent="0" shrinkToFit="false"/>
      <protection locked="true" hidden="false"/>
    </xf>
    <xf numFmtId="167" fontId="4" fillId="7" borderId="9" xfId="0" applyFont="true" applyBorder="true" applyAlignment="true" applyProtection="false">
      <alignment horizontal="right" vertical="bottom" textRotation="0" wrapText="false" indent="0" shrinkToFit="false"/>
      <protection locked="true" hidden="false"/>
    </xf>
    <xf numFmtId="164" fontId="4" fillId="0" borderId="10" xfId="0" applyFont="true" applyBorder="true" applyAlignment="false" applyProtection="false">
      <alignment horizontal="general" vertical="bottom" textRotation="0" wrapText="false" indent="0" shrinkToFit="false"/>
      <protection locked="true" hidden="false"/>
    </xf>
    <xf numFmtId="167" fontId="4" fillId="7" borderId="10" xfId="0" applyFont="true" applyBorder="true" applyAlignment="true" applyProtection="false">
      <alignment horizontal="right" vertical="bottom" textRotation="0" wrapText="false" indent="0" shrinkToFit="false"/>
      <protection locked="true" hidden="false"/>
    </xf>
    <xf numFmtId="164" fontId="4" fillId="0" borderId="10" xfId="0" applyFont="true" applyBorder="true" applyAlignment="false" applyProtection="false">
      <alignment horizontal="general" vertical="bottom" textRotation="0" wrapText="false" indent="0" shrinkToFit="false"/>
      <protection locked="true" hidden="false"/>
    </xf>
    <xf numFmtId="166" fontId="4" fillId="6" borderId="19" xfId="0" applyFont="true" applyBorder="true" applyAlignment="true" applyProtection="false">
      <alignment horizontal="right" vertical="bottom" textRotation="0" wrapText="false" indent="0" shrinkToFit="false"/>
      <protection locked="true" hidden="false"/>
    </xf>
    <xf numFmtId="166" fontId="0" fillId="6" borderId="20" xfId="0" applyFont="false" applyBorder="true" applyAlignment="true" applyProtection="false">
      <alignment horizontal="right" vertical="bottom" textRotation="0" wrapText="false" indent="0" shrinkToFit="false"/>
      <protection locked="true" hidden="false"/>
    </xf>
    <xf numFmtId="166" fontId="0" fillId="7" borderId="22" xfId="0" applyFont="false" applyBorder="true" applyAlignment="true" applyProtection="false">
      <alignment horizontal="right" vertical="bottom" textRotation="0" wrapText="false" indent="0" shrinkToFit="false"/>
      <protection locked="true" hidden="false"/>
    </xf>
    <xf numFmtId="164" fontId="4" fillId="0" borderId="12" xfId="0" applyFont="true" applyBorder="true" applyAlignment="false" applyProtection="false">
      <alignment horizontal="general" vertical="bottom" textRotation="0" wrapText="false" indent="0" shrinkToFit="false"/>
      <protection locked="true" hidden="false"/>
    </xf>
    <xf numFmtId="167" fontId="4" fillId="7" borderId="11" xfId="0" applyFont="true" applyBorder="true" applyAlignment="true" applyProtection="false">
      <alignment horizontal="right" vertical="bottom" textRotation="0" wrapText="false" indent="0" shrinkToFit="false"/>
      <protection locked="true" hidden="false"/>
    </xf>
    <xf numFmtId="164" fontId="4" fillId="0" borderId="14" xfId="0" applyFont="true" applyBorder="true" applyAlignment="false" applyProtection="false">
      <alignment horizontal="general" vertical="bottom" textRotation="0" wrapText="false" indent="0" shrinkToFit="false"/>
      <protection locked="true" hidden="false"/>
    </xf>
    <xf numFmtId="164" fontId="0" fillId="0" borderId="13" xfId="0" applyFont="false" applyBorder="true" applyAlignment="false" applyProtection="false">
      <alignment horizontal="general" vertical="bottom" textRotation="0" wrapText="false" indent="0" shrinkToFit="false"/>
      <protection locked="true" hidden="false"/>
    </xf>
    <xf numFmtId="166" fontId="0" fillId="6" borderId="10" xfId="0" applyFont="false" applyBorder="true" applyAlignment="true" applyProtection="false">
      <alignment horizontal="right" vertical="bottom" textRotation="0" wrapText="false" indent="0" shrinkToFit="false"/>
      <protection locked="true" hidden="false"/>
    </xf>
    <xf numFmtId="164" fontId="4" fillId="0" borderId="26" xfId="0" applyFont="true" applyBorder="true" applyAlignment="false" applyProtection="false">
      <alignment horizontal="general" vertical="bottom" textRotation="0" wrapText="false" indent="0" shrinkToFit="false"/>
      <protection locked="true" hidden="false"/>
    </xf>
    <xf numFmtId="167" fontId="4" fillId="6" borderId="15" xfId="0" applyFont="true" applyBorder="true" applyAlignment="true" applyProtection="false">
      <alignment horizontal="right" vertical="bottom" textRotation="0" wrapText="false" indent="0" shrinkToFit="false"/>
      <protection locked="true" hidden="false"/>
    </xf>
    <xf numFmtId="167" fontId="4" fillId="6" borderId="26" xfId="0" applyFont="true" applyBorder="true" applyAlignment="true" applyProtection="false">
      <alignment horizontal="right" vertical="bottom" textRotation="0" wrapText="false" indent="0" shrinkToFit="false"/>
      <protection locked="true" hidden="false"/>
    </xf>
    <xf numFmtId="167" fontId="4" fillId="7" borderId="26" xfId="0" applyFont="true" applyBorder="true" applyAlignment="true" applyProtection="false">
      <alignment horizontal="right" vertical="bottom" textRotation="0" wrapText="false" indent="0" shrinkToFit="false"/>
      <protection locked="true" hidden="false"/>
    </xf>
    <xf numFmtId="166" fontId="0" fillId="6" borderId="22" xfId="0" applyFont="false" applyBorder="true" applyAlignment="true" applyProtection="false">
      <alignment horizontal="right" vertical="bottom" textRotation="0" wrapText="false" indent="0" shrinkToFit="false"/>
      <protection locked="true" hidden="false"/>
    </xf>
    <xf numFmtId="167" fontId="4" fillId="6" borderId="11" xfId="0" applyFont="true" applyBorder="true" applyAlignment="true" applyProtection="false">
      <alignment horizontal="right" vertical="bottom" textRotation="0" wrapText="false" indent="0" shrinkToFit="false"/>
      <protection locked="true" hidden="false"/>
    </xf>
    <xf numFmtId="167" fontId="4" fillId="7" borderId="5" xfId="0" applyFont="true" applyBorder="true" applyAlignment="true" applyProtection="false">
      <alignment horizontal="right" vertical="bottom" textRotation="0" wrapText="false" indent="0" shrinkToFit="false"/>
      <protection locked="true" hidden="false"/>
    </xf>
    <xf numFmtId="167" fontId="4" fillId="6" borderId="12" xfId="0" applyFont="true" applyBorder="true" applyAlignment="true" applyProtection="false">
      <alignment horizontal="right" vertical="bottom" textRotation="0" wrapText="false" indent="0" shrinkToFit="false"/>
      <protection locked="true" hidden="false"/>
    </xf>
    <xf numFmtId="167" fontId="4" fillId="7" borderId="12" xfId="0" applyFont="true" applyBorder="true" applyAlignment="true" applyProtection="false">
      <alignment horizontal="right" vertical="bottom" textRotation="0" wrapText="false" indent="0" shrinkToFit="false"/>
      <protection locked="true" hidden="false"/>
    </xf>
    <xf numFmtId="164" fontId="4" fillId="0" borderId="5" xfId="0" applyFont="true" applyBorder="true" applyAlignment="true" applyProtection="false">
      <alignment horizontal="center" vertical="bottom" textRotation="0" wrapText="false" indent="0" shrinkToFit="false"/>
      <protection locked="true" hidden="false"/>
    </xf>
    <xf numFmtId="164" fontId="4" fillId="0" borderId="7" xfId="0" applyFont="true" applyBorder="true" applyAlignment="false" applyProtection="false">
      <alignment horizontal="general" vertical="bottom" textRotation="0" wrapText="false" indent="0" shrinkToFit="false"/>
      <protection locked="true" hidden="false"/>
    </xf>
    <xf numFmtId="164" fontId="4" fillId="0" borderId="9" xfId="0" applyFont="true" applyBorder="true" applyAlignment="false" applyProtection="false">
      <alignment horizontal="general" vertical="bottom" textRotation="0" wrapText="false" indent="0" shrinkToFit="false"/>
      <protection locked="true" hidden="false"/>
    </xf>
    <xf numFmtId="164" fontId="4" fillId="0" borderId="9" xfId="0" applyFont="true" applyBorder="true" applyAlignment="false" applyProtection="false">
      <alignment horizontal="general" vertical="bottom" textRotation="0" wrapText="false" indent="0" shrinkToFit="false"/>
      <protection locked="true" hidden="false"/>
    </xf>
    <xf numFmtId="164" fontId="4" fillId="0" borderId="11" xfId="0" applyFont="true" applyBorder="true" applyAlignment="false" applyProtection="false">
      <alignment horizontal="general" vertical="bottom" textRotation="0" wrapText="false" indent="0" shrinkToFit="false"/>
      <protection locked="true" hidden="false"/>
    </xf>
    <xf numFmtId="166" fontId="0" fillId="7" borderId="27" xfId="0" applyFont="false" applyBorder="true" applyAlignment="true" applyProtection="false">
      <alignment horizontal="right" vertical="bottom" textRotation="0" wrapText="false" indent="0" shrinkToFit="false"/>
      <protection locked="true" hidden="false"/>
    </xf>
    <xf numFmtId="166" fontId="0" fillId="6" borderId="27" xfId="0" applyFont="false" applyBorder="true" applyAlignment="true" applyProtection="false">
      <alignment horizontal="right" vertical="bottom" textRotation="0" wrapText="false" indent="0" shrinkToFit="false"/>
      <protection locked="true" hidden="false"/>
    </xf>
    <xf numFmtId="166" fontId="4" fillId="6" borderId="22" xfId="0" applyFont="true" applyBorder="true" applyAlignment="true" applyProtection="false">
      <alignment horizontal="right" vertical="bottom" textRotation="0" wrapText="false" indent="0" shrinkToFit="false"/>
      <protection locked="true" hidden="false"/>
    </xf>
    <xf numFmtId="164" fontId="4" fillId="0" borderId="13" xfId="0" applyFont="true" applyBorder="true" applyAlignment="false" applyProtection="false">
      <alignment horizontal="general" vertical="bottom" textRotation="0" wrapText="false" indent="0" shrinkToFit="false"/>
      <protection locked="true" hidden="false"/>
    </xf>
    <xf numFmtId="164" fontId="5" fillId="0" borderId="24" xfId="0" applyFont="true" applyBorder="true" applyAlignment="true" applyProtection="false">
      <alignment horizontal="center" vertical="bottom" textRotation="0" wrapText="false" indent="0" shrinkToFit="false"/>
      <protection locked="true" hidden="false"/>
    </xf>
    <xf numFmtId="164" fontId="5" fillId="0" borderId="25" xfId="0" applyFont="true" applyBorder="true" applyAlignment="true" applyProtection="false">
      <alignment horizontal="center" vertical="bottom" textRotation="0" wrapText="false" indent="0" shrinkToFit="false"/>
      <protection locked="true" hidden="false"/>
    </xf>
    <xf numFmtId="164" fontId="4" fillId="0" borderId="2" xfId="0" applyFont="true" applyBorder="true" applyAlignment="false" applyProtection="false">
      <alignment horizontal="general" vertical="bottom" textRotation="0" wrapText="false" indent="0" shrinkToFit="false"/>
      <protection locked="true" hidden="false"/>
    </xf>
    <xf numFmtId="166" fontId="0" fillId="6" borderId="26" xfId="0" applyFont="false" applyBorder="true" applyAlignment="true" applyProtection="false">
      <alignment horizontal="right" vertical="bottom" textRotation="0" wrapText="false" indent="0" shrinkToFit="false"/>
      <protection locked="true" hidden="false"/>
    </xf>
    <xf numFmtId="166" fontId="4" fillId="7" borderId="28" xfId="0" applyFont="true" applyBorder="true" applyAlignment="true" applyProtection="false">
      <alignment horizontal="right" vertical="bottom" textRotation="0" wrapText="false" indent="0" shrinkToFit="false"/>
      <protection locked="true" hidden="false"/>
    </xf>
    <xf numFmtId="166" fontId="4" fillId="6" borderId="23" xfId="0" applyFont="true" applyBorder="true" applyAlignment="true" applyProtection="false">
      <alignment horizontal="right" vertical="bottom" textRotation="0" wrapText="false" indent="0" shrinkToFit="false"/>
      <protection locked="true" hidden="false"/>
    </xf>
    <xf numFmtId="166" fontId="0" fillId="6" borderId="28" xfId="0" applyFont="false" applyBorder="true" applyAlignment="true" applyProtection="false">
      <alignment horizontal="right" vertical="bottom" textRotation="0" wrapText="false" indent="0" shrinkToFit="false"/>
      <protection locked="true" hidden="false"/>
    </xf>
    <xf numFmtId="167" fontId="0" fillId="6" borderId="26" xfId="0" applyFont="false" applyBorder="true" applyAlignment="true" applyProtection="false">
      <alignment horizontal="right" vertical="bottom" textRotation="0" wrapText="false" indent="0" shrinkToFit="false"/>
      <protection locked="true" hidden="false"/>
    </xf>
    <xf numFmtId="167" fontId="0" fillId="7" borderId="15" xfId="0" applyFont="false" applyBorder="true" applyAlignment="true" applyProtection="false">
      <alignment horizontal="right" vertical="bottom" textRotation="0" wrapText="false" indent="0" shrinkToFit="false"/>
      <protection locked="true" hidden="false"/>
    </xf>
    <xf numFmtId="167" fontId="0" fillId="6" borderId="23" xfId="0" applyFont="false" applyBorder="true" applyAlignment="true" applyProtection="false">
      <alignment horizontal="right" vertical="bottom" textRotation="0" wrapText="false" indent="0" shrinkToFit="false"/>
      <protection locked="true" hidden="false"/>
    </xf>
    <xf numFmtId="167" fontId="0" fillId="6" borderId="28" xfId="0" applyFont="false" applyBorder="true" applyAlignment="true" applyProtection="false">
      <alignment horizontal="right" vertical="bottom" textRotation="0" wrapText="false" indent="0" shrinkToFit="false"/>
      <protection locked="true" hidden="false"/>
    </xf>
    <xf numFmtId="164" fontId="4" fillId="0" borderId="6" xfId="0" applyFont="true" applyBorder="true" applyAlignment="false" applyProtection="false">
      <alignment horizontal="general" vertical="bottom" textRotation="0" wrapText="false" indent="0" shrinkToFit="false"/>
      <protection locked="true" hidden="false"/>
    </xf>
    <xf numFmtId="166" fontId="0" fillId="6" borderId="29" xfId="0" applyFont="false" applyBorder="true" applyAlignment="true" applyProtection="false">
      <alignment horizontal="right" vertical="bottom" textRotation="0" wrapText="false" indent="0" shrinkToFit="false"/>
      <protection locked="true" hidden="false"/>
    </xf>
    <xf numFmtId="166" fontId="4" fillId="7" borderId="30" xfId="0" applyFont="true" applyBorder="true" applyAlignment="true" applyProtection="false">
      <alignment horizontal="right" vertical="bottom" textRotation="0" wrapText="false" indent="0" shrinkToFit="false"/>
      <protection locked="true" hidden="false"/>
    </xf>
    <xf numFmtId="166" fontId="4" fillId="6" borderId="27" xfId="0" applyFont="true" applyBorder="true" applyAlignment="true" applyProtection="false">
      <alignment horizontal="right" vertical="bottom" textRotation="0" wrapText="false" indent="0" shrinkToFit="false"/>
      <protection locked="true" hidden="false"/>
    </xf>
    <xf numFmtId="166" fontId="0" fillId="7" borderId="30" xfId="0" applyFont="false" applyBorder="true" applyAlignment="true" applyProtection="false">
      <alignment horizontal="right" vertical="bottom" textRotation="0" wrapText="false" indent="0" shrinkToFit="false"/>
      <protection locked="true" hidden="false"/>
    </xf>
    <xf numFmtId="166" fontId="0" fillId="6" borderId="30" xfId="0" applyFont="false" applyBorder="true" applyAlignment="true" applyProtection="false">
      <alignment horizontal="right" vertical="bottom" textRotation="0" wrapText="false" indent="0" shrinkToFit="false"/>
      <protection locked="true" hidden="false"/>
    </xf>
    <xf numFmtId="167" fontId="0" fillId="6" borderId="12" xfId="0" applyFont="false" applyBorder="true" applyAlignment="true" applyProtection="false">
      <alignment horizontal="right" vertical="bottom" textRotation="0" wrapText="false" indent="0" shrinkToFit="false"/>
      <protection locked="true" hidden="false"/>
    </xf>
    <xf numFmtId="167" fontId="0" fillId="7" borderId="11" xfId="0" applyFont="false" applyBorder="true" applyAlignment="true" applyProtection="false">
      <alignment horizontal="right" vertical="bottom" textRotation="0" wrapText="false" indent="0" shrinkToFit="false"/>
      <protection locked="true" hidden="false"/>
    </xf>
    <xf numFmtId="167" fontId="0" fillId="6" borderId="20" xfId="0" applyFont="false" applyBorder="true" applyAlignment="true" applyProtection="false">
      <alignment horizontal="right" vertical="bottom" textRotation="0" wrapText="false" indent="0" shrinkToFit="false"/>
      <protection locked="true" hidden="false"/>
    </xf>
    <xf numFmtId="167" fontId="0" fillId="6" borderId="31" xfId="0" applyFont="false" applyBorder="true" applyAlignment="true" applyProtection="false">
      <alignment horizontal="right" vertical="bottom" textRotation="0" wrapText="false" indent="0" shrinkToFit="false"/>
      <protection locked="true" hidden="false"/>
    </xf>
    <xf numFmtId="164" fontId="4" fillId="0" borderId="6" xfId="0" applyFont="true" applyBorder="true" applyAlignment="true" applyProtection="false">
      <alignment horizontal="center" vertical="bottom" textRotation="0" wrapText="false" indent="0" shrinkToFit="false"/>
      <protection locked="true" hidden="false"/>
    </xf>
    <xf numFmtId="164" fontId="4" fillId="0" borderId="32" xfId="0" applyFont="true" applyBorder="true" applyAlignment="true" applyProtection="false">
      <alignment horizontal="center" vertical="bottom" textRotation="0" wrapText="false" indent="0" shrinkToFit="false"/>
      <protection locked="true" hidden="false"/>
    </xf>
    <xf numFmtId="164" fontId="0" fillId="0" borderId="0" xfId="0" applyFont="false" applyBorder="fals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true" applyAlignment="true" applyProtection="false">
      <alignment horizontal="center" vertical="bottom" textRotation="0" wrapText="false" indent="0" shrinkToFit="false"/>
      <protection locked="true" hidden="false"/>
    </xf>
    <xf numFmtId="164" fontId="4" fillId="0" borderId="0" xfId="0" applyFont="true" applyBorder="true" applyAlignment="true" applyProtection="false">
      <alignment horizontal="center" vertical="bottom" textRotation="0" wrapText="false" indent="0" shrinkToFit="false"/>
      <protection locked="true" hidden="false"/>
    </xf>
    <xf numFmtId="164" fontId="5" fillId="0" borderId="1" xfId="0" applyFont="true" applyBorder="true" applyAlignment="true" applyProtection="false">
      <alignment horizontal="center" vertical="bottom" textRotation="0" wrapText="false" indent="0" shrinkToFit="false"/>
      <protection locked="true" hidden="false"/>
    </xf>
    <xf numFmtId="164" fontId="0" fillId="0" borderId="2" xfId="0" applyFont="false" applyBorder="true" applyAlignment="false" applyProtection="false">
      <alignment horizontal="general" vertical="bottom" textRotation="0" wrapText="false" indent="0" shrinkToFit="false"/>
      <protection locked="true" hidden="false"/>
    </xf>
    <xf numFmtId="164" fontId="0" fillId="0" borderId="17" xfId="0" applyFont="false" applyBorder="true" applyAlignment="false" applyProtection="false">
      <alignment horizontal="general" vertical="bottom" textRotation="0" wrapText="false" indent="0" shrinkToFit="false"/>
      <protection locked="true" hidden="false"/>
    </xf>
    <xf numFmtId="164" fontId="5" fillId="0" borderId="24" xfId="0" applyFont="true" applyBorder="true" applyAlignment="true" applyProtection="false">
      <alignment horizontal="center" vertical="bottom" textRotation="0" wrapText="false" indent="0" shrinkToFit="false"/>
      <protection locked="true" hidden="false"/>
    </xf>
    <xf numFmtId="164" fontId="5" fillId="0" borderId="3" xfId="0" applyFont="true" applyBorder="true" applyAlignment="true" applyProtection="false">
      <alignment horizontal="center" vertical="bottom" textRotation="0" wrapText="false" indent="0" shrinkToFit="false"/>
      <protection locked="true" hidden="false"/>
    </xf>
    <xf numFmtId="164" fontId="5" fillId="0" borderId="4" xfId="0" applyFont="true" applyBorder="true" applyAlignment="true" applyProtection="false">
      <alignment horizontal="center" vertical="bottom" textRotation="0" wrapText="false" indent="0" shrinkToFit="false"/>
      <protection locked="true" hidden="false"/>
    </xf>
    <xf numFmtId="167" fontId="5" fillId="0" borderId="0" xfId="0" applyFont="true" applyBorder="true" applyAlignment="true" applyProtection="false">
      <alignment horizontal="center" vertical="bottom" textRotation="0" wrapText="false" indent="0" shrinkToFit="false"/>
      <protection locked="true" hidden="false"/>
    </xf>
    <xf numFmtId="167" fontId="4" fillId="0" borderId="25" xfId="0" applyFont="true" applyBorder="true" applyAlignment="true" applyProtection="false">
      <alignment horizontal="center" vertical="bottom" textRotation="0" wrapText="false" indent="0" shrinkToFit="false"/>
      <protection locked="true" hidden="false"/>
    </xf>
    <xf numFmtId="164" fontId="5" fillId="0" borderId="25" xfId="0" applyFont="true" applyBorder="true" applyAlignment="true" applyProtection="false">
      <alignment horizontal="center" vertical="bottom" textRotation="0" wrapText="false" indent="0" shrinkToFit="false"/>
      <protection locked="true" hidden="false"/>
    </xf>
    <xf numFmtId="164" fontId="5" fillId="0" borderId="14" xfId="0" applyFont="true" applyBorder="true" applyAlignment="true" applyProtection="false">
      <alignment horizontal="center" vertical="bottom" textRotation="0" wrapText="false" indent="0" shrinkToFit="false"/>
      <protection locked="true" hidden="false"/>
    </xf>
    <xf numFmtId="164" fontId="5" fillId="0" borderId="13" xfId="0" applyFont="true" applyBorder="true" applyAlignment="true" applyProtection="false">
      <alignment horizontal="center" vertical="bottom" textRotation="0" wrapText="false" indent="0" shrinkToFit="false"/>
      <protection locked="true" hidden="false"/>
    </xf>
    <xf numFmtId="164" fontId="5" fillId="0" borderId="16" xfId="0" applyFont="true" applyBorder="true" applyAlignment="true" applyProtection="false">
      <alignment horizontal="center" vertical="bottom" textRotation="0" wrapText="false" indent="0" shrinkToFit="false"/>
      <protection locked="true" hidden="false"/>
    </xf>
    <xf numFmtId="164" fontId="5" fillId="0" borderId="21" xfId="0" applyFont="true" applyBorder="true" applyAlignment="true" applyProtection="false">
      <alignment horizontal="center" vertical="bottom" textRotation="0" wrapText="false" indent="0" shrinkToFit="false"/>
      <protection locked="true" hidden="false"/>
    </xf>
    <xf numFmtId="167" fontId="4" fillId="3" borderId="7" xfId="0" applyFont="true" applyBorder="true" applyAlignment="true" applyProtection="false">
      <alignment horizontal="right" vertical="bottom" textRotation="0" wrapText="false" indent="0" shrinkToFit="false"/>
      <protection locked="true" hidden="false"/>
    </xf>
    <xf numFmtId="167" fontId="4" fillId="9" borderId="7" xfId="0" applyFont="true" applyBorder="true" applyAlignment="true" applyProtection="false">
      <alignment horizontal="right" vertical="bottom" textRotation="0" wrapText="false" indent="0" shrinkToFit="false"/>
      <protection locked="true" hidden="false"/>
    </xf>
    <xf numFmtId="167" fontId="4" fillId="0" borderId="0" xfId="0" applyFont="true" applyBorder="true" applyAlignment="true" applyProtection="false">
      <alignment horizontal="right" vertical="bottom" textRotation="0" wrapText="false" indent="0" shrinkToFit="false"/>
      <protection locked="true" hidden="false"/>
    </xf>
    <xf numFmtId="164" fontId="4" fillId="0" borderId="3" xfId="0" applyFont="true" applyBorder="true" applyAlignment="true" applyProtection="false">
      <alignment horizontal="right" vertical="bottom" textRotation="0" wrapText="false" indent="0" shrinkToFit="false"/>
      <protection locked="true" hidden="false"/>
    </xf>
    <xf numFmtId="164" fontId="4" fillId="0" borderId="4" xfId="0" applyFont="true" applyBorder="true" applyAlignment="true" applyProtection="false">
      <alignment horizontal="right" vertical="bottom" textRotation="0" wrapText="false" indent="0" shrinkToFit="false"/>
      <protection locked="true" hidden="false"/>
    </xf>
    <xf numFmtId="167" fontId="4" fillId="0" borderId="25" xfId="0" applyFont="true" applyBorder="true" applyAlignment="true" applyProtection="false">
      <alignment horizontal="right" vertical="bottom" textRotation="0" wrapText="false" indent="0" shrinkToFit="false"/>
      <protection locked="true" hidden="false"/>
    </xf>
    <xf numFmtId="167" fontId="0" fillId="0" borderId="0" xfId="0" applyFont="false" applyBorder="true" applyAlignment="fals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right" vertical="bottom" textRotation="0" wrapText="false" indent="0" shrinkToFit="false"/>
      <protection locked="true" hidden="false"/>
    </xf>
    <xf numFmtId="167" fontId="4" fillId="9" borderId="0" xfId="0" applyFont="true" applyBorder="true" applyAlignment="true" applyProtection="false">
      <alignment horizontal="right" vertical="bottom" textRotation="0" wrapText="false" indent="0" shrinkToFit="false"/>
      <protection locked="true" hidden="false"/>
    </xf>
    <xf numFmtId="167" fontId="4" fillId="9" borderId="25" xfId="0" applyFont="true" applyBorder="true" applyAlignment="true" applyProtection="false">
      <alignment horizontal="right"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4" fillId="0" borderId="14" xfId="0" applyFont="true" applyBorder="true" applyAlignment="true" applyProtection="false">
      <alignment horizontal="right" vertical="bottom" textRotation="0" wrapText="false" indent="0" shrinkToFit="false"/>
      <protection locked="true" hidden="false"/>
    </xf>
    <xf numFmtId="164" fontId="4" fillId="0" borderId="13" xfId="0" applyFont="true" applyBorder="true" applyAlignment="true" applyProtection="false">
      <alignment horizontal="right" vertical="bottom" textRotation="0" wrapText="false" indent="0" shrinkToFit="false"/>
      <protection locked="true" hidden="false"/>
    </xf>
    <xf numFmtId="167" fontId="4" fillId="0" borderId="16" xfId="0" applyFont="true" applyBorder="true" applyAlignment="true" applyProtection="false">
      <alignment horizontal="right" vertical="bottom" textRotation="0" wrapText="false" indent="0" shrinkToFit="false"/>
      <protection locked="true" hidden="false"/>
    </xf>
    <xf numFmtId="167" fontId="4" fillId="0" borderId="21" xfId="0" applyFont="true" applyBorder="true" applyAlignment="true" applyProtection="false">
      <alignment horizontal="right" vertical="bottom" textRotation="0" wrapText="false" indent="0" shrinkToFit="false"/>
      <protection locked="true" hidden="false"/>
    </xf>
    <xf numFmtId="166" fontId="0" fillId="7" borderId="26" xfId="0" applyFont="false" applyBorder="true" applyAlignment="true" applyProtection="false">
      <alignment horizontal="right" vertical="bottom" textRotation="0" wrapText="false" indent="0" shrinkToFit="false"/>
      <protection locked="true" hidden="false"/>
    </xf>
    <xf numFmtId="166" fontId="0" fillId="6" borderId="23" xfId="0" applyFont="false" applyBorder="true" applyAlignment="true" applyProtection="false">
      <alignment horizontal="right" vertical="bottom" textRotation="0" wrapText="false" indent="0" shrinkToFit="false"/>
      <protection locked="true" hidden="false"/>
    </xf>
    <xf numFmtId="166" fontId="4" fillId="7" borderId="15" xfId="0" applyFont="true" applyBorder="true" applyAlignment="true" applyProtection="false">
      <alignment horizontal="right" vertical="bottom" textRotation="0" wrapText="false" indent="0" shrinkToFit="false"/>
      <protection locked="true" hidden="false"/>
    </xf>
    <xf numFmtId="166" fontId="4" fillId="6" borderId="28" xfId="0" applyFont="true" applyBorder="true" applyAlignment="true" applyProtection="false">
      <alignment horizontal="right" vertical="bottom" textRotation="0" wrapText="false" indent="0" shrinkToFit="false"/>
      <protection locked="true" hidden="false"/>
    </xf>
    <xf numFmtId="166" fontId="4" fillId="7" borderId="23" xfId="0" applyFont="true" applyBorder="true" applyAlignment="true" applyProtection="false">
      <alignment horizontal="right" vertical="bottom" textRotation="0" wrapText="false" indent="0" shrinkToFit="false"/>
      <protection locked="true" hidden="false"/>
    </xf>
    <xf numFmtId="166" fontId="0" fillId="7" borderId="28" xfId="0" applyFont="false" applyBorder="true" applyAlignment="true" applyProtection="false">
      <alignment horizontal="right" vertical="bottom" textRotation="0" wrapText="false" indent="0" shrinkToFit="false"/>
      <protection locked="true" hidden="false"/>
    </xf>
    <xf numFmtId="166" fontId="0" fillId="7" borderId="29" xfId="0" applyFont="false" applyBorder="true" applyAlignment="true" applyProtection="false">
      <alignment horizontal="right" vertical="bottom" textRotation="0" wrapText="false" indent="0" shrinkToFit="false"/>
      <protection locked="true" hidden="false"/>
    </xf>
    <xf numFmtId="166" fontId="4" fillId="6" borderId="30" xfId="0" applyFont="true" applyBorder="true" applyAlignment="true" applyProtection="false">
      <alignment horizontal="right" vertical="bottom" textRotation="0" wrapText="false" indent="0" shrinkToFit="false"/>
      <protection locked="true" hidden="false"/>
    </xf>
    <xf numFmtId="166" fontId="4" fillId="7" borderId="27" xfId="0" applyFont="true" applyBorder="true" applyAlignment="true" applyProtection="false">
      <alignment horizontal="right" vertical="bottom" textRotation="0" wrapText="false" indent="0" shrinkToFit="false"/>
      <protection locked="true" hidden="false"/>
    </xf>
    <xf numFmtId="164" fontId="4" fillId="0" borderId="6" xfId="0" applyFont="true" applyBorder="true" applyAlignment="true" applyProtection="false">
      <alignment horizontal="right" vertical="bottom" textRotation="0" wrapText="false" indent="0" shrinkToFit="false"/>
      <protection locked="true" hidden="false"/>
    </xf>
    <xf numFmtId="167" fontId="4" fillId="0" borderId="33" xfId="0" applyFont="true" applyBorder="true" applyAlignment="true" applyProtection="false">
      <alignment horizontal="right" vertical="bottom" textRotation="0" wrapText="false" indent="0" shrinkToFit="false"/>
      <protection locked="true" hidden="false"/>
    </xf>
    <xf numFmtId="167" fontId="4" fillId="0" borderId="32" xfId="0" applyFont="true" applyBorder="true" applyAlignment="true" applyProtection="false">
      <alignment horizontal="right" vertical="bottom" textRotation="0" wrapText="false" indent="0" shrinkToFit="false"/>
      <protection locked="true" hidden="false"/>
    </xf>
    <xf numFmtId="166" fontId="0" fillId="3" borderId="7" xfId="0" applyFont="false" applyBorder="true" applyAlignment="true" applyProtection="false">
      <alignment horizontal="right" vertical="bottom" textRotation="0" wrapText="false" indent="0" shrinkToFit="false"/>
      <protection locked="true" hidden="false"/>
    </xf>
    <xf numFmtId="167" fontId="0" fillId="10" borderId="26" xfId="0" applyFont="false" applyBorder="true" applyAlignment="false" applyProtection="false">
      <alignment horizontal="general" vertical="bottom" textRotation="0" wrapText="false" indent="0" shrinkToFit="false"/>
      <protection locked="true" hidden="false"/>
    </xf>
    <xf numFmtId="167" fontId="0" fillId="9" borderId="15" xfId="0" applyFont="false" applyBorder="true" applyAlignment="false" applyProtection="false">
      <alignment horizontal="general" vertical="bottom" textRotation="0" wrapText="false" indent="0" shrinkToFit="false"/>
      <protection locked="true" hidden="false"/>
    </xf>
    <xf numFmtId="167" fontId="4" fillId="11" borderId="7" xfId="0" applyFont="true" applyBorder="true" applyAlignment="true" applyProtection="false">
      <alignment horizontal="right" vertical="bottom" textRotation="0" wrapText="false" indent="0" shrinkToFit="false"/>
      <protection locked="true" hidden="false"/>
    </xf>
    <xf numFmtId="166" fontId="0" fillId="3" borderId="9" xfId="0" applyFont="false" applyBorder="true" applyAlignment="true" applyProtection="false">
      <alignment horizontal="right" vertical="bottom" textRotation="0" wrapText="false" indent="0" shrinkToFit="false"/>
      <protection locked="true" hidden="false"/>
    </xf>
    <xf numFmtId="167" fontId="4" fillId="0" borderId="0" xfId="0" applyFont="true" applyBorder="false" applyAlignment="false" applyProtection="false">
      <alignment horizontal="general" vertical="bottom" textRotation="0" wrapText="false" indent="0" shrinkToFit="false"/>
      <protection locked="true" hidden="false"/>
    </xf>
    <xf numFmtId="167" fontId="0" fillId="10" borderId="10" xfId="0" applyFont="false" applyBorder="true" applyAlignment="false" applyProtection="false">
      <alignment horizontal="general" vertical="bottom" textRotation="0" wrapText="false" indent="0" shrinkToFit="false"/>
      <protection locked="true" hidden="false"/>
    </xf>
    <xf numFmtId="167" fontId="0" fillId="9" borderId="9" xfId="0" applyFont="false" applyBorder="true" applyAlignment="false" applyProtection="false">
      <alignment horizontal="general" vertical="bottom" textRotation="0" wrapText="false" indent="0" shrinkToFit="false"/>
      <protection locked="true" hidden="false"/>
    </xf>
    <xf numFmtId="166" fontId="4" fillId="3" borderId="9" xfId="0" applyFont="true" applyBorder="true" applyAlignment="true" applyProtection="false">
      <alignment horizontal="right" vertical="bottom" textRotation="0" wrapText="false" indent="0" shrinkToFit="false"/>
      <protection locked="true" hidden="false"/>
    </xf>
    <xf numFmtId="166" fontId="0" fillId="3" borderId="22" xfId="0" applyFont="false" applyBorder="true" applyAlignment="true" applyProtection="false">
      <alignment horizontal="right" vertical="bottom" textRotation="0" wrapText="false" indent="0" shrinkToFit="false"/>
      <protection locked="true" hidden="false"/>
    </xf>
    <xf numFmtId="167" fontId="0" fillId="10" borderId="12" xfId="0" applyFont="false" applyBorder="true" applyAlignment="false" applyProtection="false">
      <alignment horizontal="general" vertical="bottom" textRotation="0" wrapText="false" indent="0" shrinkToFit="false"/>
      <protection locked="true" hidden="false"/>
    </xf>
    <xf numFmtId="167" fontId="0" fillId="9" borderId="11" xfId="0" applyFont="false" applyBorder="true" applyAlignment="false" applyProtection="false">
      <alignment horizontal="general" vertical="bottom" textRotation="0" wrapText="false" indent="0" shrinkToFit="false"/>
      <protection locked="true" hidden="false"/>
    </xf>
    <xf numFmtId="164" fontId="0" fillId="0" borderId="14" xfId="0" applyFont="false" applyBorder="true" applyAlignment="false" applyProtection="false">
      <alignment horizontal="general" vertical="bottom" textRotation="0" wrapText="false" indent="0" shrinkToFit="false"/>
      <protection locked="true" hidden="false"/>
    </xf>
    <xf numFmtId="164" fontId="5" fillId="0" borderId="13" xfId="0" applyFont="true" applyBorder="true" applyAlignment="true" applyProtection="false">
      <alignment horizontal="center" vertical="bottom" textRotation="0" wrapText="false" indent="0" shrinkToFit="false"/>
      <protection locked="true" hidden="false"/>
    </xf>
    <xf numFmtId="167" fontId="0" fillId="3" borderId="9" xfId="0" applyFont="false" applyBorder="true" applyAlignment="true" applyProtection="false">
      <alignment horizontal="right" vertical="bottom" textRotation="0" wrapText="false" indent="0" shrinkToFit="false"/>
      <protection locked="true" hidden="false"/>
    </xf>
    <xf numFmtId="167" fontId="0" fillId="9" borderId="9" xfId="0" applyFont="false" applyBorder="true" applyAlignment="true" applyProtection="false">
      <alignment horizontal="right" vertical="bottom" textRotation="0" wrapText="false" indent="0" shrinkToFit="false"/>
      <protection locked="true" hidden="false"/>
    </xf>
    <xf numFmtId="166" fontId="0" fillId="3" borderId="15" xfId="0" applyFont="false" applyBorder="true" applyAlignment="true" applyProtection="false">
      <alignment horizontal="right" vertical="bottom" textRotation="0" wrapText="false" indent="0" shrinkToFit="false"/>
      <protection locked="true" hidden="false"/>
    </xf>
    <xf numFmtId="166" fontId="0" fillId="9" borderId="7" xfId="0" applyFont="false" applyBorder="true" applyAlignment="true" applyProtection="false">
      <alignment horizontal="right" vertical="bottom" textRotation="0" wrapText="false" indent="0" shrinkToFit="false"/>
      <protection locked="true" hidden="false"/>
    </xf>
    <xf numFmtId="166" fontId="0" fillId="9" borderId="9" xfId="0" applyFont="false" applyBorder="true" applyAlignment="true" applyProtection="false">
      <alignment horizontal="right" vertical="bottom" textRotation="0" wrapText="false" indent="0" shrinkToFit="false"/>
      <protection locked="true" hidden="false"/>
    </xf>
    <xf numFmtId="166" fontId="4" fillId="9" borderId="9" xfId="0" applyFont="true" applyBorder="true" applyAlignment="true" applyProtection="false">
      <alignment horizontal="right" vertical="bottom" textRotation="0" wrapText="false" indent="0" shrinkToFit="false"/>
      <protection locked="true" hidden="false"/>
    </xf>
    <xf numFmtId="166" fontId="0" fillId="11" borderId="9" xfId="0" applyFont="false" applyBorder="true" applyAlignment="true" applyProtection="false">
      <alignment horizontal="right" vertical="bottom" textRotation="0" wrapText="false" indent="0" shrinkToFit="false"/>
      <protection locked="true" hidden="false"/>
    </xf>
    <xf numFmtId="166" fontId="4" fillId="11" borderId="9" xfId="0" applyFont="true" applyBorder="true" applyAlignment="true" applyProtection="false">
      <alignment horizontal="right" vertical="bottom" textRotation="0" wrapText="false" indent="0" shrinkToFit="false"/>
      <protection locked="true" hidden="false"/>
    </xf>
    <xf numFmtId="166" fontId="0" fillId="11" borderId="22" xfId="0" applyFont="false" applyBorder="true" applyAlignment="true" applyProtection="false">
      <alignment horizontal="right" vertical="bottom" textRotation="0" wrapText="false" indent="0" shrinkToFit="false"/>
      <protection locked="true" hidden="false"/>
    </xf>
    <xf numFmtId="166" fontId="0" fillId="3" borderId="11" xfId="0" applyFont="false" applyBorder="true" applyAlignment="true" applyProtection="false">
      <alignment horizontal="right" vertical="bottom" textRotation="0" wrapText="false" indent="0" shrinkToFit="false"/>
      <protection locked="true" hidden="false"/>
    </xf>
    <xf numFmtId="164" fontId="5" fillId="0" borderId="17" xfId="0" applyFont="true" applyBorder="true" applyAlignment="true" applyProtection="false">
      <alignment horizontal="center" vertical="bottom" textRotation="0" wrapText="false" indent="0" shrinkToFit="false"/>
      <protection locked="true" hidden="false"/>
    </xf>
    <xf numFmtId="166" fontId="0" fillId="9" borderId="26" xfId="0" applyFont="false" applyBorder="true" applyAlignment="true" applyProtection="false">
      <alignment horizontal="right" vertical="bottom" textRotation="0" wrapText="false" indent="0" shrinkToFit="false"/>
      <protection locked="true" hidden="false"/>
    </xf>
    <xf numFmtId="167" fontId="0" fillId="10" borderId="8" xfId="0" applyFont="false" applyBorder="true" applyAlignment="false" applyProtection="false">
      <alignment horizontal="general" vertical="bottom" textRotation="0" wrapText="false" indent="0" shrinkToFit="false"/>
      <protection locked="true" hidden="false"/>
    </xf>
    <xf numFmtId="167" fontId="0" fillId="9" borderId="7" xfId="0" applyFont="false" applyBorder="true" applyAlignment="false" applyProtection="false">
      <alignment horizontal="general" vertical="bottom" textRotation="0" wrapText="false" indent="0" shrinkToFit="false"/>
      <protection locked="true" hidden="false"/>
    </xf>
    <xf numFmtId="166" fontId="0" fillId="9" borderId="29" xfId="0" applyFont="false" applyBorder="true" applyAlignment="true" applyProtection="false">
      <alignment horizontal="right" vertical="bottom" textRotation="0" wrapText="false" indent="0" shrinkToFit="false"/>
      <protection locked="true" hidden="false"/>
    </xf>
    <xf numFmtId="166" fontId="0" fillId="9" borderId="15" xfId="0" applyFont="false" applyBorder="true" applyAlignment="true" applyProtection="false">
      <alignment horizontal="right" vertical="bottom" textRotation="0" wrapText="false" indent="0" shrinkToFit="false"/>
      <protection locked="true" hidden="false"/>
    </xf>
    <xf numFmtId="166" fontId="0" fillId="9" borderId="11" xfId="0" applyFont="false" applyBorder="true" applyAlignment="true" applyProtection="false">
      <alignment horizontal="right" vertical="bottom" textRotation="0" wrapText="false" indent="0" shrinkToFit="false"/>
      <protection locked="true" hidden="false"/>
    </xf>
    <xf numFmtId="164" fontId="5" fillId="0" borderId="5" xfId="0" applyFont="true" applyBorder="true" applyAlignment="true" applyProtection="false">
      <alignment horizontal="center" vertical="bottom" textRotation="0" wrapText="false" indent="0" shrinkToFit="false"/>
      <protection locked="true" hidden="false"/>
    </xf>
    <xf numFmtId="166" fontId="5" fillId="0" borderId="0" xfId="0" applyFont="true" applyBorder="false" applyAlignment="false" applyProtection="false">
      <alignment horizontal="general" vertical="bottom" textRotation="0" wrapText="false" indent="0" shrinkToFit="false"/>
      <protection locked="true" hidden="false"/>
    </xf>
    <xf numFmtId="164" fontId="5" fillId="0" borderId="21" xfId="0" applyFont="true" applyBorder="true" applyAlignment="false" applyProtection="false">
      <alignment horizontal="general" vertical="bottom" textRotation="0" wrapText="false" indent="0" shrinkToFit="false"/>
      <protection locked="true" hidden="false"/>
    </xf>
    <xf numFmtId="167" fontId="4" fillId="5" borderId="15" xfId="0" applyFont="true" applyBorder="true" applyAlignment="true" applyProtection="false">
      <alignment horizontal="right" vertical="bottom" textRotation="0" wrapText="false" indent="0" shrinkToFit="false"/>
      <protection locked="true" hidden="false"/>
    </xf>
    <xf numFmtId="167" fontId="4" fillId="5" borderId="9" xfId="0" applyFont="true" applyBorder="true" applyAlignment="true" applyProtection="false">
      <alignment horizontal="right" vertical="bottom" textRotation="0" wrapText="false" indent="0" shrinkToFit="false"/>
      <protection locked="true" hidden="false"/>
    </xf>
    <xf numFmtId="167" fontId="4" fillId="5" borderId="11" xfId="0" applyFont="true" applyBorder="true" applyAlignment="true" applyProtection="false">
      <alignment horizontal="right" vertical="bottom" textRotation="0" wrapText="false" indent="0" shrinkToFit="false"/>
      <protection locked="true" hidden="false"/>
    </xf>
    <xf numFmtId="164" fontId="4" fillId="0" borderId="14" xfId="0" applyFont="true" applyBorder="true" applyAlignment="tru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general" vertical="bottom" textRotation="0" wrapText="false" indent="0" shrinkToFit="false"/>
      <protection locked="true" hidden="false"/>
    </xf>
    <xf numFmtId="166" fontId="4" fillId="0" borderId="0" xfId="0" applyFont="true" applyBorder="true" applyAlignment="true" applyProtection="false">
      <alignment horizontal="right" vertical="bottom" textRotation="0" wrapText="false" indent="0" shrinkToFit="false"/>
      <protection locked="true" hidden="false"/>
    </xf>
    <xf numFmtId="166" fontId="4" fillId="0" borderId="0" xfId="0" applyFont="true" applyBorder="false" applyAlignment="true" applyProtection="false">
      <alignment horizontal="right" vertical="bottom" textRotation="0" wrapText="false" indent="0" shrinkToFit="false"/>
      <protection locked="true" hidden="false"/>
    </xf>
    <xf numFmtId="167" fontId="4" fillId="5" borderId="7" xfId="0" applyFont="true" applyBorder="true" applyAlignment="true" applyProtection="false">
      <alignment horizontal="right" vertical="bottom" textRotation="0" wrapText="false" indent="0" shrinkToFit="false"/>
      <protection locked="true" hidden="false"/>
    </xf>
    <xf numFmtId="167" fontId="4" fillId="5" borderId="0" xfId="0" applyFont="true" applyBorder="true" applyAlignment="true" applyProtection="false">
      <alignment horizontal="right" vertical="bottom" textRotation="0" wrapText="false" indent="0" shrinkToFit="false"/>
      <protection locked="true" hidden="false"/>
    </xf>
    <xf numFmtId="164" fontId="4" fillId="0" borderId="13" xfId="0" applyFont="true" applyBorder="true" applyAlignment="false" applyProtection="false">
      <alignment horizontal="general" vertical="bottom" textRotation="0" wrapText="false" indent="0" shrinkToFit="false"/>
      <protection locked="true" hidden="false"/>
    </xf>
    <xf numFmtId="164" fontId="4" fillId="0" borderId="21" xfId="0" applyFont="true" applyBorder="true" applyAlignment="false" applyProtection="false">
      <alignment horizontal="general" vertical="bottom" textRotation="0" wrapText="false" indent="0" shrinkToFit="false"/>
      <protection locked="true" hidden="false"/>
    </xf>
    <xf numFmtId="164" fontId="4" fillId="0" borderId="0" xfId="0" applyFont="true" applyBorder="tru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true" applyAlignment="true" applyProtection="false">
      <alignment horizontal="left" vertical="bottom" textRotation="0" wrapText="false" indent="0" shrinkToFit="false"/>
      <protection locked="true" hidden="false"/>
    </xf>
    <xf numFmtId="164" fontId="5" fillId="0" borderId="13" xfId="0" applyFont="true" applyBorder="true" applyAlignment="true" applyProtection="false">
      <alignment horizontal="left" vertical="bottom" textRotation="0" wrapText="false" indent="0" shrinkToFit="false"/>
      <protection locked="true" hidden="false"/>
    </xf>
    <xf numFmtId="164" fontId="5" fillId="0" borderId="21" xfId="0" applyFont="true" applyBorder="true" applyAlignment="true" applyProtection="false">
      <alignment horizontal="left" vertical="bottom" textRotation="0" wrapText="false" indent="0" shrinkToFit="false"/>
      <protection locked="true" hidden="false"/>
    </xf>
    <xf numFmtId="167" fontId="4" fillId="8" borderId="26" xfId="0" applyFont="true" applyBorder="true" applyAlignment="true" applyProtection="false">
      <alignment horizontal="right" vertical="bottom" textRotation="0" wrapText="false" indent="0" shrinkToFit="false"/>
      <protection locked="true" hidden="false"/>
    </xf>
    <xf numFmtId="166" fontId="4" fillId="3" borderId="18" xfId="0" applyFont="true" applyBorder="true" applyAlignment="true" applyProtection="false">
      <alignment horizontal="right" vertical="bottom" textRotation="0" wrapText="false" indent="0" shrinkToFit="false"/>
      <protection locked="true" hidden="false"/>
    </xf>
    <xf numFmtId="166" fontId="4" fillId="0" borderId="7" xfId="0" applyFont="true" applyBorder="true" applyAlignment="true" applyProtection="false">
      <alignment horizontal="right" vertical="bottom" textRotation="0" wrapText="false" indent="0" shrinkToFit="false"/>
      <protection locked="true" hidden="false"/>
    </xf>
    <xf numFmtId="167" fontId="4" fillId="3" borderId="18" xfId="0" applyFont="true" applyBorder="true" applyAlignment="true" applyProtection="false">
      <alignment horizontal="right" vertical="bottom" textRotation="0" wrapText="false" indent="0" shrinkToFit="false"/>
      <protection locked="true" hidden="false"/>
    </xf>
    <xf numFmtId="167" fontId="4" fillId="0" borderId="7" xfId="0" applyFont="true" applyBorder="true" applyAlignment="true" applyProtection="false">
      <alignment horizontal="right" vertical="bottom" textRotation="0" wrapText="false" indent="0" shrinkToFit="false"/>
      <protection locked="true" hidden="false"/>
    </xf>
    <xf numFmtId="167" fontId="4" fillId="8" borderId="8" xfId="0" applyFont="true" applyBorder="true" applyAlignment="true" applyProtection="false">
      <alignment horizontal="right" vertical="bottom" textRotation="0" wrapText="false" indent="0" shrinkToFit="false"/>
      <protection locked="true" hidden="false"/>
    </xf>
    <xf numFmtId="166" fontId="4" fillId="3" borderId="19" xfId="0" applyFont="true" applyBorder="true" applyAlignment="true" applyProtection="false">
      <alignment horizontal="right" vertical="bottom" textRotation="0" wrapText="false" indent="0" shrinkToFit="false"/>
      <protection locked="true" hidden="false"/>
    </xf>
    <xf numFmtId="166" fontId="4" fillId="0" borderId="9" xfId="0" applyFont="true" applyBorder="true" applyAlignment="true" applyProtection="false">
      <alignment horizontal="right" vertical="bottom" textRotation="0" wrapText="false" indent="0" shrinkToFit="false"/>
      <protection locked="true" hidden="false"/>
    </xf>
    <xf numFmtId="167" fontId="4" fillId="3" borderId="19" xfId="0" applyFont="true" applyBorder="true" applyAlignment="true" applyProtection="false">
      <alignment horizontal="right" vertical="bottom" textRotation="0" wrapText="false" indent="0" shrinkToFit="false"/>
      <protection locked="true" hidden="false"/>
    </xf>
    <xf numFmtId="167" fontId="4" fillId="0" borderId="9" xfId="0" applyFont="true" applyBorder="true" applyAlignment="true" applyProtection="false">
      <alignment horizontal="right" vertical="bottom" textRotation="0" wrapText="false" indent="0" shrinkToFit="false"/>
      <protection locked="true" hidden="false"/>
    </xf>
    <xf numFmtId="166" fontId="0" fillId="3" borderId="19" xfId="0" applyFont="true" applyBorder="true" applyAlignment="true" applyProtection="false">
      <alignment horizontal="right" vertical="bottom" textRotation="0" wrapText="false" indent="0" shrinkToFit="false"/>
      <protection locked="true" hidden="false"/>
    </xf>
    <xf numFmtId="167" fontId="0" fillId="3" borderId="19" xfId="0" applyFont="false" applyBorder="true" applyAlignment="true" applyProtection="false">
      <alignment horizontal="right" vertical="bottom" textRotation="0" wrapText="false" indent="0" shrinkToFit="false"/>
      <protection locked="true" hidden="false"/>
    </xf>
    <xf numFmtId="166" fontId="0" fillId="0" borderId="9" xfId="0" applyFont="false" applyBorder="true" applyAlignment="true" applyProtection="false">
      <alignment horizontal="right" vertical="bottom" textRotation="0" wrapText="false" indent="0" shrinkToFit="false"/>
      <protection locked="true" hidden="false"/>
    </xf>
    <xf numFmtId="167" fontId="0" fillId="0" borderId="9" xfId="0" applyFont="false" applyBorder="true" applyAlignment="true" applyProtection="false">
      <alignment horizontal="right" vertical="bottom" textRotation="0" wrapText="false" indent="0" shrinkToFit="false"/>
      <protection locked="true" hidden="false"/>
    </xf>
    <xf numFmtId="164" fontId="4" fillId="0" borderId="22" xfId="0" applyFont="true" applyBorder="true" applyAlignment="false" applyProtection="false">
      <alignment horizontal="general" vertical="bottom" textRotation="0" wrapText="false" indent="0" shrinkToFit="false"/>
      <protection locked="true" hidden="false"/>
    </xf>
    <xf numFmtId="166" fontId="4" fillId="3" borderId="27" xfId="0" applyFont="true" applyBorder="true" applyAlignment="true" applyProtection="false">
      <alignment horizontal="right" vertical="bottom" textRotation="0" wrapText="false" indent="0" shrinkToFit="false"/>
      <protection locked="true" hidden="false"/>
    </xf>
    <xf numFmtId="166" fontId="4" fillId="0" borderId="22" xfId="0" applyFont="true" applyBorder="true" applyAlignment="true" applyProtection="false">
      <alignment horizontal="right" vertical="bottom" textRotation="0" wrapText="false" indent="0" shrinkToFit="false"/>
      <protection locked="true" hidden="false"/>
    </xf>
    <xf numFmtId="167" fontId="4" fillId="3" borderId="27" xfId="0" applyFont="true" applyBorder="true" applyAlignment="true" applyProtection="false">
      <alignment horizontal="right" vertical="bottom" textRotation="0" wrapText="false" indent="0" shrinkToFit="false"/>
      <protection locked="true" hidden="false"/>
    </xf>
    <xf numFmtId="167" fontId="4" fillId="0" borderId="22" xfId="0" applyFont="true" applyBorder="true" applyAlignment="true" applyProtection="false">
      <alignment horizontal="right" vertical="bottom" textRotation="0" wrapText="false" indent="0" shrinkToFit="false"/>
      <protection locked="true" hidden="false"/>
    </xf>
    <xf numFmtId="164" fontId="4" fillId="0" borderId="11" xfId="0" applyFont="true" applyBorder="true" applyAlignment="false" applyProtection="false">
      <alignment horizontal="general" vertical="bottom" textRotation="0" wrapText="false" indent="0" shrinkToFit="false"/>
      <protection locked="true" hidden="false"/>
    </xf>
    <xf numFmtId="167" fontId="4" fillId="8" borderId="6" xfId="0" applyFont="true" applyBorder="true" applyAlignment="true" applyProtection="false">
      <alignment horizontal="right" vertical="bottom" textRotation="0" wrapText="false" indent="0" shrinkToFit="false"/>
      <protection locked="true" hidden="false"/>
    </xf>
    <xf numFmtId="166" fontId="4" fillId="3" borderId="20" xfId="0" applyFont="true" applyBorder="true" applyAlignment="true" applyProtection="false">
      <alignment horizontal="right" vertical="bottom" textRotation="0" wrapText="false" indent="0" shrinkToFit="false"/>
      <protection locked="true" hidden="false"/>
    </xf>
    <xf numFmtId="166" fontId="4" fillId="0" borderId="11" xfId="0" applyFont="true" applyBorder="true" applyAlignment="true" applyProtection="false">
      <alignment horizontal="right" vertical="bottom" textRotation="0" wrapText="false" indent="0" shrinkToFit="false"/>
      <protection locked="true" hidden="false"/>
    </xf>
    <xf numFmtId="167" fontId="4" fillId="3" borderId="20" xfId="0" applyFont="true" applyBorder="true" applyAlignment="true" applyProtection="false">
      <alignment horizontal="right" vertical="bottom" textRotation="0" wrapText="false" indent="0" shrinkToFit="false"/>
      <protection locked="true" hidden="false"/>
    </xf>
    <xf numFmtId="167" fontId="4" fillId="0" borderId="11" xfId="0" applyFont="true" applyBorder="true" applyAlignment="true" applyProtection="false">
      <alignment horizontal="right" vertical="bottom" textRotation="0" wrapText="false" indent="0" shrinkToFit="false"/>
      <protection locked="true" hidden="false"/>
    </xf>
    <xf numFmtId="164" fontId="4" fillId="0" borderId="15" xfId="0" applyFont="true" applyBorder="true" applyAlignment="false" applyProtection="false">
      <alignment horizontal="general" vertical="bottom" textRotation="0" wrapText="false" indent="0" shrinkToFit="false"/>
      <protection locked="true" hidden="false"/>
    </xf>
    <xf numFmtId="167" fontId="4" fillId="3" borderId="15" xfId="0" applyFont="true" applyBorder="true" applyAlignment="true" applyProtection="false">
      <alignment horizontal="right" vertical="bottom" textRotation="0" wrapText="false" indent="0" shrinkToFit="false"/>
      <protection locked="true" hidden="false"/>
    </xf>
    <xf numFmtId="167" fontId="4" fillId="0" borderId="15" xfId="0" applyFont="true" applyBorder="true" applyAlignment="true" applyProtection="false">
      <alignment horizontal="right" vertical="bottom" textRotation="0" wrapText="false" indent="0" shrinkToFit="false"/>
      <protection locked="true" hidden="false"/>
    </xf>
    <xf numFmtId="164" fontId="4" fillId="0" borderId="3" xfId="0" applyFont="true" applyBorder="true" applyAlignment="false" applyProtection="false">
      <alignment horizontal="general" vertical="bottom" textRotation="0" wrapText="false" indent="0" shrinkToFit="false"/>
      <protection locked="true" hidden="false"/>
    </xf>
    <xf numFmtId="167" fontId="4" fillId="3" borderId="3" xfId="0" applyFont="true" applyBorder="true" applyAlignment="true" applyProtection="false">
      <alignment horizontal="right" vertical="bottom" textRotation="0" wrapText="false" indent="0" shrinkToFit="false"/>
      <protection locked="true" hidden="false"/>
    </xf>
    <xf numFmtId="167" fontId="4" fillId="0" borderId="3" xfId="0" applyFont="true" applyBorder="true" applyAlignment="true" applyProtection="false">
      <alignment horizontal="right" vertical="bottom" textRotation="0" wrapText="false" indent="0" shrinkToFit="false"/>
      <protection locked="true" hidden="false"/>
    </xf>
    <xf numFmtId="164" fontId="4" fillId="0" borderId="4" xfId="0" applyFont="true" applyBorder="true" applyAlignment="false" applyProtection="false">
      <alignment horizontal="general" vertical="bottom" textRotation="0" wrapText="false" indent="0" shrinkToFit="false"/>
      <protection locked="true" hidden="false"/>
    </xf>
    <xf numFmtId="164" fontId="4" fillId="0" borderId="11" xfId="0" applyFont="true" applyBorder="true" applyAlignment="false" applyProtection="false">
      <alignment horizontal="general" vertical="bottom" textRotation="0" wrapText="false" indent="0" shrinkToFit="false"/>
      <protection locked="true" hidden="false"/>
    </xf>
    <xf numFmtId="167" fontId="0" fillId="3" borderId="11" xfId="0" applyFont="false" applyBorder="true" applyAlignment="false" applyProtection="false">
      <alignment horizontal="general" vertical="bottom" textRotation="0" wrapText="false" indent="0" shrinkToFit="false"/>
      <protection locked="true" hidden="false"/>
    </xf>
    <xf numFmtId="167" fontId="0" fillId="0" borderId="11" xfId="0" applyFont="false" applyBorder="true" applyAlignment="false" applyProtection="false">
      <alignment horizontal="general" vertical="bottom" textRotation="0" wrapText="false" indent="0" shrinkToFit="false"/>
      <protection locked="true" hidden="false"/>
    </xf>
    <xf numFmtId="164" fontId="4" fillId="0" borderId="12" xfId="0" applyFont="true" applyBorder="true" applyAlignment="false" applyProtection="false">
      <alignment horizontal="general" vertical="bottom" textRotation="0" wrapText="false" indent="0" shrinkToFit="false"/>
      <protection locked="true" hidden="false"/>
    </xf>
    <xf numFmtId="164" fontId="4" fillId="0" borderId="1" xfId="0" applyFont="true" applyBorder="true" applyAlignment="false" applyProtection="false">
      <alignment horizontal="general" vertical="bottom" textRotation="0" wrapText="false" indent="0" shrinkToFit="false"/>
      <protection locked="true" hidden="false"/>
    </xf>
    <xf numFmtId="166" fontId="4" fillId="3" borderId="17" xfId="0" applyFont="true" applyBorder="true" applyAlignment="true" applyProtection="false">
      <alignment horizontal="right" vertical="bottom" textRotation="0" wrapText="false" indent="0" shrinkToFit="false"/>
      <protection locked="true" hidden="false"/>
    </xf>
    <xf numFmtId="166" fontId="4" fillId="0" borderId="1" xfId="0" applyFont="true" applyBorder="true" applyAlignment="true" applyProtection="false">
      <alignment horizontal="right" vertical="bottom" textRotation="0" wrapText="false" indent="0" shrinkToFit="false"/>
      <protection locked="true" hidden="false"/>
    </xf>
    <xf numFmtId="166" fontId="4" fillId="3" borderId="2" xfId="0" applyFont="true" applyBorder="true" applyAlignment="true" applyProtection="false">
      <alignment horizontal="right" vertical="bottom" textRotation="0" wrapText="false" indent="0" shrinkToFit="false"/>
      <protection locked="true" hidden="false"/>
    </xf>
    <xf numFmtId="167" fontId="4" fillId="3" borderId="17" xfId="0" applyFont="true" applyBorder="true" applyAlignment="true" applyProtection="false">
      <alignment horizontal="right" vertical="bottom" textRotation="0" wrapText="false" indent="0" shrinkToFit="false"/>
      <protection locked="true" hidden="false"/>
    </xf>
    <xf numFmtId="167" fontId="4" fillId="0" borderId="1" xfId="0" applyFont="true" applyBorder="true" applyAlignment="true" applyProtection="false">
      <alignment horizontal="right" vertical="bottom" textRotation="0" wrapText="false" indent="0" shrinkToFit="false"/>
      <protection locked="true" hidden="false"/>
    </xf>
    <xf numFmtId="167" fontId="4" fillId="3" borderId="2" xfId="0" applyFont="true" applyBorder="true" applyAlignment="true" applyProtection="false">
      <alignment horizontal="right" vertical="bottom" textRotation="0" wrapText="false" indent="0" shrinkToFit="false"/>
      <protection locked="true" hidden="false"/>
    </xf>
    <xf numFmtId="164" fontId="4" fillId="0" borderId="22" xfId="0" applyFont="true" applyBorder="true" applyAlignment="false" applyProtection="false">
      <alignment horizontal="general" vertical="bottom" textRotation="0" wrapText="false" indent="0" shrinkToFit="false"/>
      <protection locked="true" hidden="false"/>
    </xf>
    <xf numFmtId="166" fontId="4" fillId="3" borderId="29" xfId="0" applyFont="true" applyBorder="true" applyAlignment="true" applyProtection="false">
      <alignment horizontal="right" vertical="bottom" textRotation="0" wrapText="false" indent="0" shrinkToFit="false"/>
      <protection locked="true" hidden="false"/>
    </xf>
    <xf numFmtId="167" fontId="4" fillId="3" borderId="29" xfId="0" applyFont="true" applyBorder="true" applyAlignment="true" applyProtection="false">
      <alignment horizontal="right" vertical="bottom" textRotation="0" wrapText="false" indent="0" shrinkToFit="false"/>
      <protection locked="true" hidden="false"/>
    </xf>
    <xf numFmtId="166" fontId="4" fillId="3" borderId="10" xfId="0" applyFont="true" applyBorder="true" applyAlignment="true" applyProtection="false">
      <alignment horizontal="right" vertical="bottom" textRotation="0" wrapText="false" indent="0" shrinkToFit="false"/>
      <protection locked="true" hidden="false"/>
    </xf>
    <xf numFmtId="167" fontId="4" fillId="3" borderId="10" xfId="0" applyFont="true" applyBorder="true" applyAlignment="true" applyProtection="false">
      <alignment horizontal="right" vertical="bottom" textRotation="0" wrapText="false" indent="0" shrinkToFit="false"/>
      <protection locked="true" hidden="false"/>
    </xf>
    <xf numFmtId="166" fontId="4" fillId="3" borderId="12" xfId="0" applyFont="true" applyBorder="true" applyAlignment="true" applyProtection="false">
      <alignment horizontal="right" vertical="bottom" textRotation="0" wrapText="false" indent="0" shrinkToFit="false"/>
      <protection locked="true" hidden="false"/>
    </xf>
    <xf numFmtId="167" fontId="4" fillId="3" borderId="12" xfId="0" applyFont="true" applyBorder="true" applyAlignment="true" applyProtection="false">
      <alignment horizontal="right" vertical="bottom" textRotation="0" wrapText="false" indent="0" shrinkToFit="false"/>
      <protection locked="true" hidden="false"/>
    </xf>
    <xf numFmtId="164" fontId="4" fillId="0" borderId="26" xfId="0" applyFont="true" applyBorder="true" applyAlignment="false" applyProtection="false">
      <alignment horizontal="general" vertical="bottom" textRotation="0" wrapText="false" indent="0" shrinkToFit="false"/>
      <protection locked="true" hidden="false"/>
    </xf>
    <xf numFmtId="166" fontId="4" fillId="3" borderId="23" xfId="0" applyFont="true" applyBorder="true" applyAlignment="true" applyProtection="false">
      <alignment horizontal="right" vertical="bottom" textRotation="0" wrapText="false" indent="0" shrinkToFit="false"/>
      <protection locked="true" hidden="false"/>
    </xf>
    <xf numFmtId="166" fontId="4" fillId="0" borderId="15" xfId="0" applyFont="true" applyBorder="true" applyAlignment="true" applyProtection="false">
      <alignment horizontal="right" vertical="bottom" textRotation="0" wrapText="false" indent="0" shrinkToFit="false"/>
      <protection locked="true" hidden="false"/>
    </xf>
    <xf numFmtId="164" fontId="0" fillId="0" borderId="0" xfId="0" applyFont="false" applyBorder="false" applyAlignment="true" applyProtection="false">
      <alignment horizontal="right" vertical="bottom" textRotation="0" wrapText="false" indent="0" shrinkToFit="false"/>
      <protection locked="true" hidden="false"/>
    </xf>
    <xf numFmtId="166" fontId="4" fillId="3" borderId="26" xfId="0" applyFont="true" applyBorder="true" applyAlignment="true" applyProtection="false">
      <alignment horizontal="right" vertical="bottom" textRotation="0" wrapText="false" indent="0" shrinkToFit="false"/>
      <protection locked="true" hidden="false"/>
    </xf>
    <xf numFmtId="167" fontId="4" fillId="3" borderId="23" xfId="0" applyFont="true" applyBorder="true" applyAlignment="true" applyProtection="false">
      <alignment horizontal="right" vertical="bottom" textRotation="0" wrapText="false" indent="0" shrinkToFit="false"/>
      <protection locked="true" hidden="false"/>
    </xf>
    <xf numFmtId="167" fontId="4" fillId="3" borderId="26" xfId="0" applyFont="true" applyBorder="true" applyAlignment="true" applyProtection="false">
      <alignment horizontal="right" vertical="bottom" textRotation="0" wrapText="false" indent="0" shrinkToFit="false"/>
      <protection locked="true" hidden="false"/>
    </xf>
    <xf numFmtId="164" fontId="4" fillId="0" borderId="10" xfId="0" applyFont="true" applyBorder="true" applyAlignment="false" applyProtection="false">
      <alignment horizontal="general" vertical="bottom" textRotation="0" wrapText="false" indent="0" shrinkToFit="false"/>
      <protection locked="true" hidden="false"/>
    </xf>
    <xf numFmtId="166" fontId="0" fillId="3" borderId="10" xfId="0" applyFont="false" applyBorder="true" applyAlignment="true" applyProtection="false">
      <alignment horizontal="right" vertical="bottom" textRotation="0" wrapText="false" indent="0" shrinkToFit="false"/>
      <protection locked="true" hidden="false"/>
    </xf>
    <xf numFmtId="167" fontId="0" fillId="3" borderId="10" xfId="0" applyFont="false" applyBorder="true" applyAlignment="true" applyProtection="false">
      <alignment horizontal="right" vertical="bottom" textRotation="0" wrapText="false" indent="0" shrinkToFit="false"/>
      <protection locked="true" hidden="false"/>
    </xf>
    <xf numFmtId="164" fontId="4" fillId="0" borderId="10" xfId="0" applyFont="true" applyBorder="tru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right" vertical="bottom" textRotation="0" wrapText="false" indent="0" shrinkToFit="false"/>
      <protection locked="true" hidden="false"/>
    </xf>
    <xf numFmtId="166" fontId="0" fillId="3" borderId="27" xfId="0" applyFont="false" applyBorder="true" applyAlignment="true" applyProtection="false">
      <alignment horizontal="right" vertical="bottom" textRotation="0" wrapText="false" indent="0" shrinkToFit="false"/>
      <protection locked="true" hidden="false"/>
    </xf>
    <xf numFmtId="166" fontId="0" fillId="0" borderId="22" xfId="0" applyFont="false" applyBorder="true" applyAlignment="true" applyProtection="false">
      <alignment horizontal="right" vertical="bottom" textRotation="0" wrapText="false" indent="0" shrinkToFit="false"/>
      <protection locked="true" hidden="false"/>
    </xf>
    <xf numFmtId="166" fontId="0" fillId="3" borderId="29" xfId="0" applyFont="false" applyBorder="true" applyAlignment="true" applyProtection="false">
      <alignment horizontal="right" vertical="bottom" textRotation="0" wrapText="false" indent="0" shrinkToFit="false"/>
      <protection locked="true" hidden="false"/>
    </xf>
    <xf numFmtId="167" fontId="0" fillId="3" borderId="27" xfId="0" applyFont="false" applyBorder="true" applyAlignment="true" applyProtection="false">
      <alignment horizontal="right" vertical="bottom" textRotation="0" wrapText="false" indent="0" shrinkToFit="false"/>
      <protection locked="true" hidden="false"/>
    </xf>
    <xf numFmtId="167" fontId="0" fillId="0" borderId="22" xfId="0" applyFont="false" applyBorder="true" applyAlignment="true" applyProtection="false">
      <alignment horizontal="right" vertical="bottom" textRotation="0" wrapText="false" indent="0" shrinkToFit="false"/>
      <protection locked="true" hidden="false"/>
    </xf>
    <xf numFmtId="167" fontId="0" fillId="3" borderId="29" xfId="0" applyFont="false" applyBorder="true" applyAlignment="true" applyProtection="false">
      <alignment horizontal="right" vertical="bottom" textRotation="0" wrapText="false" indent="0" shrinkToFit="false"/>
      <protection locked="true" hidden="false"/>
    </xf>
    <xf numFmtId="164" fontId="4" fillId="0" borderId="29" xfId="0" applyFont="true" applyBorder="true" applyAlignment="false" applyProtection="false">
      <alignment horizontal="general" vertical="bottom" textRotation="0" wrapText="false" indent="0" shrinkToFit="false"/>
      <protection locked="true" hidden="false"/>
    </xf>
    <xf numFmtId="164" fontId="4" fillId="0" borderId="29" xfId="0" applyFont="true" applyBorder="true" applyAlignment="false" applyProtection="false">
      <alignment horizontal="general" vertical="bottom" textRotation="0" wrapText="false" indent="0" shrinkToFit="false"/>
      <protection locked="true" hidden="false"/>
    </xf>
    <xf numFmtId="166" fontId="4" fillId="12" borderId="0" xfId="0" applyFont="true" applyBorder="true" applyAlignment="true" applyProtection="false">
      <alignment horizontal="right" vertical="bottom" textRotation="0" wrapText="false" indent="0" shrinkToFit="false"/>
      <protection locked="true" hidden="false"/>
    </xf>
    <xf numFmtId="166" fontId="4" fillId="12" borderId="3" xfId="0" applyFont="true" applyBorder="true" applyAlignment="true" applyProtection="false">
      <alignment horizontal="right" vertical="bottom" textRotation="0" wrapText="false" indent="0" shrinkToFit="false"/>
      <protection locked="true" hidden="false"/>
    </xf>
    <xf numFmtId="166" fontId="4" fillId="6" borderId="0" xfId="0" applyFont="true" applyBorder="true" applyAlignment="true" applyProtection="false">
      <alignment horizontal="right" vertical="bottom" textRotation="0" wrapText="false" indent="0" shrinkToFit="false"/>
      <protection locked="true" hidden="false"/>
    </xf>
    <xf numFmtId="166" fontId="4" fillId="6" borderId="3" xfId="0" applyFont="true" applyBorder="true" applyAlignment="true" applyProtection="false">
      <alignment horizontal="right" vertical="bottom" textRotation="0" wrapText="false" indent="0" shrinkToFit="false"/>
      <protection locked="true" hidden="false"/>
    </xf>
    <xf numFmtId="166" fontId="4" fillId="3" borderId="4" xfId="0" applyFont="true" applyBorder="true" applyAlignment="true" applyProtection="false">
      <alignment horizontal="right" vertical="bottom" textRotation="0" wrapText="false" indent="0" shrinkToFit="false"/>
      <protection locked="true" hidden="false"/>
    </xf>
    <xf numFmtId="166" fontId="4" fillId="0" borderId="3" xfId="0" applyFont="true" applyBorder="true" applyAlignment="true" applyProtection="false">
      <alignment horizontal="right" vertical="bottom" textRotation="0" wrapText="false" indent="0" shrinkToFit="false"/>
      <protection locked="true" hidden="false"/>
    </xf>
    <xf numFmtId="166" fontId="4" fillId="3" borderId="0" xfId="0" applyFont="true" applyBorder="true" applyAlignment="true" applyProtection="false">
      <alignment horizontal="right" vertical="bottom" textRotation="0" wrapText="false" indent="0" shrinkToFit="false"/>
      <protection locked="true" hidden="false"/>
    </xf>
    <xf numFmtId="167" fontId="4" fillId="12" borderId="0" xfId="0" applyFont="true" applyBorder="true" applyAlignment="true" applyProtection="false">
      <alignment horizontal="right" vertical="bottom" textRotation="0" wrapText="false" indent="0" shrinkToFit="false"/>
      <protection locked="true" hidden="false"/>
    </xf>
    <xf numFmtId="167" fontId="4" fillId="12" borderId="3" xfId="0" applyFont="true" applyBorder="true" applyAlignment="true" applyProtection="false">
      <alignment horizontal="right" vertical="bottom" textRotation="0" wrapText="false" indent="0" shrinkToFit="false"/>
      <protection locked="true" hidden="false"/>
    </xf>
    <xf numFmtId="167" fontId="4" fillId="6" borderId="0" xfId="0" applyFont="true" applyBorder="true" applyAlignment="true" applyProtection="false">
      <alignment horizontal="right" vertical="bottom" textRotation="0" wrapText="false" indent="0" shrinkToFit="false"/>
      <protection locked="true" hidden="false"/>
    </xf>
    <xf numFmtId="167" fontId="4" fillId="6" borderId="3" xfId="0" applyFont="true" applyBorder="true" applyAlignment="true" applyProtection="false">
      <alignment horizontal="right" vertical="bottom" textRotation="0" wrapText="false" indent="0" shrinkToFit="false"/>
      <protection locked="true" hidden="false"/>
    </xf>
    <xf numFmtId="167" fontId="4" fillId="3" borderId="4" xfId="0" applyFont="true" applyBorder="true" applyAlignment="true" applyProtection="false">
      <alignment horizontal="right" vertical="bottom" textRotation="0" wrapText="false" indent="0" shrinkToFit="false"/>
      <protection locked="true" hidden="false"/>
    </xf>
    <xf numFmtId="167" fontId="4" fillId="3" borderId="0" xfId="0" applyFont="true" applyBorder="true" applyAlignment="true" applyProtection="false">
      <alignment horizontal="right" vertical="bottom" textRotation="0" wrapText="false" indent="0" shrinkToFit="false"/>
      <protection locked="true" hidden="false"/>
    </xf>
    <xf numFmtId="166" fontId="4" fillId="12" borderId="27" xfId="0" applyFont="true" applyBorder="true" applyAlignment="true" applyProtection="false">
      <alignment horizontal="right" vertical="bottom" textRotation="0" wrapText="false" indent="0" shrinkToFit="false"/>
      <protection locked="true" hidden="false"/>
    </xf>
    <xf numFmtId="166" fontId="4" fillId="12" borderId="22" xfId="0" applyFont="true" applyBorder="true" applyAlignment="true" applyProtection="false">
      <alignment horizontal="right" vertical="bottom" textRotation="0" wrapText="false" indent="0" shrinkToFit="false"/>
      <protection locked="true" hidden="false"/>
    </xf>
    <xf numFmtId="167" fontId="4" fillId="12" borderId="27" xfId="0" applyFont="true" applyBorder="true" applyAlignment="true" applyProtection="false">
      <alignment horizontal="right" vertical="bottom" textRotation="0" wrapText="false" indent="0" shrinkToFit="false"/>
      <protection locked="true" hidden="false"/>
    </xf>
    <xf numFmtId="167" fontId="4" fillId="12" borderId="22" xfId="0" applyFont="true" applyBorder="true" applyAlignment="true" applyProtection="false">
      <alignment horizontal="right" vertical="bottom" textRotation="0" wrapText="false" indent="0" shrinkToFit="false"/>
      <protection locked="true" hidden="false"/>
    </xf>
    <xf numFmtId="167" fontId="4" fillId="6" borderId="27" xfId="0" applyFont="true" applyBorder="true" applyAlignment="true" applyProtection="false">
      <alignment horizontal="right" vertical="bottom" textRotation="0" wrapText="false" indent="0" shrinkToFit="false"/>
      <protection locked="true" hidden="false"/>
    </xf>
    <xf numFmtId="167" fontId="4" fillId="6" borderId="22" xfId="0" applyFont="true" applyBorder="true" applyAlignment="true" applyProtection="false">
      <alignment horizontal="right" vertical="bottom" textRotation="0" wrapText="false" indent="0" shrinkToFit="false"/>
      <protection locked="true" hidden="false"/>
    </xf>
    <xf numFmtId="164" fontId="4" fillId="0" borderId="12" xfId="0" applyFont="true" applyBorder="true" applyAlignment="false" applyProtection="false">
      <alignment horizontal="general" vertical="bottom" textRotation="0" wrapText="false" indent="0" shrinkToFit="false"/>
      <protection locked="true" hidden="false"/>
    </xf>
    <xf numFmtId="164" fontId="4" fillId="0" borderId="12" xfId="0" applyFont="true" applyBorder="true" applyAlignment="false" applyProtection="false">
      <alignment horizontal="general" vertical="bottom" textRotation="0" wrapText="false" indent="0" shrinkToFit="false"/>
      <protection locked="true" hidden="false"/>
    </xf>
    <xf numFmtId="166" fontId="4" fillId="6" borderId="20" xfId="0" applyFont="true" applyBorder="true" applyAlignment="true" applyProtection="false">
      <alignment horizontal="right" vertical="bottom" textRotation="0" wrapText="false" indent="0" shrinkToFit="false"/>
      <protection locked="true" hidden="false"/>
    </xf>
    <xf numFmtId="167" fontId="4" fillId="6" borderId="20" xfId="0" applyFont="true" applyBorder="true" applyAlignment="true" applyProtection="false">
      <alignment horizontal="right" vertical="bottom" textRotation="0" wrapText="false" indent="0" shrinkToFit="false"/>
      <protection locked="true" hidden="false"/>
    </xf>
    <xf numFmtId="164" fontId="0" fillId="6" borderId="34" xfId="0" applyFont="false" applyBorder="true" applyAlignment="false" applyProtection="false">
      <alignment horizontal="general" vertical="bottom" textRotation="0" wrapText="false" indent="0" shrinkToFit="false"/>
      <protection locked="true" hidden="false"/>
    </xf>
    <xf numFmtId="164" fontId="0" fillId="12" borderId="34" xfId="0" applyFont="fals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right" vertical="bottom" textRotation="0" wrapText="false" indent="0" shrinkToFit="false"/>
      <protection locked="true" hidden="false"/>
    </xf>
    <xf numFmtId="167" fontId="4" fillId="0" borderId="0" xfId="0" applyFont="true" applyBorder="false" applyAlignment="true" applyProtection="false">
      <alignment horizontal="right" vertical="bottom" textRotation="0" wrapText="false" indent="0" shrinkToFit="false"/>
      <protection locked="true" hidden="false"/>
    </xf>
    <xf numFmtId="164" fontId="4" fillId="0" borderId="0" xfId="0" applyFont="true" applyBorder="true" applyAlignment="true" applyProtection="false">
      <alignment horizontal="left" vertical="bottom" textRotation="0" wrapText="false" indent="0" shrinkToFit="false"/>
      <protection locked="true" hidden="false"/>
    </xf>
    <xf numFmtId="166" fontId="0" fillId="0" borderId="34" xfId="0" applyFont="false" applyBorder="true" applyAlignment="true" applyProtection="false">
      <alignment horizontal="right" vertical="bottom" textRotation="0" wrapText="false" indent="0" shrinkToFit="false"/>
      <protection locked="true" hidden="false"/>
    </xf>
    <xf numFmtId="166" fontId="4" fillId="0" borderId="34" xfId="0" applyFont="true" applyBorder="true" applyAlignment="true" applyProtection="false">
      <alignment horizontal="right" vertical="bottom" textRotation="0" wrapText="false" indent="0" shrinkToFit="false"/>
      <protection locked="true" hidden="false"/>
    </xf>
    <xf numFmtId="166" fontId="4" fillId="3" borderId="34" xfId="0" applyFont="true" applyBorder="true" applyAlignment="true" applyProtection="false">
      <alignment horizontal="right" vertical="bottom" textRotation="0" wrapText="false" indent="0" shrinkToFit="false"/>
      <protection locked="true" hidden="false"/>
    </xf>
    <xf numFmtId="167" fontId="4" fillId="0" borderId="34" xfId="0" applyFont="true" applyBorder="true" applyAlignment="true" applyProtection="false">
      <alignment horizontal="right" vertical="bottom" textRotation="0" wrapText="false" indent="0" shrinkToFit="false"/>
      <protection locked="true" hidden="false"/>
    </xf>
    <xf numFmtId="167" fontId="0" fillId="0" borderId="34" xfId="0" applyFont="false" applyBorder="true" applyAlignment="false" applyProtection="false">
      <alignment horizontal="general" vertical="bottom" textRotation="0" wrapText="false" indent="0" shrinkToFit="false"/>
      <protection locked="true" hidden="false"/>
    </xf>
    <xf numFmtId="166" fontId="4" fillId="0" borderId="34" xfId="0" applyFont="true" applyBorder="true" applyAlignment="true" applyProtection="false">
      <alignment horizontal="right" vertical="bottom" textRotation="0" wrapText="false" indent="0" shrinkToFit="false"/>
      <protection locked="true" hidden="false"/>
    </xf>
    <xf numFmtId="167" fontId="4" fillId="0" borderId="34" xfId="0" applyFont="true" applyBorder="true" applyAlignment="false" applyProtection="false">
      <alignment horizontal="general" vertical="bottom" textRotation="0" wrapText="false" indent="0" shrinkToFit="false"/>
      <protection locked="true" hidden="false"/>
    </xf>
    <xf numFmtId="166" fontId="4" fillId="0" borderId="35" xfId="0" applyFont="true" applyBorder="true" applyAlignment="true" applyProtection="false">
      <alignment horizontal="right" vertical="bottom" textRotation="0" wrapText="false" indent="0" shrinkToFit="false"/>
      <protection locked="true" hidden="false"/>
    </xf>
    <xf numFmtId="167" fontId="0" fillId="0" borderId="34" xfId="0" applyFont="false" applyBorder="true" applyAlignment="true" applyProtection="false">
      <alignment horizontal="right" vertical="bottom" textRotation="0" wrapText="false" indent="0" shrinkToFit="false"/>
      <protection locked="true" hidden="false"/>
    </xf>
    <xf numFmtId="164" fontId="5" fillId="0" borderId="0" xfId="0" applyFont="true" applyBorder="true" applyAlignment="true" applyProtection="false">
      <alignment horizontal="general" vertical="bottom" textRotation="0" wrapText="false" indent="0" shrinkToFit="false"/>
      <protection locked="true" hidden="false"/>
    </xf>
    <xf numFmtId="164" fontId="5" fillId="0" borderId="15" xfId="0" applyFont="true" applyBorder="true" applyAlignment="false" applyProtection="false">
      <alignment horizontal="general" vertical="bottom" textRotation="0" wrapText="false" indent="0" shrinkToFit="false"/>
      <protection locked="true" hidden="false"/>
    </xf>
    <xf numFmtId="164" fontId="4" fillId="0" borderId="36" xfId="0" applyFont="true" applyBorder="true" applyAlignment="false" applyProtection="false">
      <alignment horizontal="general" vertical="bottom" textRotation="0" wrapText="false" indent="0" shrinkToFit="false"/>
      <protection locked="true" hidden="false"/>
    </xf>
    <xf numFmtId="164" fontId="4" fillId="0" borderId="37" xfId="0" applyFont="true" applyBorder="true" applyAlignment="false" applyProtection="false">
      <alignment horizontal="general" vertical="bottom" textRotation="0" wrapText="false" indent="0" shrinkToFit="false"/>
      <protection locked="true" hidden="false"/>
    </xf>
    <xf numFmtId="164" fontId="4" fillId="0" borderId="37" xfId="0" applyFont="true" applyBorder="true" applyAlignment="false" applyProtection="false">
      <alignment horizontal="general" vertical="bottom" textRotation="0" wrapText="false" indent="0" shrinkToFit="false"/>
      <protection locked="true" hidden="false"/>
    </xf>
    <xf numFmtId="164" fontId="4" fillId="0" borderId="38" xfId="0" applyFont="true" applyBorder="true" applyAlignment="false" applyProtection="false">
      <alignment horizontal="general" vertical="bottom" textRotation="0" wrapText="false" indent="0" shrinkToFit="false"/>
      <protection locked="true" hidden="false"/>
    </xf>
    <xf numFmtId="164" fontId="5" fillId="0" borderId="7" xfId="0" applyFont="true" applyBorder="true" applyAlignment="false" applyProtection="false">
      <alignment horizontal="general" vertical="bottom" textRotation="0" wrapText="false" indent="0" shrinkToFit="false"/>
      <protection locked="true" hidden="false"/>
    </xf>
    <xf numFmtId="164" fontId="4" fillId="6" borderId="36" xfId="0" applyFont="true" applyBorder="true" applyAlignment="true" applyProtection="false">
      <alignment horizontal="right" vertical="bottom" textRotation="0" wrapText="false" indent="0" shrinkToFit="false"/>
      <protection locked="true" hidden="false"/>
    </xf>
    <xf numFmtId="164" fontId="4" fillId="6" borderId="37" xfId="0" applyFont="true" applyBorder="true" applyAlignment="true" applyProtection="false">
      <alignment horizontal="right" vertical="bottom" textRotation="0" wrapText="false" indent="0" shrinkToFit="false"/>
      <protection locked="true" hidden="false"/>
    </xf>
    <xf numFmtId="164" fontId="0" fillId="6" borderId="37" xfId="0" applyFont="false" applyBorder="true" applyAlignment="true" applyProtection="false">
      <alignment horizontal="right" vertical="bottom" textRotation="0" wrapText="false" indent="0" shrinkToFit="false"/>
      <protection locked="true" hidden="false"/>
    </xf>
    <xf numFmtId="164" fontId="0" fillId="6" borderId="39" xfId="0" applyFont="false" applyBorder="true" applyAlignment="true" applyProtection="false">
      <alignment horizontal="right" vertical="bottom" textRotation="0" wrapText="false" indent="0" shrinkToFit="false"/>
      <protection locked="true" hidden="false"/>
    </xf>
    <xf numFmtId="164" fontId="0" fillId="12" borderId="38" xfId="0" applyFont="false" applyBorder="true" applyAlignment="true" applyProtection="false">
      <alignment horizontal="right" vertical="bottom" textRotation="0" wrapText="false" indent="0" shrinkToFit="false"/>
      <protection locked="true" hidden="false"/>
    </xf>
    <xf numFmtId="164" fontId="5" fillId="0" borderId="9" xfId="0" applyFont="true" applyBorder="true" applyAlignment="false" applyProtection="false">
      <alignment horizontal="general" vertical="bottom" textRotation="0" wrapText="false" indent="0" shrinkToFit="false"/>
      <protection locked="true" hidden="false"/>
    </xf>
    <xf numFmtId="164" fontId="4" fillId="6" borderId="40" xfId="0" applyFont="true" applyBorder="true" applyAlignment="true" applyProtection="false">
      <alignment horizontal="right" vertical="bottom" textRotation="0" wrapText="false" indent="0" shrinkToFit="false"/>
      <protection locked="true" hidden="false"/>
    </xf>
    <xf numFmtId="164" fontId="4" fillId="6" borderId="41" xfId="0" applyFont="true" applyBorder="true" applyAlignment="true" applyProtection="false">
      <alignment horizontal="right" vertical="bottom" textRotation="0" wrapText="false" indent="0" shrinkToFit="false"/>
      <protection locked="true" hidden="false"/>
    </xf>
    <xf numFmtId="164" fontId="4" fillId="6" borderId="42" xfId="0" applyFont="true" applyBorder="true" applyAlignment="true" applyProtection="false">
      <alignment horizontal="right" vertical="bottom" textRotation="0" wrapText="false" indent="0" shrinkToFit="false"/>
      <protection locked="true" hidden="false"/>
    </xf>
    <xf numFmtId="164" fontId="5" fillId="0" borderId="11" xfId="0" applyFont="true" applyBorder="true" applyAlignment="false" applyProtection="false">
      <alignment horizontal="general" vertical="bottom" textRotation="0" wrapText="false" indent="0" shrinkToFit="false"/>
      <protection locked="true" hidden="false"/>
    </xf>
    <xf numFmtId="164" fontId="0" fillId="12" borderId="43" xfId="0" applyFont="false" applyBorder="true" applyAlignment="false" applyProtection="false">
      <alignment horizontal="general" vertical="bottom" textRotation="0" wrapText="false" indent="0" shrinkToFit="false"/>
      <protection locked="true" hidden="false"/>
    </xf>
    <xf numFmtId="164" fontId="0" fillId="12" borderId="44" xfId="0" applyFont="false" applyBorder="true" applyAlignment="false" applyProtection="false">
      <alignment horizontal="general" vertical="bottom" textRotation="0" wrapText="false" indent="0" shrinkToFit="false"/>
      <protection locked="true" hidden="false"/>
    </xf>
    <xf numFmtId="164" fontId="5" fillId="0" borderId="0" xfId="0" applyFont="true" applyBorder="true" applyAlignment="false" applyProtection="false">
      <alignment horizontal="general" vertical="bottom" textRotation="0" wrapText="false" indent="0" shrinkToFit="false"/>
      <protection locked="true" hidden="false"/>
    </xf>
    <xf numFmtId="164" fontId="4" fillId="0" borderId="13" xfId="0" applyFont="true" applyBorder="true" applyAlignment="true" applyProtection="false">
      <alignment horizontal="left" vertical="bottom" textRotation="0" wrapText="false" indent="0" shrinkToFit="false"/>
      <protection locked="true" hidden="false"/>
    </xf>
    <xf numFmtId="164" fontId="4" fillId="0" borderId="16" xfId="0" applyFont="true" applyBorder="true" applyAlignment="true" applyProtection="false">
      <alignment horizontal="center" vertical="bottom" textRotation="0" wrapText="false" indent="0" shrinkToFit="false"/>
      <protection locked="true" hidden="false"/>
    </xf>
    <xf numFmtId="164" fontId="4" fillId="0" borderId="16" xfId="0" applyFont="true" applyBorder="true" applyAlignment="false" applyProtection="false">
      <alignment horizontal="general" vertical="bottom" textRotation="0" wrapText="false" indent="0" shrinkToFit="false"/>
      <protection locked="true" hidden="false"/>
    </xf>
    <xf numFmtId="164" fontId="5" fillId="0" borderId="5" xfId="0" applyFont="true" applyBorder="true" applyAlignment="false" applyProtection="false">
      <alignment horizontal="general" vertical="bottom" textRotation="0" wrapText="false" indent="0" shrinkToFit="false"/>
      <protection locked="true" hidden="false"/>
    </xf>
    <xf numFmtId="164" fontId="4" fillId="0" borderId="45" xfId="0" applyFont="true" applyBorder="true" applyAlignment="false" applyProtection="false">
      <alignment horizontal="general" vertical="bottom" textRotation="0" wrapText="false" indent="0" shrinkToFit="false"/>
      <protection locked="true" hidden="false"/>
    </xf>
    <xf numFmtId="164" fontId="4" fillId="0" borderId="46" xfId="0" applyFont="true" applyBorder="true" applyAlignment="false" applyProtection="false">
      <alignment horizontal="general" vertical="bottom" textRotation="0" wrapText="false" indent="0" shrinkToFit="false"/>
      <protection locked="true" hidden="false"/>
    </xf>
    <xf numFmtId="164" fontId="4" fillId="0" borderId="46" xfId="0" applyFont="true" applyBorder="true" applyAlignment="false" applyProtection="false">
      <alignment horizontal="general" vertical="bottom" textRotation="0" wrapText="false" indent="0" shrinkToFit="false"/>
      <protection locked="true" hidden="false"/>
    </xf>
    <xf numFmtId="164" fontId="4" fillId="0" borderId="47" xfId="0" applyFont="true" applyBorder="true" applyAlignment="false" applyProtection="false">
      <alignment horizontal="general" vertical="bottom" textRotation="0" wrapText="false" indent="0" shrinkToFit="false"/>
      <protection locked="true" hidden="false"/>
    </xf>
    <xf numFmtId="164" fontId="4" fillId="0" borderId="48" xfId="0" applyFont="true" applyBorder="true" applyAlignment="false" applyProtection="false">
      <alignment horizontal="general" vertical="bottom" textRotation="0" wrapText="false" indent="0" shrinkToFit="false"/>
      <protection locked="true" hidden="false"/>
    </xf>
    <xf numFmtId="164" fontId="4" fillId="0" borderId="49" xfId="0" applyFont="true" applyBorder="true" applyAlignment="false" applyProtection="false">
      <alignment horizontal="general" vertical="bottom" textRotation="0" wrapText="false" indent="0" shrinkToFit="false"/>
      <protection locked="true" hidden="false"/>
    </xf>
    <xf numFmtId="164" fontId="4" fillId="0" borderId="49" xfId="0" applyFont="true" applyBorder="true" applyAlignment="false" applyProtection="false">
      <alignment horizontal="general" vertical="bottom" textRotation="0" wrapText="false" indent="0" shrinkToFit="false"/>
      <protection locked="true" hidden="false"/>
    </xf>
    <xf numFmtId="164" fontId="4" fillId="0" borderId="50" xfId="0" applyFont="true" applyBorder="true" applyAlignment="false" applyProtection="false">
      <alignment horizontal="general" vertical="bottom" textRotation="0" wrapText="false" indent="0" shrinkToFit="false"/>
      <protection locked="true" hidden="false"/>
    </xf>
    <xf numFmtId="164" fontId="4" fillId="0" borderId="15" xfId="0" applyFont="true" applyBorder="true" applyAlignment="false" applyProtection="false">
      <alignment horizontal="general" vertical="bottom" textRotation="0" wrapText="false" indent="0" shrinkToFit="false"/>
      <protection locked="true" hidden="false"/>
    </xf>
    <xf numFmtId="164" fontId="4" fillId="0" borderId="8" xfId="0" applyFont="true" applyBorder="true" applyAlignment="false" applyProtection="false">
      <alignment horizontal="general" vertical="bottom" textRotation="0" wrapText="false" indent="0" shrinkToFit="false"/>
      <protection locked="true" hidden="false"/>
    </xf>
    <xf numFmtId="164" fontId="0" fillId="0" borderId="51" xfId="0" applyFont="false" applyBorder="true" applyAlignment="false" applyProtection="false">
      <alignment horizontal="general" vertical="bottom" textRotation="0" wrapText="false" indent="0" shrinkToFit="false"/>
      <protection locked="true" hidden="false"/>
    </xf>
    <xf numFmtId="164" fontId="0" fillId="0" borderId="52" xfId="0" applyFont="false" applyBorder="true" applyAlignment="false" applyProtection="false">
      <alignment horizontal="general" vertical="bottom" textRotation="0" wrapText="false" indent="0" shrinkToFit="false"/>
      <protection locked="true" hidden="false"/>
    </xf>
    <xf numFmtId="164" fontId="0" fillId="0" borderId="52" xfId="0" applyFont="false" applyBorder="true" applyAlignment="false" applyProtection="false">
      <alignment horizontal="general" vertical="bottom" textRotation="0" wrapText="false" indent="0" shrinkToFit="false"/>
      <protection locked="true" hidden="false"/>
    </xf>
    <xf numFmtId="164" fontId="0" fillId="0" borderId="53" xfId="0" applyFont="false" applyBorder="true" applyAlignment="false" applyProtection="false">
      <alignment horizontal="general" vertical="bottom" textRotation="0" wrapText="false" indent="0" shrinkToFit="false"/>
      <protection locked="true" hidden="false"/>
    </xf>
    <xf numFmtId="164" fontId="0" fillId="0" borderId="54" xfId="0" applyFont="false" applyBorder="true" applyAlignment="false" applyProtection="false">
      <alignment horizontal="general" vertical="bottom" textRotation="0" wrapText="false" indent="0" shrinkToFit="false"/>
      <protection locked="true" hidden="false"/>
    </xf>
    <xf numFmtId="164" fontId="0" fillId="12" borderId="55" xfId="0" applyFont="false" applyBorder="true" applyAlignment="false" applyProtection="false">
      <alignment horizontal="general" vertical="bottom" textRotation="0" wrapText="false" indent="0" shrinkToFit="false"/>
      <protection locked="true" hidden="false"/>
    </xf>
    <xf numFmtId="164" fontId="0" fillId="12" borderId="37" xfId="0" applyFont="false" applyBorder="true" applyAlignment="false" applyProtection="false">
      <alignment horizontal="general" vertical="bottom" textRotation="0" wrapText="false" indent="0" shrinkToFit="false"/>
      <protection locked="true" hidden="false"/>
    </xf>
    <xf numFmtId="164" fontId="0" fillId="7" borderId="38" xfId="0" applyFont="false" applyBorder="true" applyAlignment="false" applyProtection="false">
      <alignment horizontal="general" vertical="bottom" textRotation="0" wrapText="false" indent="0" shrinkToFit="false"/>
      <protection locked="true" hidden="false"/>
    </xf>
    <xf numFmtId="164" fontId="4" fillId="0" borderId="56" xfId="0" applyFont="true" applyBorder="true" applyAlignment="true" applyProtection="false">
      <alignment horizontal="right" vertical="bottom" textRotation="0" wrapText="false" indent="0" shrinkToFit="false"/>
      <protection locked="true" hidden="false"/>
    </xf>
    <xf numFmtId="164" fontId="4" fillId="0" borderId="34" xfId="0" applyFont="true" applyBorder="true" applyAlignment="true" applyProtection="false">
      <alignment horizontal="right" vertical="bottom" textRotation="0" wrapText="false" indent="0" shrinkToFit="false"/>
      <protection locked="true" hidden="false"/>
    </xf>
    <xf numFmtId="164" fontId="0" fillId="0" borderId="34" xfId="0" applyFont="false" applyBorder="true" applyAlignment="false" applyProtection="false">
      <alignment horizontal="general" vertical="bottom" textRotation="0" wrapText="false" indent="0" shrinkToFit="false"/>
      <protection locked="true" hidden="false"/>
    </xf>
    <xf numFmtId="164" fontId="0" fillId="0" borderId="57" xfId="0" applyFont="false" applyBorder="true" applyAlignment="false" applyProtection="false">
      <alignment horizontal="general" vertical="bottom" textRotation="0" wrapText="false" indent="0" shrinkToFit="false"/>
      <protection locked="true" hidden="false"/>
    </xf>
    <xf numFmtId="164" fontId="0" fillId="0" borderId="58" xfId="0" applyFont="false" applyBorder="true" applyAlignment="false" applyProtection="false">
      <alignment horizontal="general" vertical="bottom" textRotation="0" wrapText="false" indent="0" shrinkToFit="false"/>
      <protection locked="true" hidden="false"/>
    </xf>
    <xf numFmtId="164" fontId="0" fillId="12" borderId="56" xfId="0" applyFont="false" applyBorder="true" applyAlignment="false" applyProtection="false">
      <alignment horizontal="general" vertical="bottom" textRotation="0" wrapText="false" indent="0" shrinkToFit="false"/>
      <protection locked="true" hidden="false"/>
    </xf>
    <xf numFmtId="164" fontId="0" fillId="12" borderId="34" xfId="0" applyFont="false" applyBorder="true" applyAlignment="false" applyProtection="false">
      <alignment horizontal="general" vertical="bottom" textRotation="0" wrapText="false" indent="0" shrinkToFit="false"/>
      <protection locked="true" hidden="false"/>
    </xf>
    <xf numFmtId="164" fontId="0" fillId="7" borderId="58" xfId="0" applyFont="false" applyBorder="true" applyAlignment="false" applyProtection="false">
      <alignment horizontal="general" vertical="bottom" textRotation="0" wrapText="false" indent="0" shrinkToFit="false"/>
      <protection locked="true" hidden="false"/>
    </xf>
    <xf numFmtId="164" fontId="5" fillId="0" borderId="32" xfId="0" applyFont="true" applyBorder="true" applyAlignment="true" applyProtection="false">
      <alignment horizontal="center" vertical="bottom" textRotation="0" wrapText="false" indent="0" shrinkToFit="false"/>
      <protection locked="true" hidden="false"/>
    </xf>
    <xf numFmtId="164" fontId="4" fillId="6" borderId="9" xfId="0" applyFont="true" applyBorder="true" applyAlignment="true" applyProtection="false">
      <alignment horizontal="right" vertical="bottom" textRotation="0" wrapText="false" indent="0" shrinkToFit="false"/>
      <protection locked="true" hidden="false"/>
    </xf>
    <xf numFmtId="164" fontId="0" fillId="6" borderId="9" xfId="0" applyFont="false" applyBorder="true" applyAlignment="true" applyProtection="false">
      <alignment horizontal="right" vertical="bottom" textRotation="0" wrapText="false" indent="0" shrinkToFit="false"/>
      <protection locked="true" hidden="false"/>
    </xf>
    <xf numFmtId="164" fontId="0" fillId="0" borderId="56" xfId="0" applyFont="false" applyBorder="true" applyAlignment="true" applyProtection="false">
      <alignment horizontal="right" vertical="bottom" textRotation="0" wrapText="false" indent="0" shrinkToFit="false"/>
      <protection locked="true" hidden="false"/>
    </xf>
    <xf numFmtId="164" fontId="0" fillId="0" borderId="34" xfId="0" applyFont="false" applyBorder="true" applyAlignment="true" applyProtection="false">
      <alignment horizontal="right" vertical="bottom" textRotation="0" wrapText="false" indent="0" shrinkToFit="false"/>
      <protection locked="true" hidden="false"/>
    </xf>
    <xf numFmtId="164" fontId="4" fillId="0" borderId="59" xfId="0" applyFont="true" applyBorder="true" applyAlignment="true" applyProtection="false">
      <alignment horizontal="right" vertical="bottom" textRotation="0" wrapText="false" indent="0" shrinkToFit="false"/>
      <protection locked="true" hidden="false"/>
    </xf>
    <xf numFmtId="164" fontId="4" fillId="0" borderId="44" xfId="0" applyFont="true" applyBorder="true" applyAlignment="true" applyProtection="false">
      <alignment horizontal="right" vertical="bottom" textRotation="0" wrapText="false" indent="0" shrinkToFit="false"/>
      <protection locked="true" hidden="false"/>
    </xf>
    <xf numFmtId="164" fontId="0" fillId="0" borderId="44" xfId="0" applyFont="false" applyBorder="true" applyAlignment="false" applyProtection="false">
      <alignment horizontal="general" vertical="bottom" textRotation="0" wrapText="false" indent="0" shrinkToFit="false"/>
      <protection locked="true" hidden="false"/>
    </xf>
    <xf numFmtId="164" fontId="0" fillId="0" borderId="60" xfId="0" applyFont="false" applyBorder="true" applyAlignment="false" applyProtection="false">
      <alignment horizontal="general" vertical="bottom" textRotation="0" wrapText="false" indent="0" shrinkToFit="false"/>
      <protection locked="true" hidden="false"/>
    </xf>
    <xf numFmtId="164" fontId="0" fillId="0" borderId="61" xfId="0" applyFont="false" applyBorder="true" applyAlignment="false" applyProtection="false">
      <alignment horizontal="general" vertical="bottom" textRotation="0" wrapText="false" indent="0" shrinkToFit="false"/>
      <protection locked="true" hidden="false"/>
    </xf>
    <xf numFmtId="164" fontId="0" fillId="12" borderId="59" xfId="0" applyFont="false" applyBorder="true" applyAlignment="false" applyProtection="false">
      <alignment horizontal="general" vertical="bottom" textRotation="0" wrapText="false" indent="0" shrinkToFit="false"/>
      <protection locked="true" hidden="false"/>
    </xf>
    <xf numFmtId="164" fontId="0" fillId="12" borderId="44" xfId="0" applyFont="false" applyBorder="true" applyAlignment="false" applyProtection="false">
      <alignment horizontal="general" vertical="bottom" textRotation="0" wrapText="false" indent="0" shrinkToFit="false"/>
      <protection locked="true" hidden="false"/>
    </xf>
    <xf numFmtId="164" fontId="0" fillId="7" borderId="61" xfId="0" applyFont="fals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4" fontId="4" fillId="0" borderId="2"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true" applyAlignment="true" applyProtection="false">
      <alignment horizontal="right" vertical="bottom" textRotation="0" wrapText="false" indent="0" shrinkToFit="false"/>
      <protection locked="true" hidden="false"/>
    </xf>
    <xf numFmtId="164" fontId="0" fillId="8" borderId="34" xfId="0" applyFont="false" applyBorder="true" applyAlignment="false" applyProtection="false">
      <alignment horizontal="general" vertical="bottom" textRotation="0" wrapText="false" indent="0" shrinkToFit="false"/>
      <protection locked="true" hidden="false"/>
    </xf>
    <xf numFmtId="170" fontId="0" fillId="7" borderId="34" xfId="0" applyFont="false" applyBorder="true" applyAlignment="false" applyProtection="false">
      <alignment horizontal="general" vertical="bottom" textRotation="0" wrapText="false" indent="0" shrinkToFit="false"/>
      <protection locked="true" hidden="false"/>
    </xf>
    <xf numFmtId="170" fontId="0" fillId="8" borderId="34" xfId="0" applyFont="false" applyBorder="true" applyAlignment="false" applyProtection="false">
      <alignment horizontal="general" vertical="bottom" textRotation="0" wrapText="false" indent="0" shrinkToFit="false"/>
      <protection locked="true" hidden="false"/>
    </xf>
    <xf numFmtId="164" fontId="5" fillId="0" borderId="16" xfId="0" applyFont="true" applyBorder="true" applyAlignment="false" applyProtection="false">
      <alignment horizontal="general" vertical="bottom" textRotation="0" wrapText="false" indent="0" shrinkToFit="false"/>
      <protection locked="true" hidden="false"/>
    </xf>
    <xf numFmtId="164" fontId="5" fillId="0" borderId="17" xfId="0" applyFont="true" applyBorder="true" applyAlignment="false" applyProtection="false">
      <alignment horizontal="general" vertical="bottom" textRotation="0" wrapText="false" indent="0" shrinkToFit="false"/>
      <protection locked="true" hidden="false"/>
    </xf>
    <xf numFmtId="164" fontId="5" fillId="0" borderId="24" xfId="0" applyFont="true" applyBorder="true" applyAlignment="false" applyProtection="false">
      <alignment horizontal="general" vertical="bottom" textRotation="0" wrapText="false" indent="0" shrinkToFit="false"/>
      <protection locked="true" hidden="false"/>
    </xf>
    <xf numFmtId="164" fontId="31" fillId="0" borderId="5" xfId="0" applyFont="true" applyBorder="true" applyAlignment="true" applyProtection="false">
      <alignment horizontal="center" vertical="bottom" textRotation="0" wrapText="false" indent="0" shrinkToFit="false"/>
      <protection locked="true" hidden="false"/>
    </xf>
    <xf numFmtId="166" fontId="4" fillId="0" borderId="9" xfId="0" applyFont="true" applyBorder="true" applyAlignment="true" applyProtection="false">
      <alignment horizontal="right" vertical="bottom" textRotation="0" wrapText="false" indent="0" shrinkToFit="false"/>
      <protection locked="true" hidden="false"/>
    </xf>
    <xf numFmtId="166" fontId="4" fillId="0" borderId="19" xfId="0" applyFont="true" applyBorder="true" applyAlignment="true" applyProtection="false">
      <alignment horizontal="right" vertical="bottom" textRotation="0" wrapText="false" indent="0" shrinkToFit="false"/>
      <protection locked="true" hidden="false"/>
    </xf>
    <xf numFmtId="164" fontId="4" fillId="0" borderId="26" xfId="0" applyFont="true" applyBorder="true" applyAlignment="true" applyProtection="false">
      <alignment horizontal="center" vertical="bottom" textRotation="0" wrapText="false" indent="0" shrinkToFit="false"/>
      <protection locked="true" hidden="false"/>
    </xf>
    <xf numFmtId="164" fontId="4" fillId="0" borderId="15" xfId="0" applyFont="true" applyBorder="true" applyAlignment="false" applyProtection="false">
      <alignment horizontal="general" vertical="bottom" textRotation="0" wrapText="false" indent="0" shrinkToFit="false"/>
      <protection locked="true" hidden="false"/>
    </xf>
    <xf numFmtId="167" fontId="4" fillId="0" borderId="15" xfId="0" applyFont="true" applyBorder="true" applyAlignment="true" applyProtection="false">
      <alignment horizontal="right" vertical="bottom" textRotation="0" wrapText="false" indent="0" shrinkToFit="false"/>
      <protection locked="true" hidden="false"/>
    </xf>
    <xf numFmtId="167" fontId="4" fillId="0" borderId="9" xfId="0" applyFont="true" applyBorder="true" applyAlignment="true" applyProtection="false">
      <alignment horizontal="right" vertical="bottom" textRotation="0" wrapText="false" indent="0" shrinkToFit="false"/>
      <protection locked="true" hidden="false"/>
    </xf>
    <xf numFmtId="167" fontId="4" fillId="0" borderId="19" xfId="0" applyFont="true" applyBorder="true" applyAlignment="true" applyProtection="false">
      <alignment horizontal="right" vertical="bottom" textRotation="0" wrapText="false" indent="0" shrinkToFit="false"/>
      <protection locked="true" hidden="false"/>
    </xf>
    <xf numFmtId="166" fontId="0" fillId="0" borderId="9" xfId="0" applyFont="false" applyBorder="true" applyAlignment="true" applyProtection="false">
      <alignment horizontal="right" vertical="bottom" textRotation="0" wrapText="false" indent="0" shrinkToFit="false"/>
      <protection locked="true" hidden="false"/>
    </xf>
    <xf numFmtId="166" fontId="0" fillId="0" borderId="19" xfId="0" applyFont="false" applyBorder="true" applyAlignment="true" applyProtection="false">
      <alignment horizontal="right" vertical="bottom" textRotation="0" wrapText="false" indent="0" shrinkToFit="false"/>
      <protection locked="true" hidden="false"/>
    </xf>
    <xf numFmtId="164" fontId="4" fillId="0" borderId="10" xfId="0" applyFont="true" applyBorder="true" applyAlignment="true" applyProtection="false">
      <alignment horizontal="center" vertical="bottom" textRotation="0" wrapText="false" indent="0" shrinkToFit="false"/>
      <protection locked="true" hidden="false"/>
    </xf>
    <xf numFmtId="167" fontId="0" fillId="0" borderId="9" xfId="0" applyFont="false" applyBorder="true" applyAlignment="true" applyProtection="false">
      <alignment horizontal="right" vertical="bottom" textRotation="0" wrapText="false" indent="0" shrinkToFit="false"/>
      <protection locked="true" hidden="false"/>
    </xf>
    <xf numFmtId="167" fontId="0" fillId="0" borderId="19" xfId="0" applyFont="false" applyBorder="true" applyAlignment="true" applyProtection="false">
      <alignment horizontal="right" vertical="bottom" textRotation="0" wrapText="false" indent="0" shrinkToFit="false"/>
      <protection locked="true" hidden="false"/>
    </xf>
    <xf numFmtId="166" fontId="0" fillId="0" borderId="19" xfId="0" applyFont="false" applyBorder="true" applyAlignment="true" applyProtection="false">
      <alignment horizontal="right" vertical="bottom" textRotation="0" wrapText="false" indent="0" shrinkToFit="false"/>
      <protection locked="true" hidden="false"/>
    </xf>
    <xf numFmtId="166" fontId="0" fillId="11" borderId="19" xfId="0" applyFont="false" applyBorder="true" applyAlignment="true" applyProtection="false">
      <alignment horizontal="right" vertical="bottom" textRotation="0" wrapText="false" indent="0" shrinkToFit="false"/>
      <protection locked="true" hidden="false"/>
    </xf>
    <xf numFmtId="167" fontId="4" fillId="11" borderId="9" xfId="0" applyFont="true" applyBorder="true" applyAlignment="true" applyProtection="false">
      <alignment horizontal="right" vertical="bottom" textRotation="0" wrapText="false" indent="0" shrinkToFit="false"/>
      <protection locked="true" hidden="false"/>
    </xf>
    <xf numFmtId="167" fontId="0" fillId="0" borderId="19" xfId="0" applyFont="false" applyBorder="true" applyAlignment="true" applyProtection="false">
      <alignment horizontal="right" vertical="bottom" textRotation="0" wrapText="false" indent="0" shrinkToFit="false"/>
      <protection locked="true" hidden="false"/>
    </xf>
    <xf numFmtId="167" fontId="0" fillId="11" borderId="9" xfId="0" applyFont="false" applyBorder="true" applyAlignment="true" applyProtection="false">
      <alignment horizontal="right" vertical="bottom" textRotation="0" wrapText="false" indent="0" shrinkToFit="false"/>
      <protection locked="true" hidden="false"/>
    </xf>
    <xf numFmtId="167" fontId="0" fillId="11" borderId="19" xfId="0" applyFont="false" applyBorder="true" applyAlignment="true" applyProtection="false">
      <alignment horizontal="right" vertical="bottom" textRotation="0" wrapText="false" indent="0" shrinkToFit="false"/>
      <protection locked="true" hidden="false"/>
    </xf>
    <xf numFmtId="167" fontId="4" fillId="0" borderId="9" xfId="0" applyFont="true" applyBorder="true" applyAlignment="true" applyProtection="false">
      <alignment horizontal="center" vertical="bottom" textRotation="0" wrapText="false" indent="0" shrinkToFit="false"/>
      <protection locked="true" hidden="false"/>
    </xf>
    <xf numFmtId="167" fontId="0" fillId="0" borderId="19" xfId="0" applyFont="false" applyBorder="true" applyAlignment="true" applyProtection="false">
      <alignment horizontal="center" vertical="bottom" textRotation="0" wrapText="false" indent="0" shrinkToFit="false"/>
      <protection locked="true" hidden="false"/>
    </xf>
    <xf numFmtId="167" fontId="0" fillId="0" borderId="9" xfId="0" applyFont="false" applyBorder="true" applyAlignment="true" applyProtection="false">
      <alignment horizontal="center" vertical="bottom" textRotation="0" wrapText="false" indent="0" shrinkToFit="false"/>
      <protection locked="true" hidden="false"/>
    </xf>
    <xf numFmtId="166" fontId="4" fillId="12" borderId="19" xfId="0" applyFont="true" applyBorder="true" applyAlignment="true" applyProtection="false">
      <alignment horizontal="right" vertical="bottom" textRotation="0" wrapText="false" indent="0" shrinkToFit="false"/>
      <protection locked="true" hidden="false"/>
    </xf>
    <xf numFmtId="167" fontId="4" fillId="12" borderId="19" xfId="0" applyFont="true" applyBorder="true" applyAlignment="true" applyProtection="false">
      <alignment horizontal="right" vertical="bottom" textRotation="0" wrapText="false" indent="0" shrinkToFit="false"/>
      <protection locked="true" hidden="false"/>
    </xf>
    <xf numFmtId="166" fontId="0" fillId="0" borderId="22" xfId="0" applyFont="false" applyBorder="true" applyAlignment="true" applyProtection="false">
      <alignment horizontal="right" vertical="bottom" textRotation="0" wrapText="false" indent="0" shrinkToFit="false"/>
      <protection locked="true" hidden="false"/>
    </xf>
    <xf numFmtId="166" fontId="0" fillId="0" borderId="27" xfId="0" applyFont="false" applyBorder="true" applyAlignment="true" applyProtection="false">
      <alignment horizontal="right" vertical="bottom" textRotation="0" wrapText="false" indent="0" shrinkToFit="false"/>
      <protection locked="true" hidden="false"/>
    </xf>
    <xf numFmtId="166" fontId="4" fillId="0" borderId="22" xfId="0" applyFont="true" applyBorder="true" applyAlignment="true" applyProtection="false">
      <alignment horizontal="right" vertical="bottom" textRotation="0" wrapText="false" indent="0" shrinkToFit="false"/>
      <protection locked="true" hidden="false"/>
    </xf>
    <xf numFmtId="167" fontId="0" fillId="0" borderId="22" xfId="0" applyFont="false" applyBorder="true" applyAlignment="true" applyProtection="false">
      <alignment horizontal="right" vertical="bottom" textRotation="0" wrapText="false" indent="0" shrinkToFit="false"/>
      <protection locked="true" hidden="false"/>
    </xf>
    <xf numFmtId="167" fontId="0" fillId="0" borderId="27" xfId="0" applyFont="false" applyBorder="true" applyAlignment="true" applyProtection="false">
      <alignment horizontal="right" vertical="bottom" textRotation="0" wrapText="false" indent="0" shrinkToFit="false"/>
      <protection locked="true" hidden="false"/>
    </xf>
    <xf numFmtId="167" fontId="4" fillId="0" borderId="22" xfId="0" applyFont="true" applyBorder="true" applyAlignment="true" applyProtection="false">
      <alignment horizontal="right" vertical="bottom" textRotation="0" wrapText="false" indent="0" shrinkToFit="false"/>
      <protection locked="true" hidden="false"/>
    </xf>
    <xf numFmtId="166" fontId="4" fillId="0" borderId="27" xfId="0" applyFont="true" applyBorder="true" applyAlignment="true" applyProtection="false">
      <alignment horizontal="right" vertical="bottom" textRotation="0" wrapText="false" indent="0" shrinkToFit="false"/>
      <protection locked="true" hidden="false"/>
    </xf>
    <xf numFmtId="167" fontId="4" fillId="0" borderId="27" xfId="0" applyFont="true" applyBorder="true" applyAlignment="true" applyProtection="false">
      <alignment horizontal="right" vertical="bottom" textRotation="0" wrapText="false" indent="0" shrinkToFit="false"/>
      <protection locked="true" hidden="false"/>
    </xf>
    <xf numFmtId="166" fontId="4" fillId="0" borderId="11" xfId="0" applyFont="true" applyBorder="true" applyAlignment="true" applyProtection="false">
      <alignment horizontal="right" vertical="bottom" textRotation="0" wrapText="false" indent="0" shrinkToFit="false"/>
      <protection locked="true" hidden="false"/>
    </xf>
    <xf numFmtId="166" fontId="4" fillId="0" borderId="20" xfId="0" applyFont="true" applyBorder="true" applyAlignment="true" applyProtection="false">
      <alignment horizontal="right" vertical="bottom" textRotation="0" wrapText="false" indent="0" shrinkToFit="false"/>
      <protection locked="true" hidden="false"/>
    </xf>
    <xf numFmtId="166" fontId="0" fillId="0" borderId="11" xfId="0" applyFont="false" applyBorder="true" applyAlignment="true" applyProtection="false">
      <alignment horizontal="right" vertical="bottom" textRotation="0" wrapText="false" indent="0" shrinkToFit="false"/>
      <protection locked="true" hidden="false"/>
    </xf>
    <xf numFmtId="166" fontId="0" fillId="0" borderId="20" xfId="0" applyFont="false" applyBorder="true" applyAlignment="true" applyProtection="false">
      <alignment horizontal="right" vertical="bottom" textRotation="0" wrapText="false" indent="0" shrinkToFit="false"/>
      <protection locked="true" hidden="false"/>
    </xf>
    <xf numFmtId="167" fontId="4" fillId="0" borderId="11" xfId="0" applyFont="true" applyBorder="true" applyAlignment="true" applyProtection="false">
      <alignment horizontal="right" vertical="bottom" textRotation="0" wrapText="false" indent="0" shrinkToFit="false"/>
      <protection locked="true" hidden="false"/>
    </xf>
    <xf numFmtId="167" fontId="4" fillId="0" borderId="20" xfId="0" applyFont="true" applyBorder="true" applyAlignment="true" applyProtection="false">
      <alignment horizontal="right" vertical="bottom" textRotation="0" wrapText="false" indent="0" shrinkToFit="false"/>
      <protection locked="true" hidden="false"/>
    </xf>
    <xf numFmtId="167" fontId="0" fillId="0" borderId="11" xfId="0" applyFont="false" applyBorder="true" applyAlignment="true" applyProtection="false">
      <alignment horizontal="right" vertical="bottom" textRotation="0" wrapText="false" indent="0" shrinkToFit="false"/>
      <protection locked="true" hidden="false"/>
    </xf>
    <xf numFmtId="167" fontId="0" fillId="0" borderId="20" xfId="0" applyFont="false" applyBorder="true" applyAlignment="true" applyProtection="false">
      <alignment horizontal="right" vertical="bottom" textRotation="0" wrapText="false" indent="0" shrinkToFit="false"/>
      <protection locked="true" hidden="false"/>
    </xf>
    <xf numFmtId="166" fontId="0" fillId="0" borderId="0" xfId="0" applyFont="false" applyBorder="true" applyAlignment="true" applyProtection="false">
      <alignment horizontal="right" vertical="bottom" textRotation="0" wrapText="false" indent="0" shrinkToFit="false"/>
      <protection locked="true" hidden="false"/>
    </xf>
    <xf numFmtId="166" fontId="4" fillId="13" borderId="9" xfId="0" applyFont="true" applyBorder="true" applyAlignment="true" applyProtection="false">
      <alignment horizontal="right" vertical="bottom" textRotation="0" wrapText="false" indent="0" shrinkToFit="false"/>
      <protection locked="true" hidden="false"/>
    </xf>
    <xf numFmtId="166" fontId="4" fillId="13" borderId="19" xfId="0" applyFont="true" applyBorder="true" applyAlignment="true" applyProtection="false">
      <alignment horizontal="right" vertical="bottom" textRotation="0" wrapText="false" indent="0" shrinkToFit="false"/>
      <protection locked="true" hidden="false"/>
    </xf>
    <xf numFmtId="166" fontId="0" fillId="0" borderId="25" xfId="0" applyFont="true" applyBorder="true" applyAlignment="true" applyProtection="false">
      <alignment horizontal="right" vertical="bottom" textRotation="0" wrapText="false" indent="0" shrinkToFit="false"/>
      <protection locked="true" hidden="false"/>
    </xf>
    <xf numFmtId="167" fontId="0" fillId="0" borderId="15" xfId="0" applyFont="false" applyBorder="true" applyAlignment="true" applyProtection="false">
      <alignment horizontal="right" vertical="bottom" textRotation="0" wrapText="false" indent="0" shrinkToFit="false"/>
      <protection locked="true" hidden="false"/>
    </xf>
    <xf numFmtId="167" fontId="0" fillId="0" borderId="15" xfId="0" applyFont="false" applyBorder="true" applyAlignment="false" applyProtection="false">
      <alignment horizontal="general" vertical="bottom" textRotation="0" wrapText="false" indent="0" shrinkToFit="false"/>
      <protection locked="true" hidden="false"/>
    </xf>
    <xf numFmtId="167" fontId="4" fillId="0" borderId="3" xfId="0" applyFont="true" applyBorder="true" applyAlignment="false" applyProtection="false">
      <alignment horizontal="general" vertical="bottom" textRotation="0" wrapText="false" indent="0" shrinkToFit="false"/>
      <protection locked="true" hidden="false"/>
    </xf>
    <xf numFmtId="167" fontId="0" fillId="0" borderId="11" xfId="0" applyFont="false" applyBorder="true" applyAlignment="true" applyProtection="false">
      <alignment horizontal="right" vertical="bottom" textRotation="0" wrapText="false" indent="0" shrinkToFit="false"/>
      <protection locked="true" hidden="false"/>
    </xf>
    <xf numFmtId="167" fontId="0" fillId="0" borderId="11" xfId="0" applyFont="false" applyBorder="true" applyAlignment="false" applyProtection="false">
      <alignment horizontal="general" vertical="bottom" textRotation="0" wrapText="false" indent="0" shrinkToFit="false"/>
      <protection locked="true" hidden="false"/>
    </xf>
    <xf numFmtId="164" fontId="4" fillId="0" borderId="52" xfId="0" applyFont="true" applyBorder="true" applyAlignment="false" applyProtection="false">
      <alignment horizontal="general" vertical="bottom" textRotation="0" wrapText="false" indent="0" shrinkToFit="false"/>
      <protection locked="true" hidden="false"/>
    </xf>
    <xf numFmtId="166" fontId="0" fillId="6" borderId="52" xfId="0" applyFont="false" applyBorder="true" applyAlignment="true" applyProtection="false">
      <alignment horizontal="right" vertical="bottom" textRotation="0" wrapText="false" indent="0" shrinkToFit="false"/>
      <protection locked="true" hidden="false"/>
    </xf>
    <xf numFmtId="166" fontId="4" fillId="6" borderId="52" xfId="0" applyFont="true" applyBorder="true" applyAlignment="true" applyProtection="false">
      <alignment horizontal="right" vertical="bottom" textRotation="0" wrapText="false" indent="0" shrinkToFit="false"/>
      <protection locked="true" hidden="false"/>
    </xf>
    <xf numFmtId="164" fontId="4" fillId="0" borderId="34" xfId="0" applyFont="true" applyBorder="true" applyAlignment="false" applyProtection="false">
      <alignment horizontal="general" vertical="bottom" textRotation="0" wrapText="false" indent="0" shrinkToFit="false"/>
      <protection locked="true" hidden="false"/>
    </xf>
    <xf numFmtId="166" fontId="4" fillId="6" borderId="34" xfId="0" applyFont="true" applyBorder="true" applyAlignment="true" applyProtection="false">
      <alignment horizontal="right" vertical="bottom" textRotation="0" wrapText="false" indent="0" shrinkToFit="false"/>
      <protection locked="true" hidden="false"/>
    </xf>
    <xf numFmtId="167" fontId="4" fillId="12" borderId="34" xfId="0" applyFont="true" applyBorder="true" applyAlignment="true" applyProtection="false">
      <alignment horizontal="right" vertical="bottom" textRotation="0" wrapText="false" indent="0" shrinkToFit="false"/>
      <protection locked="true" hidden="false"/>
    </xf>
    <xf numFmtId="164" fontId="4" fillId="0" borderId="1" xfId="0" applyFont="true" applyBorder="true" applyAlignment="false" applyProtection="false">
      <alignment horizontal="general" vertical="bottom" textRotation="0" wrapText="false" indent="0" shrinkToFit="false"/>
      <protection locked="true" hidden="false"/>
    </xf>
    <xf numFmtId="164" fontId="5" fillId="4" borderId="1" xfId="0" applyFont="true" applyBorder="true" applyAlignment="true" applyProtection="false">
      <alignment horizontal="center" vertical="bottom" textRotation="0" wrapText="false" indent="0" shrinkToFit="false"/>
      <protection locked="true" hidden="false"/>
    </xf>
    <xf numFmtId="164" fontId="4" fillId="0" borderId="3" xfId="0" applyFont="true" applyBorder="true" applyAlignment="false" applyProtection="false">
      <alignment horizontal="general" vertical="bottom" textRotation="0" wrapText="false" indent="0" shrinkToFit="false"/>
      <protection locked="true" hidden="false"/>
    </xf>
    <xf numFmtId="164" fontId="5" fillId="4" borderId="3" xfId="0" applyFont="true" applyBorder="true" applyAlignment="true" applyProtection="false">
      <alignment horizontal="center" vertical="bottom" textRotation="0" wrapText="false" indent="0" shrinkToFit="false"/>
      <protection locked="true" hidden="false"/>
    </xf>
    <xf numFmtId="164" fontId="4" fillId="0" borderId="5" xfId="0" applyFont="true" applyBorder="true" applyAlignment="false" applyProtection="false">
      <alignment horizontal="general" vertical="bottom" textRotation="0" wrapText="false" indent="0" shrinkToFit="false"/>
      <protection locked="true" hidden="false"/>
    </xf>
    <xf numFmtId="164" fontId="5" fillId="4" borderId="5" xfId="0" applyFont="true" applyBorder="true" applyAlignment="true" applyProtection="false">
      <alignment horizontal="center" vertical="bottom" textRotation="0" wrapText="false" indent="0" shrinkToFit="false"/>
      <protection locked="true" hidden="false"/>
    </xf>
    <xf numFmtId="164" fontId="4" fillId="0" borderId="26" xfId="0" applyFont="true" applyBorder="true" applyAlignment="false" applyProtection="false">
      <alignment horizontal="general" vertical="bottom" textRotation="0" wrapText="false" indent="0" shrinkToFit="false"/>
      <protection locked="true" hidden="false"/>
    </xf>
    <xf numFmtId="166" fontId="4" fillId="0" borderId="15" xfId="0" applyFont="true" applyBorder="true" applyAlignment="true" applyProtection="false">
      <alignment horizontal="right" vertical="bottom" textRotation="0" wrapText="false" indent="0" shrinkToFit="false"/>
      <protection locked="true" hidden="false"/>
    </xf>
    <xf numFmtId="166" fontId="4" fillId="0" borderId="23" xfId="0" applyFont="true" applyBorder="true" applyAlignment="true" applyProtection="false">
      <alignment horizontal="right" vertical="bottom" textRotation="0" wrapText="false" indent="0" shrinkToFit="false"/>
      <protection locked="true" hidden="false"/>
    </xf>
    <xf numFmtId="164" fontId="0" fillId="4" borderId="7" xfId="0" applyFont="false" applyBorder="true" applyAlignment="true" applyProtection="false">
      <alignment horizontal="center" vertical="bottom" textRotation="0" wrapText="false" indent="0" shrinkToFit="false"/>
      <protection locked="true" hidden="false"/>
    </xf>
    <xf numFmtId="164" fontId="4" fillId="0" borderId="15" xfId="0" applyFont="true" applyBorder="true" applyAlignment="true" applyProtection="false">
      <alignment horizontal="center" vertical="bottom" textRotation="0" wrapText="false" indent="0" shrinkToFit="false"/>
      <protection locked="true" hidden="false"/>
    </xf>
    <xf numFmtId="164" fontId="4" fillId="0" borderId="26" xfId="0" applyFont="true" applyBorder="true" applyAlignment="true" applyProtection="false">
      <alignment horizontal="general" vertical="bottom" textRotation="0" wrapText="false" indent="0" shrinkToFit="false"/>
      <protection locked="true" hidden="false"/>
    </xf>
    <xf numFmtId="167" fontId="4" fillId="0" borderId="23" xfId="0" applyFont="true" applyBorder="true" applyAlignment="true" applyProtection="false">
      <alignment horizontal="right" vertical="bottom" textRotation="0" wrapText="false" indent="0" shrinkToFit="false"/>
      <protection locked="true" hidden="false"/>
    </xf>
    <xf numFmtId="164" fontId="0" fillId="4" borderId="9" xfId="0" applyFont="false" applyBorder="true" applyAlignment="true" applyProtection="false">
      <alignment horizontal="center" vertical="bottom" textRotation="0" wrapText="false" indent="0" shrinkToFit="false"/>
      <protection locked="true" hidden="false"/>
    </xf>
    <xf numFmtId="164" fontId="4" fillId="0" borderId="9" xfId="0" applyFont="true" applyBorder="true" applyAlignment="true" applyProtection="false">
      <alignment horizontal="center" vertical="bottom" textRotation="0" wrapText="false" indent="0" shrinkToFit="false"/>
      <protection locked="true" hidden="false"/>
    </xf>
    <xf numFmtId="164" fontId="4" fillId="0" borderId="29" xfId="0" applyFont="true" applyBorder="true" applyAlignment="true" applyProtection="false">
      <alignment horizontal="general" vertical="bottom" textRotation="0" wrapText="false" indent="0" shrinkToFit="false"/>
      <protection locked="true" hidden="false"/>
    </xf>
    <xf numFmtId="164" fontId="4" fillId="0" borderId="10" xfId="0" applyFont="true" applyBorder="true" applyAlignment="true" applyProtection="false">
      <alignment horizontal="general" vertical="bottom" textRotation="0" wrapText="false" indent="0" shrinkToFit="false"/>
      <protection locked="true" hidden="false"/>
    </xf>
    <xf numFmtId="164" fontId="0" fillId="4" borderId="11" xfId="0" applyFont="false" applyBorder="true" applyAlignment="true" applyProtection="false">
      <alignment horizontal="center" vertical="bottom" textRotation="0" wrapText="false" indent="0" shrinkToFit="false"/>
      <protection locked="true" hidden="false"/>
    </xf>
    <xf numFmtId="164" fontId="4" fillId="0" borderId="11" xfId="0" applyFont="true" applyBorder="true" applyAlignment="true" applyProtection="false">
      <alignment horizontal="center" vertical="bottom" textRotation="0" wrapText="false" indent="0" shrinkToFit="false"/>
      <protection locked="true" hidden="false"/>
    </xf>
    <xf numFmtId="164" fontId="4" fillId="0" borderId="12" xfId="0" applyFont="true" applyBorder="true" applyAlignment="true" applyProtection="false">
      <alignment horizontal="general" vertical="bottom" textRotation="0" wrapText="false" indent="0" shrinkToFit="false"/>
      <protection locked="true" hidden="false"/>
    </xf>
    <xf numFmtId="166" fontId="4" fillId="0" borderId="23" xfId="0" applyFont="true" applyBorder="true" applyAlignment="true" applyProtection="false">
      <alignment horizontal="right" vertical="bottom" textRotation="0" wrapText="false" indent="0" shrinkToFit="false"/>
      <protection locked="true" hidden="false"/>
    </xf>
    <xf numFmtId="166" fontId="0" fillId="0" borderId="15" xfId="0" applyFont="false" applyBorder="true" applyAlignment="true" applyProtection="false">
      <alignment horizontal="right" vertical="bottom" textRotation="0" wrapText="false" indent="0" shrinkToFit="false"/>
      <protection locked="true" hidden="false"/>
    </xf>
    <xf numFmtId="166" fontId="0" fillId="0" borderId="23" xfId="0" applyFont="false" applyBorder="true" applyAlignment="true" applyProtection="false">
      <alignment horizontal="right" vertical="bottom" textRotation="0" wrapText="false" indent="0" shrinkToFit="false"/>
      <protection locked="true" hidden="false"/>
    </xf>
    <xf numFmtId="166" fontId="0" fillId="0" borderId="15" xfId="0" applyFont="false" applyBorder="true" applyAlignment="true" applyProtection="false">
      <alignment horizontal="right" vertical="bottom" textRotation="0" wrapText="false" indent="0" shrinkToFit="false"/>
      <protection locked="true" hidden="false"/>
    </xf>
    <xf numFmtId="166" fontId="0" fillId="0" borderId="23" xfId="0" applyFont="false" applyBorder="true" applyAlignment="true" applyProtection="false">
      <alignment horizontal="right" vertical="bottom" textRotation="0" wrapText="false" indent="0" shrinkToFit="false"/>
      <protection locked="true" hidden="false"/>
    </xf>
    <xf numFmtId="164" fontId="4" fillId="0" borderId="26" xfId="0" applyFont="true" applyBorder="true" applyAlignment="true" applyProtection="false">
      <alignment horizontal="general" vertical="bottom" textRotation="0" wrapText="false" indent="0" shrinkToFit="false"/>
      <protection locked="true" hidden="false"/>
    </xf>
    <xf numFmtId="167" fontId="4" fillId="0" borderId="23" xfId="0" applyFont="true" applyBorder="true" applyAlignment="true" applyProtection="false">
      <alignment horizontal="right" vertical="bottom" textRotation="0" wrapText="false" indent="0" shrinkToFit="false"/>
      <protection locked="true" hidden="false"/>
    </xf>
    <xf numFmtId="167" fontId="0" fillId="0" borderId="23" xfId="0" applyFont="false" applyBorder="true" applyAlignment="true" applyProtection="false">
      <alignment horizontal="right" vertical="bottom" textRotation="0" wrapText="false" indent="0" shrinkToFit="false"/>
      <protection locked="true" hidden="false"/>
    </xf>
    <xf numFmtId="167" fontId="0" fillId="0" borderId="15" xfId="0" applyFont="false" applyBorder="true" applyAlignment="true" applyProtection="false">
      <alignment horizontal="right" vertical="bottom" textRotation="0" wrapText="false" indent="0" shrinkToFit="false"/>
      <protection locked="true" hidden="false"/>
    </xf>
    <xf numFmtId="167" fontId="0" fillId="0" borderId="23" xfId="0" applyFont="false" applyBorder="true" applyAlignment="true" applyProtection="false">
      <alignment horizontal="right" vertical="bottom" textRotation="0" wrapText="false" indent="0" shrinkToFit="false"/>
      <protection locked="true" hidden="false"/>
    </xf>
    <xf numFmtId="166" fontId="4" fillId="0" borderId="19" xfId="0" applyFont="true" applyBorder="true" applyAlignment="true" applyProtection="false">
      <alignment horizontal="right" vertical="bottom" textRotation="0" wrapText="false" indent="0" shrinkToFit="false"/>
      <protection locked="true" hidden="false"/>
    </xf>
    <xf numFmtId="164" fontId="4" fillId="0" borderId="10" xfId="0" applyFont="true" applyBorder="true" applyAlignment="true" applyProtection="false">
      <alignment horizontal="general" vertical="bottom" textRotation="0" wrapText="false" indent="0" shrinkToFit="false"/>
      <protection locked="true" hidden="false"/>
    </xf>
    <xf numFmtId="167" fontId="4" fillId="0" borderId="19" xfId="0" applyFont="true" applyBorder="true" applyAlignment="true" applyProtection="false">
      <alignment horizontal="right" vertical="bottom" textRotation="0" wrapText="false" indent="0" shrinkToFit="false"/>
      <protection locked="true" hidden="false"/>
    </xf>
    <xf numFmtId="166" fontId="4" fillId="11" borderId="19" xfId="0" applyFont="true" applyBorder="true" applyAlignment="true" applyProtection="false">
      <alignment horizontal="right" vertical="bottom" textRotation="0" wrapText="false" indent="0" shrinkToFit="false"/>
      <protection locked="true" hidden="false"/>
    </xf>
    <xf numFmtId="167" fontId="4" fillId="11" borderId="19" xfId="0" applyFont="true" applyBorder="true" applyAlignment="true" applyProtection="false">
      <alignment horizontal="right" vertical="bottom" textRotation="0" wrapText="false" indent="0" shrinkToFit="false"/>
      <protection locked="true" hidden="false"/>
    </xf>
    <xf numFmtId="166" fontId="0" fillId="12" borderId="9" xfId="0" applyFont="false" applyBorder="true" applyAlignment="true" applyProtection="false">
      <alignment horizontal="right" vertical="bottom" textRotation="0" wrapText="false" indent="0" shrinkToFit="false"/>
      <protection locked="true" hidden="false"/>
    </xf>
    <xf numFmtId="166" fontId="0" fillId="12" borderId="19" xfId="0" applyFont="false" applyBorder="true" applyAlignment="true" applyProtection="false">
      <alignment horizontal="right" vertical="bottom" textRotation="0" wrapText="false" indent="0" shrinkToFit="false"/>
      <protection locked="true" hidden="false"/>
    </xf>
    <xf numFmtId="166" fontId="4" fillId="12" borderId="9" xfId="0" applyFont="true" applyBorder="true" applyAlignment="true" applyProtection="false">
      <alignment horizontal="right" vertical="bottom" textRotation="0" wrapText="false" indent="0" shrinkToFit="false"/>
      <protection locked="true" hidden="false"/>
    </xf>
    <xf numFmtId="166" fontId="4" fillId="0" borderId="27" xfId="0" applyFont="true" applyBorder="true" applyAlignment="true" applyProtection="false">
      <alignment horizontal="right" vertical="bottom" textRotation="0" wrapText="false" indent="0" shrinkToFit="false"/>
      <protection locked="true" hidden="false"/>
    </xf>
    <xf numFmtId="164" fontId="4" fillId="0" borderId="29" xfId="0" applyFont="true" applyBorder="true" applyAlignment="true" applyProtection="false">
      <alignment horizontal="center" vertical="bottom" textRotation="0" wrapText="false" indent="0" shrinkToFit="false"/>
      <protection locked="true" hidden="false"/>
    </xf>
    <xf numFmtId="167" fontId="4" fillId="0" borderId="27" xfId="0" applyFont="true" applyBorder="true" applyAlignment="true" applyProtection="false">
      <alignment horizontal="right" vertical="bottom" textRotation="0" wrapText="false" indent="0" shrinkToFit="false"/>
      <protection locked="true" hidden="false"/>
    </xf>
    <xf numFmtId="166" fontId="4" fillId="11" borderId="22" xfId="0" applyFont="true" applyBorder="true" applyAlignment="true" applyProtection="false">
      <alignment horizontal="right" vertical="bottom" textRotation="0" wrapText="false" indent="0" shrinkToFit="false"/>
      <protection locked="true" hidden="false"/>
    </xf>
    <xf numFmtId="166" fontId="4" fillId="11" borderId="27" xfId="0" applyFont="true" applyBorder="true" applyAlignment="true" applyProtection="false">
      <alignment horizontal="right" vertical="bottom" textRotation="0" wrapText="false" indent="0" shrinkToFit="false"/>
      <protection locked="true" hidden="false"/>
    </xf>
    <xf numFmtId="167" fontId="4" fillId="11" borderId="22" xfId="0" applyFont="true" applyBorder="true" applyAlignment="true" applyProtection="false">
      <alignment horizontal="right" vertical="bottom" textRotation="0" wrapText="false" indent="0" shrinkToFit="false"/>
      <protection locked="true" hidden="false"/>
    </xf>
    <xf numFmtId="167" fontId="4" fillId="11" borderId="27" xfId="0" applyFont="true" applyBorder="true" applyAlignment="true" applyProtection="false">
      <alignment horizontal="right" vertical="bottom" textRotation="0" wrapText="false" indent="0" shrinkToFit="false"/>
      <protection locked="true" hidden="false"/>
    </xf>
    <xf numFmtId="166" fontId="4" fillId="0" borderId="20" xfId="0" applyFont="true" applyBorder="true" applyAlignment="true" applyProtection="false">
      <alignment horizontal="right" vertical="bottom" textRotation="0" wrapText="false" indent="0" shrinkToFit="false"/>
      <protection locked="true" hidden="false"/>
    </xf>
    <xf numFmtId="164" fontId="4" fillId="0" borderId="12" xfId="0" applyFont="true" applyBorder="true" applyAlignment="true" applyProtection="false">
      <alignment horizontal="center" vertical="bottom" textRotation="0" wrapText="false" indent="0" shrinkToFit="false"/>
      <protection locked="true" hidden="false"/>
    </xf>
    <xf numFmtId="167" fontId="4" fillId="0" borderId="20" xfId="0" applyFont="true" applyBorder="true" applyAlignment="true" applyProtection="false">
      <alignment horizontal="right" vertical="bottom" textRotation="0" wrapText="false" indent="0" shrinkToFit="false"/>
      <protection locked="true" hidden="false"/>
    </xf>
    <xf numFmtId="167" fontId="4" fillId="12" borderId="9" xfId="0" applyFont="true" applyBorder="true" applyAlignment="true" applyProtection="false">
      <alignment horizontal="right" vertical="bottom" textRotation="0" wrapText="false" indent="0" shrinkToFit="false"/>
      <protection locked="true" hidden="false"/>
    </xf>
    <xf numFmtId="164" fontId="0" fillId="0" borderId="16" xfId="0" applyFont="false" applyBorder="true" applyAlignment="false" applyProtection="false">
      <alignment horizontal="general" vertical="bottom" textRotation="0" wrapText="false" indent="0" shrinkToFit="false"/>
      <protection locked="true" hidden="false"/>
    </xf>
    <xf numFmtId="164" fontId="0" fillId="0" borderId="21" xfId="0" applyFont="false" applyBorder="tru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6" fontId="4" fillId="0" borderId="35" xfId="0" applyFont="true" applyBorder="true" applyAlignment="true" applyProtection="false">
      <alignment horizontal="right" vertical="bottom" textRotation="0" wrapText="false" indent="0" shrinkToFit="false"/>
      <protection locked="true" hidden="false"/>
    </xf>
    <xf numFmtId="166" fontId="0" fillId="0" borderId="35" xfId="0" applyFont="false" applyBorder="true" applyAlignment="true" applyProtection="false">
      <alignment horizontal="right" vertical="bottom" textRotation="0" wrapText="false" indent="0" shrinkToFit="false"/>
      <protection locked="true" hidden="false"/>
    </xf>
    <xf numFmtId="166" fontId="4" fillId="14" borderId="9" xfId="0" applyFont="true" applyBorder="true" applyAlignment="true" applyProtection="false">
      <alignment horizontal="right" vertical="bottom" textRotation="0" wrapText="false" indent="0" shrinkToFit="false"/>
      <protection locked="true" hidden="false"/>
    </xf>
    <xf numFmtId="167" fontId="0" fillId="12" borderId="9" xfId="0" applyFont="false" applyBorder="true" applyAlignment="true" applyProtection="false">
      <alignment horizontal="right" vertical="bottom" textRotation="0" wrapText="false" indent="0" shrinkToFit="false"/>
      <protection locked="true" hidden="false"/>
    </xf>
    <xf numFmtId="166" fontId="4" fillId="0" borderId="0" xfId="0" applyFont="true" applyBorder="false" applyAlignment="true" applyProtection="false">
      <alignment horizontal="general" vertical="bottom" textRotation="0" wrapText="false" indent="0" shrinkToFit="false"/>
      <protection locked="true" hidden="false"/>
    </xf>
    <xf numFmtId="166" fontId="4" fillId="0" borderId="30" xfId="0" applyFont="true" applyBorder="true" applyAlignment="true" applyProtection="false">
      <alignment horizontal="right" vertical="bottom" textRotation="0" wrapText="false" indent="0" shrinkToFit="false"/>
      <protection locked="true" hidden="false"/>
    </xf>
    <xf numFmtId="166" fontId="0" fillId="0" borderId="27" xfId="0" applyFont="false" applyBorder="true" applyAlignment="true" applyProtection="false">
      <alignment horizontal="right" vertical="bottom" textRotation="0" wrapText="false" indent="0" shrinkToFit="false"/>
      <protection locked="true" hidden="false"/>
    </xf>
    <xf numFmtId="166" fontId="4" fillId="11" borderId="11" xfId="0" applyFont="true" applyBorder="true" applyAlignment="true" applyProtection="false">
      <alignment horizontal="right" vertical="bottom" textRotation="0" wrapText="false" indent="0" shrinkToFit="false"/>
      <protection locked="true" hidden="false"/>
    </xf>
    <xf numFmtId="166" fontId="4" fillId="0" borderId="31" xfId="0" applyFont="true" applyBorder="true" applyAlignment="true" applyProtection="false">
      <alignment horizontal="right" vertical="bottom" textRotation="0" wrapText="false" indent="0" shrinkToFit="false"/>
      <protection locked="true" hidden="false"/>
    </xf>
    <xf numFmtId="167" fontId="0" fillId="11" borderId="11" xfId="0" applyFont="false" applyBorder="true" applyAlignment="true" applyProtection="false">
      <alignment horizontal="right" vertical="bottom" textRotation="0" wrapText="false" indent="0" shrinkToFit="false"/>
      <protection locked="true" hidden="false"/>
    </xf>
    <xf numFmtId="166" fontId="4" fillId="15" borderId="9" xfId="17" applyFont="true" applyBorder="true" applyAlignment="true" applyProtection="true">
      <alignment horizontal="right"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7" fontId="4" fillId="15" borderId="9" xfId="17" applyFont="true" applyBorder="true" applyAlignment="true" applyProtection="true">
      <alignment horizontal="right" vertical="bottom" textRotation="0" wrapText="false" indent="0" shrinkToFit="false"/>
      <protection locked="true" hidden="false"/>
    </xf>
    <xf numFmtId="167" fontId="0" fillId="0" borderId="39" xfId="0" applyFont="false" applyBorder="true" applyAlignment="false" applyProtection="false">
      <alignment horizontal="general" vertical="bottom" textRotation="0" wrapText="false" indent="0" shrinkToFit="false"/>
      <protection locked="true" hidden="false"/>
    </xf>
    <xf numFmtId="167" fontId="4" fillId="0" borderId="62" xfId="0" applyFont="true" applyBorder="true" applyAlignment="false" applyProtection="false">
      <alignment horizontal="general" vertical="bottom" textRotation="0" wrapText="false" indent="0" shrinkToFit="false"/>
      <protection locked="true" hidden="false"/>
    </xf>
    <xf numFmtId="167" fontId="4" fillId="0" borderId="31" xfId="0" applyFont="true" applyBorder="true" applyAlignment="true" applyProtection="false">
      <alignment horizontal="right" vertical="bottom" textRotation="0" wrapText="false" indent="0" shrinkToFit="false"/>
      <protection locked="true" hidden="false"/>
    </xf>
    <xf numFmtId="167" fontId="0" fillId="0" borderId="60" xfId="0" applyFont="false" applyBorder="true" applyAlignment="false" applyProtection="false">
      <alignment horizontal="general" vertical="bottom" textRotation="0" wrapText="false" indent="0" shrinkToFit="false"/>
      <protection locked="true" hidden="false"/>
    </xf>
    <xf numFmtId="166" fontId="4" fillId="0" borderId="52" xfId="0" applyFont="true" applyBorder="true" applyAlignment="true" applyProtection="false">
      <alignment horizontal="right" vertical="bottom" textRotation="0" wrapText="false" indent="0" shrinkToFit="false"/>
      <protection locked="true" hidden="false"/>
    </xf>
    <xf numFmtId="167" fontId="4" fillId="12" borderId="52" xfId="0" applyFont="true" applyBorder="true" applyAlignment="true" applyProtection="false">
      <alignment horizontal="right" vertical="bottom" textRotation="0" wrapText="false" indent="0" shrinkToFit="false"/>
      <protection locked="true" hidden="false"/>
    </xf>
    <xf numFmtId="167" fontId="4" fillId="0" borderId="52" xfId="0" applyFont="true" applyBorder="true" applyAlignment="true" applyProtection="false">
      <alignment horizontal="right" vertical="bottom" textRotation="0" wrapText="false" indent="0" shrinkToFit="false"/>
      <protection locked="true" hidden="false"/>
    </xf>
    <xf numFmtId="167" fontId="4" fillId="0" borderId="34" xfId="0" applyFont="true" applyBorder="true" applyAlignment="true" applyProtection="false">
      <alignment horizontal="right" vertical="bottom" textRotation="0" wrapText="false" indent="0" shrinkToFit="false"/>
      <protection locked="true" hidden="false"/>
    </xf>
    <xf numFmtId="166" fontId="4" fillId="0" borderId="51" xfId="0" applyFont="true" applyBorder="true" applyAlignment="true" applyProtection="false">
      <alignment horizontal="right" vertical="bottom" textRotation="0" wrapText="false" indent="0" shrinkToFit="false"/>
      <protection locked="true" hidden="false"/>
    </xf>
    <xf numFmtId="166" fontId="4" fillId="0" borderId="53" xfId="0" applyFont="true" applyBorder="true" applyAlignment="true" applyProtection="false">
      <alignment horizontal="right" vertical="bottom" textRotation="0" wrapText="false" indent="0" shrinkToFit="false"/>
      <protection locked="true" hidden="false"/>
    </xf>
    <xf numFmtId="166" fontId="4" fillId="0" borderId="15" xfId="0" applyFont="true" applyBorder="true" applyAlignment="false" applyProtection="false">
      <alignment horizontal="general" vertical="bottom" textRotation="0" wrapText="false" indent="0" shrinkToFit="false"/>
      <protection locked="true" hidden="false"/>
    </xf>
    <xf numFmtId="166" fontId="4" fillId="0" borderId="55" xfId="0" applyFont="true" applyBorder="true" applyAlignment="true" applyProtection="false">
      <alignment horizontal="right" vertical="bottom" textRotation="0" wrapText="false" indent="0" shrinkToFit="false"/>
      <protection locked="true" hidden="false"/>
    </xf>
    <xf numFmtId="166" fontId="4" fillId="0" borderId="39" xfId="0" applyFont="true" applyBorder="true" applyAlignment="true" applyProtection="false">
      <alignment horizontal="right" vertical="bottom" textRotation="0" wrapText="false" indent="0" shrinkToFit="false"/>
      <protection locked="true" hidden="false"/>
    </xf>
    <xf numFmtId="166" fontId="4" fillId="0" borderId="22" xfId="0" applyFont="true" applyBorder="true" applyAlignment="false" applyProtection="false">
      <alignment horizontal="general" vertical="bottom" textRotation="0" wrapText="false" indent="0" shrinkToFit="false"/>
      <protection locked="true" hidden="false"/>
    </xf>
    <xf numFmtId="166" fontId="4" fillId="0" borderId="9" xfId="0" applyFont="true" applyBorder="true" applyAlignment="false" applyProtection="false">
      <alignment horizontal="general" vertical="bottom" textRotation="0" wrapText="false" indent="0" shrinkToFit="false"/>
      <protection locked="true" hidden="false"/>
    </xf>
    <xf numFmtId="166" fontId="4" fillId="0" borderId="11" xfId="0" applyFont="true" applyBorder="tru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6" fontId="4" fillId="0" borderId="43" xfId="0" applyFont="true" applyBorder="true" applyAlignment="true" applyProtection="false">
      <alignment horizontal="right" vertical="bottom" textRotation="0" wrapText="false" indent="0" shrinkToFit="false"/>
      <protection locked="true" hidden="false"/>
    </xf>
    <xf numFmtId="166" fontId="4" fillId="0" borderId="63" xfId="0" applyFont="true" applyBorder="true" applyAlignment="true" applyProtection="false">
      <alignment horizontal="right" vertical="bottom" textRotation="0" wrapText="false" indent="0" shrinkToFit="false"/>
      <protection locked="true" hidden="false"/>
    </xf>
    <xf numFmtId="164" fontId="0" fillId="0" borderId="0" xfId="0" applyFont="false" applyBorder="false" applyAlignment="true" applyProtection="false">
      <alignment horizontal="right" vertical="bottom" textRotation="0" wrapText="false" indent="0" shrinkToFit="false"/>
      <protection locked="true" hidden="false"/>
    </xf>
    <xf numFmtId="166" fontId="0" fillId="6" borderId="34" xfId="0" applyFont="false" applyBorder="true" applyAlignment="true" applyProtection="false">
      <alignment horizontal="right" vertical="bottom" textRotation="0" wrapText="false" indent="0" shrinkToFit="false"/>
      <protection locked="true" hidden="false"/>
    </xf>
    <xf numFmtId="164" fontId="4" fillId="0" borderId="0" xfId="0" applyFont="true" applyBorder="false" applyAlignment="true" applyProtection="false">
      <alignment horizontal="left" vertical="bottom" textRotation="0" wrapText="false" indent="0" shrinkToFit="false"/>
      <protection locked="true" hidden="false"/>
    </xf>
    <xf numFmtId="166" fontId="0" fillId="0" borderId="0" xfId="0" applyFont="false" applyBorder="false" applyAlignment="true" applyProtection="false">
      <alignment horizontal="right" vertical="bottom" textRotation="0" wrapText="false" indent="0" shrinkToFit="false"/>
      <protection locked="true" hidden="false"/>
    </xf>
    <xf numFmtId="167" fontId="4" fillId="0" borderId="34" xfId="0" applyFont="true" applyBorder="true" applyAlignment="true" applyProtection="false">
      <alignment horizontal="general" vertical="bottom" textRotation="0" wrapText="false" indent="0" shrinkToFit="false"/>
      <protection locked="true" hidden="false"/>
    </xf>
    <xf numFmtId="167" fontId="4" fillId="12" borderId="34" xfId="0" applyFont="true" applyBorder="true" applyAlignment="true" applyProtection="false">
      <alignment horizontal="general" vertical="bottom" textRotation="0" wrapText="false" indent="0" shrinkToFit="false"/>
      <protection locked="true" hidden="false"/>
    </xf>
    <xf numFmtId="164" fontId="4" fillId="0" borderId="34" xfId="0" applyFont="true" applyBorder="true" applyAlignment="false" applyProtection="false">
      <alignment horizontal="general" vertical="bottom" textRotation="0" wrapText="false" indent="0" shrinkToFit="false"/>
      <protection locked="true" hidden="false"/>
    </xf>
    <xf numFmtId="166" fontId="0" fillId="0" borderId="34" xfId="0" applyFont="true" applyBorder="true" applyAlignment="true" applyProtection="false">
      <alignment horizontal="right"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7" fontId="4" fillId="7" borderId="34" xfId="0" applyFont="true" applyBorder="true" applyAlignment="true" applyProtection="false">
      <alignment horizontal="right" vertical="bottom" textRotation="0" wrapText="false" indent="0" shrinkToFit="false"/>
      <protection locked="true" hidden="false"/>
    </xf>
    <xf numFmtId="167" fontId="0" fillId="0" borderId="39" xfId="0" applyFont="false" applyBorder="true" applyAlignment="true" applyProtection="false">
      <alignment horizontal="right" vertical="bottom" textRotation="0" wrapText="false" indent="0" shrinkToFit="false"/>
      <protection locked="true" hidden="false"/>
    </xf>
    <xf numFmtId="167" fontId="4" fillId="0" borderId="62" xfId="0" applyFont="true" applyBorder="true" applyAlignment="true" applyProtection="false">
      <alignment horizontal="right" vertical="bottom" textRotation="0" wrapText="false" indent="0" shrinkToFit="false"/>
      <protection locked="true" hidden="false"/>
    </xf>
    <xf numFmtId="167" fontId="0" fillId="0" borderId="60" xfId="0" applyFont="false" applyBorder="true" applyAlignment="true" applyProtection="false">
      <alignment horizontal="right" vertical="bottom" textRotation="0" wrapText="false" indent="0" shrinkToFit="false"/>
      <protection locked="true" hidden="false"/>
    </xf>
    <xf numFmtId="166" fontId="0" fillId="0" borderId="49" xfId="0" applyFont="true" applyBorder="true" applyAlignment="true" applyProtection="false">
      <alignment horizontal="right" vertical="bottom" textRotation="0" wrapText="false" indent="0" shrinkToFit="false"/>
      <protection locked="true" hidden="false"/>
    </xf>
    <xf numFmtId="166" fontId="0" fillId="0" borderId="39" xfId="0" applyFont="true" applyBorder="true" applyAlignment="true" applyProtection="false">
      <alignment horizontal="right" vertical="bottom" textRotation="0" wrapText="false" indent="0" shrinkToFit="false"/>
      <protection locked="true" hidden="false"/>
    </xf>
    <xf numFmtId="164" fontId="0" fillId="0" borderId="25" xfId="0" applyFont="false" applyBorder="true" applyAlignment="false" applyProtection="false">
      <alignment horizontal="general" vertical="bottom" textRotation="0" wrapText="false" indent="0" shrinkToFit="false"/>
      <protection locked="true" hidden="false"/>
    </xf>
    <xf numFmtId="164" fontId="4" fillId="0" borderId="25" xfId="0" applyFont="true" applyBorder="true" applyAlignment="false" applyProtection="false">
      <alignment horizontal="general" vertical="bottom" textRotation="0" wrapText="false" indent="0" shrinkToFit="false"/>
      <protection locked="true" hidden="false"/>
    </xf>
    <xf numFmtId="167" fontId="4" fillId="8" borderId="9" xfId="0" applyFont="true" applyBorder="true" applyAlignment="true" applyProtection="false">
      <alignment horizontal="right" vertical="bottom" textRotation="0" wrapText="false" indent="0" shrinkToFit="false"/>
      <protection locked="true" hidden="false"/>
    </xf>
    <xf numFmtId="167" fontId="0" fillId="8" borderId="9" xfId="0" applyFont="false" applyBorder="true" applyAlignment="true" applyProtection="false">
      <alignment horizontal="right" vertical="bottom" textRotation="0" wrapText="false" indent="0" shrinkToFit="false"/>
      <protection locked="true" hidden="false"/>
    </xf>
    <xf numFmtId="167" fontId="0" fillId="8" borderId="22" xfId="0" applyFont="false" applyBorder="true" applyAlignment="true" applyProtection="false">
      <alignment horizontal="right" vertical="bottom" textRotation="0" wrapText="false" indent="0" shrinkToFit="false"/>
      <protection locked="true" hidden="false"/>
    </xf>
    <xf numFmtId="167" fontId="4" fillId="8" borderId="22" xfId="0" applyFont="true" applyBorder="true" applyAlignment="true" applyProtection="false">
      <alignment horizontal="right" vertical="bottom" textRotation="0" wrapText="false" indent="0" shrinkToFit="false"/>
      <protection locked="true" hidden="false"/>
    </xf>
    <xf numFmtId="167" fontId="4" fillId="8" borderId="11" xfId="0" applyFont="true" applyBorder="true" applyAlignment="true" applyProtection="false">
      <alignment horizontal="right" vertical="bottom" textRotation="0" wrapText="false" indent="0" shrinkToFit="false"/>
      <protection locked="true" hidden="false"/>
    </xf>
    <xf numFmtId="167" fontId="0" fillId="8" borderId="39" xfId="0" applyFont="false" applyBorder="true" applyAlignment="true" applyProtection="false">
      <alignment horizontal="right" vertical="bottom" textRotation="0" wrapText="false" indent="0" shrinkToFit="false"/>
      <protection locked="true" hidden="false"/>
    </xf>
    <xf numFmtId="167" fontId="4" fillId="8" borderId="62" xfId="0" applyFont="true" applyBorder="true" applyAlignment="true" applyProtection="false">
      <alignment horizontal="right" vertical="bottom" textRotation="0" wrapText="false" indent="0" shrinkToFit="false"/>
      <protection locked="true" hidden="false"/>
    </xf>
    <xf numFmtId="167" fontId="0" fillId="8" borderId="60" xfId="0" applyFont="false" applyBorder="true" applyAlignment="true" applyProtection="false">
      <alignment horizontal="right" vertical="bottom" textRotation="0" wrapText="false" indent="0" shrinkToFit="false"/>
      <protection locked="true" hidden="false"/>
    </xf>
    <xf numFmtId="167" fontId="4" fillId="8" borderId="15" xfId="0" applyFont="true" applyBorder="true" applyAlignment="true" applyProtection="false">
      <alignment horizontal="right" vertical="bottom" textRotation="0" wrapText="false" indent="0" shrinkToFit="false"/>
      <protection locked="true" hidden="false"/>
    </xf>
    <xf numFmtId="166" fontId="4" fillId="0" borderId="0" xfId="0" applyFont="true" applyBorder="false" applyAlignment="false" applyProtection="false">
      <alignment horizontal="general" vertical="bottom" textRotation="0" wrapText="false" indent="0" shrinkToFit="false"/>
      <protection locked="true" hidden="false"/>
    </xf>
    <xf numFmtId="164" fontId="4" fillId="0" borderId="29" xfId="0" applyFont="true" applyBorder="true" applyAlignment="true" applyProtection="false">
      <alignment horizontal="general" vertical="bottom" textRotation="0" wrapText="false" indent="0" shrinkToFit="false"/>
      <protection locked="true" hidden="false"/>
    </xf>
    <xf numFmtId="164" fontId="4" fillId="0" borderId="25" xfId="0" applyFont="true" applyBorder="true" applyAlignment="false" applyProtection="false">
      <alignment horizontal="general" vertical="bottom" textRotation="0" wrapText="false" indent="0" shrinkToFit="false"/>
      <protection locked="true" hidden="false"/>
    </xf>
    <xf numFmtId="167" fontId="4" fillId="8" borderId="7" xfId="0" applyFont="true" applyBorder="true" applyAlignment="true" applyProtection="false">
      <alignment horizontal="right" vertical="bottom" textRotation="0" wrapText="false" indent="0" shrinkToFit="false"/>
      <protection locked="true" hidden="false"/>
    </xf>
    <xf numFmtId="166" fontId="4" fillId="0" borderId="18" xfId="0" applyFont="true" applyBorder="true" applyAlignment="true" applyProtection="false">
      <alignment horizontal="right" vertical="bottom" textRotation="0" wrapText="false" indent="0" shrinkToFit="false"/>
      <protection locked="true" hidden="false"/>
    </xf>
    <xf numFmtId="164" fontId="5" fillId="0" borderId="14" xfId="0" applyFont="true" applyBorder="true" applyAlignment="true" applyProtection="false">
      <alignment horizontal="center" vertical="top" textRotation="0" wrapText="true" indent="0" shrinkToFit="false"/>
      <protection locked="true" hidden="false"/>
    </xf>
    <xf numFmtId="164" fontId="5" fillId="0" borderId="5" xfId="0" applyFont="true" applyBorder="true" applyAlignment="true" applyProtection="false">
      <alignment horizontal="center" vertical="top" textRotation="0" wrapText="true" indent="0" shrinkToFit="false"/>
      <protection locked="true" hidden="false"/>
    </xf>
    <xf numFmtId="164" fontId="5" fillId="0" borderId="1" xfId="0" applyFont="true" applyBorder="true" applyAlignment="true" applyProtection="false">
      <alignment horizontal="center" vertical="bottom" textRotation="0" wrapText="true" indent="0" shrinkToFit="false"/>
      <protection locked="true" hidden="false"/>
    </xf>
    <xf numFmtId="164" fontId="4" fillId="0" borderId="15" xfId="0" applyFont="true" applyBorder="true" applyAlignment="true" applyProtection="false">
      <alignment horizontal="left" vertical="bottom" textRotation="0" wrapText="false" indent="0" shrinkToFit="false"/>
      <protection locked="true" hidden="false"/>
    </xf>
    <xf numFmtId="164" fontId="4" fillId="0" borderId="9" xfId="0" applyFont="true" applyBorder="true" applyAlignment="true" applyProtection="false">
      <alignment horizontal="left" vertical="bottom" textRotation="0" wrapText="false" indent="0" shrinkToFit="false"/>
      <protection locked="true" hidden="false"/>
    </xf>
    <xf numFmtId="164" fontId="4" fillId="0" borderId="9" xfId="0" applyFont="true" applyBorder="true" applyAlignment="true" applyProtection="false">
      <alignment horizontal="left" vertical="bottom" textRotation="0" wrapText="false" indent="0" shrinkToFit="false"/>
      <protection locked="true" hidden="false"/>
    </xf>
    <xf numFmtId="167" fontId="4" fillId="0" borderId="9" xfId="0" applyFont="true" applyBorder="true" applyAlignment="false" applyProtection="false">
      <alignment horizontal="general" vertical="bottom" textRotation="0" wrapText="false" indent="0" shrinkToFit="false"/>
      <protection locked="true" hidden="false"/>
    </xf>
    <xf numFmtId="164" fontId="4" fillId="0" borderId="22" xfId="0" applyFont="true" applyBorder="true" applyAlignment="true" applyProtection="false">
      <alignment horizontal="left" vertical="bottom" textRotation="0" wrapText="false" indent="0" shrinkToFit="false"/>
      <protection locked="true" hidden="false"/>
    </xf>
    <xf numFmtId="167" fontId="4" fillId="8" borderId="22" xfId="0" applyFont="true" applyBorder="true" applyAlignment="false" applyProtection="false">
      <alignment horizontal="general" vertical="bottom" textRotation="0" wrapText="false" indent="0" shrinkToFit="false"/>
      <protection locked="true" hidden="false"/>
    </xf>
    <xf numFmtId="164" fontId="4" fillId="0" borderId="11" xfId="0" applyFont="true" applyBorder="true" applyAlignment="true" applyProtection="false">
      <alignment horizontal="left" vertical="bottom" textRotation="0" wrapText="false" indent="0" shrinkToFit="false"/>
      <protection locked="true" hidden="false"/>
    </xf>
    <xf numFmtId="167" fontId="4" fillId="0" borderId="11" xfId="0" applyFont="true" applyBorder="true" applyAlignment="false" applyProtection="false">
      <alignment horizontal="general" vertical="bottom" textRotation="0" wrapText="false" indent="0" shrinkToFit="false"/>
      <protection locked="true" hidden="false"/>
    </xf>
    <xf numFmtId="164" fontId="4" fillId="0" borderId="34" xfId="0" applyFont="true" applyBorder="true" applyAlignment="true" applyProtection="false">
      <alignment horizontal="left" vertical="bottom" textRotation="0" wrapText="false" indent="0" shrinkToFit="false"/>
      <protection locked="true" hidden="false"/>
    </xf>
    <xf numFmtId="167" fontId="4" fillId="0" borderId="0" xfId="0" applyFont="true" applyBorder="true" applyAlignment="true" applyProtection="false">
      <alignment horizontal="left" vertical="bottom" textRotation="0" wrapText="false" indent="0" shrinkToFit="false"/>
      <protection locked="true" hidden="false"/>
    </xf>
    <xf numFmtId="167" fontId="4" fillId="0" borderId="0" xfId="0" applyFont="true" applyBorder="true" applyAlignment="true" applyProtection="false">
      <alignment horizontal="right" vertical="bottom" textRotation="0" wrapText="false" indent="0" shrinkToFit="false"/>
      <protection locked="true" hidden="false"/>
    </xf>
    <xf numFmtId="167" fontId="4" fillId="0" borderId="0" xfId="0" applyFont="true" applyBorder="true" applyAlignment="true" applyProtection="false">
      <alignment horizontal="left" vertical="bottom" textRotation="0" wrapText="false" indent="0" shrinkToFit="false"/>
      <protection locked="true" hidden="false"/>
    </xf>
    <xf numFmtId="164" fontId="4" fillId="0" borderId="57" xfId="0" applyFont="true" applyBorder="true" applyAlignment="false" applyProtection="false">
      <alignment horizontal="general" vertical="bottom" textRotation="0" wrapText="false" indent="0" shrinkToFit="false"/>
      <protection locked="true" hidden="false"/>
    </xf>
    <xf numFmtId="164" fontId="4" fillId="0" borderId="64" xfId="0" applyFont="true" applyBorder="true" applyAlignment="false" applyProtection="false">
      <alignment horizontal="general" vertical="bottom" textRotation="0" wrapText="false" indent="0" shrinkToFit="false"/>
      <protection locked="true" hidden="false"/>
    </xf>
    <xf numFmtId="164" fontId="5" fillId="0" borderId="1" xfId="0" applyFont="true" applyBorder="true" applyAlignment="true" applyProtection="false">
      <alignment horizontal="center" vertical="top" textRotation="0" wrapText="true" indent="0" shrinkToFit="false"/>
      <protection locked="true" hidden="false"/>
    </xf>
    <xf numFmtId="167" fontId="4" fillId="9" borderId="15" xfId="0" applyFont="true" applyBorder="true" applyAlignment="true" applyProtection="false">
      <alignment horizontal="right" vertical="bottom" textRotation="0" wrapText="false" indent="0" shrinkToFit="false"/>
      <protection locked="true" hidden="false"/>
    </xf>
    <xf numFmtId="164" fontId="4" fillId="12" borderId="9" xfId="0" applyFont="true" applyBorder="true" applyAlignment="false" applyProtection="false">
      <alignment horizontal="general" vertical="bottom" textRotation="0" wrapText="false" indent="0" shrinkToFit="false"/>
      <protection locked="true" hidden="false"/>
    </xf>
    <xf numFmtId="167" fontId="4" fillId="9" borderId="9" xfId="0" applyFont="true" applyBorder="true" applyAlignment="true" applyProtection="false">
      <alignment horizontal="right" vertical="bottom" textRotation="0" wrapText="false" indent="0" shrinkToFit="false"/>
      <protection locked="true" hidden="false"/>
    </xf>
    <xf numFmtId="164" fontId="4" fillId="0" borderId="0" xfId="0" applyFont="true" applyBorder="false" applyAlignment="true" applyProtection="false">
      <alignment horizontal="left" vertical="bottom" textRotation="0" wrapText="false" indent="0" shrinkToFit="false"/>
      <protection locked="true" hidden="false"/>
    </xf>
    <xf numFmtId="164" fontId="4" fillId="6" borderId="65" xfId="0" applyFont="true" applyBorder="true" applyAlignment="true" applyProtection="false">
      <alignment horizontal="right" vertical="bottom" textRotation="0" wrapText="false" indent="0" shrinkToFit="false"/>
      <protection locked="true" hidden="false"/>
    </xf>
    <xf numFmtId="164" fontId="4" fillId="6" borderId="52" xfId="0" applyFont="true" applyBorder="true" applyAlignment="true" applyProtection="false">
      <alignment horizontal="right" vertical="bottom" textRotation="0" wrapText="false" indent="0" shrinkToFit="false"/>
      <protection locked="true" hidden="false"/>
    </xf>
    <xf numFmtId="164" fontId="0" fillId="12" borderId="54" xfId="0" applyFont="false" applyBorder="true" applyAlignment="true" applyProtection="false">
      <alignment horizontal="right" vertical="bottom" textRotation="0" wrapText="false" indent="0" shrinkToFit="false"/>
      <protection locked="true" hidden="false"/>
    </xf>
    <xf numFmtId="164" fontId="0" fillId="12" borderId="58" xfId="0" applyFont="false" applyBorder="true" applyAlignment="true" applyProtection="false">
      <alignment horizontal="right" vertical="bottom" textRotation="0" wrapText="false" indent="0" shrinkToFit="false"/>
      <protection locked="true" hidden="false"/>
    </xf>
    <xf numFmtId="164" fontId="0" fillId="12" borderId="61" xfId="0" applyFont="false" applyBorder="true" applyAlignment="false" applyProtection="false">
      <alignment horizontal="general" vertical="bottom" textRotation="0" wrapText="false" indent="0" shrinkToFit="false"/>
      <protection locked="true" hidden="false"/>
    </xf>
    <xf numFmtId="164" fontId="4" fillId="6" borderId="51" xfId="0" applyFont="true" applyBorder="true" applyAlignment="true" applyProtection="false">
      <alignment horizontal="right" vertical="bottom" textRotation="0" wrapText="false" indent="0" shrinkToFit="false"/>
      <protection locked="true" hidden="false"/>
    </xf>
    <xf numFmtId="164" fontId="0" fillId="6" borderId="52" xfId="0" applyFont="false" applyBorder="true" applyAlignment="true" applyProtection="false">
      <alignment horizontal="right" vertical="bottom" textRotation="0" wrapText="false" indent="0" shrinkToFit="false"/>
      <protection locked="true" hidden="false"/>
    </xf>
    <xf numFmtId="164" fontId="0" fillId="6" borderId="53" xfId="0" applyFont="false" applyBorder="true" applyAlignment="true" applyProtection="false">
      <alignment horizontal="right" vertical="bottom" textRotation="0" wrapText="false" indent="0" shrinkToFit="false"/>
      <protection locked="true" hidden="false"/>
    </xf>
    <xf numFmtId="164" fontId="4" fillId="6" borderId="66" xfId="0" applyFont="true" applyBorder="true" applyAlignment="true" applyProtection="false">
      <alignment horizontal="right" vertical="bottom" textRotation="0" wrapText="false" indent="0" shrinkToFit="false"/>
      <protection locked="true" hidden="false"/>
    </xf>
    <xf numFmtId="164" fontId="0" fillId="12" borderId="59" xfId="0" applyFont="false" applyBorder="true" applyAlignment="false" applyProtection="false">
      <alignment horizontal="general" vertical="bottom" textRotation="0" wrapText="false" indent="0" shrinkToFit="false"/>
      <protection locked="true" hidden="false"/>
    </xf>
    <xf numFmtId="164" fontId="4" fillId="0" borderId="17" xfId="0" applyFont="true" applyBorder="true" applyAlignment="false" applyProtection="false">
      <alignment horizontal="general" vertical="bottom" textRotation="0" wrapText="false" indent="0" shrinkToFit="false"/>
      <protection locked="true" hidden="false"/>
    </xf>
    <xf numFmtId="164" fontId="4" fillId="0" borderId="24" xfId="0" applyFont="true" applyBorder="true" applyAlignment="false" applyProtection="false">
      <alignment horizontal="general" vertical="bottom" textRotation="0" wrapText="false" indent="0" shrinkToFit="false"/>
      <protection locked="true" hidden="false"/>
    </xf>
    <xf numFmtId="164" fontId="4" fillId="0" borderId="4" xfId="0" applyFont="true" applyBorder="true" applyAlignment="false" applyProtection="false">
      <alignment horizontal="general" vertical="bottom" textRotation="0" wrapText="false" indent="0" shrinkToFit="false"/>
      <protection locked="true" hidden="false"/>
    </xf>
    <xf numFmtId="164" fontId="4" fillId="0" borderId="56" xfId="17" applyFont="true" applyBorder="true" applyAlignment="true" applyProtection="true">
      <alignment horizontal="general" vertical="bottom" textRotation="0" wrapText="false" indent="0" shrinkToFit="false"/>
      <protection locked="true" hidden="false"/>
    </xf>
    <xf numFmtId="164" fontId="4" fillId="0" borderId="34" xfId="17" applyFont="true" applyBorder="true" applyAlignment="true" applyProtection="true">
      <alignment horizontal="general" vertical="bottom" textRotation="0" wrapText="false" indent="0" shrinkToFit="false"/>
      <protection locked="true" hidden="false"/>
    </xf>
    <xf numFmtId="164" fontId="4" fillId="0" borderId="52" xfId="0" applyFont="true" applyBorder="true" applyAlignment="true" applyProtection="false">
      <alignment horizontal="left" vertical="bottom" textRotation="0" wrapText="false" indent="0" shrinkToFit="false"/>
      <protection locked="true" hidden="false"/>
    </xf>
    <xf numFmtId="164" fontId="30" fillId="0" borderId="0" xfId="0" applyFont="true" applyBorder="true" applyAlignment="false" applyProtection="false">
      <alignment horizontal="general" vertical="bottom" textRotation="0" wrapText="false" indent="0" shrinkToFit="false"/>
      <protection locked="true" hidden="false"/>
    </xf>
    <xf numFmtId="167" fontId="4" fillId="0" borderId="0" xfId="0" applyFont="true" applyBorder="true" applyAlignment="false" applyProtection="false">
      <alignment horizontal="general" vertical="bottom" textRotation="0" wrapText="false" indent="0" shrinkToFit="false"/>
      <protection locked="true" hidden="false"/>
    </xf>
    <xf numFmtId="164" fontId="4" fillId="0" borderId="33" xfId="0" applyFont="true" applyBorder="true" applyAlignment="false" applyProtection="false">
      <alignment horizontal="general" vertical="bottom" textRotation="0" wrapText="false" indent="0" shrinkToFit="false"/>
      <protection locked="true" hidden="false"/>
    </xf>
    <xf numFmtId="164" fontId="4" fillId="0" borderId="32" xfId="0" applyFont="true" applyBorder="true" applyAlignment="false" applyProtection="false">
      <alignment horizontal="general" vertical="bottom" textRotation="0" wrapText="false" indent="0" shrinkToFit="false"/>
      <protection locked="true" hidden="false"/>
    </xf>
    <xf numFmtId="168" fontId="4" fillId="0" borderId="9" xfId="0" applyFont="true" applyBorder="true" applyAlignment="true" applyProtection="false">
      <alignment horizontal="right" vertical="bottom" textRotation="0" wrapText="false" indent="0" shrinkToFit="false"/>
      <protection locked="true" hidden="false"/>
    </xf>
    <xf numFmtId="168" fontId="4" fillId="0" borderId="9" xfId="0" applyFont="true" applyBorder="true" applyAlignment="true" applyProtection="false">
      <alignment horizontal="right" vertical="bottom" textRotation="0" wrapText="false" indent="0" shrinkToFit="false"/>
      <protection locked="true" hidden="false"/>
    </xf>
    <xf numFmtId="170" fontId="0" fillId="0" borderId="34" xfId="0" applyFont="false" applyBorder="true" applyAlignment="false" applyProtection="false">
      <alignment horizontal="general" vertical="bottom" textRotation="0" wrapText="false" indent="0" shrinkToFit="false"/>
      <protection locked="true" hidden="false"/>
    </xf>
    <xf numFmtId="170" fontId="0" fillId="0" borderId="0" xfId="0" applyFont="false" applyBorder="true" applyAlignment="false" applyProtection="false">
      <alignment horizontal="general" vertical="bottom" textRotation="0" wrapText="false" indent="0" shrinkToFit="false"/>
      <protection locked="true" hidden="false"/>
    </xf>
    <xf numFmtId="164" fontId="4" fillId="0" borderId="4" xfId="0" applyFont="true" applyBorder="true" applyAlignment="false" applyProtection="false">
      <alignment horizontal="general" vertical="bottom" textRotation="0" wrapText="false" indent="0" shrinkToFit="false"/>
      <protection locked="true" hidden="false"/>
    </xf>
    <xf numFmtId="164" fontId="4" fillId="0" borderId="6" xfId="0" applyFont="true" applyBorder="true" applyAlignment="false" applyProtection="false">
      <alignment horizontal="general" vertical="bottom" textRotation="0" wrapText="false" indent="0" shrinkToFit="false"/>
      <protection locked="true" hidden="false"/>
    </xf>
    <xf numFmtId="167" fontId="4" fillId="0" borderId="33" xfId="0" applyFont="true" applyBorder="true" applyAlignment="false" applyProtection="false">
      <alignment horizontal="general" vertical="bottom" textRotation="0" wrapText="false" indent="0" shrinkToFit="false"/>
      <protection locked="true" hidden="false"/>
    </xf>
    <xf numFmtId="167" fontId="4" fillId="0" borderId="0" xfId="0" applyFont="true" applyBorder="true" applyAlignment="false" applyProtection="false">
      <alignment horizontal="general" vertical="bottom" textRotation="0" wrapText="false" indent="0" shrinkToFit="false"/>
      <protection locked="true" hidden="false"/>
    </xf>
    <xf numFmtId="164" fontId="4" fillId="0" borderId="17" xfId="0" applyFont="true" applyBorder="true" applyAlignment="true" applyProtection="false">
      <alignment horizontal="left" vertical="bottom" textRotation="0" wrapText="false" indent="0" shrinkToFit="false"/>
      <protection locked="true" hidden="false"/>
    </xf>
    <xf numFmtId="168" fontId="4" fillId="0" borderId="0" xfId="0" applyFont="true" applyBorder="true" applyAlignment="true" applyProtection="false">
      <alignment horizontal="right" vertical="bottom" textRotation="0" wrapText="false" indent="0" shrinkToFit="false"/>
      <protection locked="true" hidden="false"/>
    </xf>
    <xf numFmtId="164" fontId="4" fillId="7" borderId="0" xfId="0" applyFont="true" applyBorder="true" applyAlignment="false" applyProtection="false">
      <alignment horizontal="general" vertical="bottom" textRotation="0" wrapText="false" indent="0" shrinkToFit="false"/>
      <protection locked="true" hidden="false"/>
    </xf>
    <xf numFmtId="166" fontId="0" fillId="12" borderId="11" xfId="0" applyFont="false" applyBorder="true" applyAlignment="true" applyProtection="false">
      <alignment horizontal="right" vertical="bottom" textRotation="0" wrapText="false" indent="0" shrinkToFit="false"/>
      <protection locked="true" hidden="false"/>
    </xf>
    <xf numFmtId="167" fontId="4" fillId="0" borderId="0" xfId="0" applyFont="true" applyBorder="false" applyAlignment="true" applyProtection="false">
      <alignment horizontal="right" vertical="bottom" textRotation="0" wrapText="false" indent="0" shrinkToFit="false"/>
      <protection locked="true" hidden="false"/>
    </xf>
    <xf numFmtId="164" fontId="4" fillId="0" borderId="57" xfId="0" applyFont="true" applyBorder="true" applyAlignment="false" applyProtection="false">
      <alignment horizontal="general" vertical="bottom" textRotation="0" wrapText="false" indent="0" shrinkToFit="false"/>
      <protection locked="true" hidden="false"/>
    </xf>
    <xf numFmtId="164" fontId="4" fillId="0" borderId="19" xfId="0" applyFont="true" applyBorder="true" applyAlignment="false" applyProtection="false">
      <alignment horizontal="general" vertical="bottom" textRotation="0" wrapText="false" indent="0" shrinkToFit="false"/>
      <protection locked="true" hidden="false"/>
    </xf>
    <xf numFmtId="164" fontId="4" fillId="0" borderId="34" xfId="0" applyFont="true" applyBorder="true" applyAlignment="false" applyProtection="false">
      <alignment horizontal="general" vertical="bottom" textRotation="0" wrapText="false" indent="0" shrinkToFit="false"/>
      <protection locked="true" hidden="false"/>
    </xf>
    <xf numFmtId="164" fontId="4" fillId="0" borderId="57" xfId="0" applyFont="true" applyBorder="true" applyAlignment="false" applyProtection="false">
      <alignment horizontal="general" vertical="bottom" textRotation="0" wrapText="false" indent="0" shrinkToFit="false"/>
      <protection locked="true" hidden="false"/>
    </xf>
    <xf numFmtId="166" fontId="4" fillId="12" borderId="34" xfId="0" applyFont="true" applyBorder="true" applyAlignment="true" applyProtection="false">
      <alignment horizontal="right" vertical="bottom" textRotation="0" wrapText="false" indent="0" shrinkToFit="false"/>
      <protection locked="true" hidden="false"/>
    </xf>
    <xf numFmtId="167" fontId="4" fillId="11" borderId="34" xfId="0" applyFont="true" applyBorder="true" applyAlignment="true" applyProtection="false">
      <alignment horizontal="right" vertical="bottom" textRotation="0" wrapText="false" indent="0" shrinkToFit="false"/>
      <protection locked="true" hidden="false"/>
    </xf>
    <xf numFmtId="166" fontId="0" fillId="7" borderId="34" xfId="0" applyFont="false" applyBorder="true" applyAlignment="true" applyProtection="false">
      <alignment horizontal="right" vertical="bottom" textRotation="0" wrapText="false" indent="0" shrinkToFit="false"/>
      <protection locked="true" hidden="false"/>
    </xf>
    <xf numFmtId="164" fontId="4" fillId="0" borderId="34" xfId="0" applyFont="true" applyBorder="true" applyAlignment="false" applyProtection="false">
      <alignment horizontal="general" vertical="bottom" textRotation="0" wrapText="false" indent="0" shrinkToFit="false"/>
      <protection locked="true" hidden="false"/>
    </xf>
    <xf numFmtId="164" fontId="4" fillId="0" borderId="57" xfId="0" applyFont="true" applyBorder="true" applyAlignment="false" applyProtection="false">
      <alignment horizontal="general" vertical="bottom" textRotation="0" wrapText="false" indent="0" shrinkToFit="false"/>
      <protection locked="true" hidden="false"/>
    </xf>
    <xf numFmtId="166" fontId="0" fillId="12" borderId="34" xfId="0" applyFont="false" applyBorder="true" applyAlignment="true" applyProtection="false">
      <alignment horizontal="right" vertical="bottom" textRotation="0" wrapText="false" indent="0" shrinkToFit="false"/>
      <protection locked="true" hidden="false"/>
    </xf>
    <xf numFmtId="166" fontId="4" fillId="7" borderId="34" xfId="0" applyFont="true" applyBorder="true" applyAlignment="true" applyProtection="false">
      <alignment horizontal="right" vertical="bottom" textRotation="0" wrapText="false" indent="0" shrinkToFit="false"/>
      <protection locked="true" hidden="false"/>
    </xf>
    <xf numFmtId="167" fontId="4" fillId="7" borderId="0" xfId="0" applyFont="true" applyBorder="true" applyAlignment="false" applyProtection="false">
      <alignment horizontal="general" vertical="bottom" textRotation="0" wrapText="false" indent="0" shrinkToFit="false"/>
      <protection locked="true" hidden="false"/>
    </xf>
    <xf numFmtId="167" fontId="4" fillId="9" borderId="0" xfId="0" applyFont="true" applyBorder="true" applyAlignment="false" applyProtection="false">
      <alignment horizontal="general" vertical="bottom" textRotation="0" wrapText="false" indent="0" shrinkToFit="false"/>
      <protection locked="true" hidden="false"/>
    </xf>
    <xf numFmtId="172" fontId="4" fillId="0" borderId="0" xfId="0" applyFont="true" applyBorder="true" applyAlignment="false" applyProtection="false">
      <alignment horizontal="general" vertical="bottom" textRotation="0" wrapText="false" indent="0" shrinkToFit="false"/>
      <protection locked="true" hidden="false"/>
    </xf>
    <xf numFmtId="164" fontId="4" fillId="0" borderId="0" xfId="0" applyFont="true" applyBorder="true" applyAlignment="false" applyProtection="false">
      <alignment horizontal="general" vertical="bottom" textRotation="0" wrapText="false" indent="0" shrinkToFit="false"/>
      <protection locked="true" hidden="false"/>
    </xf>
    <xf numFmtId="167" fontId="4" fillId="8" borderId="0" xfId="0" applyFont="true" applyBorder="true" applyAlignment="false" applyProtection="false">
      <alignment horizontal="general" vertical="bottom" textRotation="0" wrapText="false" indent="0" shrinkToFit="false"/>
      <protection locked="true" hidden="false"/>
    </xf>
    <xf numFmtId="167" fontId="4" fillId="6" borderId="0" xfId="0" applyFont="true" applyBorder="true" applyAlignment="false" applyProtection="false">
      <alignment horizontal="general" vertical="bottom" textRotation="0" wrapText="false" indent="0" shrinkToFit="false"/>
      <protection locked="true" hidden="false"/>
    </xf>
    <xf numFmtId="167" fontId="4" fillId="12" borderId="33" xfId="0" applyFont="true" applyBorder="true" applyAlignment="false" applyProtection="false">
      <alignment horizontal="general" vertical="bottom" textRotation="0" wrapText="false" indent="0" shrinkToFit="false"/>
      <protection locked="true" hidden="false"/>
    </xf>
    <xf numFmtId="164" fontId="4" fillId="0" borderId="33" xfId="0" applyFont="true" applyBorder="true" applyAlignment="false" applyProtection="false">
      <alignment horizontal="general" vertical="bottom" textRotation="0" wrapText="false" indent="0" shrinkToFit="false"/>
      <protection locked="true" hidden="false"/>
    </xf>
    <xf numFmtId="164" fontId="4" fillId="0" borderId="67" xfId="0" applyFont="true" applyBorder="true" applyAlignment="false" applyProtection="false">
      <alignment horizontal="general" vertical="bottom" textRotation="0" wrapText="false" indent="0" shrinkToFit="false"/>
      <protection locked="true" hidden="false"/>
    </xf>
    <xf numFmtId="164" fontId="5" fillId="0" borderId="27" xfId="0" applyFont="true" applyBorder="true" applyAlignment="false" applyProtection="false">
      <alignment horizontal="general" vertical="bottom" textRotation="0" wrapText="false" indent="0" shrinkToFit="false"/>
      <protection locked="true" hidden="false"/>
    </xf>
    <xf numFmtId="164" fontId="5" fillId="0" borderId="18" xfId="0" applyFont="true" applyBorder="true" applyAlignment="false" applyProtection="false">
      <alignment horizontal="general" vertical="bottom" textRotation="0" wrapText="false" indent="0" shrinkToFit="false"/>
      <protection locked="true" hidden="false"/>
    </xf>
    <xf numFmtId="164" fontId="4" fillId="0" borderId="64" xfId="0" applyFont="true" applyBorder="true" applyAlignment="false" applyProtection="false">
      <alignment horizontal="general" vertical="bottom" textRotation="0" wrapText="false" indent="0" shrinkToFit="false"/>
      <protection locked="true" hidden="false"/>
    </xf>
    <xf numFmtId="167" fontId="4" fillId="8" borderId="34" xfId="0" applyFont="true" applyBorder="true" applyAlignment="true" applyProtection="false">
      <alignment horizontal="right" vertical="bottom" textRotation="0" wrapText="false" indent="0" shrinkToFit="false"/>
      <protection locked="true" hidden="false"/>
    </xf>
    <xf numFmtId="164" fontId="5" fillId="0" borderId="42" xfId="0" applyFont="true" applyBorder="true" applyAlignment="false" applyProtection="false">
      <alignment horizontal="general" vertical="bottom" textRotation="0" wrapText="false" indent="0" shrinkToFit="false"/>
      <protection locked="true" hidden="false"/>
    </xf>
    <xf numFmtId="164" fontId="5" fillId="0" borderId="53" xfId="0" applyFont="true" applyBorder="true" applyAlignment="false" applyProtection="false">
      <alignment horizontal="general" vertical="bottom" textRotation="0" wrapText="false" indent="0" shrinkToFit="false"/>
      <protection locked="true" hidden="false"/>
    </xf>
    <xf numFmtId="167" fontId="4" fillId="6" borderId="34" xfId="0" applyFont="true" applyBorder="true" applyAlignment="true" applyProtection="false">
      <alignment horizontal="right" vertical="bottom" textRotation="0" wrapText="false" indent="0" shrinkToFit="false"/>
      <protection locked="true" hidden="false"/>
    </xf>
    <xf numFmtId="167" fontId="4" fillId="0" borderId="25" xfId="0" applyFont="true" applyBorder="true" applyAlignment="false" applyProtection="false">
      <alignment horizontal="general" vertical="bottom" textRotation="0" wrapText="false" indent="0" shrinkToFit="false"/>
      <protection locked="true" hidden="false"/>
    </xf>
    <xf numFmtId="164" fontId="4" fillId="0" borderId="53" xfId="0" applyFont="true" applyBorder="true" applyAlignment="false" applyProtection="false">
      <alignment horizontal="general" vertical="bottom" textRotation="0" wrapText="false" indent="0" shrinkToFit="false"/>
      <protection locked="true" hidden="false"/>
    </xf>
    <xf numFmtId="167" fontId="4" fillId="12" borderId="18" xfId="0" applyFont="true" applyBorder="true" applyAlignment="true" applyProtection="false">
      <alignment horizontal="right" vertical="bottom" textRotation="0" wrapText="false" indent="0" shrinkToFit="false"/>
      <protection locked="true" hidden="false"/>
    </xf>
    <xf numFmtId="167" fontId="4" fillId="8" borderId="52" xfId="0" applyFont="true" applyBorder="true" applyAlignment="true" applyProtection="false">
      <alignment horizontal="right" vertical="bottom" textRotation="0" wrapText="false" indent="0" shrinkToFit="false"/>
      <protection locked="true" hidden="false"/>
    </xf>
    <xf numFmtId="167" fontId="4" fillId="0" borderId="41" xfId="0" applyFont="true" applyBorder="true" applyAlignment="false" applyProtection="false">
      <alignment horizontal="general" vertical="bottom" textRotation="0" wrapText="false" indent="0" shrinkToFit="false"/>
      <protection locked="true" hidden="false"/>
    </xf>
    <xf numFmtId="167" fontId="4" fillId="6" borderId="14" xfId="0" applyFont="true" applyBorder="true" applyAlignment="false" applyProtection="false">
      <alignment horizontal="general" vertical="bottom" textRotation="0" wrapText="false" indent="0" shrinkToFit="false"/>
      <protection locked="true" hidden="false"/>
    </xf>
    <xf numFmtId="167" fontId="4" fillId="7" borderId="34" xfId="0" applyFont="true" applyBorder="true" applyAlignment="false" applyProtection="false">
      <alignment horizontal="general" vertical="bottom" textRotation="0" wrapText="false" indent="0" shrinkToFit="false"/>
      <protection locked="true" hidden="false"/>
    </xf>
    <xf numFmtId="167" fontId="4" fillId="8" borderId="14" xfId="0" applyFont="true" applyBorder="true" applyAlignment="false" applyProtection="false">
      <alignment horizontal="general" vertical="bottom" textRotation="0" wrapText="false" indent="0" shrinkToFit="false"/>
      <protection locked="true" hidden="false"/>
    </xf>
    <xf numFmtId="167" fontId="4" fillId="14" borderId="14" xfId="0" applyFont="true" applyBorder="true" applyAlignment="false" applyProtection="false">
      <alignment horizontal="general" vertical="bottom" textRotation="0" wrapText="false" indent="0" shrinkToFit="false"/>
      <protection locked="true" hidden="false"/>
    </xf>
    <xf numFmtId="167" fontId="4" fillId="16" borderId="41" xfId="0" applyFont="true" applyBorder="true" applyAlignment="false" applyProtection="false">
      <alignment horizontal="general" vertical="bottom" textRotation="0" wrapText="false" indent="0" shrinkToFit="false"/>
      <protection locked="true" hidden="false"/>
    </xf>
    <xf numFmtId="167" fontId="4" fillId="8" borderId="13" xfId="0" applyFont="true" applyBorder="true" applyAlignment="false" applyProtection="false">
      <alignment horizontal="general" vertical="bottom" textRotation="0" wrapText="false" indent="0" shrinkToFit="false"/>
      <protection locked="true" hidden="false"/>
    </xf>
    <xf numFmtId="167" fontId="4" fillId="8" borderId="64" xfId="0" applyFont="true" applyBorder="true" applyAlignment="false" applyProtection="false">
      <alignment horizontal="general" vertical="bottom" textRotation="0" wrapText="false" indent="0" shrinkToFit="false"/>
      <protection locked="true" hidden="false"/>
    </xf>
    <xf numFmtId="167" fontId="4" fillId="8" borderId="34" xfId="0" applyFont="true" applyBorder="true" applyAlignment="false" applyProtection="false">
      <alignment horizontal="general" vertical="bottom" textRotation="0" wrapText="false" indent="0" shrinkToFit="false"/>
      <protection locked="true" hidden="false"/>
    </xf>
    <xf numFmtId="164" fontId="4" fillId="0" borderId="2" xfId="0" applyFont="true" applyBorder="true" applyAlignment="true" applyProtection="false">
      <alignment horizontal="left" vertical="bottom" textRotation="0" wrapText="false" indent="0" shrinkToFit="false" readingOrder="1"/>
      <protection locked="true" hidden="false"/>
    </xf>
    <xf numFmtId="164" fontId="4" fillId="0" borderId="4" xfId="0" applyFont="true" applyBorder="true" applyAlignment="true" applyProtection="false">
      <alignment horizontal="left" vertical="bottom" textRotation="0" wrapText="false" indent="0" shrinkToFit="false" readingOrder="1"/>
      <protection locked="true" hidden="false"/>
    </xf>
    <xf numFmtId="164" fontId="4" fillId="0" borderId="59" xfId="0" applyFont="true" applyBorder="true" applyAlignment="false" applyProtection="false">
      <alignment horizontal="general" vertical="bottom" textRotation="0" wrapText="false" indent="0" shrinkToFit="false"/>
      <protection locked="true" hidden="false"/>
    </xf>
    <xf numFmtId="167" fontId="4" fillId="0" borderId="44" xfId="0" applyFont="true" applyBorder="true" applyAlignment="false" applyProtection="false">
      <alignment horizontal="general" vertical="bottom" textRotation="0" wrapText="false" indent="0" shrinkToFit="false"/>
      <protection locked="true" hidden="false"/>
    </xf>
    <xf numFmtId="164" fontId="4" fillId="0" borderId="2" xfId="0" applyFont="true" applyBorder="true" applyAlignment="true" applyProtection="false">
      <alignment horizontal="left" vertical="bottom" textRotation="0" wrapText="false" indent="0" shrinkToFit="false"/>
      <protection locked="true" hidden="false"/>
    </xf>
    <xf numFmtId="164" fontId="4" fillId="0" borderId="4" xfId="0" applyFont="true" applyBorder="true" applyAlignment="true" applyProtection="false">
      <alignment horizontal="left" vertical="bottom" textRotation="0" wrapText="false" indent="0" shrinkToFit="false"/>
      <protection locked="true" hidden="false"/>
    </xf>
    <xf numFmtId="169" fontId="4" fillId="0" borderId="0" xfId="0" applyFont="true" applyBorder="true" applyAlignment="false" applyProtection="false">
      <alignment horizontal="general" vertical="bottom" textRotation="0" wrapText="false" indent="0" shrinkToFit="false"/>
      <protection locked="true" hidden="false"/>
    </xf>
    <xf numFmtId="173" fontId="4" fillId="0" borderId="0" xfId="0" applyFont="true" applyBorder="true" applyAlignment="false" applyProtection="false">
      <alignment horizontal="general" vertical="bottom" textRotation="0" wrapText="false" indent="0" shrinkToFit="false"/>
      <protection locked="true" hidden="false"/>
    </xf>
    <xf numFmtId="164" fontId="4" fillId="0" borderId="4" xfId="0" applyFont="true" applyBorder="true" applyAlignment="true" applyProtection="false">
      <alignment horizontal="general" vertical="bottom" textRotation="0" wrapText="false" indent="0" shrinkToFit="false"/>
      <protection locked="true" hidden="false"/>
    </xf>
    <xf numFmtId="168" fontId="4" fillId="0" borderId="0" xfId="0" applyFont="true" applyBorder="true" applyAlignment="false" applyProtection="false">
      <alignment horizontal="general" vertical="bottom" textRotation="0" wrapText="false" indent="0" shrinkToFit="false"/>
      <protection locked="true" hidden="false"/>
    </xf>
    <xf numFmtId="173" fontId="4" fillId="0" borderId="33" xfId="0" applyFont="true" applyBorder="true" applyAlignment="false" applyProtection="false">
      <alignment horizontal="general" vertical="bottom" textRotation="0" wrapText="false" indent="0" shrinkToFit="false"/>
      <protection locked="true" hidden="false"/>
    </xf>
    <xf numFmtId="167" fontId="4" fillId="0" borderId="4" xfId="0" applyFont="true" applyBorder="true" applyAlignment="true" applyProtection="false">
      <alignment horizontal="general" vertical="bottom" textRotation="0" wrapText="false" indent="0" shrinkToFit="false"/>
      <protection locked="true" hidden="false"/>
    </xf>
    <xf numFmtId="164" fontId="4" fillId="0" borderId="6" xfId="0" applyFont="true" applyBorder="true" applyAlignment="true" applyProtection="false">
      <alignment horizontal="left" vertical="bottom" textRotation="0" wrapText="false" indent="0" shrinkToFit="false"/>
      <protection locked="true" hidden="false"/>
    </xf>
    <xf numFmtId="167" fontId="4" fillId="0" borderId="6" xfId="0" applyFont="true" applyBorder="true" applyAlignment="true" applyProtection="false">
      <alignment horizontal="right" vertical="bottom" textRotation="0" wrapText="false" indent="0" shrinkToFit="false"/>
      <protection locked="true" hidden="false"/>
    </xf>
    <xf numFmtId="164" fontId="30" fillId="0" borderId="4" xfId="0" applyFont="true" applyBorder="true" applyAlignment="false" applyProtection="false">
      <alignment horizontal="general" vertical="bottom" textRotation="0" wrapText="false" indent="0" shrinkToFit="false"/>
      <protection locked="true" hidden="false"/>
    </xf>
    <xf numFmtId="167" fontId="4" fillId="9" borderId="33" xfId="0" applyFont="true" applyBorder="true" applyAlignment="false" applyProtection="false">
      <alignment horizontal="general" vertical="bottom" textRotation="0" wrapText="false" indent="0" shrinkToFit="false"/>
      <protection locked="true" hidden="false"/>
    </xf>
    <xf numFmtId="167" fontId="4" fillId="0" borderId="32" xfId="0" applyFont="true" applyBorder="true" applyAlignment="false" applyProtection="false">
      <alignment horizontal="general" vertical="bottom" textRotation="0" wrapText="false" indent="0" shrinkToFit="false"/>
      <protection locked="true" hidden="false"/>
    </xf>
    <xf numFmtId="168" fontId="4" fillId="0" borderId="33" xfId="0" applyFont="true" applyBorder="true" applyAlignment="false" applyProtection="false">
      <alignment horizontal="general" vertical="bottom" textRotation="0" wrapText="false" indent="0" shrinkToFit="false"/>
      <protection locked="true" hidden="false"/>
    </xf>
    <xf numFmtId="164" fontId="0" fillId="0" borderId="4" xfId="0" applyFont="true" applyBorder="true" applyAlignment="false" applyProtection="false">
      <alignment horizontal="general" vertical="bottom" textRotation="0" wrapText="false" indent="0" shrinkToFit="false"/>
      <protection locked="true" hidden="false"/>
    </xf>
    <xf numFmtId="167" fontId="0" fillId="0" borderId="0" xfId="0" applyFont="false" applyBorder="true" applyAlignment="false" applyProtection="false">
      <alignment horizontal="general" vertical="bottom" textRotation="0" wrapText="false" indent="0" shrinkToFit="false"/>
      <protection locked="true" hidden="false"/>
    </xf>
    <xf numFmtId="167" fontId="0" fillId="8" borderId="14" xfId="0" applyFont="false" applyBorder="true" applyAlignment="false" applyProtection="false">
      <alignment horizontal="general" vertical="bottom" textRotation="0" wrapText="false" indent="0" shrinkToFit="false"/>
      <protection locked="true" hidden="false"/>
    </xf>
    <xf numFmtId="167" fontId="0" fillId="0" borderId="4" xfId="0" applyFont="true" applyBorder="true" applyAlignment="false" applyProtection="false">
      <alignment horizontal="general" vertical="bottom" textRotation="0" wrapText="false" indent="0" shrinkToFit="false"/>
      <protection locked="true" hidden="false"/>
    </xf>
    <xf numFmtId="167" fontId="0" fillId="7" borderId="14" xfId="0" applyFont="false" applyBorder="true" applyAlignment="false" applyProtection="false">
      <alignment horizontal="general" vertical="bottom" textRotation="0" wrapText="false" indent="0" shrinkToFit="false"/>
      <protection locked="true" hidden="false"/>
    </xf>
    <xf numFmtId="164" fontId="4" fillId="0" borderId="56" xfId="0" applyFont="true" applyBorder="true" applyAlignment="false" applyProtection="false">
      <alignment horizontal="general" vertical="bottom" textRotation="0" wrapText="false" indent="0" shrinkToFit="false"/>
      <protection locked="true" hidden="false"/>
    </xf>
    <xf numFmtId="164" fontId="4" fillId="0" borderId="56" xfId="0" applyFont="true" applyBorder="true" applyAlignment="false" applyProtection="false">
      <alignment horizontal="general" vertical="bottom" textRotation="0" wrapText="false" indent="0" shrinkToFit="false"/>
      <protection locked="true" hidden="false"/>
    </xf>
    <xf numFmtId="164" fontId="4" fillId="0" borderId="56" xfId="0" applyFont="true" applyBorder="true" applyAlignment="false" applyProtection="false">
      <alignment horizontal="general" vertical="bottom" textRotation="0" wrapText="false" indent="0" shrinkToFit="false"/>
      <protection locked="true" hidden="false"/>
    </xf>
    <xf numFmtId="164" fontId="5" fillId="0" borderId="29" xfId="0" applyFont="true" applyBorder="true" applyAlignment="false" applyProtection="false">
      <alignment horizontal="general" vertical="bottom" textRotation="0" wrapText="false" indent="0" shrinkToFit="false"/>
      <protection locked="true" hidden="false"/>
    </xf>
    <xf numFmtId="164" fontId="5" fillId="0" borderId="8" xfId="0" applyFont="true" applyBorder="true" applyAlignment="false" applyProtection="false">
      <alignment horizontal="general" vertical="bottom" textRotation="0" wrapText="false" indent="0" shrinkToFit="false"/>
      <protection locked="true" hidden="false"/>
    </xf>
    <xf numFmtId="164" fontId="4" fillId="0" borderId="51" xfId="0" applyFont="true" applyBorder="true" applyAlignment="false" applyProtection="false">
      <alignment horizontal="general" vertical="bottom" textRotation="0" wrapText="false" indent="0" shrinkToFit="false"/>
      <protection locked="true" hidden="false"/>
    </xf>
    <xf numFmtId="164" fontId="4" fillId="0" borderId="56" xfId="0" applyFont="true" applyBorder="true" applyAlignment="false" applyProtection="false">
      <alignment horizontal="general" vertical="bottom" textRotation="0" wrapText="false" indent="0" shrinkToFit="false"/>
      <protection locked="true" hidden="false"/>
    </xf>
  </cellXfs>
  <cellStyles count="8">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Normal 2" xfId="21" builtinId="53" customBuiltin="true"/>
    <cellStyle name="*unknown*" xfId="20" builtinId="8" customBuiltin="false"/>
  </cellStyles>
  <colors>
    <indexedColors>
      <rgbColor rgb="FF000000"/>
      <rgbColor rgb="FFF8F8F8"/>
      <rgbColor rgb="FFFF0000"/>
      <rgbColor rgb="FF00FF00"/>
      <rgbColor rgb="FF0000FF"/>
      <rgbColor rgb="FFFFFF00"/>
      <rgbColor rgb="FFFF00FF"/>
      <rgbColor rgb="FF00FFFF"/>
      <rgbColor rgb="FF800000"/>
      <rgbColor rgb="FF008000"/>
      <rgbColor rgb="FF000080"/>
      <rgbColor rgb="FF808000"/>
      <rgbColor rgb="FF800080"/>
      <rgbColor rgb="FF008080"/>
      <rgbColor rgb="FFE6E0EC"/>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DCE6F2"/>
      <rgbColor rgb="FFCCFFCC"/>
      <rgbColor rgb="FFCCFF99"/>
      <rgbColor rgb="FFEAEAEA"/>
      <rgbColor rgb="FFFFCCCC"/>
      <rgbColor rgb="FFF2F2F2"/>
      <rgbColor rgb="FFFFCC99"/>
      <rgbColor rgb="FF3366FF"/>
      <rgbColor rgb="FF33CCCC"/>
      <rgbColor rgb="FF99CC00"/>
      <rgbColor rgb="FFFFCC66"/>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9360</xdr:colOff>
      <xdr:row>13</xdr:row>
      <xdr:rowOff>9360</xdr:rowOff>
    </xdr:from>
    <xdr:to>
      <xdr:col>11</xdr:col>
      <xdr:colOff>18360</xdr:colOff>
      <xdr:row>100</xdr:row>
      <xdr:rowOff>161280</xdr:rowOff>
    </xdr:to>
    <xdr:sp>
      <xdr:nvSpPr>
        <xdr:cNvPr id="0" name="CustomShape 1"/>
        <xdr:cNvSpPr/>
      </xdr:nvSpPr>
      <xdr:spPr>
        <a:xfrm>
          <a:off x="835200" y="2133360"/>
          <a:ext cx="8270640" cy="14239440"/>
        </a:xfrm>
        <a:prstGeom prst="rect">
          <a:avLst/>
        </a:prstGeom>
        <a:solidFill>
          <a:srgbClr val="ccffcc"/>
        </a:solidFill>
        <a:ln w="9360">
          <a:solidFill>
            <a:schemeClr val="tx1"/>
          </a:solidFill>
          <a:round/>
        </a:ln>
      </xdr:spPr>
      <xdr:style>
        <a:lnRef idx="0"/>
        <a:fillRef idx="0"/>
        <a:effectRef idx="0"/>
        <a:fontRef idx="minor"/>
      </xdr:style>
      <xdr:txBody>
        <a:bodyPr lIns="90000" rIns="90000" tIns="45000" bIns="45000"/>
        <a:p>
          <a:pPr>
            <a:lnSpc>
              <a:spcPts val="1276"/>
            </a:lnSpc>
          </a:pPr>
          <a:r>
            <a:rPr b="0" lang="en-US" sz="1000" spc="-1" strike="noStrike">
              <a:solidFill>
                <a:srgbClr val="000000"/>
              </a:solidFill>
              <a:latin typeface="Arial"/>
            </a:rPr>
            <a:t>This workbook constitutes the first of two Electronic Annexes to the paper:</a:t>
          </a:r>
          <a:endParaRPr b="0" lang="en-US" sz="1000" spc="-1" strike="noStrike">
            <a:latin typeface="Times New Roman"/>
          </a:endParaRPr>
        </a:p>
        <a:p>
          <a:pPr>
            <a:lnSpc>
              <a:spcPts val="1276"/>
            </a:lnSpc>
          </a:pPr>
          <a:endParaRPr b="0" lang="en-US" sz="1000" spc="-1" strike="noStrike">
            <a:latin typeface="Times New Roman"/>
          </a:endParaRPr>
        </a:p>
        <a:p>
          <a:pPr>
            <a:lnSpc>
              <a:spcPts val="1276"/>
            </a:lnSpc>
          </a:pPr>
          <a:r>
            <a:rPr b="0" lang="en-US" sz="1000" spc="-1" strike="noStrike">
              <a:solidFill>
                <a:srgbClr val="000000"/>
              </a:solidFill>
              <a:latin typeface="Arial"/>
            </a:rPr>
            <a:t>Chemical Thermodynamic Data. 1. The Concept of Links to the Chemical Elements and the Historical Development of Key Thermodynamic Data</a:t>
          </a:r>
          <a:endParaRPr b="0" lang="en-US" sz="1000" spc="-1" strike="noStrike">
            <a:latin typeface="Times New Roman"/>
          </a:endParaRPr>
        </a:p>
        <a:p>
          <a:pPr>
            <a:lnSpc>
              <a:spcPts val="1276"/>
            </a:lnSpc>
          </a:pPr>
          <a:endParaRPr b="0" lang="en-US" sz="1000" spc="-1" strike="noStrike">
            <a:latin typeface="Times New Roman"/>
          </a:endParaRPr>
        </a:p>
        <a:p>
          <a:pPr>
            <a:lnSpc>
              <a:spcPts val="1276"/>
            </a:lnSpc>
          </a:pPr>
          <a:r>
            <a:rPr b="0" lang="en-US" sz="1000" spc="-1" strike="noStrike">
              <a:solidFill>
                <a:srgbClr val="000000"/>
              </a:solidFill>
              <a:latin typeface="Arial"/>
            </a:rPr>
            <a:t>by Thomas J. Wolery and Carlos F. Jove Colon.</a:t>
          </a:r>
          <a:endParaRPr b="0" lang="en-US" sz="1000" spc="-1" strike="noStrike">
            <a:latin typeface="Times New Roman"/>
          </a:endParaRPr>
        </a:p>
        <a:p>
          <a:pPr>
            <a:lnSpc>
              <a:spcPts val="1276"/>
            </a:lnSpc>
          </a:pPr>
          <a:endParaRPr b="0" lang="en-US" sz="1000" spc="-1" strike="noStrike">
            <a:latin typeface="Times New Roman"/>
          </a:endParaRPr>
        </a:p>
        <a:p>
          <a:pPr>
            <a:lnSpc>
              <a:spcPts val="1276"/>
            </a:lnSpc>
          </a:pPr>
          <a:r>
            <a:rPr b="0" lang="en-US" sz="1000" spc="-1" strike="noStrike">
              <a:solidFill>
                <a:srgbClr val="000000"/>
              </a:solidFill>
              <a:latin typeface="Arial"/>
            </a:rPr>
            <a:t>This workbook presents and analyzes the development of two kinds recommended key reference values for thermodynamic data. The first kind consists of the standard partial molar entropies of the chemical elements in their reference forms at 298.15K and standard pressure (originally 1 atm or 1.013 bar, later 1 bar). The second kind consists of the standard partial molar Gibbs energies of formation, standard partial molar enthalpies of formation, and standard partial molar entropies ("G-H-S"), also at 298.15K and standard pressure, of a number of common key species used in thermodynamic data development and evaluation.These key species are mostly  simple chemica species itypically made up of one to three chemical elements. Typical examples include simple oxides (such as MgO, CaO, and  Al2O3) and simple, oxy-, and hydroxy- aqueous ionic and charge-neutral species (such as Na+, Cl-, UO2++, and H4SiO4(aq)). Data are taken from various authoritative sources which appear likely to have influenced other work. The data for the entropies of the chemical elements in their standard reference forms are required to calculate the standard partial molar Gibbs energy of a chemical substance from its standard partial molar enthalpy or vice versa. The equation relating the two is:</a:t>
          </a:r>
          <a:endParaRPr b="0" lang="en-US" sz="1000" spc="-1" strike="noStrike">
            <a:latin typeface="Times New Roman"/>
          </a:endParaRPr>
        </a:p>
        <a:p>
          <a:pPr>
            <a:lnSpc>
              <a:spcPts val="1276"/>
            </a:lnSpc>
          </a:pPr>
          <a:endParaRPr b="0" lang="en-US" sz="1000" spc="-1" strike="noStrike">
            <a:latin typeface="Times New Roman"/>
          </a:endParaRPr>
        </a:p>
        <a:p>
          <a:pPr>
            <a:lnSpc>
              <a:spcPts val="1276"/>
            </a:lnSpc>
          </a:pPr>
          <a:r>
            <a:rPr b="0" lang="en-US" sz="1000" spc="-1" strike="noStrike">
              <a:solidFill>
                <a:srgbClr val="000000"/>
              </a:solidFill>
              <a:latin typeface="Arial"/>
            </a:rPr>
            <a:t>     </a:t>
          </a:r>
          <a:r>
            <a:rPr b="0" lang="en-US" sz="1100" spc="-1" strike="noStrike">
              <a:solidFill>
                <a:srgbClr val="000000"/>
              </a:solidFill>
              <a:latin typeface="Cambria Math"/>
            </a:rPr>
            <a:t>〖∆</a:t>
          </a:r>
          <a:r>
            <a:rPr b="0" lang="en-US" sz="1100" spc="-1" strike="noStrike">
              <a:solidFill>
                <a:srgbClr val="000000"/>
              </a:solidFill>
              <a:latin typeface="Cambria Math"/>
            </a:rPr>
            <a:t>_𝑓 𝐺</a:t>
          </a:r>
          <a:r>
            <a:rPr b="0" lang="en-US" sz="1100" spc="-1" strike="noStrike">
              <a:solidFill>
                <a:srgbClr val="000000"/>
              </a:solidFill>
              <a:latin typeface="Cambria Math"/>
            </a:rPr>
            <a:t>〗</a:t>
          </a:r>
          <a:r>
            <a:rPr b="0" lang="en-US" sz="1100" spc="-1" strike="noStrike">
              <a:solidFill>
                <a:srgbClr val="000000"/>
              </a:solidFill>
              <a:latin typeface="Cambria Math"/>
            </a:rPr>
            <a:t>_𝑖^𝑜=</a:t>
          </a:r>
          <a:r>
            <a:rPr b="0" lang="en-US" sz="1100" spc="-1" strike="noStrike">
              <a:solidFill>
                <a:srgbClr val="000000"/>
              </a:solidFill>
              <a:latin typeface="Cambria Math"/>
            </a:rPr>
            <a:t>〖∆</a:t>
          </a:r>
          <a:r>
            <a:rPr b="0" lang="en-US" sz="1100" spc="-1" strike="noStrike">
              <a:solidFill>
                <a:srgbClr val="000000"/>
              </a:solidFill>
              <a:latin typeface="Cambria Math"/>
            </a:rPr>
            <a:t>_𝑓 𝐻</a:t>
          </a:r>
          <a:r>
            <a:rPr b="0" lang="en-US" sz="1100" spc="-1" strike="noStrike">
              <a:solidFill>
                <a:srgbClr val="000000"/>
              </a:solidFill>
              <a:latin typeface="Cambria Math"/>
            </a:rPr>
            <a:t>〗</a:t>
          </a:r>
          <a:r>
            <a:rPr b="0" lang="en-US" sz="1100" spc="-1" strike="noStrike">
              <a:solidFill>
                <a:srgbClr val="000000"/>
              </a:solidFill>
              <a:latin typeface="Cambria Math"/>
            </a:rPr>
            <a:t>_𝑖^𝑜−𝑇</a:t>
          </a:r>
          <a:r>
            <a:rPr b="0" lang="en-US" sz="1100" spc="-1" strike="noStrike">
              <a:solidFill>
                <a:srgbClr val="000000"/>
              </a:solidFill>
              <a:latin typeface="Cambria Math"/>
            </a:rPr>
            <a:t>〖∆</a:t>
          </a:r>
          <a:r>
            <a:rPr b="0" lang="en-US" sz="1100" spc="-1" strike="noStrike">
              <a:solidFill>
                <a:srgbClr val="000000"/>
              </a:solidFill>
              <a:latin typeface="Cambria Math"/>
            </a:rPr>
            <a:t>_𝑓 𝑆</a:t>
          </a:r>
          <a:r>
            <a:rPr b="0" lang="en-US" sz="1100" spc="-1" strike="noStrike">
              <a:solidFill>
                <a:srgbClr val="000000"/>
              </a:solidFill>
              <a:latin typeface="Cambria Math"/>
            </a:rPr>
            <a:t>〗</a:t>
          </a:r>
          <a:r>
            <a:rPr b="0" lang="en-US" sz="1100" spc="-1" strike="noStrike">
              <a:solidFill>
                <a:srgbClr val="000000"/>
              </a:solidFill>
              <a:latin typeface="Cambria Math"/>
            </a:rPr>
            <a:t>_𝑖^𝑜</a:t>
          </a:r>
          <a:endParaRPr b="0" lang="en-US" sz="1100" spc="-1" strike="noStrike">
            <a:latin typeface="Times New Roman"/>
          </a:endParaRPr>
        </a:p>
        <a:p>
          <a:pPr>
            <a:lnSpc>
              <a:spcPts val="1276"/>
            </a:lnSpc>
          </a:pPr>
          <a:endParaRPr b="0" lang="en-US" sz="1100" spc="-1" strike="noStrike">
            <a:latin typeface="Times New Roman"/>
          </a:endParaRPr>
        </a:p>
        <a:p>
          <a:pPr>
            <a:lnSpc>
              <a:spcPts val="1276"/>
            </a:lnSpc>
          </a:pPr>
          <a:r>
            <a:rPr b="0" lang="en-US" sz="1000" spc="-1" strike="noStrike">
              <a:solidFill>
                <a:srgbClr val="000000"/>
              </a:solidFill>
              <a:latin typeface="Arial"/>
            </a:rPr>
            <a:t>where</a:t>
          </a:r>
          <a:r>
            <a:rPr b="0" i="1" lang="en-US" sz="1000" spc="-1" strike="noStrike">
              <a:solidFill>
                <a:srgbClr val="000000"/>
              </a:solidFill>
              <a:latin typeface="Arial"/>
            </a:rPr>
            <a:t> </a:t>
          </a:r>
          <a:r>
            <a:rPr b="0" lang="en-US" sz="1100" spc="-1" strike="noStrike">
              <a:solidFill>
                <a:srgbClr val="000000"/>
              </a:solidFill>
              <a:latin typeface="Cambria Math"/>
            </a:rPr>
            <a:t>〖∆</a:t>
          </a:r>
          <a:r>
            <a:rPr b="0" lang="en-US" sz="1100" spc="-1" strike="noStrike">
              <a:solidFill>
                <a:srgbClr val="000000"/>
              </a:solidFill>
              <a:latin typeface="Cambria Math"/>
            </a:rPr>
            <a:t>_𝑓 𝐺</a:t>
          </a:r>
          <a:r>
            <a:rPr b="0" lang="en-US" sz="1100" spc="-1" strike="noStrike">
              <a:solidFill>
                <a:srgbClr val="000000"/>
              </a:solidFill>
              <a:latin typeface="Cambria Math"/>
            </a:rPr>
            <a:t>〗</a:t>
          </a:r>
          <a:r>
            <a:rPr b="0" lang="en-US" sz="1100" spc="-1" strike="noStrike">
              <a:solidFill>
                <a:srgbClr val="000000"/>
              </a:solidFill>
              <a:latin typeface="Cambria Math"/>
            </a:rPr>
            <a:t>_𝑖^𝑜</a:t>
          </a:r>
          <a:r>
            <a:rPr b="0" i="1" lang="en-US" sz="1000" spc="-1" strike="noStrike">
              <a:solidFill>
                <a:srgbClr val="000000"/>
              </a:solidFill>
              <a:latin typeface="Arial"/>
            </a:rPr>
            <a:t> </a:t>
          </a:r>
          <a:r>
            <a:rPr b="0" lang="en-US" sz="1000" spc="-1" strike="noStrike">
              <a:solidFill>
                <a:srgbClr val="000000"/>
              </a:solidFill>
              <a:latin typeface="Arial"/>
            </a:rPr>
            <a:t>is the (standard partial molar) Gibbs energy of formation of the </a:t>
          </a:r>
          <a:r>
            <a:rPr b="0" i="1" lang="en-US" sz="1000" spc="-1" strike="noStrike">
              <a:solidFill>
                <a:srgbClr val="000000"/>
              </a:solidFill>
              <a:latin typeface="Arial"/>
            </a:rPr>
            <a:t>i</a:t>
          </a:r>
          <a:r>
            <a:rPr b="0" lang="en-US" sz="1000" spc="-1" strike="noStrike">
              <a:solidFill>
                <a:srgbClr val="000000"/>
              </a:solidFill>
              <a:latin typeface="Arial"/>
            </a:rPr>
            <a:t>-th substance, </a:t>
          </a:r>
          <a:r>
            <a:rPr b="0" lang="en-US" sz="1100" spc="-1" strike="noStrike">
              <a:solidFill>
                <a:srgbClr val="000000"/>
              </a:solidFill>
              <a:latin typeface="Cambria Math"/>
            </a:rPr>
            <a:t>〖∆</a:t>
          </a:r>
          <a:r>
            <a:rPr b="0" lang="en-US" sz="1100" spc="-1" strike="noStrike">
              <a:solidFill>
                <a:srgbClr val="000000"/>
              </a:solidFill>
              <a:latin typeface="Cambria Math"/>
            </a:rPr>
            <a:t>_𝑓 𝐻</a:t>
          </a:r>
          <a:r>
            <a:rPr b="0" lang="en-US" sz="1100" spc="-1" strike="noStrike">
              <a:solidFill>
                <a:srgbClr val="000000"/>
              </a:solidFill>
              <a:latin typeface="Cambria Math"/>
            </a:rPr>
            <a:t>〗</a:t>
          </a:r>
          <a:r>
            <a:rPr b="0" lang="en-US" sz="1100" spc="-1" strike="noStrike">
              <a:solidFill>
                <a:srgbClr val="000000"/>
              </a:solidFill>
              <a:latin typeface="Cambria Math"/>
            </a:rPr>
            <a:t>_𝑖^𝑜</a:t>
          </a:r>
          <a:r>
            <a:rPr b="0" lang="en-US" sz="1000" spc="-1" strike="noStrike">
              <a:solidFill>
                <a:srgbClr val="000000"/>
              </a:solidFill>
              <a:latin typeface="Arial"/>
            </a:rPr>
            <a:t> is the corresponding (standard partial molar) enthalpy of formation, </a:t>
          </a:r>
          <a:r>
            <a:rPr b="0" i="1" lang="en-US" sz="1000" spc="-1" strike="noStrike">
              <a:solidFill>
                <a:srgbClr val="000000"/>
              </a:solidFill>
              <a:latin typeface="Arial"/>
            </a:rPr>
            <a:t>T</a:t>
          </a:r>
          <a:r>
            <a:rPr b="0" lang="en-US" sz="1000" spc="-1" strike="noStrike">
              <a:solidFill>
                <a:srgbClr val="000000"/>
              </a:solidFill>
              <a:latin typeface="Arial"/>
            </a:rPr>
            <a:t> is the absolute temperature, and </a:t>
          </a:r>
          <a:r>
            <a:rPr b="0" lang="en-US" sz="1100" spc="-1" strike="noStrike">
              <a:solidFill>
                <a:srgbClr val="000000"/>
              </a:solidFill>
              <a:latin typeface="Cambria Math"/>
            </a:rPr>
            <a:t>〖∆</a:t>
          </a:r>
          <a:r>
            <a:rPr b="0" lang="en-US" sz="1100" spc="-1" strike="noStrike">
              <a:solidFill>
                <a:srgbClr val="000000"/>
              </a:solidFill>
              <a:latin typeface="Cambria Math"/>
            </a:rPr>
            <a:t>_𝑓 𝑆</a:t>
          </a:r>
          <a:r>
            <a:rPr b="0" lang="en-US" sz="1100" spc="-1" strike="noStrike">
              <a:solidFill>
                <a:srgbClr val="000000"/>
              </a:solidFill>
              <a:latin typeface="Cambria Math"/>
            </a:rPr>
            <a:t>〗</a:t>
          </a:r>
          <a:r>
            <a:rPr b="0" lang="en-US" sz="1100" spc="-1" strike="noStrike">
              <a:solidFill>
                <a:srgbClr val="000000"/>
              </a:solidFill>
              <a:latin typeface="Cambria Math"/>
            </a:rPr>
            <a:t>_𝑖^𝑜</a:t>
          </a:r>
          <a:r>
            <a:rPr b="0" i="1" lang="en-US" sz="1100" spc="-1" strike="noStrike">
              <a:solidFill>
                <a:srgbClr val="000000"/>
              </a:solidFill>
              <a:latin typeface="Calibri"/>
            </a:rPr>
            <a:t>  </a:t>
          </a:r>
          <a:r>
            <a:rPr b="0" lang="en-US" sz="1000" spc="-1" strike="noStrike">
              <a:solidFill>
                <a:srgbClr val="000000"/>
              </a:solidFill>
              <a:latin typeface="Arial"/>
            </a:rPr>
            <a:t>is the corresponding (standard partial molar) entropy of formation. The Gibbs energy and enthalpy of formation are generally tabulated along with the absolute (standard partial molar) entropy (</a:t>
          </a:r>
          <a:r>
            <a:rPr b="0" lang="en-US" sz="1100" spc="-1" strike="noStrike">
              <a:solidFill>
                <a:srgbClr val="000000"/>
              </a:solidFill>
              <a:latin typeface="Cambria Math"/>
            </a:rPr>
            <a:t>𝑆_𝑖^𝑜</a:t>
          </a:r>
          <a:r>
            <a:rPr b="0" lang="en-US" sz="1000" spc="-1" strike="noStrike">
              <a:solidFill>
                <a:srgbClr val="000000"/>
              </a:solidFill>
              <a:latin typeface="Arial"/>
            </a:rPr>
            <a:t>), not the entropy of formation. The entropy of formation of a chemical substance is related to the absolute entropy of the substance by:</a:t>
          </a:r>
          <a:endParaRPr b="0" lang="en-US" sz="1000" spc="-1" strike="noStrike">
            <a:latin typeface="Times New Roman"/>
          </a:endParaRPr>
        </a:p>
        <a:p>
          <a:pPr>
            <a:lnSpc>
              <a:spcPts val="1276"/>
            </a:lnSpc>
          </a:pPr>
          <a:endParaRPr b="0" lang="en-US" sz="1000" spc="-1" strike="noStrike">
            <a:latin typeface="Times New Roman"/>
          </a:endParaRPr>
        </a:p>
        <a:p>
          <a:pPr>
            <a:lnSpc>
              <a:spcPts val="1276"/>
            </a:lnSpc>
          </a:pPr>
          <a:r>
            <a:rPr b="0" i="1" lang="en-US" sz="1000" spc="-1" strike="noStrike">
              <a:solidFill>
                <a:srgbClr val="000000"/>
              </a:solidFill>
              <a:latin typeface="Arial"/>
            </a:rPr>
            <a:t>     </a:t>
          </a:r>
          <a:r>
            <a:rPr b="0" lang="en-US" sz="1100" spc="-1" strike="noStrike">
              <a:solidFill>
                <a:srgbClr val="000000"/>
              </a:solidFill>
              <a:latin typeface="Cambria Math"/>
            </a:rPr>
            <a:t>〖∆</a:t>
          </a:r>
          <a:r>
            <a:rPr b="0" lang="en-US" sz="1100" spc="-1" strike="noStrike">
              <a:solidFill>
                <a:srgbClr val="000000"/>
              </a:solidFill>
              <a:latin typeface="Cambria Math"/>
            </a:rPr>
            <a:t>_𝑓 𝑆</a:t>
          </a:r>
          <a:r>
            <a:rPr b="0" lang="en-US" sz="1100" spc="-1" strike="noStrike">
              <a:solidFill>
                <a:srgbClr val="000000"/>
              </a:solidFill>
              <a:latin typeface="Cambria Math"/>
            </a:rPr>
            <a:t>〗</a:t>
          </a:r>
          <a:r>
            <a:rPr b="0" lang="en-US" sz="1100" spc="-1" strike="noStrike">
              <a:solidFill>
                <a:srgbClr val="000000"/>
              </a:solidFill>
              <a:latin typeface="Cambria Math"/>
            </a:rPr>
            <a:t>_𝑖^𝑜=𝑆_𝑖^𝑜+ ∑1_𝜀▒𝜈_𝜀𝑖  𝑆_𝜀^𝑜</a:t>
          </a:r>
          <a:endParaRPr b="0" lang="en-US" sz="1100" spc="-1" strike="noStrike">
            <a:latin typeface="Times New Roman"/>
          </a:endParaRPr>
        </a:p>
        <a:p>
          <a:pPr>
            <a:lnSpc>
              <a:spcPts val="1276"/>
            </a:lnSpc>
          </a:pPr>
          <a:endParaRPr b="0" lang="en-US" sz="1100" spc="-1" strike="noStrike">
            <a:latin typeface="Times New Roman"/>
          </a:endParaRPr>
        </a:p>
        <a:p>
          <a:pPr>
            <a:lnSpc>
              <a:spcPts val="1276"/>
            </a:lnSpc>
          </a:pPr>
          <a:r>
            <a:rPr b="0" lang="en-US" sz="1000" spc="-1" strike="noStrike">
              <a:solidFill>
                <a:srgbClr val="000000"/>
              </a:solidFill>
              <a:latin typeface="Arial"/>
            </a:rPr>
            <a:t>where </a:t>
          </a:r>
          <a:r>
            <a:rPr b="0" i="1" lang="en-US" sz="1000" spc="-1" strike="noStrike">
              <a:solidFill>
                <a:srgbClr val="000000"/>
              </a:solidFill>
              <a:latin typeface="Arial"/>
            </a:rPr>
            <a:t>ε</a:t>
          </a:r>
          <a:r>
            <a:rPr b="0" lang="en-US" sz="1000" spc="-1" strike="noStrike">
              <a:solidFill>
                <a:srgbClr val="000000"/>
              </a:solidFill>
              <a:latin typeface="Arial"/>
            </a:rPr>
            <a:t> denotes a chemical element, </a:t>
          </a:r>
          <a:r>
            <a:rPr b="0" lang="en-US" sz="1100" spc="-1" strike="noStrike">
              <a:solidFill>
                <a:srgbClr val="000000"/>
              </a:solidFill>
              <a:latin typeface="Cambria Math"/>
            </a:rPr>
            <a:t>𝜈_𝜀𝑖</a:t>
          </a:r>
          <a:r>
            <a:rPr b="0" lang="en-US" sz="1000" spc="-1" strike="noStrike">
              <a:solidFill>
                <a:srgbClr val="000000"/>
              </a:solidFill>
              <a:latin typeface="Arial"/>
            </a:rPr>
            <a:t> is the stoichiometric coefficient of the element for the </a:t>
          </a:r>
          <a:r>
            <a:rPr b="0" i="1" lang="en-US" sz="1000" spc="-1" strike="noStrike">
              <a:solidFill>
                <a:srgbClr val="000000"/>
              </a:solidFill>
              <a:latin typeface="Arial"/>
            </a:rPr>
            <a:t>i</a:t>
          </a:r>
          <a:r>
            <a:rPr b="0" lang="en-US" sz="1000" spc="-1" strike="noStrike">
              <a:solidFill>
                <a:srgbClr val="000000"/>
              </a:solidFill>
              <a:latin typeface="Arial"/>
            </a:rPr>
            <a:t>-th chemical substance, and </a:t>
          </a:r>
          <a:r>
            <a:rPr b="0" lang="en-US" sz="1100" spc="-1" strike="noStrike">
              <a:solidFill>
                <a:srgbClr val="000000"/>
              </a:solidFill>
              <a:latin typeface="Cambria Math"/>
            </a:rPr>
            <a:t>𝑆_𝜀^𝑜</a:t>
          </a:r>
          <a:r>
            <a:rPr b="0" lang="en-US" sz="1000" spc="-1" strike="noStrike">
              <a:solidFill>
                <a:srgbClr val="000000"/>
              </a:solidFill>
              <a:latin typeface="Arial"/>
            </a:rPr>
            <a:t> is the absolute (standard partial molar) entropy of the element in its reference form. It is noted that the reference state of a chemical element is usually the thermodynamically stable form, though this is not always the case (e.g., metastable white phosphorus is now used instead of the stable red).</a:t>
          </a:r>
          <a:endParaRPr b="0" lang="en-US" sz="1000" spc="-1" strike="noStrike">
            <a:latin typeface="Times New Roman"/>
          </a:endParaRPr>
        </a:p>
        <a:p>
          <a:pPr>
            <a:lnSpc>
              <a:spcPts val="1276"/>
            </a:lnSpc>
          </a:pPr>
          <a:endParaRPr b="0" lang="en-US" sz="1000" spc="-1" strike="noStrike">
            <a:latin typeface="Times New Roman"/>
          </a:endParaRPr>
        </a:p>
        <a:p>
          <a:pPr>
            <a:lnSpc>
              <a:spcPts val="1276"/>
            </a:lnSpc>
          </a:pPr>
          <a:r>
            <a:rPr b="0" lang="en-US" sz="1000" spc="-1" strike="noStrike">
              <a:solidFill>
                <a:srgbClr val="000000"/>
              </a:solidFill>
              <a:latin typeface="Arial"/>
            </a:rPr>
            <a:t>In modern practice the above equations are applied only at the reference temperature of 298.15K (25°C) and the modern reference pressure (1 bar or 10</a:t>
          </a:r>
          <a:r>
            <a:rPr b="0" lang="en-US" sz="1000" spc="-1" strike="noStrike" baseline="30000">
              <a:solidFill>
                <a:srgbClr val="000000"/>
              </a:solidFill>
              <a:latin typeface="Arial"/>
            </a:rPr>
            <a:t>5</a:t>
          </a:r>
          <a:r>
            <a:rPr b="0" lang="en-US" sz="1000" spc="-1" strike="noStrike">
              <a:solidFill>
                <a:srgbClr val="000000"/>
              </a:solidFill>
              <a:latin typeface="Arial"/>
            </a:rPr>
            <a:t> Pascals). The former reference pressure was 1 atmosphere (1.013 bar). Pressure corrections are required for 1 atmosphere data. Examples of such corrections are included in this workbook..</a:t>
          </a:r>
          <a:endParaRPr b="0" lang="en-US" sz="1000" spc="-1" strike="noStrike">
            <a:latin typeface="Times New Roman"/>
          </a:endParaRPr>
        </a:p>
        <a:p>
          <a:pPr>
            <a:lnSpc>
              <a:spcPts val="1276"/>
            </a:lnSpc>
          </a:pPr>
          <a:endParaRPr b="0" lang="en-US" sz="1000" spc="-1" strike="noStrike">
            <a:latin typeface="Times New Roman"/>
          </a:endParaRPr>
        </a:p>
        <a:p>
          <a:pPr>
            <a:lnSpc>
              <a:spcPts val="1276"/>
            </a:lnSpc>
          </a:pPr>
          <a:r>
            <a:rPr b="0" lang="en-US" sz="1000" spc="-1" strike="noStrike">
              <a:solidFill>
                <a:srgbClr val="000000"/>
              </a:solidFill>
              <a:latin typeface="Arial"/>
            </a:rPr>
            <a:t>The standard key reference data, like all thermodynamic data, have a history of various values that have been reported from original investigations and compiled and recommended by a number of secondary works. Here are included data taken from the following fairly authoritative secondary (compiled) sources: </a:t>
          </a:r>
          <a:endParaRPr b="0" lang="en-US" sz="1000" spc="-1" strike="noStrike">
            <a:latin typeface="Times New Roman"/>
          </a:endParaRPr>
        </a:p>
        <a:p>
          <a:pPr>
            <a:lnSpc>
              <a:spcPts val="1276"/>
            </a:lnSpc>
          </a:pPr>
          <a:endParaRPr b="0" lang="en-US" sz="1000" spc="-1" strike="noStrike">
            <a:latin typeface="Times New Roman"/>
          </a:endParaRPr>
        </a:p>
        <a:p>
          <a:pPr>
            <a:lnSpc>
              <a:spcPts val="1276"/>
            </a:lnSpc>
          </a:pPr>
          <a:r>
            <a:rPr b="0" lang="en-US" sz="1000" spc="-1" strike="noStrike">
              <a:solidFill>
                <a:srgbClr val="000000"/>
              </a:solidFill>
              <a:latin typeface="Arial"/>
            </a:rPr>
            <a:t>  </a:t>
          </a:r>
          <a:r>
            <a:rPr b="0" lang="en-US" sz="1000" spc="-1" strike="noStrike">
              <a:solidFill>
                <a:srgbClr val="000000"/>
              </a:solidFill>
              <a:latin typeface="Arial"/>
            </a:rPr>
            <a:t>Lewis and Gibson (1917)</a:t>
          </a:r>
          <a:endParaRPr b="0" lang="en-US" sz="1000" spc="-1" strike="noStrike">
            <a:latin typeface="Times New Roman"/>
          </a:endParaRPr>
        </a:p>
        <a:p>
          <a:pPr>
            <a:lnSpc>
              <a:spcPts val="1276"/>
            </a:lnSpc>
          </a:pPr>
          <a:r>
            <a:rPr b="0" lang="en-US" sz="1000" spc="-1" strike="noStrike">
              <a:solidFill>
                <a:srgbClr val="000000"/>
              </a:solidFill>
              <a:latin typeface="Arial"/>
            </a:rPr>
            <a:t>  </a:t>
          </a:r>
          <a:r>
            <a:rPr b="0" lang="en-US" sz="1000" spc="-1" strike="noStrike">
              <a:solidFill>
                <a:srgbClr val="000000"/>
              </a:solidFill>
              <a:latin typeface="Arial"/>
            </a:rPr>
            <a:t>Lewis et al. (1922)</a:t>
          </a:r>
          <a:endParaRPr b="0" lang="en-US" sz="1000" spc="-1" strike="noStrike">
            <a:latin typeface="Times New Roman"/>
          </a:endParaRPr>
        </a:p>
        <a:p>
          <a:pPr>
            <a:lnSpc>
              <a:spcPts val="1276"/>
            </a:lnSpc>
          </a:pPr>
          <a:r>
            <a:rPr b="0" lang="en-US" sz="1000" spc="-1" strike="noStrike">
              <a:solidFill>
                <a:srgbClr val="000000"/>
              </a:solidFill>
              <a:latin typeface="Arial"/>
            </a:rPr>
            <a:t>  </a:t>
          </a:r>
          <a:r>
            <a:rPr b="0" lang="en-US" sz="1000" spc="-1" strike="noStrike">
              <a:solidFill>
                <a:srgbClr val="000000"/>
              </a:solidFill>
              <a:latin typeface="Arial"/>
            </a:rPr>
            <a:t>Rodebush and Rodebush (1929, International Critical Tables)</a:t>
          </a:r>
          <a:endParaRPr b="0" lang="en-US" sz="1000" spc="-1" strike="noStrike">
            <a:latin typeface="Times New Roman"/>
          </a:endParaRPr>
        </a:p>
        <a:p>
          <a:pPr>
            <a:lnSpc>
              <a:spcPts val="1276"/>
            </a:lnSpc>
          </a:pPr>
          <a:r>
            <a:rPr b="0" lang="en-US" sz="1000" spc="-1" strike="noStrike">
              <a:solidFill>
                <a:srgbClr val="000000"/>
              </a:solidFill>
              <a:latin typeface="Arial"/>
            </a:rPr>
            <a:t>  </a:t>
          </a:r>
          <a:r>
            <a:rPr b="0" lang="en-US" sz="1000" spc="-1" strike="noStrike">
              <a:solidFill>
                <a:srgbClr val="000000"/>
              </a:solidFill>
              <a:latin typeface="Arial"/>
            </a:rPr>
            <a:t>USBM 350 (Kelley, 1932)</a:t>
          </a:r>
          <a:endParaRPr b="0" lang="en-US" sz="1000" spc="-1" strike="noStrike">
            <a:latin typeface="Times New Roman"/>
          </a:endParaRPr>
        </a:p>
        <a:p>
          <a:pPr>
            <a:lnSpc>
              <a:spcPts val="1276"/>
            </a:lnSpc>
          </a:pPr>
          <a:r>
            <a:rPr b="0" lang="en-US" sz="1000" spc="-1" strike="noStrike">
              <a:solidFill>
                <a:srgbClr val="000000"/>
              </a:solidFill>
              <a:latin typeface="Arial"/>
            </a:rPr>
            <a:t>  </a:t>
          </a:r>
          <a:r>
            <a:rPr b="0" lang="en-US" sz="1000" spc="-1" strike="noStrike">
              <a:solidFill>
                <a:srgbClr val="000000"/>
              </a:solidFill>
              <a:latin typeface="Arial"/>
            </a:rPr>
            <a:t>USBM 592 (Kelley and King, 1961)</a:t>
          </a:r>
          <a:endParaRPr b="0" lang="en-US" sz="1000" spc="-1" strike="noStrike">
            <a:latin typeface="Times New Roman"/>
          </a:endParaRPr>
        </a:p>
        <a:p>
          <a:pPr>
            <a:lnSpc>
              <a:spcPts val="1276"/>
            </a:lnSpc>
          </a:pPr>
          <a:r>
            <a:rPr b="0" lang="en-US" sz="1000" spc="-1" strike="noStrike">
              <a:solidFill>
                <a:srgbClr val="000000"/>
              </a:solidFill>
              <a:latin typeface="Arial"/>
            </a:rPr>
            <a:t>  </a:t>
          </a:r>
          <a:r>
            <a:rPr b="0" lang="en-US" sz="1000" spc="-1" strike="noStrike">
              <a:solidFill>
                <a:srgbClr val="000000"/>
              </a:solidFill>
              <a:latin typeface="Arial"/>
            </a:rPr>
            <a:t>USBM 672 (Pankratz, 1982)</a:t>
          </a:r>
          <a:endParaRPr b="0" lang="en-US" sz="1000" spc="-1" strike="noStrike">
            <a:latin typeface="Times New Roman"/>
          </a:endParaRPr>
        </a:p>
        <a:p>
          <a:pPr>
            <a:lnSpc>
              <a:spcPts val="1276"/>
            </a:lnSpc>
          </a:pPr>
          <a:r>
            <a:rPr b="0" lang="en-US" sz="1000" spc="-1" strike="noStrike">
              <a:solidFill>
                <a:srgbClr val="000000"/>
              </a:solidFill>
              <a:latin typeface="Arial"/>
            </a:rPr>
            <a:t>  </a:t>
          </a:r>
          <a:r>
            <a:rPr b="0" lang="en-US" sz="1000" spc="-1" strike="noStrike">
              <a:solidFill>
                <a:srgbClr val="000000"/>
              </a:solidFill>
              <a:latin typeface="Arial"/>
            </a:rPr>
            <a:t>USBM 677 (Pankratz et al., 1984)</a:t>
          </a:r>
          <a:endParaRPr b="0" lang="en-US" sz="1000" spc="-1" strike="noStrike">
            <a:latin typeface="Times New Roman"/>
          </a:endParaRPr>
        </a:p>
        <a:p>
          <a:pPr>
            <a:lnSpc>
              <a:spcPts val="1276"/>
            </a:lnSpc>
          </a:pPr>
          <a:r>
            <a:rPr b="0" lang="en-US" sz="1000" spc="-1" strike="noStrike">
              <a:solidFill>
                <a:srgbClr val="000000"/>
              </a:solidFill>
              <a:latin typeface="Arial"/>
            </a:rPr>
            <a:t>  </a:t>
          </a:r>
          <a:r>
            <a:rPr b="0" lang="en-US" sz="1000" spc="-1" strike="noStrike">
              <a:solidFill>
                <a:srgbClr val="000000"/>
              </a:solidFill>
              <a:latin typeface="Arial"/>
            </a:rPr>
            <a:t>NBS 500 (Rossini et al., 1952)</a:t>
          </a:r>
          <a:endParaRPr b="0" lang="en-US" sz="1000" spc="-1" strike="noStrike">
            <a:latin typeface="Times New Roman"/>
          </a:endParaRPr>
        </a:p>
        <a:p>
          <a:pPr>
            <a:lnSpc>
              <a:spcPts val="1276"/>
            </a:lnSpc>
          </a:pPr>
          <a:r>
            <a:rPr b="0" lang="en-US" sz="1000" spc="-1" strike="noStrike">
              <a:solidFill>
                <a:srgbClr val="000000"/>
              </a:solidFill>
              <a:latin typeface="Arial"/>
            </a:rPr>
            <a:t>  </a:t>
          </a:r>
          <a:r>
            <a:rPr b="0" lang="en-US" sz="1000" spc="-1" strike="noStrike">
              <a:solidFill>
                <a:srgbClr val="000000"/>
              </a:solidFill>
              <a:latin typeface="Arial"/>
            </a:rPr>
            <a:t>NBS 270 series, starting with Wagman et al., 1968)</a:t>
          </a:r>
          <a:endParaRPr b="0" lang="en-US" sz="1000" spc="-1" strike="noStrike">
            <a:latin typeface="Times New Roman"/>
          </a:endParaRPr>
        </a:p>
        <a:p>
          <a:pPr>
            <a:lnSpc>
              <a:spcPts val="1276"/>
            </a:lnSpc>
          </a:pPr>
          <a:r>
            <a:rPr b="0" lang="en-US" sz="1000" spc="-1" strike="noStrike">
              <a:solidFill>
                <a:srgbClr val="000000"/>
              </a:solidFill>
              <a:latin typeface="Arial"/>
            </a:rPr>
            <a:t>  </a:t>
          </a:r>
          <a:r>
            <a:rPr b="0" lang="en-US" sz="1000" spc="-1" strike="noStrike">
              <a:solidFill>
                <a:srgbClr val="000000"/>
              </a:solidFill>
              <a:latin typeface="Arial"/>
            </a:rPr>
            <a:t>NBS 82 (Wagman et al., 1982)</a:t>
          </a:r>
          <a:endParaRPr b="0" lang="en-US" sz="1000" spc="-1" strike="noStrike">
            <a:latin typeface="Times New Roman"/>
          </a:endParaRPr>
        </a:p>
        <a:p>
          <a:pPr>
            <a:lnSpc>
              <a:spcPts val="1276"/>
            </a:lnSpc>
          </a:pPr>
          <a:r>
            <a:rPr b="0" lang="en-US" sz="1000" spc="-1" strike="noStrike">
              <a:solidFill>
                <a:srgbClr val="000000"/>
              </a:solidFill>
              <a:latin typeface="Arial"/>
            </a:rPr>
            <a:t>  </a:t>
          </a:r>
          <a:r>
            <a:rPr b="0" lang="en-US" sz="1000" spc="-1" strike="noStrike">
              <a:solidFill>
                <a:srgbClr val="000000"/>
              </a:solidFill>
              <a:latin typeface="Arial"/>
            </a:rPr>
            <a:t>Hultgren et al. (1973)</a:t>
          </a:r>
          <a:endParaRPr b="0" lang="en-US" sz="1000" spc="-1" strike="noStrike">
            <a:latin typeface="Times New Roman"/>
          </a:endParaRPr>
        </a:p>
        <a:p>
          <a:pPr>
            <a:lnSpc>
              <a:spcPts val="1276"/>
            </a:lnSpc>
          </a:pPr>
          <a:r>
            <a:rPr b="0" lang="en-US" sz="1000" spc="-1" strike="noStrike">
              <a:solidFill>
                <a:srgbClr val="000000"/>
              </a:solidFill>
              <a:latin typeface="Arial"/>
            </a:rPr>
            <a:t>  </a:t>
          </a:r>
          <a:r>
            <a:rPr b="0" lang="en-US" sz="1000" spc="-1" strike="noStrike">
              <a:solidFill>
                <a:srgbClr val="000000"/>
              </a:solidFill>
              <a:latin typeface="Arial"/>
            </a:rPr>
            <a:t>CODATA 1989 (CODATA Key Values, Cox et al., 1989)</a:t>
          </a:r>
          <a:endParaRPr b="0" lang="en-US" sz="1000" spc="-1" strike="noStrike">
            <a:latin typeface="Times New Roman"/>
          </a:endParaRPr>
        </a:p>
        <a:p>
          <a:pPr>
            <a:lnSpc>
              <a:spcPts val="1276"/>
            </a:lnSpc>
          </a:pPr>
          <a:r>
            <a:rPr b="0" lang="en-US" sz="1000" spc="-1" strike="noStrike">
              <a:solidFill>
                <a:srgbClr val="000000"/>
              </a:solidFill>
              <a:latin typeface="Arial"/>
            </a:rPr>
            <a:t>  </a:t>
          </a:r>
          <a:r>
            <a:rPr b="0" lang="en-US" sz="1000" spc="-1" strike="noStrike">
              <a:solidFill>
                <a:srgbClr val="000000"/>
              </a:solidFill>
              <a:latin typeface="Arial"/>
            </a:rPr>
            <a:t>NEA TDB (NEA Thermodynamic Data Base Volumes, Grenthe et al., 1992 through Lemire et al., 2013)</a:t>
          </a:r>
          <a:endParaRPr b="0" lang="en-US" sz="1000" spc="-1" strike="noStrike">
            <a:latin typeface="Times New Roman"/>
          </a:endParaRPr>
        </a:p>
        <a:p>
          <a:pPr>
            <a:lnSpc>
              <a:spcPts val="1276"/>
            </a:lnSpc>
          </a:pPr>
          <a:r>
            <a:rPr b="0" lang="en-US" sz="1000" spc="-1" strike="noStrike">
              <a:solidFill>
                <a:srgbClr val="000000"/>
              </a:solidFill>
              <a:latin typeface="Arial"/>
            </a:rPr>
            <a:t>  </a:t>
          </a:r>
          <a:r>
            <a:rPr b="0" lang="en-US" sz="1000" spc="-1" strike="noStrike">
              <a:solidFill>
                <a:srgbClr val="000000"/>
              </a:solidFill>
              <a:latin typeface="Arial"/>
            </a:rPr>
            <a:t>Barin 95 (Barin, 1995)</a:t>
          </a:r>
          <a:endParaRPr b="0" lang="en-US" sz="1000" spc="-1" strike="noStrike">
            <a:latin typeface="Times New Roman"/>
          </a:endParaRPr>
        </a:p>
        <a:p>
          <a:pPr>
            <a:lnSpc>
              <a:spcPts val="1276"/>
            </a:lnSpc>
          </a:pPr>
          <a:r>
            <a:rPr b="0" lang="en-US" sz="1000" spc="-1" strike="noStrike">
              <a:solidFill>
                <a:srgbClr val="000000"/>
              </a:solidFill>
              <a:latin typeface="Arial"/>
            </a:rPr>
            <a:t>  </a:t>
          </a:r>
          <a:r>
            <a:rPr b="0" lang="en-US" sz="1000" spc="-1" strike="noStrike">
              <a:solidFill>
                <a:srgbClr val="000000"/>
              </a:solidFill>
              <a:latin typeface="Arial"/>
            </a:rPr>
            <a:t>USGS 1259 (Robie and Waldbaum, 1968)</a:t>
          </a:r>
          <a:endParaRPr b="0" lang="en-US" sz="1000" spc="-1" strike="noStrike">
            <a:latin typeface="Times New Roman"/>
          </a:endParaRPr>
        </a:p>
        <a:p>
          <a:pPr>
            <a:lnSpc>
              <a:spcPts val="1276"/>
            </a:lnSpc>
          </a:pPr>
          <a:r>
            <a:rPr b="0" lang="en-US" sz="1000" spc="-1" strike="noStrike">
              <a:solidFill>
                <a:srgbClr val="000000"/>
              </a:solidFill>
              <a:latin typeface="Arial"/>
            </a:rPr>
            <a:t>  </a:t>
          </a:r>
          <a:r>
            <a:rPr b="0" lang="en-US" sz="1000" spc="-1" strike="noStrike">
              <a:solidFill>
                <a:srgbClr val="000000"/>
              </a:solidFill>
              <a:latin typeface="Arial"/>
            </a:rPr>
            <a:t>USGS 1452 (Robie et al., 1978)</a:t>
          </a:r>
          <a:endParaRPr b="0" lang="en-US" sz="1000" spc="-1" strike="noStrike">
            <a:latin typeface="Times New Roman"/>
          </a:endParaRPr>
        </a:p>
        <a:p>
          <a:pPr>
            <a:lnSpc>
              <a:spcPts val="1276"/>
            </a:lnSpc>
          </a:pPr>
          <a:r>
            <a:rPr b="0" lang="en-US" sz="1000" spc="-1" strike="noStrike">
              <a:solidFill>
                <a:srgbClr val="000000"/>
              </a:solidFill>
              <a:latin typeface="Arial"/>
            </a:rPr>
            <a:t>  </a:t>
          </a:r>
          <a:r>
            <a:rPr b="0" lang="en-US" sz="1000" spc="-1" strike="noStrike">
              <a:solidFill>
                <a:srgbClr val="000000"/>
              </a:solidFill>
              <a:latin typeface="Arial"/>
            </a:rPr>
            <a:t>USGS 2131 (Robie and Hemingway, 1995)</a:t>
          </a:r>
          <a:endParaRPr b="0" lang="en-US" sz="1000" spc="-1" strike="noStrike">
            <a:latin typeface="Times New Roman"/>
          </a:endParaRPr>
        </a:p>
        <a:p>
          <a:pPr>
            <a:lnSpc>
              <a:spcPts val="1276"/>
            </a:lnSpc>
          </a:pPr>
          <a:r>
            <a:rPr b="0" lang="en-US" sz="1000" spc="-1" strike="noStrike">
              <a:solidFill>
                <a:srgbClr val="000000"/>
              </a:solidFill>
              <a:latin typeface="Arial"/>
            </a:rPr>
            <a:t>  </a:t>
          </a:r>
          <a:r>
            <a:rPr b="0" lang="en-US" sz="1000" spc="-1" strike="noStrike">
              <a:solidFill>
                <a:srgbClr val="000000"/>
              </a:solidFill>
              <a:latin typeface="Arial"/>
            </a:rPr>
            <a:t>ACS 18 (Stull and Sinke, 1956)</a:t>
          </a:r>
          <a:endParaRPr b="0" lang="en-US" sz="1000" spc="-1" strike="noStrike">
            <a:latin typeface="Times New Roman"/>
          </a:endParaRPr>
        </a:p>
        <a:p>
          <a:pPr>
            <a:lnSpc>
              <a:spcPts val="1276"/>
            </a:lnSpc>
          </a:pPr>
          <a:r>
            <a:rPr b="0" lang="en-US" sz="1000" spc="-1" strike="noStrike">
              <a:solidFill>
                <a:srgbClr val="000000"/>
              </a:solidFill>
              <a:latin typeface="Arial"/>
            </a:rPr>
            <a:t>  </a:t>
          </a:r>
          <a:r>
            <a:rPr b="0" lang="en-US" sz="1000" spc="-1" strike="noStrike">
              <a:solidFill>
                <a:srgbClr val="000000"/>
              </a:solidFill>
              <a:latin typeface="Arial"/>
            </a:rPr>
            <a:t>JANAF 2 (Stull and Prophet (1971)</a:t>
          </a:r>
          <a:endParaRPr b="0" lang="en-US" sz="1000" spc="-1" strike="noStrike">
            <a:latin typeface="Times New Roman"/>
          </a:endParaRPr>
        </a:p>
        <a:p>
          <a:pPr>
            <a:lnSpc>
              <a:spcPts val="1276"/>
            </a:lnSpc>
          </a:pPr>
          <a:r>
            <a:rPr b="0" lang="en-US" sz="1000" spc="-1" strike="noStrike">
              <a:solidFill>
                <a:srgbClr val="000000"/>
              </a:solidFill>
              <a:latin typeface="Arial"/>
            </a:rPr>
            <a:t>  </a:t>
          </a:r>
          <a:r>
            <a:rPr b="0" lang="en-US" sz="1000" spc="-1" strike="noStrike">
              <a:solidFill>
                <a:srgbClr val="000000"/>
              </a:solidFill>
              <a:latin typeface="Arial"/>
            </a:rPr>
            <a:t>JANAF 3 (Chase et al., 1985)</a:t>
          </a:r>
          <a:endParaRPr b="0" lang="en-US" sz="1000" spc="-1" strike="noStrike">
            <a:latin typeface="Times New Roman"/>
          </a:endParaRPr>
        </a:p>
        <a:p>
          <a:pPr>
            <a:lnSpc>
              <a:spcPts val="1276"/>
            </a:lnSpc>
          </a:pPr>
          <a:r>
            <a:rPr b="0" lang="en-US" sz="1000" spc="-1" strike="noStrike">
              <a:solidFill>
                <a:srgbClr val="000000"/>
              </a:solidFill>
              <a:latin typeface="Arial"/>
            </a:rPr>
            <a:t>  </a:t>
          </a:r>
          <a:r>
            <a:rPr b="0" lang="en-US" sz="1000" spc="-1" strike="noStrike">
              <a:solidFill>
                <a:srgbClr val="000000"/>
              </a:solidFill>
              <a:latin typeface="Arial"/>
            </a:rPr>
            <a:t>JANAF 4 (Chase, 1998)</a:t>
          </a:r>
          <a:endParaRPr b="0" lang="en-US" sz="1000" spc="-1" strike="noStrike">
            <a:latin typeface="Times New Roman"/>
          </a:endParaRPr>
        </a:p>
        <a:p>
          <a:pPr>
            <a:lnSpc>
              <a:spcPts val="1276"/>
            </a:lnSpc>
          </a:pPr>
          <a:r>
            <a:rPr b="0" lang="en-US" sz="1000" spc="-1" strike="noStrike">
              <a:solidFill>
                <a:srgbClr val="000000"/>
              </a:solidFill>
              <a:latin typeface="Arial"/>
            </a:rPr>
            <a:t>  </a:t>
          </a:r>
          <a:r>
            <a:rPr b="0" lang="en-US" sz="1000" spc="-1" strike="noStrike">
              <a:solidFill>
                <a:srgbClr val="000000"/>
              </a:solidFill>
              <a:latin typeface="Arial"/>
            </a:rPr>
            <a:t>Gurvich 4 (Gurvich et al., 1989-1993)</a:t>
          </a:r>
          <a:endParaRPr b="0" lang="en-US" sz="1000" spc="-1" strike="noStrike">
            <a:latin typeface="Times New Roman"/>
          </a:endParaRPr>
        </a:p>
        <a:p>
          <a:pPr>
            <a:lnSpc>
              <a:spcPts val="1276"/>
            </a:lnSpc>
          </a:pPr>
          <a:r>
            <a:rPr b="0" lang="en-US" sz="1000" spc="-1" strike="noStrike">
              <a:solidFill>
                <a:srgbClr val="000000"/>
              </a:solidFill>
              <a:latin typeface="Arial"/>
            </a:rPr>
            <a:t>  </a:t>
          </a:r>
          <a:r>
            <a:rPr b="0" lang="en-US" sz="1000" spc="-1" strike="noStrike">
              <a:solidFill>
                <a:srgbClr val="000000"/>
              </a:solidFill>
              <a:latin typeface="Arial"/>
            </a:rPr>
            <a:t>NASA 3287 (McBride et al., 2001)</a:t>
          </a:r>
          <a:endParaRPr b="0" lang="en-US" sz="1000" spc="-1" strike="noStrike">
            <a:latin typeface="Times New Roman"/>
          </a:endParaRPr>
        </a:p>
        <a:p>
          <a:pPr>
            <a:lnSpc>
              <a:spcPts val="1276"/>
            </a:lnSpc>
          </a:pPr>
          <a:r>
            <a:rPr b="0" lang="en-US" sz="1000" spc="-1" strike="noStrike">
              <a:solidFill>
                <a:srgbClr val="000000"/>
              </a:solidFill>
              <a:latin typeface="Arial"/>
            </a:rPr>
            <a:t>  </a:t>
          </a:r>
          <a:r>
            <a:rPr b="0" lang="en-US" sz="1000" spc="-1" strike="noStrike">
              <a:solidFill>
                <a:srgbClr val="000000"/>
              </a:solidFill>
              <a:latin typeface="Arial"/>
            </a:rPr>
            <a:t>Lange 05 (Lange's Handbook 2005)</a:t>
          </a:r>
          <a:endParaRPr b="0" lang="en-US" sz="1000" spc="-1" strike="noStrike">
            <a:latin typeface="Times New Roman"/>
          </a:endParaRPr>
        </a:p>
        <a:p>
          <a:pPr>
            <a:lnSpc>
              <a:spcPts val="1276"/>
            </a:lnSpc>
          </a:pPr>
          <a:endParaRPr b="0" lang="en-US" sz="1000" spc="-1" strike="noStrike">
            <a:latin typeface="Times New Roman"/>
          </a:endParaRPr>
        </a:p>
        <a:p>
          <a:pPr>
            <a:lnSpc>
              <a:spcPts val="1276"/>
            </a:lnSpc>
          </a:pPr>
          <a:r>
            <a:rPr b="0" lang="en-US" sz="1000" spc="-1" strike="noStrike">
              <a:solidFill>
                <a:srgbClr val="000000"/>
              </a:solidFill>
              <a:latin typeface="Arial"/>
            </a:rPr>
            <a:t>In general, there are more sources that deal only with the chemical elements. Any source that gives G-H-S data for various species also gives S data for the chemical elements in their reference forms. Not every compilation of thermodynamic data is included here. In particular, reference to sources from the old Soviet Union are limited. The emphasis has been on including those compilations which are thought to be most influential on other works, or which help to illustrate the developing history of this important set of reference data. There is limited treatment of data from some interim CODATA reports (CODATA 1971, 1972, 1975, 1976, 1977, 1978). </a:t>
          </a:r>
          <a:endParaRPr b="0" lang="en-US" sz="1000" spc="-1" strike="noStrike">
            <a:latin typeface="Times New Roman"/>
          </a:endParaRPr>
        </a:p>
        <a:p>
          <a:pPr>
            <a:lnSpc>
              <a:spcPts val="1276"/>
            </a:lnSpc>
          </a:pPr>
          <a:endParaRPr b="0" lang="en-US" sz="1000" spc="-1" strike="noStrike">
            <a:latin typeface="Times New Roman"/>
          </a:endParaRPr>
        </a:p>
        <a:p>
          <a:pPr>
            <a:lnSpc>
              <a:spcPts val="1276"/>
            </a:lnSpc>
          </a:pPr>
          <a:r>
            <a:rPr b="0" lang="en-US" sz="1000" spc="-1" strike="noStrike">
              <a:solidFill>
                <a:srgbClr val="000000"/>
              </a:solidFill>
              <a:latin typeface="Arial"/>
            </a:rPr>
            <a:t>A number of the sources considered in this work come in temporal series, including USBM, NBS, USGS, JANAF, and NEA TDB reports. </a:t>
          </a:r>
          <a:endParaRPr b="0" lang="en-US" sz="1000" spc="-1" strike="noStrike">
            <a:latin typeface="Times New Roman"/>
          </a:endParaRPr>
        </a:p>
        <a:p>
          <a:pPr>
            <a:lnSpc>
              <a:spcPts val="1276"/>
            </a:lnSpc>
          </a:pPr>
          <a:r>
            <a:rPr b="0" lang="en-US" sz="1000" spc="-1" strike="noStrike">
              <a:solidFill>
                <a:srgbClr val="000000"/>
              </a:solidFill>
              <a:latin typeface="Arial"/>
            </a:rPr>
            <a:t>In general, CODATA 89 data carry a high level of preference  for use in new work, largely for the high level of rigor in reivew. For other elements, NEA TDB data are preferred if available, again due to the high level of review (NEA subsumes and builds on part of CODATA 89).  In certain instances, better data may be available than are given by CODATA 89 or NEA TDB.</a:t>
          </a:r>
          <a:endParaRPr b="0" lang="en-US" sz="1000" spc="-1" strike="noStrike">
            <a:latin typeface="Times New Roman"/>
          </a:endParaRPr>
        </a:p>
        <a:p>
          <a:pPr>
            <a:lnSpc>
              <a:spcPts val="1276"/>
            </a:lnSpc>
          </a:pPr>
          <a:endParaRPr b="0" lang="en-US" sz="1000" spc="-1" strike="noStrike">
            <a:latin typeface="Times New Roman"/>
          </a:endParaRPr>
        </a:p>
        <a:p>
          <a:pPr>
            <a:lnSpc>
              <a:spcPts val="1276"/>
            </a:lnSpc>
          </a:pPr>
          <a:r>
            <a:rPr b="0" lang="en-US" sz="1000" spc="-1" strike="noStrike">
              <a:solidFill>
                <a:srgbClr val="000000"/>
              </a:solidFill>
              <a:latin typeface="Arial"/>
            </a:rPr>
            <a:t>The paper to which this workbook is the electronic supplement describes a formal links concept for treating key reference data in developing and evaluating thermodynamic data. This paper should be read before using this workbook. We believe that use of inconsistent links in developing thermodynamic data is responsible for many, perhaps most thermodynamic inconsistencies. Not all sources of key reference data are appropriate for use in developing a preferred set of links. For a link to be valid, we require that the associated key refference values be developed in a transpanent and traceable manner. Sources such as NBS 500 and NBS 82 do not provide references, so it is difficult to impossible to develop valid links from these works..Although the paper makes some general recommendations concerning some preferred links for geochemical needs, it does not fully develop such a set.</a:t>
          </a:r>
          <a:endParaRPr b="0" lang="en-US" sz="1000" spc="-1" strike="noStrike">
            <a:latin typeface="Times New Roman"/>
          </a:endParaRPr>
        </a:p>
        <a:p>
          <a:pPr>
            <a:lnSpc>
              <a:spcPts val="1276"/>
            </a:lnSpc>
          </a:pPr>
          <a:endParaRPr b="0" lang="en-US" sz="1000" spc="-1" strike="noStrike">
            <a:latin typeface="Times New Roman"/>
          </a:endParaRPr>
        </a:p>
        <a:p>
          <a:pPr>
            <a:lnSpc>
              <a:spcPts val="1276"/>
            </a:lnSpc>
          </a:pPr>
          <a:r>
            <a:rPr b="0" lang="en-US" sz="1000" spc="-1" strike="noStrike">
              <a:solidFill>
                <a:srgbClr val="000000"/>
              </a:solidFill>
              <a:latin typeface="Arial"/>
            </a:rPr>
            <a:t>.</a:t>
          </a:r>
          <a:endParaRPr b="0" lang="en-US" sz="1000" spc="-1" strike="noStrike">
            <a:latin typeface="Times New Roman"/>
          </a:endParaRPr>
        </a:p>
        <a:p>
          <a:pPr>
            <a:lnSpc>
              <a:spcPts val="1276"/>
            </a:lnSpc>
          </a:pPr>
          <a:endParaRPr b="0" lang="en-US" sz="1000" spc="-1" strike="noStrike">
            <a:latin typeface="Times New Roman"/>
          </a:endParaRPr>
        </a:p>
      </xdr:txBody>
    </xdr:sp>
    <xdr:clientData/>
  </xdr:twoCellAnchor>
  <xdr:twoCellAnchor editAs="oneCell">
    <xdr:from>
      <xdr:col>1</xdr:col>
      <xdr:colOff>0</xdr:colOff>
      <xdr:row>104</xdr:row>
      <xdr:rowOff>9360</xdr:rowOff>
    </xdr:from>
    <xdr:to>
      <xdr:col>11</xdr:col>
      <xdr:colOff>18720</xdr:colOff>
      <xdr:row>340</xdr:row>
      <xdr:rowOff>18360</xdr:rowOff>
    </xdr:to>
    <xdr:sp>
      <xdr:nvSpPr>
        <xdr:cNvPr id="1" name="CustomShape 1"/>
        <xdr:cNvSpPr/>
      </xdr:nvSpPr>
      <xdr:spPr>
        <a:xfrm>
          <a:off x="825840" y="16868520"/>
          <a:ext cx="8280360" cy="38261160"/>
        </a:xfrm>
        <a:prstGeom prst="rect">
          <a:avLst/>
        </a:prstGeom>
        <a:solidFill>
          <a:srgbClr val="ccffcc"/>
        </a:solidFill>
        <a:ln w="9360">
          <a:solidFill>
            <a:schemeClr val="tx1"/>
          </a:solidFill>
          <a:round/>
        </a:ln>
      </xdr:spPr>
      <xdr:style>
        <a:lnRef idx="0"/>
        <a:fillRef idx="0"/>
        <a:effectRef idx="0"/>
        <a:fontRef idx="minor"/>
      </xdr:style>
      <xdr:txBody>
        <a:bodyPr lIns="90000" rIns="90000" tIns="45000" bIns="45000"/>
        <a:p>
          <a:pPr>
            <a:lnSpc>
              <a:spcPts val="1276"/>
            </a:lnSpc>
          </a:pPr>
          <a:r>
            <a:rPr b="1" lang="en-US" sz="1200" spc="-1" strike="noStrike">
              <a:solidFill>
                <a:srgbClr val="000000"/>
              </a:solidFill>
              <a:latin typeface="Times New Roman"/>
            </a:rPr>
            <a:t>References (major sources only, the paper contains a broader set of references)</a:t>
          </a:r>
          <a:endParaRPr b="0" lang="en-US" sz="1200" spc="-1" strike="noStrike">
            <a:latin typeface="Times New Roman"/>
          </a:endParaRPr>
        </a:p>
        <a:p>
          <a:pPr>
            <a:lnSpc>
              <a:spcPts val="1276"/>
            </a:lnSpc>
          </a:pPr>
          <a:endParaRPr b="0" lang="en-US" sz="1200" spc="-1" strike="noStrike">
            <a:latin typeface="Times New Roman"/>
          </a:endParaRPr>
        </a:p>
        <a:p>
          <a:pPr marL="274320" indent="-273960">
            <a:lnSpc>
              <a:spcPct val="100000"/>
            </a:lnSpc>
          </a:pPr>
          <a:r>
            <a:rPr b="0" lang="en-US" sz="1200" spc="-1" strike="noStrike">
              <a:solidFill>
                <a:srgbClr val="000000"/>
              </a:solidFill>
              <a:latin typeface="Times New Roman"/>
              <a:ea typeface="Calibri"/>
            </a:rPr>
            <a:t>Barin </a:t>
          </a:r>
          <a:r>
            <a:rPr b="0" lang="en-US" sz="1200" spc="-1" strike="noStrike">
              <a:solidFill>
                <a:srgbClr val="000000"/>
              </a:solidFill>
              <a:latin typeface="Times New Roman"/>
              <a:ea typeface="Calibri"/>
            </a:rPr>
            <a:t>I. (1995) </a:t>
          </a:r>
          <a:r>
            <a:rPr b="0" i="1" lang="en-US" sz="1200" spc="-1" strike="noStrike">
              <a:solidFill>
                <a:srgbClr val="000000"/>
              </a:solidFill>
              <a:latin typeface="Times New Roman"/>
              <a:ea typeface="Calibri"/>
            </a:rPr>
            <a:t>Thermochemical Data of Pure Substances,</a:t>
          </a:r>
          <a:r>
            <a:rPr b="0" lang="en-US" sz="1200" spc="-1" strike="noStrike">
              <a:solidFill>
                <a:srgbClr val="000000"/>
              </a:solidFill>
              <a:latin typeface="Times New Roman"/>
              <a:ea typeface="Calibri"/>
            </a:rPr>
            <a:t>  3rd edition (in two volumes).  VCH Publishers, New York. 1885 pp. ISBN 3-527-28745-0.</a:t>
          </a:r>
          <a:endParaRPr b="0" lang="en-US" sz="1200" spc="-1" strike="noStrike">
            <a:latin typeface="Times New Roman"/>
          </a:endParaRPr>
        </a:p>
        <a:p>
          <a:pPr marL="274320" indent="-273960">
            <a:lnSpc>
              <a:spcPct val="100000"/>
            </a:lnSpc>
          </a:pPr>
          <a:endParaRPr b="0" lang="en-US" sz="1200" spc="-1" strike="noStrike">
            <a:latin typeface="Times New Roman"/>
          </a:endParaRPr>
        </a:p>
        <a:p>
          <a:pPr marL="274320" indent="-273960">
            <a:lnSpc>
              <a:spcPct val="100000"/>
            </a:lnSpc>
          </a:pPr>
          <a:r>
            <a:rPr b="0" lang="en-US" sz="1200" spc="-1" strike="noStrike">
              <a:solidFill>
                <a:srgbClr val="000000"/>
              </a:solidFill>
              <a:latin typeface="Times New Roman"/>
              <a:ea typeface="Calibri"/>
            </a:rPr>
            <a:t>Brown P. L., Curti E., and Grambow B. (2005) </a:t>
          </a:r>
          <a:r>
            <a:rPr b="0" i="1" lang="en-US" sz="1200" spc="-1" strike="noStrike">
              <a:solidFill>
                <a:srgbClr val="000000"/>
              </a:solidFill>
              <a:latin typeface="Times New Roman"/>
              <a:ea typeface="Calibri"/>
            </a:rPr>
            <a:t>Chemical Thermodynamics of Zirconium</a:t>
          </a:r>
          <a:r>
            <a:rPr b="0" lang="en-US" sz="1200" spc="-1" strike="noStrike">
              <a:solidFill>
                <a:srgbClr val="000000"/>
              </a:solidFill>
              <a:latin typeface="Times New Roman"/>
              <a:ea typeface="Calibri"/>
            </a:rPr>
            <a:t>. Chemical Thermodynamics. Volume 8. North Holland Elsevier Science Publishers B. V., Amsterdam, The Netherlands. 512 pp. </a:t>
          </a:r>
          <a:r>
            <a:rPr b="0" lang="en-US" sz="1200" spc="-1" strike="noStrike" u="sng">
              <a:solidFill>
                <a:srgbClr val="0000ff"/>
              </a:solidFill>
              <a:uFillTx/>
              <a:latin typeface="Times New Roman"/>
              <a:ea typeface="Calibri"/>
            </a:rPr>
            <a:t>https://www.oecd-nea.org/dbtdb/pubs/vol8-zirconium.pdf</a:t>
          </a:r>
          <a:endParaRPr b="0" lang="en-US" sz="1200" spc="-1" strike="noStrike">
            <a:latin typeface="Times New Roman"/>
          </a:endParaRPr>
        </a:p>
        <a:p>
          <a:pPr marL="274320" indent="-273960">
            <a:lnSpc>
              <a:spcPct val="100000"/>
            </a:lnSpc>
          </a:pPr>
          <a:endParaRPr b="0" lang="en-US" sz="1200" spc="-1" strike="noStrike">
            <a:latin typeface="Times New Roman"/>
          </a:endParaRPr>
        </a:p>
        <a:p>
          <a:pPr marL="274320" indent="-273960">
            <a:lnSpc>
              <a:spcPct val="100000"/>
            </a:lnSpc>
          </a:pPr>
          <a:r>
            <a:rPr b="0" lang="en-US" sz="1200" spc="-1" strike="noStrike">
              <a:solidFill>
                <a:srgbClr val="000000"/>
              </a:solidFill>
              <a:latin typeface="Times New Roman"/>
              <a:ea typeface="Calibri"/>
            </a:rPr>
            <a:t>Chase M. W., Jr., ed. (1998) </a:t>
          </a:r>
          <a:r>
            <a:rPr b="0" i="1" lang="en-US" sz="1200" spc="-1" strike="noStrike">
              <a:solidFill>
                <a:srgbClr val="000000"/>
              </a:solidFill>
              <a:latin typeface="Times New Roman"/>
              <a:ea typeface="Calibri"/>
            </a:rPr>
            <a:t>NIST-JANAF Thermochemical Tables, Fourth Edition</a:t>
          </a:r>
          <a:r>
            <a:rPr b="0" lang="en-US" sz="1200" spc="-1" strike="noStrike">
              <a:solidFill>
                <a:srgbClr val="000000"/>
              </a:solidFill>
              <a:latin typeface="Times New Roman"/>
              <a:ea typeface="Calibri"/>
            </a:rPr>
            <a:t>. </a:t>
          </a:r>
          <a:r>
            <a:rPr b="0" i="1" lang="en-US" sz="1200" spc="-1" strike="noStrike">
              <a:solidFill>
                <a:srgbClr val="000000"/>
              </a:solidFill>
              <a:latin typeface="Times New Roman"/>
              <a:ea typeface="Calibri"/>
            </a:rPr>
            <a:t>J. Phys. Chem. Ref. Data</a:t>
          </a:r>
          <a:r>
            <a:rPr b="0" lang="en-US" sz="1200" spc="-1" strike="noStrike">
              <a:solidFill>
                <a:srgbClr val="000000"/>
              </a:solidFill>
              <a:latin typeface="Times New Roman"/>
              <a:ea typeface="Calibri"/>
            </a:rPr>
            <a:t>, Monograph No. 9. The American Institute of Physics, Woodbury, New York. 1951 pp. ISBN 1-56396-831-2.  </a:t>
          </a:r>
          <a:r>
            <a:rPr b="0" lang="en-US" sz="1200" spc="-1" strike="noStrike" u="sng">
              <a:solidFill>
                <a:srgbClr val="0000ff"/>
              </a:solidFill>
              <a:uFillTx/>
              <a:latin typeface="Times New Roman"/>
              <a:ea typeface="Calibri"/>
            </a:rPr>
            <a:t>http://www.nist.gov/data/PDFfiles/jpcrdM9.pdf</a:t>
          </a:r>
          <a:endParaRPr b="0" lang="en-US" sz="1200" spc="-1" strike="noStrike">
            <a:latin typeface="Times New Roman"/>
          </a:endParaRPr>
        </a:p>
        <a:p>
          <a:pPr marL="274320" indent="-273960">
            <a:lnSpc>
              <a:spcPct val="100000"/>
            </a:lnSpc>
          </a:pPr>
          <a:endParaRPr b="0" lang="en-US" sz="1200" spc="-1" strike="noStrike">
            <a:latin typeface="Times New Roman"/>
          </a:endParaRPr>
        </a:p>
        <a:p>
          <a:pPr marL="274320" indent="-273960">
            <a:lnSpc>
              <a:spcPct val="100000"/>
            </a:lnSpc>
          </a:pPr>
          <a:r>
            <a:rPr b="0" lang="en-US" sz="1200" spc="-1" strike="noStrike">
              <a:solidFill>
                <a:srgbClr val="000000"/>
              </a:solidFill>
              <a:latin typeface="Times New Roman"/>
              <a:ea typeface="Calibri"/>
            </a:rPr>
            <a:t>Chase M. W., Jr., Davies C. A., Downey J. R., Jr., Frurip D. J., McDonald R. A., and Syverud A. N. (1985) </a:t>
          </a:r>
          <a:r>
            <a:rPr b="0" i="1" lang="en-US" sz="1200" spc="-1" strike="noStrike">
              <a:solidFill>
                <a:srgbClr val="000000"/>
              </a:solidFill>
              <a:latin typeface="Times New Roman"/>
              <a:ea typeface="Calibri"/>
            </a:rPr>
            <a:t>JANAF Thermochemical Tables Third Edition. J. Phys. Chem. Ref. Data</a:t>
          </a:r>
          <a:r>
            <a:rPr b="0" lang="en-US" sz="1200" spc="-1" strike="noStrike">
              <a:solidFill>
                <a:srgbClr val="000000"/>
              </a:solidFill>
              <a:latin typeface="Times New Roman"/>
              <a:ea typeface="Calibri"/>
            </a:rPr>
            <a:t> </a:t>
          </a:r>
          <a:r>
            <a:rPr b="1" lang="en-US" sz="1200" spc="-1" strike="noStrike">
              <a:solidFill>
                <a:srgbClr val="000000"/>
              </a:solidFill>
              <a:latin typeface="Times New Roman"/>
              <a:ea typeface="Calibri"/>
            </a:rPr>
            <a:t>14</a:t>
          </a:r>
          <a:r>
            <a:rPr b="0" lang="en-US" sz="1200" spc="-1" strike="noStrike">
              <a:solidFill>
                <a:srgbClr val="000000"/>
              </a:solidFill>
              <a:latin typeface="Times New Roman"/>
              <a:ea typeface="Calibri"/>
            </a:rPr>
            <a:t>, Supplement No. 1. American Chemical Society, Washington, DC and American Institute of Physics, New York, for the National Bureau of Standards. 1856 pp. </a:t>
          </a:r>
          <a:br/>
          <a:r>
            <a:rPr b="0" lang="en-US" sz="1200" spc="-1" strike="noStrike">
              <a:solidFill>
                <a:srgbClr val="000000"/>
              </a:solidFill>
              <a:latin typeface="Times New Roman"/>
              <a:ea typeface="Calibri"/>
            </a:rPr>
            <a:t>ISBN 0-88318-473-7. </a:t>
          </a:r>
          <a:r>
            <a:rPr b="0" lang="en-US" sz="1200" spc="-1" strike="noStrike" u="sng">
              <a:solidFill>
                <a:srgbClr val="0000ff"/>
              </a:solidFill>
              <a:uFillTx/>
              <a:latin typeface="Times New Roman"/>
              <a:ea typeface="Calibri"/>
            </a:rPr>
            <a:t>http://www.nist.gov/data/PDFfiles/jpcrdS1V14.pdf</a:t>
          </a:r>
          <a:endParaRPr b="0" lang="en-US" sz="1200" spc="-1" strike="noStrike">
            <a:latin typeface="Times New Roman"/>
          </a:endParaRPr>
        </a:p>
        <a:p>
          <a:pPr>
            <a:lnSpc>
              <a:spcPct val="100000"/>
            </a:lnSpc>
          </a:pPr>
          <a:endParaRPr b="0" lang="en-US" sz="1200" spc="-1" strike="noStrike">
            <a:latin typeface="Times New Roman"/>
          </a:endParaRPr>
        </a:p>
        <a:p>
          <a:pPr marL="274320" indent="-273960">
            <a:lnSpc>
              <a:spcPct val="100000"/>
            </a:lnSpc>
          </a:pPr>
          <a:r>
            <a:rPr b="0" lang="en-US" sz="1200" spc="-1" strike="noStrike">
              <a:solidFill>
                <a:srgbClr val="000000"/>
              </a:solidFill>
              <a:latin typeface="Times New Roman"/>
              <a:ea typeface="Calibri"/>
            </a:rPr>
            <a:t>CODATA (1971) An announcement by the CODATA Task Group on key values for thermodynamics. </a:t>
          </a:r>
          <a:r>
            <a:rPr b="0" i="1" lang="en-US" sz="1200" spc="-1" strike="noStrike">
              <a:solidFill>
                <a:srgbClr val="000000"/>
              </a:solidFill>
              <a:latin typeface="Times New Roman"/>
              <a:ea typeface="Calibri"/>
            </a:rPr>
            <a:t>J. Chem. Thermodyn</a:t>
          </a:r>
          <a:r>
            <a:rPr b="0" lang="en-US" sz="1200" spc="-1" strike="noStrike">
              <a:solidFill>
                <a:srgbClr val="000000"/>
              </a:solidFill>
              <a:latin typeface="Times New Roman"/>
              <a:ea typeface="Calibri"/>
            </a:rPr>
            <a:t>. </a:t>
          </a:r>
          <a:r>
            <a:rPr b="1" lang="en-US" sz="1200" spc="-1" strike="noStrike">
              <a:solidFill>
                <a:srgbClr val="000000"/>
              </a:solidFill>
              <a:latin typeface="Times New Roman"/>
              <a:ea typeface="Calibri"/>
            </a:rPr>
            <a:t>3</a:t>
          </a:r>
          <a:r>
            <a:rPr b="0" lang="en-US" sz="1200" spc="-1" strike="noStrike">
              <a:solidFill>
                <a:srgbClr val="000000"/>
              </a:solidFill>
              <a:latin typeface="Times New Roman"/>
              <a:ea typeface="Calibri"/>
            </a:rPr>
            <a:t>, 1-6. </a:t>
          </a:r>
          <a:r>
            <a:rPr b="0" lang="en-US" sz="1200" spc="-1" strike="noStrike" u="sng">
              <a:solidFill>
                <a:srgbClr val="000000"/>
              </a:solidFill>
              <a:uFillTx/>
              <a:latin typeface="Times New Roman"/>
              <a:ea typeface="Calibri"/>
            </a:rPr>
            <a:t>http://www.sciencedirect.com/science/article/pii/S0021961471800617</a:t>
          </a:r>
          <a:endParaRPr b="0" lang="en-US" sz="1200" spc="-1" strike="noStrike">
            <a:latin typeface="Times New Roman"/>
          </a:endParaRPr>
        </a:p>
        <a:p>
          <a:pPr marL="274320" indent="-273960">
            <a:lnSpc>
              <a:spcPct val="100000"/>
            </a:lnSpc>
          </a:pPr>
          <a:r>
            <a:rPr b="0" lang="en-US" sz="1200" spc="-1" strike="noStrike">
              <a:solidFill>
                <a:srgbClr val="000000"/>
              </a:solidFill>
              <a:latin typeface="Times New Roman"/>
              <a:ea typeface="Calibri"/>
            </a:rPr>
            <a:t> </a:t>
          </a:r>
          <a:endParaRPr b="0" lang="en-US" sz="1200" spc="-1" strike="noStrike">
            <a:latin typeface="Times New Roman"/>
          </a:endParaRPr>
        </a:p>
        <a:p>
          <a:pPr marL="274320" indent="-273960">
            <a:lnSpc>
              <a:spcPct val="100000"/>
            </a:lnSpc>
          </a:pPr>
          <a:r>
            <a:rPr b="0" lang="en-US" sz="1200" spc="-1" strike="noStrike">
              <a:solidFill>
                <a:srgbClr val="000000"/>
              </a:solidFill>
              <a:latin typeface="Times New Roman"/>
              <a:ea typeface="Calibri"/>
            </a:rPr>
            <a:t>CODATA (1972) Report of the ICSU-CODATA Task Group on key values for thermodynamics, November, 1971. </a:t>
          </a:r>
          <a:r>
            <a:rPr b="0" i="1" lang="en-US" sz="1200" spc="-1" strike="noStrike">
              <a:solidFill>
                <a:srgbClr val="000000"/>
              </a:solidFill>
              <a:latin typeface="Times New Roman"/>
              <a:ea typeface="Calibri"/>
            </a:rPr>
            <a:t>J. Chem. Thermodyn</a:t>
          </a:r>
          <a:r>
            <a:rPr b="0" lang="en-US" sz="1200" spc="-1" strike="noStrike">
              <a:solidFill>
                <a:srgbClr val="000000"/>
              </a:solidFill>
              <a:latin typeface="Times New Roman"/>
              <a:ea typeface="Calibri"/>
            </a:rPr>
            <a:t>. </a:t>
          </a:r>
          <a:r>
            <a:rPr b="1" lang="en-US" sz="1200" spc="-1" strike="noStrike">
              <a:solidFill>
                <a:srgbClr val="000000"/>
              </a:solidFill>
              <a:latin typeface="Times New Roman"/>
              <a:ea typeface="Calibri"/>
            </a:rPr>
            <a:t>4</a:t>
          </a:r>
          <a:r>
            <a:rPr b="0" lang="en-US" sz="1200" spc="-1" strike="noStrike">
              <a:solidFill>
                <a:srgbClr val="000000"/>
              </a:solidFill>
              <a:latin typeface="Times New Roman"/>
              <a:ea typeface="Calibri"/>
            </a:rPr>
            <a:t>, </a:t>
          </a:r>
          <a:r>
            <a:rPr b="0" lang="en-US" sz="1200" spc="-1" strike="noStrike">
              <a:solidFill>
                <a:srgbClr val="000000"/>
              </a:solidFill>
              <a:latin typeface="Times New Roman"/>
              <a:ea typeface="Calibri"/>
            </a:rPr>
            <a:t>331-336. </a:t>
          </a:r>
          <a:r>
            <a:rPr b="0" lang="en-US" sz="1200" spc="-1" strike="noStrike" u="sng">
              <a:solidFill>
                <a:srgbClr val="000000"/>
              </a:solidFill>
              <a:uFillTx/>
              <a:latin typeface="Times New Roman"/>
              <a:ea typeface="Calibri"/>
            </a:rPr>
            <a:t>http://www.sciencedirect.com/science/article/pii/002196147290016X</a:t>
          </a:r>
          <a:endParaRPr b="0" lang="en-US" sz="1200" spc="-1" strike="noStrike">
            <a:latin typeface="Times New Roman"/>
          </a:endParaRPr>
        </a:p>
        <a:p>
          <a:pPr marL="274320" indent="-273960">
            <a:lnSpc>
              <a:spcPct val="100000"/>
            </a:lnSpc>
          </a:pPr>
          <a:r>
            <a:rPr b="0" lang="en-US" sz="1200" spc="-1" strike="noStrike">
              <a:solidFill>
                <a:srgbClr val="000000"/>
              </a:solidFill>
              <a:latin typeface="Times New Roman"/>
              <a:ea typeface="Calibri"/>
            </a:rPr>
            <a:t> </a:t>
          </a:r>
          <a:endParaRPr b="0" lang="en-US" sz="1200" spc="-1" strike="noStrike">
            <a:latin typeface="Times New Roman"/>
          </a:endParaRPr>
        </a:p>
        <a:p>
          <a:pPr marL="274320" indent="-273960">
            <a:lnSpc>
              <a:spcPct val="100000"/>
            </a:lnSpc>
          </a:pPr>
          <a:r>
            <a:rPr b="0" lang="en-US" sz="1200" spc="-1" strike="noStrike">
              <a:solidFill>
                <a:srgbClr val="000000"/>
              </a:solidFill>
              <a:latin typeface="Times New Roman"/>
              <a:ea typeface="Calibri"/>
            </a:rPr>
            <a:t>CODATA (1975) CODATA recommended key values for thermodynamics, 1973. </a:t>
          </a:r>
          <a:r>
            <a:rPr b="0" i="1" lang="en-US" sz="1200" spc="-1" strike="noStrike">
              <a:solidFill>
                <a:srgbClr val="000000"/>
              </a:solidFill>
              <a:latin typeface="Times New Roman"/>
              <a:ea typeface="Calibri"/>
            </a:rPr>
            <a:t>J. Chem. Thermodyn</a:t>
          </a:r>
          <a:r>
            <a:rPr b="0" lang="en-US" sz="1200" spc="-1" strike="noStrike">
              <a:solidFill>
                <a:srgbClr val="000000"/>
              </a:solidFill>
              <a:latin typeface="Times New Roman"/>
              <a:ea typeface="Calibri"/>
            </a:rPr>
            <a:t>. </a:t>
          </a:r>
          <a:r>
            <a:rPr b="1" lang="en-US" sz="1200" spc="-1" strike="noStrike">
              <a:solidFill>
                <a:srgbClr val="000000"/>
              </a:solidFill>
              <a:latin typeface="Times New Roman"/>
              <a:ea typeface="Calibri"/>
            </a:rPr>
            <a:t>7</a:t>
          </a:r>
          <a:r>
            <a:rPr b="0" lang="en-US" sz="1200" spc="-1" strike="noStrike">
              <a:solidFill>
                <a:srgbClr val="000000"/>
              </a:solidFill>
              <a:latin typeface="Times New Roman"/>
              <a:ea typeface="Calibri"/>
            </a:rPr>
            <a:t>, 1-3. The full report is given as OCDATA Bulletin No. 10, ICSU CODATA, Paris. </a:t>
          </a:r>
          <a:r>
            <a:rPr b="0" lang="en-US" sz="1200" spc="-1" strike="noStrike" u="sng">
              <a:solidFill>
                <a:srgbClr val="000000"/>
              </a:solidFill>
              <a:uFillTx/>
              <a:latin typeface="Times New Roman"/>
              <a:ea typeface="Calibri"/>
            </a:rPr>
            <a:t>http://www.sciencedirect.com/science/article/pii/0021961475900737</a:t>
          </a:r>
          <a:endParaRPr b="0" lang="en-US" sz="1200" spc="-1" strike="noStrike">
            <a:latin typeface="Times New Roman"/>
          </a:endParaRPr>
        </a:p>
        <a:p>
          <a:pPr>
            <a:lnSpc>
              <a:spcPct val="100000"/>
            </a:lnSpc>
          </a:pPr>
          <a:r>
            <a:rPr b="0" lang="en-US" sz="1200" spc="-1" strike="noStrike">
              <a:solidFill>
                <a:srgbClr val="000000"/>
              </a:solidFill>
              <a:latin typeface="Times New Roman"/>
              <a:ea typeface="Calibri"/>
            </a:rPr>
            <a:t> </a:t>
          </a:r>
          <a:endParaRPr b="0" lang="en-US" sz="1200" spc="-1" strike="noStrike">
            <a:latin typeface="Times New Roman"/>
          </a:endParaRPr>
        </a:p>
        <a:p>
          <a:pPr marL="274320" indent="-273960">
            <a:lnSpc>
              <a:spcPct val="100000"/>
            </a:lnSpc>
          </a:pPr>
          <a:r>
            <a:rPr b="0" lang="en-US" sz="1200" spc="-1" strike="noStrike">
              <a:solidFill>
                <a:srgbClr val="000000"/>
              </a:solidFill>
              <a:latin typeface="Times New Roman"/>
              <a:ea typeface="Calibri"/>
            </a:rPr>
            <a:t>CODATA (1976) CODATA recommended key values for thermodynamics, 1975. </a:t>
          </a:r>
          <a:r>
            <a:rPr b="0" i="1" lang="en-US" sz="1200" spc="-1" strike="noStrike">
              <a:solidFill>
                <a:srgbClr val="000000"/>
              </a:solidFill>
              <a:latin typeface="Times New Roman"/>
              <a:ea typeface="Calibri"/>
            </a:rPr>
            <a:t>J. Chem. Thermodyn</a:t>
          </a:r>
          <a:r>
            <a:rPr b="0" lang="en-US" sz="1200" spc="-1" strike="noStrike">
              <a:solidFill>
                <a:srgbClr val="000000"/>
              </a:solidFill>
              <a:latin typeface="Times New Roman"/>
              <a:ea typeface="Calibri"/>
            </a:rPr>
            <a:t>. </a:t>
          </a:r>
          <a:r>
            <a:rPr b="1" lang="en-US" sz="1200" spc="-1" strike="noStrike">
              <a:solidFill>
                <a:srgbClr val="000000"/>
              </a:solidFill>
              <a:latin typeface="Times New Roman"/>
              <a:ea typeface="Calibri"/>
            </a:rPr>
            <a:t>8</a:t>
          </a:r>
          <a:r>
            <a:rPr b="0" lang="en-US" sz="1200" spc="-1" strike="noStrike">
              <a:solidFill>
                <a:srgbClr val="000000"/>
              </a:solidFill>
              <a:latin typeface="Times New Roman"/>
              <a:ea typeface="Calibri"/>
            </a:rPr>
            <a:t>, 603-605. The full </a:t>
          </a:r>
          <a:r>
            <a:rPr b="0" lang="en-US" sz="1200" spc="-1" strike="noStrike">
              <a:solidFill>
                <a:srgbClr val="000000"/>
              </a:solidFill>
              <a:latin typeface="Times New Roman"/>
              <a:ea typeface="Calibri"/>
            </a:rPr>
            <a:t>report is given as OCDATA Bulletin No. 17, ICSU CODATA, Paris. </a:t>
          </a:r>
          <a:r>
            <a:rPr b="0" lang="en-US" sz="1200" spc="-1" strike="noStrike" u="sng">
              <a:solidFill>
                <a:srgbClr val="000000"/>
              </a:solidFill>
              <a:uFillTx/>
              <a:latin typeface="Times New Roman"/>
              <a:ea typeface="Calibri"/>
            </a:rPr>
            <a:t>http://www.sciencedirect.com/science/article/pii/0021961476900100</a:t>
          </a:r>
          <a:endParaRPr b="0" lang="en-US" sz="1200" spc="-1" strike="noStrike">
            <a:latin typeface="Times New Roman"/>
          </a:endParaRPr>
        </a:p>
        <a:p>
          <a:pPr marL="274320" indent="-273960">
            <a:lnSpc>
              <a:spcPct val="100000"/>
            </a:lnSpc>
          </a:pPr>
          <a:r>
            <a:rPr b="0" lang="en-US" sz="1200" spc="-1" strike="noStrike">
              <a:solidFill>
                <a:srgbClr val="000000"/>
              </a:solidFill>
              <a:latin typeface="Times New Roman"/>
              <a:ea typeface="Calibri"/>
            </a:rPr>
            <a:t> </a:t>
          </a:r>
          <a:endParaRPr b="0" lang="en-US" sz="1200" spc="-1" strike="noStrike">
            <a:latin typeface="Times New Roman"/>
          </a:endParaRPr>
        </a:p>
        <a:p>
          <a:pPr marL="274320" indent="-273960">
            <a:lnSpc>
              <a:spcPct val="100000"/>
            </a:lnSpc>
          </a:pPr>
          <a:r>
            <a:rPr b="0" lang="en-US" sz="1200" spc="-1" strike="noStrike">
              <a:solidFill>
                <a:srgbClr val="000000"/>
              </a:solidFill>
              <a:latin typeface="Times New Roman"/>
              <a:ea typeface="Calibri"/>
            </a:rPr>
            <a:t>CODATA (1977) CODATA recommended key values for thermodynamics, 1976. </a:t>
          </a:r>
          <a:r>
            <a:rPr b="0" i="1" lang="en-US" sz="1200" spc="-1" strike="noStrike">
              <a:solidFill>
                <a:srgbClr val="000000"/>
              </a:solidFill>
              <a:latin typeface="Times New Roman"/>
              <a:ea typeface="Calibri"/>
            </a:rPr>
            <a:t>J. Chem. Thermodyn</a:t>
          </a:r>
          <a:r>
            <a:rPr b="0" lang="en-US" sz="1200" spc="-1" strike="noStrike">
              <a:solidFill>
                <a:srgbClr val="000000"/>
              </a:solidFill>
              <a:latin typeface="Times New Roman"/>
              <a:ea typeface="Calibri"/>
            </a:rPr>
            <a:t>. </a:t>
          </a:r>
          <a:r>
            <a:rPr b="1" lang="en-US" sz="1200" spc="-1" strike="noStrike">
              <a:solidFill>
                <a:srgbClr val="000000"/>
              </a:solidFill>
              <a:latin typeface="Times New Roman"/>
              <a:ea typeface="Calibri"/>
            </a:rPr>
            <a:t>9</a:t>
          </a:r>
          <a:r>
            <a:rPr b="0" lang="en-US" sz="1200" spc="-1" strike="noStrike">
              <a:solidFill>
                <a:srgbClr val="000000"/>
              </a:solidFill>
              <a:latin typeface="Times New Roman"/>
              <a:ea typeface="Calibri"/>
            </a:rPr>
            <a:t>, 705-706. The full report is given as OCDATA Bulletin No. 22, ICSU CODATA, Paris. </a:t>
          </a:r>
          <a:r>
            <a:rPr b="0" lang="en-US" sz="1200" spc="-1" strike="noStrike" u="sng">
              <a:solidFill>
                <a:srgbClr val="000000"/>
              </a:solidFill>
              <a:uFillTx/>
              <a:latin typeface="Times New Roman"/>
              <a:ea typeface="Calibri"/>
            </a:rPr>
            <a:t>http://www.sciencedirect.com/science/article/pii/0021961477900118</a:t>
          </a:r>
          <a:endParaRPr b="0" lang="en-US" sz="1200" spc="-1" strike="noStrike">
            <a:latin typeface="Times New Roman"/>
          </a:endParaRPr>
        </a:p>
        <a:p>
          <a:pPr marL="274320" indent="-273960">
            <a:lnSpc>
              <a:spcPct val="100000"/>
            </a:lnSpc>
          </a:pPr>
          <a:r>
            <a:rPr b="0" lang="en-US" sz="1200" spc="-1" strike="noStrike">
              <a:solidFill>
                <a:srgbClr val="000000"/>
              </a:solidFill>
              <a:latin typeface="Times New Roman"/>
              <a:ea typeface="Calibri"/>
            </a:rPr>
            <a:t> </a:t>
          </a:r>
          <a:endParaRPr b="0" lang="en-US" sz="1200" spc="-1" strike="noStrike">
            <a:latin typeface="Times New Roman"/>
          </a:endParaRPr>
        </a:p>
        <a:p>
          <a:pPr marL="274320" indent="-273960">
            <a:lnSpc>
              <a:spcPct val="100000"/>
            </a:lnSpc>
          </a:pPr>
          <a:r>
            <a:rPr b="0" lang="en-US" sz="1200" spc="-1" strike="noStrike">
              <a:solidFill>
                <a:srgbClr val="000000"/>
              </a:solidFill>
              <a:latin typeface="Times New Roman"/>
              <a:ea typeface="Calibri"/>
            </a:rPr>
            <a:t>CODATA (1978) CODATA recommended key values for thermodynamics, 1977. </a:t>
          </a:r>
          <a:r>
            <a:rPr b="0" i="1" lang="en-US" sz="1200" spc="-1" strike="noStrike">
              <a:solidFill>
                <a:srgbClr val="000000"/>
              </a:solidFill>
              <a:latin typeface="Times New Roman"/>
              <a:ea typeface="Calibri"/>
            </a:rPr>
            <a:t>J. Chem. Thermodyn</a:t>
          </a:r>
          <a:r>
            <a:rPr b="0" lang="en-US" sz="1200" spc="-1" strike="noStrike">
              <a:solidFill>
                <a:srgbClr val="000000"/>
              </a:solidFill>
              <a:latin typeface="Times New Roman"/>
              <a:ea typeface="Calibri"/>
            </a:rPr>
            <a:t>. </a:t>
          </a:r>
          <a:r>
            <a:rPr b="1" lang="en-US" sz="1200" spc="-1" strike="noStrike">
              <a:solidFill>
                <a:srgbClr val="000000"/>
              </a:solidFill>
              <a:latin typeface="Times New Roman"/>
              <a:ea typeface="Calibri"/>
            </a:rPr>
            <a:t>10</a:t>
          </a:r>
          <a:r>
            <a:rPr b="0" lang="en-US" sz="1200" spc="-1" strike="noStrike">
              <a:solidFill>
                <a:srgbClr val="000000"/>
              </a:solidFill>
              <a:latin typeface="Times New Roman"/>
              <a:ea typeface="Calibri"/>
            </a:rPr>
            <a:t>, 903-906. The full report is given as OCDATA Bulletin No. 28, ICSU CODATA, Paris. </a:t>
          </a:r>
          <a:r>
            <a:rPr b="0" lang="en-US" sz="1200" spc="-1" strike="noStrike" u="sng">
              <a:solidFill>
                <a:srgbClr val="000000"/>
              </a:solidFill>
              <a:uFillTx/>
              <a:latin typeface="Times New Roman"/>
              <a:ea typeface="Calibri"/>
            </a:rPr>
            <a:t>http://www.sciencedirect.com/science/article/pii/0021961478900502</a:t>
          </a:r>
          <a:endParaRPr b="0" lang="en-US" sz="1200" spc="-1" strike="noStrike">
            <a:latin typeface="Times New Roman"/>
          </a:endParaRPr>
        </a:p>
        <a:p>
          <a:pPr marL="274320" indent="-273960">
            <a:lnSpc>
              <a:spcPct val="100000"/>
            </a:lnSpc>
          </a:pPr>
          <a:r>
            <a:rPr b="0" lang="en-US" sz="1200" spc="-1" strike="noStrike">
              <a:solidFill>
                <a:srgbClr val="000000"/>
              </a:solidFill>
              <a:latin typeface="Times New Roman"/>
              <a:ea typeface="Calibri"/>
            </a:rPr>
            <a:t> </a:t>
          </a:r>
          <a:endParaRPr b="0" lang="en-US" sz="1200" spc="-1" strike="noStrike">
            <a:latin typeface="Times New Roman"/>
          </a:endParaRPr>
        </a:p>
        <a:p>
          <a:pPr marL="274320" indent="-273960">
            <a:lnSpc>
              <a:spcPct val="100000"/>
            </a:lnSpc>
          </a:pPr>
          <a:r>
            <a:rPr b="0" lang="en-US" sz="1200" spc="-1" strike="noStrike">
              <a:solidFill>
                <a:srgbClr val="000000"/>
              </a:solidFill>
              <a:latin typeface="Times New Roman"/>
              <a:ea typeface="Calibri"/>
            </a:rPr>
            <a:t>Cox J. D., Wagman D .D., and Medvedev V. A., eds. (1989) </a:t>
          </a:r>
          <a:r>
            <a:rPr b="0" i="1" lang="en-US" sz="1200" spc="-1" strike="noStrike">
              <a:solidFill>
                <a:srgbClr val="000000"/>
              </a:solidFill>
              <a:latin typeface="Times New Roman"/>
              <a:ea typeface="Calibri"/>
            </a:rPr>
            <a:t>CODATA Key Values for Thermodynamics.</a:t>
          </a:r>
          <a:r>
            <a:rPr b="0" lang="en-US" sz="1200" spc="-1" strike="noStrike">
              <a:solidFill>
                <a:srgbClr val="000000"/>
              </a:solidFill>
              <a:latin typeface="Times New Roman"/>
              <a:ea typeface="Calibri"/>
            </a:rPr>
            <a:t> CODATA Series on Thermodynamic Values. Hemisphere Publishing Corp., New York. 271 pp. ISBN 0-89116-758-7.</a:t>
          </a:r>
          <a:endParaRPr b="0" lang="en-US" sz="1200" spc="-1" strike="noStrike">
            <a:latin typeface="Times New Roman"/>
          </a:endParaRPr>
        </a:p>
        <a:p>
          <a:pPr marL="274320" indent="-273960">
            <a:lnSpc>
              <a:spcPct val="100000"/>
            </a:lnSpc>
          </a:pPr>
          <a:endParaRPr b="0" lang="en-US" sz="1200" spc="-1" strike="noStrike">
            <a:latin typeface="Times New Roman"/>
          </a:endParaRPr>
        </a:p>
        <a:p>
          <a:pPr marL="274320" indent="-273960">
            <a:lnSpc>
              <a:spcPct val="100000"/>
            </a:lnSpc>
          </a:pPr>
          <a:r>
            <a:rPr b="0" lang="en-US" sz="1200" spc="-1" strike="noStrike">
              <a:solidFill>
                <a:srgbClr val="000000"/>
              </a:solidFill>
              <a:latin typeface="Times New Roman"/>
              <a:ea typeface="Calibri"/>
            </a:rPr>
            <a:t>Gamsjäger H., Bugajski J., Gajda T., Lemire R., and Preis W. (2005) </a:t>
          </a:r>
          <a:r>
            <a:rPr b="0" i="1" lang="en-US" sz="1200" spc="-1" strike="noStrike">
              <a:solidFill>
                <a:srgbClr val="000000"/>
              </a:solidFill>
              <a:latin typeface="Times New Roman"/>
              <a:ea typeface="Calibri"/>
            </a:rPr>
            <a:t>Chemical Thermodynamics of Nickel</a:t>
          </a:r>
          <a:r>
            <a:rPr b="0" lang="en-US" sz="1200" spc="-1" strike="noStrike">
              <a:solidFill>
                <a:srgbClr val="000000"/>
              </a:solidFill>
              <a:latin typeface="Times New Roman"/>
              <a:ea typeface="Calibri"/>
            </a:rPr>
            <a:t>. Chemical Thermdynamics. Volume 6. North Holland Elsevier Science Publishers B. V., Amsterdam, The Netherlands. 617 pp. </a:t>
          </a:r>
          <a:r>
            <a:rPr b="0" lang="en-US" sz="1200" spc="-1" strike="noStrike" u="sng">
              <a:solidFill>
                <a:srgbClr val="0000ff"/>
              </a:solidFill>
              <a:uFillTx/>
              <a:latin typeface="Times New Roman"/>
              <a:ea typeface="Calibri"/>
            </a:rPr>
            <a:t>https://www.oecd-nea.org/dbtdb/pubs/vol6-nickel.pdf</a:t>
          </a:r>
          <a:endParaRPr b="0" lang="en-US" sz="1200" spc="-1" strike="noStrike">
            <a:latin typeface="Times New Roman"/>
          </a:endParaRPr>
        </a:p>
        <a:p>
          <a:pPr marL="274320" indent="-273960">
            <a:lnSpc>
              <a:spcPct val="100000"/>
            </a:lnSpc>
          </a:pPr>
          <a:r>
            <a:rPr b="0" lang="en-US" sz="1200" spc="-1" strike="noStrike">
              <a:solidFill>
                <a:srgbClr val="000000"/>
              </a:solidFill>
              <a:latin typeface="Times New Roman"/>
              <a:ea typeface="Calibri"/>
            </a:rPr>
            <a:t> </a:t>
          </a:r>
          <a:endParaRPr b="0" lang="en-US" sz="1200" spc="-1" strike="noStrike">
            <a:latin typeface="Times New Roman"/>
          </a:endParaRPr>
        </a:p>
        <a:p>
          <a:pPr marL="274320" indent="-273960">
            <a:lnSpc>
              <a:spcPct val="100000"/>
            </a:lnSpc>
          </a:pPr>
          <a:r>
            <a:rPr b="0" lang="en-US" sz="1200" spc="-1" strike="noStrike">
              <a:solidFill>
                <a:srgbClr val="000000"/>
              </a:solidFill>
              <a:latin typeface="Times New Roman"/>
              <a:ea typeface="Calibri"/>
            </a:rPr>
            <a:t>Gamsjäger H., Gajda T., Sangster J, Saxena S. K., and Voigt W. (2012) </a:t>
          </a:r>
          <a:r>
            <a:rPr b="0" i="1" lang="en-US" sz="1200" spc="-1" strike="noStrike">
              <a:solidFill>
                <a:srgbClr val="000000"/>
              </a:solidFill>
              <a:latin typeface="Times New Roman"/>
              <a:ea typeface="Calibri"/>
            </a:rPr>
            <a:t>Chemical Thermodynamics of Tin</a:t>
          </a:r>
          <a:r>
            <a:rPr b="0" lang="en-US" sz="1200" spc="-1" strike="noStrike">
              <a:solidFill>
                <a:srgbClr val="000000"/>
              </a:solidFill>
              <a:latin typeface="Times New Roman"/>
              <a:ea typeface="Calibri"/>
            </a:rPr>
            <a:t>. Chemical Thermdynamics. Volume 12. OECD Nuclear Energy Agency. OECD Publications, Paris, France. 609 pp. </a:t>
          </a:r>
          <a:r>
            <a:rPr b="0" lang="en-US" sz="1200" spc="-1" strike="noStrike" u="sng">
              <a:solidFill>
                <a:srgbClr val="0000ff"/>
              </a:solidFill>
              <a:uFillTx/>
              <a:latin typeface="Times New Roman"/>
              <a:ea typeface="Calibri"/>
            </a:rPr>
            <a:t>http://www.oecd-nea.org/dbtdb/pubs/tin.pdf</a:t>
          </a:r>
          <a:endParaRPr b="0" lang="en-US" sz="1200" spc="-1" strike="noStrike">
            <a:latin typeface="Times New Roman"/>
          </a:endParaRPr>
        </a:p>
        <a:p>
          <a:pPr marL="274320" indent="-273960">
            <a:lnSpc>
              <a:spcPct val="100000"/>
            </a:lnSpc>
          </a:pPr>
          <a:r>
            <a:rPr b="0" lang="en-US" sz="1200" spc="-1" strike="noStrike">
              <a:solidFill>
                <a:srgbClr val="000000"/>
              </a:solidFill>
              <a:latin typeface="Times New Roman"/>
              <a:ea typeface="Calibri"/>
            </a:rPr>
            <a:t> </a:t>
          </a:r>
          <a:endParaRPr b="0" lang="en-US" sz="1200" spc="-1" strike="noStrike">
            <a:latin typeface="Times New Roman"/>
          </a:endParaRPr>
        </a:p>
        <a:p>
          <a:pPr marL="274320" indent="-273960">
            <a:lnSpc>
              <a:spcPct val="100000"/>
            </a:lnSpc>
          </a:pPr>
          <a:r>
            <a:rPr b="0" lang="en-US" sz="1200" spc="-1" strike="noStrike">
              <a:solidFill>
                <a:srgbClr val="000000"/>
              </a:solidFill>
              <a:latin typeface="Times New Roman"/>
              <a:ea typeface="Calibri"/>
            </a:rPr>
            <a:t>Grenthe I., Fuger J., Konings R. J. M., Lemire R. J., Muller A. B., Nguyen-Trung C., and Wanner, H. (1992) </a:t>
          </a:r>
          <a:r>
            <a:rPr b="0" i="1" lang="en-US" sz="1200" spc="-1" strike="noStrike">
              <a:solidFill>
                <a:srgbClr val="000000"/>
              </a:solidFill>
              <a:latin typeface="Times New Roman"/>
              <a:ea typeface="Calibri"/>
            </a:rPr>
            <a:t>Chemical Thermodynamics of Uranium</a:t>
          </a:r>
          <a:r>
            <a:rPr b="0" lang="en-US" sz="1200" spc="-1" strike="noStrike">
              <a:solidFill>
                <a:srgbClr val="000000"/>
              </a:solidFill>
              <a:latin typeface="Times New Roman"/>
              <a:ea typeface="Calibri"/>
            </a:rPr>
            <a:t>. Chemical Thermodynamics. Volume 1. North Holland Elsevier Science Publishers B. V., Amsterdam, The Netherlands. 715 pp. </a:t>
          </a:r>
          <a:r>
            <a:rPr b="0" lang="en-US" sz="1200" spc="-1" strike="noStrike" u="sng">
              <a:solidFill>
                <a:srgbClr val="0000ff"/>
              </a:solidFill>
              <a:uFillTx/>
              <a:latin typeface="Times New Roman"/>
              <a:ea typeface="Calibri"/>
            </a:rPr>
            <a:t>http://www.oecd-nea.org/dbtdb/pubs/uranium.pdf</a:t>
          </a:r>
          <a:endParaRPr b="0" lang="en-US" sz="1200" spc="-1" strike="noStrike">
            <a:latin typeface="Times New Roman"/>
          </a:endParaRPr>
        </a:p>
        <a:p>
          <a:pPr marL="274320" indent="-273960">
            <a:lnSpc>
              <a:spcPct val="100000"/>
            </a:lnSpc>
          </a:pPr>
          <a:endParaRPr b="0" lang="en-US" sz="1200" spc="-1" strike="noStrike">
            <a:latin typeface="Times New Roman"/>
          </a:endParaRPr>
        </a:p>
        <a:p>
          <a:pPr marL="274320" indent="-273960">
            <a:lnSpc>
              <a:spcPct val="100000"/>
            </a:lnSpc>
          </a:pPr>
          <a:r>
            <a:rPr b="0" lang="en-US" sz="1200" spc="-1" strike="noStrike">
              <a:solidFill>
                <a:srgbClr val="000000"/>
              </a:solidFill>
              <a:latin typeface="Times New Roman"/>
              <a:ea typeface="Calibri"/>
            </a:rPr>
            <a:t>Gross P. and Hayman C. (1970a) Heats of Formation of Light Element Compounds. AFOSR 70-0999 TR, Fulmer Research Institute, Stoke Foges, Buckinghamshire, United Kingdom. 13pp.  </a:t>
          </a:r>
          <a:r>
            <a:rPr b="0" lang="en-US" sz="1200" spc="-1" strike="noStrike" u="sng">
              <a:solidFill>
                <a:srgbClr val="0000ff"/>
              </a:solidFill>
              <a:uFillTx/>
              <a:latin typeface="Times New Roman"/>
              <a:ea typeface="Calibri"/>
            </a:rPr>
            <a:t>www.dtic.mil/cgi-bin/GetTRDoc?AD=AD0704139</a:t>
          </a:r>
          <a:endParaRPr b="0" lang="en-US" sz="1200" spc="-1" strike="noStrike">
            <a:latin typeface="Times New Roman"/>
          </a:endParaRPr>
        </a:p>
        <a:p>
          <a:pPr marL="274320" indent="-273960">
            <a:lnSpc>
              <a:spcPct val="100000"/>
            </a:lnSpc>
          </a:pPr>
          <a:r>
            <a:rPr b="0" lang="en-US" sz="1200" spc="-1" strike="noStrike">
              <a:solidFill>
                <a:srgbClr val="000000"/>
              </a:solidFill>
              <a:latin typeface="Times New Roman"/>
              <a:ea typeface="Calibri"/>
            </a:rPr>
            <a:t> </a:t>
          </a:r>
          <a:endParaRPr b="0" lang="en-US" sz="1200" spc="-1" strike="noStrike">
            <a:latin typeface="Times New Roman"/>
          </a:endParaRPr>
        </a:p>
        <a:p>
          <a:pPr marL="274320" indent="-273960">
            <a:lnSpc>
              <a:spcPct val="100000"/>
            </a:lnSpc>
          </a:pPr>
          <a:r>
            <a:rPr b="0" lang="en-US" sz="1200" spc="-1" strike="noStrike">
              <a:solidFill>
                <a:srgbClr val="000000"/>
              </a:solidFill>
              <a:latin typeface="Times New Roman"/>
              <a:ea typeface="Calibri"/>
            </a:rPr>
            <a:t>Gross P. and Hayman C. (1970b) Enthalpy of formation of aluminum chloride. </a:t>
          </a:r>
          <a:r>
            <a:rPr b="0" i="1" lang="en-US" sz="1200" spc="-1" strike="noStrike">
              <a:solidFill>
                <a:srgbClr val="000000"/>
              </a:solidFill>
              <a:latin typeface="Times New Roman"/>
              <a:ea typeface="Calibri"/>
            </a:rPr>
            <a:t>J. Chem. Soc. Faraday Trans</a:t>
          </a:r>
          <a:r>
            <a:rPr b="0" lang="en-US" sz="1200" spc="-1" strike="noStrike">
              <a:solidFill>
                <a:srgbClr val="000000"/>
              </a:solidFill>
              <a:latin typeface="Times New Roman"/>
              <a:ea typeface="Calibri"/>
            </a:rPr>
            <a:t>. </a:t>
          </a:r>
          <a:r>
            <a:rPr b="1" lang="en-US" sz="1200" spc="-1" strike="noStrike">
              <a:solidFill>
                <a:srgbClr val="000000"/>
              </a:solidFill>
              <a:latin typeface="Times New Roman"/>
              <a:ea typeface="Calibri"/>
            </a:rPr>
            <a:t>66</a:t>
          </a:r>
          <a:r>
            <a:rPr b="0" lang="en-US" sz="1200" spc="-1" strike="noStrike">
              <a:solidFill>
                <a:srgbClr val="000000"/>
              </a:solidFill>
              <a:latin typeface="Times New Roman"/>
              <a:ea typeface="Calibri"/>
            </a:rPr>
            <a:t>, 30-32. </a:t>
          </a:r>
          <a:r>
            <a:rPr b="0" lang="en-US" sz="1200" spc="-1" strike="noStrike" u="sng">
              <a:solidFill>
                <a:srgbClr val="0000ff"/>
              </a:solidFill>
              <a:uFillTx/>
              <a:latin typeface="Times New Roman"/>
              <a:ea typeface="Calibri"/>
            </a:rPr>
            <a:t>http://pubs.rsc.org/en/Content/ArticleLanding/1970/TF/tf9706600030#!divAbstract</a:t>
          </a:r>
          <a:endParaRPr b="0" lang="en-US" sz="1200" spc="-1" strike="noStrike">
            <a:latin typeface="Times New Roman"/>
          </a:endParaRPr>
        </a:p>
        <a:p>
          <a:pPr>
            <a:lnSpc>
              <a:spcPct val="100000"/>
            </a:lnSpc>
          </a:pPr>
          <a:r>
            <a:rPr b="0" lang="en-US" sz="1200" spc="-1" strike="noStrike">
              <a:solidFill>
                <a:srgbClr val="000000"/>
              </a:solidFill>
              <a:latin typeface="Times New Roman"/>
              <a:ea typeface="Calibri"/>
            </a:rPr>
            <a:t> </a:t>
          </a:r>
          <a:endParaRPr b="0" lang="en-US" sz="1200" spc="-1" strike="noStrike">
            <a:latin typeface="Times New Roman"/>
          </a:endParaRPr>
        </a:p>
        <a:p>
          <a:pPr marL="274320" indent="-273960">
            <a:lnSpc>
              <a:spcPct val="100000"/>
            </a:lnSpc>
          </a:pPr>
          <a:r>
            <a:rPr b="0" lang="en-US" sz="1200" spc="-1" strike="noStrike">
              <a:solidFill>
                <a:srgbClr val="000000"/>
              </a:solidFill>
              <a:latin typeface="Times New Roman"/>
              <a:ea typeface="Calibri"/>
            </a:rPr>
            <a:t>Gross P, Christie J., and Hayman C. (1970) </a:t>
          </a:r>
          <a:r>
            <a:rPr b="0" i="1" lang="en-US" sz="1200" spc="-1" strike="noStrike">
              <a:solidFill>
                <a:srgbClr val="000000"/>
              </a:solidFill>
              <a:latin typeface="Times New Roman"/>
              <a:ea typeface="Calibri"/>
            </a:rPr>
            <a:t>Heats of Formation of Gibbsite and Light Element Double Oxides</a:t>
          </a:r>
          <a:r>
            <a:rPr b="0" lang="en-US" sz="1200" spc="-1" strike="noStrike">
              <a:solidFill>
                <a:srgbClr val="000000"/>
              </a:solidFill>
              <a:latin typeface="Times New Roman"/>
              <a:ea typeface="Calibri"/>
            </a:rPr>
            <a:t>. Fulmer Research Institute Report 6, PG/JMN/R, 42 pp. </a:t>
          </a:r>
          <a:r>
            <a:rPr b="0" lang="en-US" sz="1200" spc="-1" strike="noStrike" u="sng">
              <a:solidFill>
                <a:srgbClr val="0000ff"/>
              </a:solidFill>
              <a:uFillTx/>
              <a:latin typeface="Times New Roman"/>
              <a:ea typeface="Calibri"/>
            </a:rPr>
            <a:t>https://www.ntis.gov/Search/Home/titleDetail/?abbr=AD711673</a:t>
          </a:r>
          <a:endParaRPr b="0" lang="en-US" sz="1200" spc="-1" strike="noStrike">
            <a:latin typeface="Times New Roman"/>
          </a:endParaRPr>
        </a:p>
        <a:p>
          <a:pPr marL="274320" indent="-273960">
            <a:lnSpc>
              <a:spcPct val="100000"/>
            </a:lnSpc>
          </a:pPr>
          <a:endParaRPr b="0" lang="en-US" sz="1200" spc="-1" strike="noStrike">
            <a:latin typeface="Times New Roman"/>
          </a:endParaRPr>
        </a:p>
        <a:p>
          <a:pPr marL="274320" indent="-273960">
            <a:lnSpc>
              <a:spcPct val="100000"/>
            </a:lnSpc>
          </a:pPr>
          <a:r>
            <a:rPr b="0" lang="en-US" sz="1200" spc="-1" strike="noStrike">
              <a:solidFill>
                <a:srgbClr val="000000"/>
              </a:solidFill>
              <a:latin typeface="Times New Roman"/>
              <a:ea typeface="Calibri"/>
            </a:rPr>
            <a:t>Guillaumont R., Fanghänel T., Fuger J., Grenthe I., Neck V., Palmer D. A., and Rand M. H. (2003) </a:t>
          </a:r>
          <a:r>
            <a:rPr b="0" i="1" lang="en-US" sz="1200" spc="-1" strike="noStrike">
              <a:solidFill>
                <a:srgbClr val="000000"/>
              </a:solidFill>
              <a:latin typeface="Times New Roman"/>
              <a:ea typeface="Calibri"/>
            </a:rPr>
            <a:t>Update on the Chemical Thermodynamics of Uranium, Neptunium, Plutonium, Americium and Technetium</a:t>
          </a:r>
          <a:r>
            <a:rPr b="0" lang="en-US" sz="1200" spc="-1" strike="noStrike">
              <a:solidFill>
                <a:srgbClr val="000000"/>
              </a:solidFill>
              <a:latin typeface="Times New Roman"/>
              <a:ea typeface="Calibri"/>
            </a:rPr>
            <a:t>. Chemical Thermodynamics. Volume 5. North Holland Elsevier Science Publishers B. V., Amsterdam, The Netherlands. 918pp. </a:t>
          </a:r>
          <a:r>
            <a:rPr b="0" lang="en-US" sz="1200" spc="-1" strike="noStrike" u="sng">
              <a:solidFill>
                <a:srgbClr val="0000ff"/>
              </a:solidFill>
              <a:uFillTx/>
              <a:latin typeface="Times New Roman"/>
              <a:ea typeface="Calibri"/>
            </a:rPr>
            <a:t>https://www.oecd-nea.org/dbtdb/pubs/vol5-update-combo.pdf</a:t>
          </a:r>
          <a:endParaRPr b="0" lang="en-US" sz="1200" spc="-1" strike="noStrike">
            <a:latin typeface="Times New Roman"/>
          </a:endParaRPr>
        </a:p>
        <a:p>
          <a:pPr marL="274320" indent="-273960">
            <a:lnSpc>
              <a:spcPct val="100000"/>
            </a:lnSpc>
          </a:pPr>
          <a:r>
            <a:rPr b="0" lang="en-US" sz="1200" spc="-1" strike="noStrike">
              <a:solidFill>
                <a:srgbClr val="000000"/>
              </a:solidFill>
              <a:latin typeface="Times New Roman"/>
              <a:ea typeface="Calibri"/>
            </a:rPr>
            <a:t> </a:t>
          </a:r>
          <a:endParaRPr b="0" lang="en-US" sz="1200" spc="-1" strike="noStrike">
            <a:latin typeface="Times New Roman"/>
          </a:endParaRPr>
        </a:p>
        <a:p>
          <a:pPr marL="274320" indent="-273960">
            <a:lnSpc>
              <a:spcPct val="100000"/>
            </a:lnSpc>
          </a:pPr>
          <a:r>
            <a:rPr b="0" lang="en-US" sz="1200" spc="-1" strike="noStrike">
              <a:solidFill>
                <a:srgbClr val="000000"/>
              </a:solidFill>
              <a:latin typeface="Times New Roman"/>
              <a:ea typeface="Calibri"/>
            </a:rPr>
            <a:t>Gurvich L.V., Veyts I.V., and Alcock C.B., eds. (1989) </a:t>
          </a:r>
          <a:r>
            <a:rPr b="0" i="1" lang="en-US" sz="1200" spc="-1" strike="noStrike">
              <a:solidFill>
                <a:srgbClr val="000000"/>
              </a:solidFill>
              <a:latin typeface="Times New Roman"/>
              <a:ea typeface="Calibri"/>
            </a:rPr>
            <a:t>Thermodynamic Properties of Individual Substances, Fourth Edition. Volume 1. Elements O, H(D, T), F, Cl, Br, I, He, Ne, Ar, Kr, Xe, Rn, S, N, P and Their Compounds</a:t>
          </a:r>
          <a:r>
            <a:rPr b="0" lang="en-US" sz="1200" spc="-1" strike="noStrike">
              <a:solidFill>
                <a:srgbClr val="000000"/>
              </a:solidFill>
              <a:latin typeface="Times New Roman"/>
              <a:ea typeface="Calibri"/>
            </a:rPr>
            <a:t>. Hemisphere Publishing Corporation, Taylor &amp; Francis Group, New York. 880 pp. ISBN 0-89116-760-9.</a:t>
          </a:r>
          <a:endParaRPr b="0" lang="en-US" sz="1200" spc="-1" strike="noStrike">
            <a:latin typeface="Times New Roman"/>
          </a:endParaRPr>
        </a:p>
        <a:p>
          <a:pPr marL="274320" indent="-273960">
            <a:lnSpc>
              <a:spcPct val="100000"/>
            </a:lnSpc>
          </a:pPr>
          <a:r>
            <a:rPr b="0" lang="en-US" sz="1200" spc="-1" strike="noStrike">
              <a:solidFill>
                <a:srgbClr val="000000"/>
              </a:solidFill>
              <a:latin typeface="Times New Roman"/>
              <a:ea typeface="Calibri"/>
            </a:rPr>
            <a:t> </a:t>
          </a:r>
          <a:endParaRPr b="0" lang="en-US" sz="1200" spc="-1" strike="noStrike">
            <a:latin typeface="Times New Roman"/>
          </a:endParaRPr>
        </a:p>
        <a:p>
          <a:pPr marL="274320" indent="-273960">
            <a:lnSpc>
              <a:spcPct val="100000"/>
            </a:lnSpc>
          </a:pPr>
          <a:r>
            <a:rPr b="0" lang="en-US" sz="1200" spc="-1" strike="noStrike">
              <a:solidFill>
                <a:srgbClr val="000000"/>
              </a:solidFill>
              <a:latin typeface="Times New Roman"/>
              <a:ea typeface="Calibri"/>
            </a:rPr>
            <a:t>Gurvich L.V., Veyts I.V., and Alcock C.B., eds. (1991) </a:t>
          </a:r>
          <a:r>
            <a:rPr b="0" i="1" lang="en-US" sz="1200" spc="-1" strike="noStrike">
              <a:solidFill>
                <a:srgbClr val="000000"/>
              </a:solidFill>
              <a:latin typeface="Times New Roman"/>
              <a:ea typeface="Calibri"/>
            </a:rPr>
            <a:t>Thermodynamic Properties of Individual Substances, Fourth Edition. Volume 2. Elements C, Si, Ge, Sn, Pb, and Their Compounds</a:t>
          </a:r>
          <a:r>
            <a:rPr b="0" lang="en-US" sz="1200" spc="-1" strike="noStrike">
              <a:solidFill>
                <a:srgbClr val="000000"/>
              </a:solidFill>
              <a:latin typeface="Times New Roman"/>
              <a:ea typeface="Calibri"/>
            </a:rPr>
            <a:t>. Hemisphere Publishing Corporation, Taylor &amp; Francis Group, New York. 952 pp. ISBN 0-89116-533-9.</a:t>
          </a:r>
          <a:endParaRPr b="0" lang="en-US" sz="1200" spc="-1" strike="noStrike">
            <a:latin typeface="Times New Roman"/>
          </a:endParaRPr>
        </a:p>
        <a:p>
          <a:pPr marL="274320" indent="-273960">
            <a:lnSpc>
              <a:spcPct val="100000"/>
            </a:lnSpc>
          </a:pPr>
          <a:r>
            <a:rPr b="0" lang="en-US" sz="1200" spc="-1" strike="noStrike">
              <a:solidFill>
                <a:srgbClr val="000000"/>
              </a:solidFill>
              <a:latin typeface="Times New Roman"/>
              <a:ea typeface="Calibri"/>
            </a:rPr>
            <a:t> </a:t>
          </a:r>
          <a:endParaRPr b="0" lang="en-US" sz="1200" spc="-1" strike="noStrike">
            <a:latin typeface="Times New Roman"/>
          </a:endParaRPr>
        </a:p>
        <a:p>
          <a:pPr marL="274320" indent="-273960">
            <a:lnSpc>
              <a:spcPct val="100000"/>
            </a:lnSpc>
          </a:pPr>
          <a:r>
            <a:rPr b="0" lang="en-US" sz="1200" spc="-1" strike="noStrike">
              <a:solidFill>
                <a:srgbClr val="000000"/>
              </a:solidFill>
              <a:latin typeface="Times New Roman"/>
              <a:ea typeface="Calibri"/>
            </a:rPr>
            <a:t>Gurvich L.V., Veyts I.V., Iorish V.S., and Alcock C.B., eds. (1993) </a:t>
          </a:r>
          <a:r>
            <a:rPr b="0" i="1" lang="en-US" sz="1200" spc="-1" strike="noStrike">
              <a:solidFill>
                <a:srgbClr val="000000"/>
              </a:solidFill>
              <a:latin typeface="Times New Roman"/>
              <a:ea typeface="Calibri"/>
            </a:rPr>
            <a:t>Thermodynamic Properties of Individual Substances, Fourth Edition. Volume 3. Elements B, Al, Ga, In, Tl, Be, Mg, Ca, Sr, Ba and Their Compounds</a:t>
          </a:r>
          <a:r>
            <a:rPr b="0" lang="en-US" sz="1200" spc="-1" strike="noStrike">
              <a:solidFill>
                <a:srgbClr val="000000"/>
              </a:solidFill>
              <a:latin typeface="Times New Roman"/>
              <a:ea typeface="Calibri"/>
            </a:rPr>
            <a:t>. CRC Press, Inc., Taylor &amp; Francis Inc., New York. 688 pp. ISBN 0849399270. [Note: there appears to be a "1994" issuance of this work.]</a:t>
          </a:r>
          <a:endParaRPr b="0" lang="en-US" sz="1200" spc="-1" strike="noStrike">
            <a:latin typeface="Times New Roman"/>
          </a:endParaRPr>
        </a:p>
        <a:p>
          <a:pPr marL="274320" indent="-273960">
            <a:lnSpc>
              <a:spcPct val="100000"/>
            </a:lnSpc>
          </a:pPr>
          <a:r>
            <a:rPr b="0" lang="en-US" sz="1200" spc="-1" strike="noStrike">
              <a:solidFill>
                <a:srgbClr val="000000"/>
              </a:solidFill>
              <a:latin typeface="Times New Roman"/>
              <a:ea typeface="Calibri"/>
            </a:rPr>
            <a:t> </a:t>
          </a:r>
          <a:endParaRPr b="0" lang="en-US" sz="1200" spc="-1" strike="noStrike">
            <a:latin typeface="Times New Roman"/>
          </a:endParaRPr>
        </a:p>
        <a:p>
          <a:pPr marL="274320" indent="-273960">
            <a:lnSpc>
              <a:spcPct val="100000"/>
            </a:lnSpc>
          </a:pPr>
          <a:r>
            <a:rPr b="0" lang="en-US" sz="1200" spc="-1" strike="noStrike">
              <a:solidFill>
                <a:srgbClr val="000000"/>
              </a:solidFill>
              <a:latin typeface="Times New Roman"/>
              <a:ea typeface="Calibri"/>
            </a:rPr>
            <a:t>Hemingway, B.S., and Robie, R.A. 1977. Enthalpies of formation of low albite (NaAlSi3O8), Gibbsite (Al(OH)3) and NaAlO2: Revised values for ΔH°</a:t>
          </a:r>
          <a:r>
            <a:rPr b="0" lang="en-US" sz="1200" spc="-1" strike="noStrike" baseline="-25000">
              <a:solidFill>
                <a:srgbClr val="000000"/>
              </a:solidFill>
              <a:latin typeface="Times New Roman"/>
              <a:ea typeface="Calibri"/>
            </a:rPr>
            <a:t>f,298</a:t>
          </a:r>
          <a:r>
            <a:rPr b="0" lang="en-US" sz="1200" spc="-1" strike="noStrike">
              <a:solidFill>
                <a:srgbClr val="000000"/>
              </a:solidFill>
              <a:latin typeface="Times New Roman"/>
              <a:ea typeface="Calibri"/>
            </a:rPr>
            <a:t> and ΔG</a:t>
          </a:r>
          <a:r>
            <a:rPr b="0" lang="en-US" sz="1200" spc="-1" strike="noStrike" baseline="-25000">
              <a:solidFill>
                <a:srgbClr val="000000"/>
              </a:solidFill>
              <a:latin typeface="Times New Roman"/>
              <a:ea typeface="Calibri"/>
            </a:rPr>
            <a:t>°f,298</a:t>
          </a:r>
          <a:r>
            <a:rPr b="0" lang="en-US" sz="1200" spc="-1" strike="noStrike">
              <a:solidFill>
                <a:srgbClr val="000000"/>
              </a:solidFill>
              <a:latin typeface="Times New Roman"/>
              <a:ea typeface="Calibri"/>
            </a:rPr>
            <a:t> of some alumino-silicate minerals. </a:t>
          </a:r>
          <a:r>
            <a:rPr b="0" i="1" lang="en-US" sz="1200" spc="-1" strike="noStrike">
              <a:solidFill>
                <a:srgbClr val="000000"/>
              </a:solidFill>
              <a:latin typeface="Times New Roman"/>
              <a:ea typeface="Calibri"/>
            </a:rPr>
            <a:t>U.S. Geol. Surv. J. Res</a:t>
          </a:r>
          <a:r>
            <a:rPr b="0" lang="en-US" sz="1200" spc="-1" strike="noStrike">
              <a:solidFill>
                <a:srgbClr val="000000"/>
              </a:solidFill>
              <a:latin typeface="Times New Roman"/>
              <a:ea typeface="Calibri"/>
            </a:rPr>
            <a:t>. 5,</a:t>
          </a:r>
          <a:br/>
          <a:r>
            <a:rPr b="0" lang="en-US" sz="1200" spc="-1" strike="noStrike">
              <a:solidFill>
                <a:srgbClr val="000000"/>
              </a:solidFill>
              <a:latin typeface="Times New Roman"/>
              <a:ea typeface="Calibri"/>
            </a:rPr>
            <a:t>413-429. </a:t>
          </a:r>
          <a:r>
            <a:rPr b="0" lang="en-US" sz="1200" spc="-1" strike="noStrike" u="sng">
              <a:solidFill>
                <a:srgbClr val="000000"/>
              </a:solidFill>
              <a:uFillTx/>
              <a:latin typeface="Times New Roman"/>
              <a:ea typeface="Calibri"/>
            </a:rPr>
            <a:t>http://pubs.usgs.gov/journal/1977/vol5issue4/report.pdf</a:t>
          </a:r>
          <a:endParaRPr b="0" lang="en-US" sz="1200" spc="-1" strike="noStrike">
            <a:latin typeface="Times New Roman"/>
          </a:endParaRPr>
        </a:p>
        <a:p>
          <a:pPr marL="274320" indent="-273960">
            <a:lnSpc>
              <a:spcPct val="100000"/>
            </a:lnSpc>
          </a:pPr>
          <a:endParaRPr b="0" lang="en-US" sz="1200" spc="-1" strike="noStrike">
            <a:latin typeface="Times New Roman"/>
          </a:endParaRPr>
        </a:p>
        <a:p>
          <a:pPr marL="274320" indent="-273960">
            <a:lnSpc>
              <a:spcPct val="100000"/>
            </a:lnSpc>
          </a:pPr>
          <a:r>
            <a:rPr b="0" lang="en-US" sz="1200" spc="-1" strike="noStrike">
              <a:solidFill>
                <a:srgbClr val="000000"/>
              </a:solidFill>
              <a:latin typeface="Times New Roman"/>
              <a:ea typeface="Calibri"/>
            </a:rPr>
            <a:t>Hultgren R., Desai P. D., Hawkins D. T., Gleiser M., Kelley K. K., and Wagman D. D. (1973) </a:t>
          </a:r>
          <a:r>
            <a:rPr b="0" i="1" lang="en-US" sz="1200" spc="-1" strike="noStrike">
              <a:solidFill>
                <a:srgbClr val="000000"/>
              </a:solidFill>
              <a:latin typeface="Times New Roman"/>
              <a:ea typeface="Calibri"/>
            </a:rPr>
            <a:t>Selected Values of the Thermodynamic Properties of the Elements</a:t>
          </a:r>
          <a:r>
            <a:rPr b="0" lang="en-US" sz="1200" spc="-1" strike="noStrike">
              <a:solidFill>
                <a:srgbClr val="000000"/>
              </a:solidFill>
              <a:latin typeface="Times New Roman"/>
              <a:ea typeface="Calibri"/>
            </a:rPr>
            <a:t>. American Society for Metals, Metals Part, Ohio. 636 pp.</a:t>
          </a:r>
          <a:endParaRPr b="0" lang="en-US" sz="1200" spc="-1" strike="noStrike">
            <a:latin typeface="Times New Roman"/>
          </a:endParaRPr>
        </a:p>
        <a:p>
          <a:pPr marL="274320" indent="-273960">
            <a:lnSpc>
              <a:spcPct val="100000"/>
            </a:lnSpc>
          </a:pPr>
          <a:endParaRPr b="0" lang="en-US" sz="1200" spc="-1" strike="noStrike">
            <a:latin typeface="Times New Roman"/>
          </a:endParaRPr>
        </a:p>
        <a:p>
          <a:pPr marL="274320" indent="-273960">
            <a:lnSpc>
              <a:spcPct val="100000"/>
            </a:lnSpc>
          </a:pPr>
          <a:r>
            <a:rPr b="0" lang="en-US" sz="1200" spc="-1" strike="noStrike">
              <a:solidFill>
                <a:srgbClr val="000000"/>
              </a:solidFill>
              <a:latin typeface="Times New Roman"/>
              <a:ea typeface="Calibri"/>
            </a:rPr>
            <a:t>Hummel W., Anderegg G., Puigdomenech, I., Rao L., and Tochiyama O. (2005) </a:t>
          </a:r>
          <a:r>
            <a:rPr b="0" i="1" lang="en-US" sz="1200" spc="-1" strike="noStrike">
              <a:solidFill>
                <a:srgbClr val="000000"/>
              </a:solidFill>
              <a:latin typeface="Times New Roman"/>
              <a:ea typeface="Calibri"/>
            </a:rPr>
            <a:t>Chemical Thermodynamics of Compounds and Complexes of U, Np, Pu, Am, Tc, Se, Ni and Zr with Selected Organic Ligands</a:t>
          </a:r>
          <a:r>
            <a:rPr b="0" lang="en-US" sz="1200" spc="-1" strike="noStrike">
              <a:solidFill>
                <a:srgbClr val="000000"/>
              </a:solidFill>
              <a:latin typeface="Times New Roman"/>
              <a:ea typeface="Calibri"/>
            </a:rPr>
            <a:t>. Chemical Thermodynamics. Volume 9. North Holland Elsevier Science Publishers B. V., Amsterdam, The Netherlands. 1088 pp. </a:t>
          </a:r>
          <a:br/>
          <a:r>
            <a:rPr b="0" lang="en-US" sz="1100" spc="-1" strike="noStrike" u="sng">
              <a:solidFill>
                <a:srgbClr val="000000"/>
              </a:solidFill>
              <a:uFillTx/>
              <a:latin typeface="Calibri"/>
              <a:ea typeface="Calibri"/>
            </a:rPr>
            <a:t>https://www.oecd-nea.org/dbtdb/pubs/vol9-organic-ligands.pdf</a:t>
          </a:r>
          <a:endParaRPr b="0" lang="en-US" sz="1100" spc="-1" strike="noStrike">
            <a:latin typeface="Times New Roman"/>
          </a:endParaRPr>
        </a:p>
        <a:p>
          <a:pPr marL="274320" indent="-273960">
            <a:lnSpc>
              <a:spcPct val="100000"/>
            </a:lnSpc>
          </a:pPr>
          <a:endParaRPr b="0" lang="en-US" sz="1100" spc="-1" strike="noStrike">
            <a:latin typeface="Times New Roman"/>
          </a:endParaRPr>
        </a:p>
        <a:p>
          <a:pPr marL="274320" indent="-273960">
            <a:lnSpc>
              <a:spcPct val="100000"/>
            </a:lnSpc>
          </a:pPr>
          <a:r>
            <a:rPr b="0" lang="en-US" sz="1200" spc="-1" strike="noStrike">
              <a:solidFill>
                <a:srgbClr val="000000"/>
              </a:solidFill>
              <a:latin typeface="Times New Roman"/>
              <a:ea typeface="Calibri"/>
            </a:rPr>
            <a:t>Kelley K.K. (1932) </a:t>
          </a:r>
          <a:r>
            <a:rPr b="0" i="1" lang="en-US" sz="1200" spc="-1" strike="noStrike">
              <a:solidFill>
                <a:srgbClr val="000000"/>
              </a:solidFill>
              <a:latin typeface="Times New Roman"/>
              <a:ea typeface="Calibri"/>
            </a:rPr>
            <a:t>Contributions to the Data on Theoretical Metallurgy. I. Entropies of the Elements and Inorganic Substances</a:t>
          </a:r>
          <a:r>
            <a:rPr b="0" lang="en-US" sz="1200" spc="-1" strike="noStrike">
              <a:solidFill>
                <a:srgbClr val="000000"/>
              </a:solidFill>
              <a:latin typeface="Times New Roman"/>
              <a:ea typeface="Calibri"/>
            </a:rPr>
            <a:t>. United States Department of Commerce. Bureau of Mines Bulletin 350. United States Government Printing Office, Washington, DC. 149 pp. </a:t>
          </a:r>
          <a:r>
            <a:rPr b="0" lang="en-US" sz="1200" spc="-1" strike="noStrike" u="sng">
              <a:solidFill>
                <a:srgbClr val="0000ff"/>
              </a:solidFill>
              <a:uFillTx/>
              <a:latin typeface="Times New Roman"/>
              <a:ea typeface="Calibri"/>
            </a:rPr>
            <a:t>http://digicoll.manoa.hawaii.edu/techreports/PDF/USBM-350.pdf</a:t>
          </a:r>
          <a:endParaRPr b="0" lang="en-US" sz="1200" spc="-1" strike="noStrike">
            <a:latin typeface="Times New Roman"/>
          </a:endParaRPr>
        </a:p>
        <a:p>
          <a:pPr marL="274320" indent="-273960">
            <a:lnSpc>
              <a:spcPct val="100000"/>
            </a:lnSpc>
          </a:pPr>
          <a:r>
            <a:rPr b="0" lang="en-US" sz="1200" spc="-1" strike="noStrike">
              <a:solidFill>
                <a:srgbClr val="000000"/>
              </a:solidFill>
              <a:latin typeface="Times New Roman"/>
              <a:ea typeface="Calibri"/>
            </a:rPr>
            <a:t> </a:t>
          </a:r>
          <a:endParaRPr b="0" lang="en-US" sz="1200" spc="-1" strike="noStrike">
            <a:latin typeface="Times New Roman"/>
          </a:endParaRPr>
        </a:p>
        <a:p>
          <a:pPr marL="274320" indent="-273960">
            <a:lnSpc>
              <a:spcPct val="100000"/>
            </a:lnSpc>
          </a:pPr>
          <a:r>
            <a:rPr b="0" lang="en-US" sz="1200" spc="-1" strike="noStrike">
              <a:solidFill>
                <a:srgbClr val="000000"/>
              </a:solidFill>
              <a:latin typeface="Times New Roman"/>
              <a:ea typeface="Calibri"/>
            </a:rPr>
            <a:t>Kelley K.K. and King E.G. (1961)</a:t>
          </a:r>
          <a:r>
            <a:rPr b="0" i="1" lang="en-US" sz="1200" spc="-1" strike="noStrike">
              <a:solidFill>
                <a:srgbClr val="000000"/>
              </a:solidFill>
              <a:latin typeface="Times New Roman"/>
              <a:ea typeface="Calibri"/>
            </a:rPr>
            <a:t> Contributions to the Data on Theoretical Metallurgy. XIV. Entropies of the Elements and Inorganic Compounds</a:t>
          </a:r>
          <a:r>
            <a:rPr b="0" lang="en-US" sz="1200" spc="-1" strike="noStrike">
              <a:solidFill>
                <a:srgbClr val="000000"/>
              </a:solidFill>
              <a:latin typeface="Times New Roman"/>
              <a:ea typeface="Calibri"/>
            </a:rPr>
            <a:t>. United States Department of the Interior. Bureau of Mines Bulletin 592. United States Government Printing Office, Washington, DC. 149 pp. </a:t>
          </a:r>
          <a:r>
            <a:rPr b="0" lang="en-US" sz="1200" spc="-1" strike="noStrike" u="sng">
              <a:solidFill>
                <a:srgbClr val="0000ff"/>
              </a:solidFill>
              <a:uFillTx/>
              <a:latin typeface="Times New Roman"/>
              <a:ea typeface="Calibri"/>
            </a:rPr>
            <a:t>http://digicoll.manoa.hawaii.edu/techreports/PDF/USBM-592.pdf</a:t>
          </a:r>
          <a:endParaRPr b="0" lang="en-US" sz="1200" spc="-1" strike="noStrike">
            <a:latin typeface="Times New Roman"/>
          </a:endParaRPr>
        </a:p>
        <a:p>
          <a:pPr marL="274320" indent="-273960">
            <a:lnSpc>
              <a:spcPct val="100000"/>
            </a:lnSpc>
          </a:pPr>
          <a:r>
            <a:rPr b="0" lang="en-US" sz="1200" spc="-1" strike="noStrike">
              <a:solidFill>
                <a:srgbClr val="000000"/>
              </a:solidFill>
              <a:latin typeface="Times New Roman"/>
              <a:ea typeface="Calibri"/>
            </a:rPr>
            <a:t> </a:t>
          </a:r>
          <a:endParaRPr b="0" lang="en-US" sz="1200" spc="-1" strike="noStrike">
            <a:latin typeface="Times New Roman"/>
          </a:endParaRPr>
        </a:p>
        <a:p>
          <a:pPr marL="274320" indent="-273960">
            <a:lnSpc>
              <a:spcPct val="100000"/>
            </a:lnSpc>
          </a:pPr>
          <a:r>
            <a:rPr b="0" lang="en-US" sz="1200" spc="-1" strike="noStrike">
              <a:solidFill>
                <a:srgbClr val="000000"/>
              </a:solidFill>
              <a:latin typeface="Times New Roman"/>
              <a:ea typeface="Calibri"/>
            </a:rPr>
            <a:t>Lemire R. J., Fuger J., Nitsche H., Potter P., Rand M. H., Rydberg J., Spahiu K., Sullivan J. C., Ullman W.J., Vitorge P., and Wanner H.  (2001) </a:t>
          </a:r>
          <a:r>
            <a:rPr b="0" i="1" lang="en-US" sz="1200" spc="-1" strike="noStrike">
              <a:solidFill>
                <a:srgbClr val="000000"/>
              </a:solidFill>
              <a:latin typeface="Times New Roman"/>
              <a:ea typeface="Calibri"/>
            </a:rPr>
            <a:t>Chemical Thermodynamics of Neptunium and Plutonium</a:t>
          </a:r>
          <a:r>
            <a:rPr b="0" lang="en-US" sz="1200" spc="-1" strike="noStrike">
              <a:solidFill>
                <a:srgbClr val="000000"/>
              </a:solidFill>
              <a:latin typeface="Times New Roman"/>
              <a:ea typeface="Calibri"/>
            </a:rPr>
            <a:t>. Chemical Thermodynamics. Volume 4. North Holland Elsevier Science Publishers B. V., Amsterdam, The Netherlands. 845 pp. </a:t>
          </a:r>
          <a:r>
            <a:rPr b="0" lang="en-US" sz="1200" spc="-1" strike="noStrike" u="sng">
              <a:solidFill>
                <a:srgbClr val="0000ff"/>
              </a:solidFill>
              <a:uFillTx/>
              <a:latin typeface="Times New Roman"/>
              <a:ea typeface="Calibri"/>
            </a:rPr>
            <a:t>http://www.oecd-nea.org/dbtdb/pubs/vol4-neptunium-plutonium.pdf</a:t>
          </a:r>
          <a:endParaRPr b="0" lang="en-US" sz="1200" spc="-1" strike="noStrike">
            <a:latin typeface="Times New Roman"/>
          </a:endParaRPr>
        </a:p>
        <a:p>
          <a:pPr marL="274320" indent="-273960">
            <a:lnSpc>
              <a:spcPct val="100000"/>
            </a:lnSpc>
          </a:pPr>
          <a:r>
            <a:rPr b="0" lang="en-US" sz="1200" spc="-1" strike="noStrike">
              <a:solidFill>
                <a:srgbClr val="000000"/>
              </a:solidFill>
              <a:latin typeface="Times New Roman"/>
              <a:ea typeface="Calibri"/>
            </a:rPr>
            <a:t> </a:t>
          </a:r>
          <a:endParaRPr b="0" lang="en-US" sz="1200" spc="-1" strike="noStrike">
            <a:latin typeface="Times New Roman"/>
          </a:endParaRPr>
        </a:p>
        <a:p>
          <a:pPr marL="274320" indent="-273960">
            <a:lnSpc>
              <a:spcPct val="100000"/>
            </a:lnSpc>
          </a:pPr>
          <a:r>
            <a:rPr b="0" lang="en-US" sz="1200" spc="-1" strike="noStrike">
              <a:solidFill>
                <a:srgbClr val="000000"/>
              </a:solidFill>
              <a:latin typeface="Times New Roman"/>
              <a:ea typeface="Calibri"/>
            </a:rPr>
            <a:t>Lemire R. J., Berner U., Musikas C., Palmer D. A., Taylor P., and Tochiyama O. (2013) </a:t>
          </a:r>
          <a:r>
            <a:rPr b="0" i="1" lang="en-US" sz="1200" spc="-1" strike="noStrike">
              <a:solidFill>
                <a:srgbClr val="000000"/>
              </a:solidFill>
              <a:latin typeface="Times New Roman"/>
              <a:ea typeface="Calibri"/>
            </a:rPr>
            <a:t>Chemical Thermodynamics of Iron, Part 1</a:t>
          </a:r>
          <a:r>
            <a:rPr b="0" lang="en-US" sz="1200" spc="-1" strike="noStrike">
              <a:solidFill>
                <a:srgbClr val="000000"/>
              </a:solidFill>
              <a:latin typeface="Times New Roman"/>
              <a:ea typeface="Calibri"/>
            </a:rPr>
            <a:t>. Chemical Thermodynamics. Volume 13a. OECD Publications, Paris, France. 1082 pp. </a:t>
          </a:r>
          <a:r>
            <a:rPr b="0" lang="en-US" sz="1200" spc="-1" strike="noStrike" u="sng">
              <a:solidFill>
                <a:srgbClr val="0000ff"/>
              </a:solidFill>
              <a:uFillTx/>
              <a:latin typeface="Times New Roman"/>
              <a:ea typeface="Calibri"/>
            </a:rPr>
            <a:t>http://www.oecd-nea.org/dbtdb/pubs/6355-vol13a-iron.pdf</a:t>
          </a:r>
          <a:endParaRPr b="0" lang="en-US" sz="1200" spc="-1" strike="noStrike">
            <a:latin typeface="Times New Roman"/>
          </a:endParaRPr>
        </a:p>
        <a:p>
          <a:pPr marL="274320" indent="-273960">
            <a:lnSpc>
              <a:spcPct val="100000"/>
            </a:lnSpc>
          </a:pPr>
          <a:r>
            <a:rPr b="0" lang="en-US" sz="1200" spc="-1" strike="noStrike">
              <a:solidFill>
                <a:srgbClr val="000000"/>
              </a:solidFill>
              <a:latin typeface="Times New Roman"/>
              <a:ea typeface="Calibri"/>
            </a:rPr>
            <a:t> </a:t>
          </a:r>
          <a:endParaRPr b="0" lang="en-US" sz="1200" spc="-1" strike="noStrike">
            <a:latin typeface="Times New Roman"/>
          </a:endParaRPr>
        </a:p>
        <a:p>
          <a:pPr marL="274320" indent="-273960">
            <a:lnSpc>
              <a:spcPct val="100000"/>
            </a:lnSpc>
          </a:pPr>
          <a:r>
            <a:rPr b="0" lang="en-US" sz="1200" spc="-1" strike="noStrike">
              <a:solidFill>
                <a:srgbClr val="000000"/>
              </a:solidFill>
              <a:latin typeface="Times New Roman"/>
              <a:ea typeface="Calibri"/>
            </a:rPr>
            <a:t>Lewis G.N. and Gibson G.E. (1917) The Entropy of the Elements and the Third Law of Thermodynamics. </a:t>
          </a:r>
          <a:r>
            <a:rPr b="0" i="1" lang="en-US" sz="1200" spc="-1" strike="noStrike">
              <a:solidFill>
                <a:srgbClr val="000000"/>
              </a:solidFill>
              <a:latin typeface="Times New Roman"/>
              <a:ea typeface="Calibri"/>
            </a:rPr>
            <a:t>J. Am. Chem. Soc</a:t>
          </a:r>
          <a:r>
            <a:rPr b="0" lang="en-US" sz="1200" spc="-1" strike="noStrike">
              <a:solidFill>
                <a:srgbClr val="000000"/>
              </a:solidFill>
              <a:latin typeface="Times New Roman"/>
              <a:ea typeface="Calibri"/>
            </a:rPr>
            <a:t>. </a:t>
          </a:r>
          <a:r>
            <a:rPr b="1" lang="en-US" sz="1200" spc="-1" strike="noStrike">
              <a:solidFill>
                <a:srgbClr val="000000"/>
              </a:solidFill>
              <a:latin typeface="Times New Roman"/>
              <a:ea typeface="Calibri"/>
            </a:rPr>
            <a:t>39</a:t>
          </a:r>
          <a:r>
            <a:rPr b="0" lang="en-US" sz="1200" spc="-1" strike="noStrike">
              <a:solidFill>
                <a:srgbClr val="000000"/>
              </a:solidFill>
              <a:latin typeface="Times New Roman"/>
              <a:ea typeface="Calibri"/>
            </a:rPr>
            <a:t>, 2554-2581. </a:t>
          </a:r>
          <a:r>
            <a:rPr b="0" lang="en-US" sz="1200" spc="-1" strike="noStrike" u="sng">
              <a:solidFill>
                <a:srgbClr val="000000"/>
              </a:solidFill>
              <a:uFillTx/>
              <a:latin typeface="Times New Roman"/>
              <a:ea typeface="Calibri"/>
            </a:rPr>
            <a:t>http://pubs.acs.org/doi/abs/10.1021/ja02257a006</a:t>
          </a:r>
          <a:endParaRPr b="0" lang="en-US" sz="1200" spc="-1" strike="noStrike">
            <a:latin typeface="Times New Roman"/>
          </a:endParaRPr>
        </a:p>
        <a:p>
          <a:pPr marL="274320" indent="-273960">
            <a:lnSpc>
              <a:spcPct val="100000"/>
            </a:lnSpc>
          </a:pPr>
          <a:r>
            <a:rPr b="0" lang="en-US" sz="1200" spc="-1" strike="noStrike">
              <a:solidFill>
                <a:srgbClr val="000000"/>
              </a:solidFill>
              <a:latin typeface="Times New Roman"/>
              <a:ea typeface="Calibri"/>
            </a:rPr>
            <a:t> </a:t>
          </a:r>
          <a:endParaRPr b="0" lang="en-US" sz="1200" spc="-1" strike="noStrike">
            <a:latin typeface="Times New Roman"/>
          </a:endParaRPr>
        </a:p>
        <a:p>
          <a:pPr marL="274320" indent="-273960">
            <a:lnSpc>
              <a:spcPct val="100000"/>
            </a:lnSpc>
          </a:pPr>
          <a:r>
            <a:rPr b="0" lang="en-US" sz="1200" spc="-1" strike="noStrike">
              <a:solidFill>
                <a:srgbClr val="000000"/>
              </a:solidFill>
              <a:latin typeface="Times New Roman"/>
              <a:ea typeface="Calibri"/>
            </a:rPr>
            <a:t>Lewis G.N., Gibson G.E., and Latimer W.M. (1922) A Revision of the Entropies of the Elements.  </a:t>
          </a:r>
          <a:r>
            <a:rPr b="0" i="1" lang="en-US" sz="1200" spc="-1" strike="noStrike">
              <a:solidFill>
                <a:srgbClr val="000000"/>
              </a:solidFill>
              <a:latin typeface="Times New Roman"/>
              <a:ea typeface="Calibri"/>
            </a:rPr>
            <a:t>J. Am. Chem Soc</a:t>
          </a:r>
          <a:r>
            <a:rPr b="0" lang="en-US" sz="1200" spc="-1" strike="noStrike">
              <a:solidFill>
                <a:srgbClr val="000000"/>
              </a:solidFill>
              <a:latin typeface="Times New Roman"/>
              <a:ea typeface="Calibri"/>
            </a:rPr>
            <a:t>. </a:t>
          </a:r>
          <a:r>
            <a:rPr b="1" lang="en-US" sz="1200" spc="-1" strike="noStrike">
              <a:solidFill>
                <a:srgbClr val="000000"/>
              </a:solidFill>
              <a:latin typeface="Times New Roman"/>
              <a:ea typeface="Calibri"/>
            </a:rPr>
            <a:t>44</a:t>
          </a:r>
          <a:r>
            <a:rPr b="0" lang="en-US" sz="1200" spc="-1" strike="noStrike">
              <a:solidFill>
                <a:srgbClr val="000000"/>
              </a:solidFill>
              <a:latin typeface="Times New Roman"/>
              <a:ea typeface="Calibri"/>
            </a:rPr>
            <a:t>, 1008-1017. </a:t>
          </a:r>
          <a:r>
            <a:rPr b="0" lang="en-US" sz="1200" spc="-1" strike="noStrike" u="sng">
              <a:solidFill>
                <a:srgbClr val="000000"/>
              </a:solidFill>
              <a:uFillTx/>
              <a:latin typeface="Times New Roman"/>
              <a:ea typeface="Calibri"/>
            </a:rPr>
            <a:t>http://pubs.acs.org/doi/abs/10.1021/ja01426a011</a:t>
          </a:r>
          <a:endParaRPr b="0" lang="en-US" sz="1200" spc="-1" strike="noStrike">
            <a:latin typeface="Times New Roman"/>
          </a:endParaRPr>
        </a:p>
        <a:p>
          <a:pPr marL="274320" indent="-273960">
            <a:lnSpc>
              <a:spcPct val="100000"/>
            </a:lnSpc>
          </a:pPr>
          <a:endParaRPr b="0" lang="en-US" sz="1200" spc="-1" strike="noStrike">
            <a:latin typeface="Times New Roman"/>
          </a:endParaRPr>
        </a:p>
        <a:p>
          <a:pPr marL="274320" indent="-273960">
            <a:lnSpc>
              <a:spcPct val="100000"/>
            </a:lnSpc>
          </a:pPr>
          <a:r>
            <a:rPr b="0" lang="en-US" sz="1200" spc="-1" strike="noStrike">
              <a:solidFill>
                <a:srgbClr val="000000"/>
              </a:solidFill>
              <a:latin typeface="Times New Roman"/>
              <a:ea typeface="Calibri"/>
            </a:rPr>
            <a:t>McBride B. J., Gordson S., and Reno M. A. (2001) </a:t>
          </a:r>
          <a:r>
            <a:rPr b="0" i="1" lang="en-US" sz="1200" spc="-1" strike="noStrike">
              <a:solidFill>
                <a:srgbClr val="000000"/>
              </a:solidFill>
              <a:latin typeface="Times New Roman"/>
              <a:ea typeface="Calibri"/>
            </a:rPr>
            <a:t>Thermodynamic Data for Fifty Reference Elements</a:t>
          </a:r>
          <a:r>
            <a:rPr b="0" lang="en-US" sz="1200" spc="-1" strike="noStrike">
              <a:solidFill>
                <a:srgbClr val="000000"/>
              </a:solidFill>
              <a:latin typeface="Times New Roman"/>
              <a:ea typeface="Calibri"/>
            </a:rPr>
            <a:t>. NASA Technical Paper 3287/REV1.  National Aeronautics and Space Administration, John H. Glenn Research Center at Lewis Field, Cleveland, OH. 237 pp. </a:t>
          </a:r>
          <a:r>
            <a:rPr b="0" lang="en-US" sz="1200" spc="-1" strike="noStrike" u="sng">
              <a:solidFill>
                <a:srgbClr val="0000ff"/>
              </a:solidFill>
              <a:uFillTx/>
              <a:latin typeface="Times New Roman"/>
              <a:ea typeface="Calibri"/>
            </a:rPr>
            <a:t>http://www.grc.nasa.gov/WWW/CEAWeb/TP-3287-REV1.pdf</a:t>
          </a:r>
          <a:endParaRPr b="0" lang="en-US" sz="1200" spc="-1" strike="noStrike">
            <a:latin typeface="Times New Roman"/>
          </a:endParaRPr>
        </a:p>
        <a:p>
          <a:pPr marL="274320" indent="-273960">
            <a:lnSpc>
              <a:spcPct val="100000"/>
            </a:lnSpc>
          </a:pPr>
          <a:r>
            <a:rPr b="0" lang="en-US" sz="1200" spc="-1" strike="noStrike">
              <a:solidFill>
                <a:srgbClr val="000000"/>
              </a:solidFill>
              <a:latin typeface="Times New Roman"/>
              <a:ea typeface="Calibri"/>
            </a:rPr>
            <a:t> </a:t>
          </a:r>
          <a:endParaRPr b="0" lang="en-US" sz="1200" spc="-1" strike="noStrike">
            <a:latin typeface="Times New Roman"/>
          </a:endParaRPr>
        </a:p>
        <a:p>
          <a:pPr marL="274320" indent="-273960">
            <a:lnSpc>
              <a:spcPct val="100000"/>
            </a:lnSpc>
          </a:pPr>
          <a:r>
            <a:rPr b="0" lang="en-US" sz="1200" spc="-1" strike="noStrike">
              <a:solidFill>
                <a:srgbClr val="000000"/>
              </a:solidFill>
              <a:latin typeface="Times New Roman"/>
              <a:ea typeface="Calibri"/>
            </a:rPr>
            <a:t>Olin Å., Noläng G., Osadchii E., Öhman L.-O., and Rosén E. (2005) </a:t>
          </a:r>
          <a:r>
            <a:rPr b="0" i="1" lang="en-US" sz="1200" spc="-1" strike="noStrike">
              <a:solidFill>
                <a:srgbClr val="000000"/>
              </a:solidFill>
              <a:latin typeface="Times New Roman"/>
              <a:ea typeface="Calibri"/>
            </a:rPr>
            <a:t>Chemical Thermodynamics of Selenium</a:t>
          </a:r>
          <a:r>
            <a:rPr b="0" lang="en-US" sz="1200" spc="-1" strike="noStrike">
              <a:solidFill>
                <a:srgbClr val="000000"/>
              </a:solidFill>
              <a:latin typeface="Times New Roman"/>
              <a:ea typeface="Calibri"/>
            </a:rPr>
            <a:t>. Chemical Thermodynamics. Volume 7. North Holland Elsevier Science Publishers B. V., Amsterdam, The Netherlands. 851 pp. </a:t>
          </a:r>
          <a:r>
            <a:rPr b="0" lang="en-US" sz="1200" spc="-1" strike="noStrike" u="sng">
              <a:solidFill>
                <a:srgbClr val="0000ff"/>
              </a:solidFill>
              <a:uFillTx/>
              <a:latin typeface="Times New Roman"/>
              <a:ea typeface="Calibri"/>
            </a:rPr>
            <a:t>https://www.oecd-nea.org/dbtdb/pubs/vol7-selenium.pdf</a:t>
          </a:r>
          <a:endParaRPr b="0" lang="en-US" sz="1200" spc="-1" strike="noStrike">
            <a:latin typeface="Times New Roman"/>
          </a:endParaRPr>
        </a:p>
        <a:p>
          <a:pPr marL="274320" indent="-273960">
            <a:lnSpc>
              <a:spcPct val="100000"/>
            </a:lnSpc>
          </a:pPr>
          <a:r>
            <a:rPr b="0" lang="en-US" sz="1200" spc="-1" strike="noStrike">
              <a:solidFill>
                <a:srgbClr val="000000"/>
              </a:solidFill>
              <a:latin typeface="Times New Roman"/>
              <a:ea typeface="Calibri"/>
            </a:rPr>
            <a:t> </a:t>
          </a:r>
          <a:endParaRPr b="0" lang="en-US" sz="1200" spc="-1" strike="noStrike">
            <a:latin typeface="Times New Roman"/>
          </a:endParaRPr>
        </a:p>
        <a:p>
          <a:pPr marL="274320" indent="-273960">
            <a:lnSpc>
              <a:spcPct val="100000"/>
            </a:lnSpc>
          </a:pPr>
          <a:r>
            <a:rPr b="0" lang="en-US" sz="1200" spc="-1" strike="noStrike">
              <a:solidFill>
                <a:srgbClr val="000000"/>
              </a:solidFill>
              <a:latin typeface="Times New Roman"/>
              <a:ea typeface="Calibri"/>
            </a:rPr>
            <a:t>Pankratz L.B. (1982) </a:t>
          </a:r>
          <a:r>
            <a:rPr b="0" i="1" lang="en-US" sz="1200" spc="-1" strike="noStrike">
              <a:solidFill>
                <a:srgbClr val="000000"/>
              </a:solidFill>
              <a:latin typeface="Times New Roman"/>
              <a:ea typeface="Calibri"/>
            </a:rPr>
            <a:t>Thermodynamic Properties of Elements and Oxides</a:t>
          </a:r>
          <a:r>
            <a:rPr b="0" lang="en-US" sz="1200" spc="-1" strike="noStrike">
              <a:solidFill>
                <a:srgbClr val="000000"/>
              </a:solidFill>
              <a:latin typeface="Times New Roman"/>
              <a:ea typeface="Calibri"/>
            </a:rPr>
            <a:t>. United States Department of the Interior, Bureau of Mines Bulletin 672. United States  Government Printing Office, Washington, DC. 509 pp.</a:t>
          </a:r>
          <a:endParaRPr b="0" lang="en-US" sz="1200" spc="-1" strike="noStrike">
            <a:latin typeface="Times New Roman"/>
          </a:endParaRPr>
        </a:p>
        <a:p>
          <a:pPr marL="274320" indent="-273960">
            <a:lnSpc>
              <a:spcPct val="100000"/>
            </a:lnSpc>
          </a:pPr>
          <a:r>
            <a:rPr b="0" lang="en-US" sz="1200" spc="-1" strike="noStrike">
              <a:solidFill>
                <a:srgbClr val="000000"/>
              </a:solidFill>
              <a:latin typeface="Times New Roman"/>
              <a:ea typeface="Calibri"/>
            </a:rPr>
            <a:t> </a:t>
          </a:r>
          <a:endParaRPr b="0" lang="en-US" sz="1200" spc="-1" strike="noStrike">
            <a:latin typeface="Times New Roman"/>
          </a:endParaRPr>
        </a:p>
        <a:p>
          <a:pPr marL="274320" indent="-273960">
            <a:lnSpc>
              <a:spcPct val="100000"/>
            </a:lnSpc>
          </a:pPr>
          <a:r>
            <a:rPr b="0" lang="en-US" sz="1200" spc="-1" strike="noStrike">
              <a:solidFill>
                <a:srgbClr val="000000"/>
              </a:solidFill>
              <a:latin typeface="Times New Roman"/>
              <a:ea typeface="Calibri"/>
            </a:rPr>
            <a:t>Pankratz L.B., Stuve J.M., and Gokcen N.A. (1984) </a:t>
          </a:r>
          <a:r>
            <a:rPr b="0" i="1" lang="en-US" sz="1200" spc="-1" strike="noStrike">
              <a:solidFill>
                <a:srgbClr val="000000"/>
              </a:solidFill>
              <a:latin typeface="Times New Roman"/>
              <a:ea typeface="Calibri"/>
            </a:rPr>
            <a:t>Thermodynamic Data for Mineral Technology</a:t>
          </a:r>
          <a:r>
            <a:rPr b="0" lang="en-US" sz="1200" spc="-1" strike="noStrike">
              <a:solidFill>
                <a:srgbClr val="000000"/>
              </a:solidFill>
              <a:latin typeface="Times New Roman"/>
              <a:ea typeface="Calibri"/>
            </a:rPr>
            <a:t>. United States Department of the Interior, Bureau of Mines Bulletin 677. United States  Government Printing Office, Washington, DC. 355 pp. </a:t>
          </a:r>
          <a:r>
            <a:rPr b="0" lang="en-US" sz="1200" spc="-1" strike="noStrike" u="sng">
              <a:solidFill>
                <a:srgbClr val="0000ff"/>
              </a:solidFill>
              <a:uFillTx/>
              <a:latin typeface="Times New Roman"/>
              <a:ea typeface="Calibri"/>
            </a:rPr>
            <a:t>http://digicoll.manoa.hawaii.edu/techreports/PDF/USBM-677.pdf</a:t>
          </a:r>
          <a:endParaRPr b="0" lang="en-US" sz="1200" spc="-1" strike="noStrike">
            <a:latin typeface="Times New Roman"/>
          </a:endParaRPr>
        </a:p>
        <a:p>
          <a:pPr marL="274320" indent="-273960">
            <a:lnSpc>
              <a:spcPct val="100000"/>
            </a:lnSpc>
          </a:pPr>
          <a:r>
            <a:rPr b="0" lang="en-US" sz="1200" spc="-1" strike="noStrike">
              <a:solidFill>
                <a:srgbClr val="000000"/>
              </a:solidFill>
              <a:latin typeface="Times New Roman"/>
              <a:ea typeface="Calibri"/>
            </a:rPr>
            <a:t> </a:t>
          </a:r>
          <a:endParaRPr b="0" lang="en-US" sz="1200" spc="-1" strike="noStrike">
            <a:latin typeface="Times New Roman"/>
          </a:endParaRPr>
        </a:p>
        <a:p>
          <a:pPr marL="274320" indent="-273960">
            <a:lnSpc>
              <a:spcPct val="100000"/>
            </a:lnSpc>
          </a:pPr>
          <a:r>
            <a:rPr b="0" lang="en-US" sz="1200" spc="-1" strike="noStrike">
              <a:solidFill>
                <a:srgbClr val="000000"/>
              </a:solidFill>
              <a:latin typeface="Times New Roman"/>
              <a:ea typeface="Calibri"/>
            </a:rPr>
            <a:t>Parker V. B., Wagman D. D., and Evans W. H. (1971) </a:t>
          </a:r>
          <a:r>
            <a:rPr b="0" i="1" lang="en-US" sz="1200" spc="-1" strike="noStrike">
              <a:solidFill>
                <a:srgbClr val="000000"/>
              </a:solidFill>
              <a:latin typeface="Times New Roman"/>
              <a:ea typeface="Calibri"/>
            </a:rPr>
            <a:t>Selected Values of Chemical Thermodynamic Properties. Tables for the Alkaline Earth Elements (Elements 92 Through 97 in the Standard Order of Arrangement)</a:t>
          </a:r>
          <a:r>
            <a:rPr b="0" lang="en-US" sz="1200" spc="-1" strike="noStrike">
              <a:solidFill>
                <a:srgbClr val="000000"/>
              </a:solidFill>
              <a:latin typeface="Times New Roman"/>
              <a:ea typeface="Calibri"/>
            </a:rPr>
            <a:t>. National Bureau of Standards Technical Note 270-6. United States Government Printing Office, Washington, DC. 106 pp</a:t>
          </a:r>
          <a:r>
            <a:rPr b="0" lang="en-US" sz="1200" spc="-1" strike="noStrike">
              <a:solidFill>
                <a:srgbClr val="000000"/>
              </a:solidFill>
              <a:latin typeface="Times New Roman"/>
              <a:ea typeface="Calibri"/>
            </a:rPr>
            <a:t>. </a:t>
          </a:r>
          <a:r>
            <a:rPr b="0" lang="en-US" sz="1200" spc="-1" strike="noStrike" u="sng">
              <a:solidFill>
                <a:srgbClr val="000000"/>
              </a:solidFill>
              <a:uFillTx/>
              <a:latin typeface="Times New Roman"/>
              <a:ea typeface="Calibri"/>
            </a:rPr>
            <a:t>https://archive.org/details/selectedvaluesof2706park</a:t>
          </a:r>
          <a:endParaRPr b="0" lang="en-US" sz="1200" spc="-1" strike="noStrike">
            <a:latin typeface="Times New Roman"/>
          </a:endParaRPr>
        </a:p>
        <a:p>
          <a:pPr marL="274320" indent="-273960">
            <a:lnSpc>
              <a:spcPct val="100000"/>
            </a:lnSpc>
          </a:pPr>
          <a:endParaRPr b="0" lang="en-US" sz="1200" spc="-1" strike="noStrike">
            <a:latin typeface="Times New Roman"/>
          </a:endParaRPr>
        </a:p>
        <a:p>
          <a:pPr marL="274320" indent="-273960">
            <a:lnSpc>
              <a:spcPct val="100000"/>
            </a:lnSpc>
          </a:pPr>
          <a:r>
            <a:rPr b="0" lang="en-US" sz="1200" spc="-1" strike="noStrike">
              <a:solidFill>
                <a:srgbClr val="000000"/>
              </a:solidFill>
              <a:latin typeface="Times New Roman"/>
              <a:ea typeface="Calibri"/>
            </a:rPr>
            <a:t>Rand M., Fuger J., Grenthe I., Neck V., and Rai D. (2007) </a:t>
          </a:r>
          <a:r>
            <a:rPr b="0" i="1" lang="en-US" sz="1200" spc="-1" strike="noStrike">
              <a:solidFill>
                <a:srgbClr val="000000"/>
              </a:solidFill>
              <a:latin typeface="Times New Roman"/>
              <a:ea typeface="Calibri"/>
            </a:rPr>
            <a:t>Chemical Thermodynamics of Thorium</a:t>
          </a:r>
          <a:r>
            <a:rPr b="0" lang="en-US" sz="1200" spc="-1" strike="noStrike">
              <a:solidFill>
                <a:srgbClr val="000000"/>
              </a:solidFill>
              <a:latin typeface="Times New Roman"/>
              <a:ea typeface="Calibri"/>
            </a:rPr>
            <a:t>. Chemical Thermdynamics. Volume 11. OECD Publications, Paris, France. 900 pp. </a:t>
          </a:r>
          <a:r>
            <a:rPr b="0" lang="en-US" sz="1200" spc="-1" strike="noStrike" u="sng">
              <a:solidFill>
                <a:srgbClr val="0000ff"/>
              </a:solidFill>
              <a:uFillTx/>
              <a:latin typeface="Times New Roman"/>
              <a:ea typeface="Calibri"/>
            </a:rPr>
            <a:t>https://www.oecd-nea.org/science/pubs/2007/6254-DB-chemical-thermodyn-11.pdf</a:t>
          </a:r>
          <a:endParaRPr b="0" lang="en-US" sz="1200" spc="-1" strike="noStrike">
            <a:latin typeface="Times New Roman"/>
          </a:endParaRPr>
        </a:p>
        <a:p>
          <a:pPr marL="274320" indent="-273960">
            <a:lnSpc>
              <a:spcPct val="100000"/>
            </a:lnSpc>
          </a:pPr>
          <a:endParaRPr b="0" lang="en-US" sz="1200" spc="-1" strike="noStrike">
            <a:latin typeface="Times New Roman"/>
          </a:endParaRPr>
        </a:p>
        <a:p>
          <a:pPr marL="274320" indent="-273960">
            <a:lnSpc>
              <a:spcPct val="100000"/>
            </a:lnSpc>
          </a:pPr>
          <a:r>
            <a:rPr b="0" lang="en-US" sz="1200" spc="-1" strike="noStrike">
              <a:solidFill>
                <a:srgbClr val="000000"/>
              </a:solidFill>
              <a:latin typeface="Times New Roman"/>
              <a:ea typeface="Calibri"/>
            </a:rPr>
            <a:t>Rard J. A., Rand M. H., Anderegg G., and Wanner H. (1999) </a:t>
          </a:r>
          <a:r>
            <a:rPr b="0" i="1" lang="en-US" sz="1200" spc="-1" strike="noStrike">
              <a:solidFill>
                <a:srgbClr val="000000"/>
              </a:solidFill>
              <a:latin typeface="Times New Roman"/>
              <a:ea typeface="Calibri"/>
            </a:rPr>
            <a:t>Chemical Thermodynamics of Technetium</a:t>
          </a:r>
          <a:r>
            <a:rPr b="0" lang="en-US" sz="1200" spc="-1" strike="noStrike">
              <a:solidFill>
                <a:srgbClr val="000000"/>
              </a:solidFill>
              <a:latin typeface="Times New Roman"/>
              <a:ea typeface="Calibri"/>
            </a:rPr>
            <a:t>. Chemical Thermodynamics. Volume 3. North Holland Elsevier Science Publishers B. V., Amsterdam, The Netherlands. 544 pp. </a:t>
          </a:r>
          <a:r>
            <a:rPr b="0" lang="en-US" sz="1200" spc="-1" strike="noStrike" u="sng">
              <a:solidFill>
                <a:srgbClr val="0000ff"/>
              </a:solidFill>
              <a:uFillTx/>
              <a:latin typeface="Times New Roman"/>
              <a:ea typeface="Calibri"/>
            </a:rPr>
            <a:t>http://www.oecd-nea.org/dbtdb/pubs/vol3-technetium.pdf</a:t>
          </a:r>
          <a:endParaRPr b="0" lang="en-US" sz="1200" spc="-1" strike="noStrike">
            <a:latin typeface="Times New Roman"/>
          </a:endParaRPr>
        </a:p>
        <a:p>
          <a:pPr marL="274320" indent="-273960">
            <a:lnSpc>
              <a:spcPct val="100000"/>
            </a:lnSpc>
          </a:pPr>
          <a:endParaRPr b="0" lang="en-US" sz="1200" spc="-1" strike="noStrike">
            <a:latin typeface="Times New Roman"/>
          </a:endParaRPr>
        </a:p>
        <a:p>
          <a:pPr marL="274320" indent="-273960">
            <a:lnSpc>
              <a:spcPct val="100000"/>
            </a:lnSpc>
          </a:pPr>
          <a:r>
            <a:rPr b="0" lang="en-US" sz="1200" spc="-1" strike="noStrike">
              <a:solidFill>
                <a:srgbClr val="000000"/>
              </a:solidFill>
              <a:latin typeface="Times New Roman"/>
              <a:ea typeface="Calibri"/>
            </a:rPr>
            <a:t>Robie R. A. and Waldbaum D. R. (1968) </a:t>
          </a:r>
          <a:r>
            <a:rPr b="0" i="1" lang="en-US" sz="1200" spc="-1" strike="noStrike">
              <a:solidFill>
                <a:srgbClr val="000000"/>
              </a:solidFill>
              <a:latin typeface="Times New Roman"/>
              <a:ea typeface="Calibri"/>
            </a:rPr>
            <a:t>Thermodynamic Properties of Minerals and Related Substances at 298.15K (25.0°C) and One Atmosphere (1.013 Bars) Pressure and at Higher Temperatures</a:t>
          </a:r>
          <a:r>
            <a:rPr b="0" lang="en-US" sz="1200" spc="-1" strike="noStrike">
              <a:solidFill>
                <a:srgbClr val="000000"/>
              </a:solidFill>
              <a:latin typeface="Times New Roman"/>
              <a:ea typeface="Calibri"/>
            </a:rPr>
            <a:t>. U.S. Geol. Surv. Bull. 1259, United States Government Printing Office, Washington</a:t>
          </a:r>
          <a:r>
            <a:rPr b="0" lang="en-US" sz="1200" spc="-1" strike="noStrike">
              <a:solidFill>
                <a:srgbClr val="000000"/>
              </a:solidFill>
              <a:latin typeface="Times New Roman"/>
              <a:ea typeface="Calibri"/>
            </a:rPr>
            <a:t>, DC. 256 pp. </a:t>
          </a:r>
          <a:r>
            <a:rPr b="0" lang="en-US" sz="1200" spc="-1" strike="noStrike" u="sng">
              <a:solidFill>
                <a:srgbClr val="000000"/>
              </a:solidFill>
              <a:uFillTx/>
              <a:latin typeface="Times New Roman"/>
              <a:ea typeface="Calibri"/>
            </a:rPr>
            <a:t>http://pubs.usgs.gov/bul/1259/report.pdf</a:t>
          </a:r>
          <a:endParaRPr b="0" lang="en-US" sz="1200" spc="-1" strike="noStrike">
            <a:latin typeface="Times New Roman"/>
          </a:endParaRPr>
        </a:p>
        <a:p>
          <a:pPr marL="274320" indent="-273960">
            <a:lnSpc>
              <a:spcPct val="100000"/>
            </a:lnSpc>
          </a:pPr>
          <a:r>
            <a:rPr b="0" lang="en-US" sz="1200" spc="-1" strike="noStrike">
              <a:solidFill>
                <a:srgbClr val="000000"/>
              </a:solidFill>
              <a:latin typeface="Times New Roman"/>
              <a:ea typeface="Calibri"/>
            </a:rPr>
            <a:t> </a:t>
          </a:r>
          <a:endParaRPr b="0" lang="en-US" sz="1200" spc="-1" strike="noStrike">
            <a:latin typeface="Times New Roman"/>
          </a:endParaRPr>
        </a:p>
        <a:p>
          <a:pPr marL="274320" indent="-273960">
            <a:lnSpc>
              <a:spcPct val="100000"/>
            </a:lnSpc>
          </a:pPr>
          <a:r>
            <a:rPr b="0" lang="en-US" sz="1200" spc="-1" strike="noStrike">
              <a:solidFill>
                <a:srgbClr val="000000"/>
              </a:solidFill>
              <a:latin typeface="Times New Roman"/>
              <a:ea typeface="Calibri"/>
            </a:rPr>
            <a:t>Robie R. A., Hemingway B. S., and Fischer J. R. (1978) </a:t>
          </a:r>
          <a:r>
            <a:rPr b="0" i="1" lang="en-US" sz="1200" spc="-1" strike="noStrike">
              <a:solidFill>
                <a:srgbClr val="000000"/>
              </a:solidFill>
              <a:latin typeface="Times New Roman"/>
              <a:ea typeface="Calibri"/>
            </a:rPr>
            <a:t>Thermodynamic Properties of Minerals and Related Substances at 298.15K and 1 Bar (105 Pascals) Pressure and at Higher Temperatures</a:t>
          </a:r>
          <a:r>
            <a:rPr b="0" lang="en-US" sz="1200" spc="-1" strike="noStrike">
              <a:solidFill>
                <a:srgbClr val="000000"/>
              </a:solidFill>
              <a:latin typeface="Times New Roman"/>
              <a:ea typeface="Calibri"/>
            </a:rPr>
            <a:t>. U.S. Geol. Surv. Bull. 1452, United States Government Printing Office, Washington, DC. 456 pp. [Reprinted with corrections, 1979] </a:t>
          </a:r>
          <a:r>
            <a:rPr b="0" lang="en-US" sz="1200" spc="-1" strike="noStrike" u="sng">
              <a:solidFill>
                <a:srgbClr val="000000"/>
              </a:solidFill>
              <a:uFillTx/>
              <a:latin typeface="Times New Roman"/>
              <a:ea typeface="Calibri"/>
            </a:rPr>
            <a:t>http://pubs.usgs.gov/bul/1452/report.pdf</a:t>
          </a:r>
          <a:endParaRPr b="0" lang="en-US" sz="1200" spc="-1" strike="noStrike">
            <a:latin typeface="Times New Roman"/>
          </a:endParaRPr>
        </a:p>
        <a:p>
          <a:pPr marL="274320" indent="-273960">
            <a:lnSpc>
              <a:spcPct val="100000"/>
            </a:lnSpc>
          </a:pPr>
          <a:r>
            <a:rPr b="0" lang="en-US" sz="1200" spc="-1" strike="noStrike">
              <a:solidFill>
                <a:srgbClr val="000000"/>
              </a:solidFill>
              <a:latin typeface="Times New Roman"/>
              <a:ea typeface="Calibri"/>
            </a:rPr>
            <a:t> </a:t>
          </a:r>
          <a:endParaRPr b="0" lang="en-US" sz="1200" spc="-1" strike="noStrike">
            <a:latin typeface="Times New Roman"/>
          </a:endParaRPr>
        </a:p>
        <a:p>
          <a:pPr marL="274320" indent="-273960">
            <a:lnSpc>
              <a:spcPct val="100000"/>
            </a:lnSpc>
          </a:pPr>
          <a:r>
            <a:rPr b="0" lang="en-US" sz="1200" spc="-1" strike="noStrike">
              <a:solidFill>
                <a:srgbClr val="000000"/>
              </a:solidFill>
              <a:latin typeface="Times New Roman"/>
              <a:ea typeface="Calibri"/>
            </a:rPr>
            <a:t>Robie R. A. and Hemingway B. S. (1995) </a:t>
          </a:r>
          <a:r>
            <a:rPr b="0" i="1" lang="en-US" sz="1200" spc="-1" strike="noStrike">
              <a:solidFill>
                <a:srgbClr val="000000"/>
              </a:solidFill>
              <a:latin typeface="Times New Roman"/>
              <a:ea typeface="Calibri"/>
            </a:rPr>
            <a:t>Thermodynamic Properties of Minerals and Related Substances at 298.15 K and 1 Bar (10</a:t>
          </a:r>
          <a:r>
            <a:rPr b="0" i="1" lang="en-US" sz="1200" spc="-1" strike="noStrike" baseline="30000">
              <a:solidFill>
                <a:srgbClr val="000000"/>
              </a:solidFill>
              <a:latin typeface="Times New Roman"/>
              <a:ea typeface="Calibri"/>
            </a:rPr>
            <a:t>5</a:t>
          </a:r>
          <a:r>
            <a:rPr b="0" i="1" lang="en-US" sz="1200" spc="-1" strike="noStrike">
              <a:solidFill>
                <a:srgbClr val="000000"/>
              </a:solidFill>
              <a:latin typeface="Times New Roman"/>
              <a:ea typeface="Calibri"/>
            </a:rPr>
            <a:t> Pascals) Pressure and at Higher Temperatures.</a:t>
          </a:r>
          <a:r>
            <a:rPr b="0" lang="en-US" sz="1200" spc="-1" strike="noStrike">
              <a:solidFill>
                <a:srgbClr val="000000"/>
              </a:solidFill>
              <a:latin typeface="Times New Roman"/>
              <a:ea typeface="Calibri"/>
            </a:rPr>
            <a:t> U.S. Geol. Surv. Bull. 2131. United States Government Printing Office, Washington, DC. 461 pp. </a:t>
          </a:r>
          <a:r>
            <a:rPr b="0" lang="en-US" sz="1200" spc="-1" strike="noStrike" u="sng">
              <a:solidFill>
                <a:srgbClr val="000000"/>
              </a:solidFill>
              <a:uFillTx/>
              <a:latin typeface="Times New Roman"/>
              <a:ea typeface="Calibri"/>
            </a:rPr>
            <a:t>http://pubs.usgs.gov/bul/2131/report.pdf</a:t>
          </a:r>
          <a:endParaRPr b="0" lang="en-US" sz="1200" spc="-1" strike="noStrike">
            <a:latin typeface="Times New Roman"/>
          </a:endParaRPr>
        </a:p>
        <a:p>
          <a:pPr marL="274320" indent="-273960">
            <a:lnSpc>
              <a:spcPct val="100000"/>
            </a:lnSpc>
          </a:pPr>
          <a:r>
            <a:rPr b="0" lang="en-US" sz="1200" spc="-1" strike="noStrike">
              <a:solidFill>
                <a:srgbClr val="000000"/>
              </a:solidFill>
              <a:latin typeface="Times New Roman"/>
              <a:ea typeface="Calibri"/>
            </a:rPr>
            <a:t> </a:t>
          </a:r>
          <a:endParaRPr b="0" lang="en-US" sz="1200" spc="-1" strike="noStrike">
            <a:latin typeface="Times New Roman"/>
          </a:endParaRPr>
        </a:p>
        <a:p>
          <a:pPr marL="274320" indent="-273960">
            <a:lnSpc>
              <a:spcPct val="100000"/>
            </a:lnSpc>
          </a:pPr>
          <a:r>
            <a:rPr b="0" lang="en-US" sz="1200" spc="-1" strike="noStrike">
              <a:solidFill>
                <a:srgbClr val="000000"/>
              </a:solidFill>
              <a:latin typeface="Times New Roman"/>
              <a:ea typeface="Calibri"/>
            </a:rPr>
            <a:t>Rodebush W.H. and Rodebush E. (1929) Thermodynamic quantities: values of the heat ca</a:t>
          </a:r>
          <a:r>
            <a:rPr b="0" lang="en-US" sz="1200" spc="-1" strike="noStrike">
              <a:solidFill>
                <a:srgbClr val="000000"/>
              </a:solidFill>
              <a:latin typeface="Times New Roman"/>
              <a:ea typeface="Calibri"/>
            </a:rPr>
            <a:t>pacity, entropy, heat content and “thermodynamic potential' for pure substances between 0 and 298°K." pp. 84-91 in Washburn, E.W. (Editor-in-Chief). (1929) </a:t>
          </a:r>
          <a:r>
            <a:rPr b="0" i="1" lang="en-US" sz="1200" spc="-1" strike="noStrike">
              <a:solidFill>
                <a:srgbClr val="000000"/>
              </a:solidFill>
              <a:latin typeface="Times New Roman"/>
              <a:ea typeface="Calibri"/>
            </a:rPr>
            <a:t>International Criitical Tables of Numerical Data, Physics, Chemistry and Technology</a:t>
          </a:r>
          <a:r>
            <a:rPr b="0" lang="en-US" sz="1200" spc="-1" strike="noStrike">
              <a:solidFill>
                <a:srgbClr val="000000"/>
              </a:solidFill>
              <a:latin typeface="Times New Roman"/>
              <a:ea typeface="Calibri"/>
            </a:rPr>
            <a:t>, Volume V. Published for the National Research Council by McGraw-Hill Book Company, New York. </a:t>
          </a:r>
          <a:r>
            <a:rPr b="0" lang="en-US" sz="1200" spc="-1" strike="noStrike" u="sng">
              <a:solidFill>
                <a:srgbClr val="0000ff"/>
              </a:solidFill>
              <a:uFillTx/>
              <a:latin typeface="Times New Roman"/>
              <a:ea typeface="Calibri"/>
            </a:rPr>
            <a:t>http://chla.library.cornell.edu/c/chla/browse/title/2944761.html</a:t>
          </a:r>
          <a:endParaRPr b="0" lang="en-US" sz="1200" spc="-1" strike="noStrike">
            <a:latin typeface="Times New Roman"/>
          </a:endParaRPr>
        </a:p>
        <a:p>
          <a:pPr marL="274320" indent="-273960">
            <a:lnSpc>
              <a:spcPct val="100000"/>
            </a:lnSpc>
          </a:pPr>
          <a:r>
            <a:rPr b="0" lang="en-US" sz="1200" spc="-1" strike="noStrike">
              <a:solidFill>
                <a:srgbClr val="000000"/>
              </a:solidFill>
              <a:latin typeface="Times New Roman"/>
              <a:ea typeface="Calibri"/>
            </a:rPr>
            <a:t> </a:t>
          </a:r>
          <a:endParaRPr b="0" lang="en-US" sz="1200" spc="-1" strike="noStrike">
            <a:latin typeface="Times New Roman"/>
          </a:endParaRPr>
        </a:p>
        <a:p>
          <a:pPr marL="274320" indent="-273960">
            <a:lnSpc>
              <a:spcPct val="100000"/>
            </a:lnSpc>
          </a:pPr>
          <a:r>
            <a:rPr b="0" lang="en-US" sz="1200" spc="-1" strike="noStrike">
              <a:solidFill>
                <a:srgbClr val="000000"/>
              </a:solidFill>
              <a:latin typeface="Times New Roman"/>
              <a:ea typeface="Calibri"/>
            </a:rPr>
            <a:t>Rossini F.D., Wagman D. D., Evans W. H., Levine S., and Jaffe I. (1952) </a:t>
          </a:r>
          <a:r>
            <a:rPr b="0" i="1" lang="en-US" sz="1200" spc="-1" strike="noStrike">
              <a:solidFill>
                <a:srgbClr val="000000"/>
              </a:solidFill>
              <a:latin typeface="Times New Roman"/>
              <a:ea typeface="Calibri"/>
            </a:rPr>
            <a:t>Selected Values of Chemical Thermodynamic Properties</a:t>
          </a:r>
          <a:r>
            <a:rPr b="0" lang="en-US" sz="1200" spc="-1" strike="noStrike">
              <a:solidFill>
                <a:srgbClr val="000000"/>
              </a:solidFill>
              <a:latin typeface="Times New Roman"/>
              <a:ea typeface="Calibri"/>
            </a:rPr>
            <a:t>. U.S. Department of Commerce, National Bureau of Standards. Circular of the National Bureau of Standards 500. United States Government Printing Office, Washington, DC. 1268 pp.</a:t>
          </a:r>
          <a:endParaRPr b="0" lang="en-US" sz="1200" spc="-1" strike="noStrike">
            <a:latin typeface="Times New Roman"/>
          </a:endParaRPr>
        </a:p>
        <a:p>
          <a:pPr marL="274320" indent="-273960">
            <a:lnSpc>
              <a:spcPct val="100000"/>
            </a:lnSpc>
          </a:pPr>
          <a:endParaRPr b="0" lang="en-US" sz="1200" spc="-1" strike="noStrike">
            <a:latin typeface="Times New Roman"/>
          </a:endParaRPr>
        </a:p>
        <a:p>
          <a:pPr marL="274320" indent="-273960">
            <a:lnSpc>
              <a:spcPct val="100000"/>
            </a:lnSpc>
          </a:pPr>
          <a:r>
            <a:rPr b="0" lang="en-US" sz="1200" spc="-1" strike="noStrike">
              <a:solidFill>
                <a:srgbClr val="000000"/>
              </a:solidFill>
              <a:latin typeface="Times New Roman"/>
              <a:ea typeface="Calibri"/>
            </a:rPr>
            <a:t>Schumm R.H., Wagman D.D. Bailey S., Evans W.H., and Parker V.B. (1973) </a:t>
          </a:r>
          <a:r>
            <a:rPr b="0" i="1" lang="en-US" sz="1200" spc="-1" strike="noStrike">
              <a:solidFill>
                <a:srgbClr val="000000"/>
              </a:solidFill>
              <a:latin typeface="Times New Roman"/>
              <a:ea typeface="Calibri"/>
            </a:rPr>
            <a:t>Selected Values of Chemical Thermodynamic Properties. Tables for the Lanthanide (Rare Earth) Elements (Elements 62 Through 76 in the Standard Order of Arrangement</a:t>
          </a:r>
          <a:r>
            <a:rPr b="0" lang="en-US" sz="1200" spc="-1" strike="noStrike">
              <a:solidFill>
                <a:srgbClr val="000000"/>
              </a:solidFill>
              <a:latin typeface="Times New Roman"/>
              <a:ea typeface="Calibri"/>
            </a:rPr>
            <a:t>. National Bureau of Standards Technical Note 270-7. United States  Government Printing Office, Washington,</a:t>
          </a:r>
          <a:br/>
          <a:r>
            <a:rPr b="0" lang="en-US" sz="1200" spc="-1" strike="noStrike">
              <a:solidFill>
                <a:srgbClr val="000000"/>
              </a:solidFill>
              <a:latin typeface="Times New Roman"/>
              <a:ea typeface="Calibri"/>
            </a:rPr>
            <a:t>  DC. 75 </a:t>
          </a:r>
          <a:r>
            <a:rPr b="0" lang="en-US" sz="1200" spc="-1" strike="noStrike">
              <a:solidFill>
                <a:srgbClr val="000000"/>
              </a:solidFill>
              <a:latin typeface="Times New Roman"/>
              <a:ea typeface="Calibri"/>
            </a:rPr>
            <a:t>pp. </a:t>
          </a:r>
          <a:r>
            <a:rPr b="0" lang="en-US" sz="1200" spc="-1" strike="noStrike" u="sng">
              <a:solidFill>
                <a:srgbClr val="000000"/>
              </a:solidFill>
              <a:uFillTx/>
              <a:latin typeface="Times New Roman"/>
              <a:ea typeface="Calibri"/>
            </a:rPr>
            <a:t>https://archive.org/details/selectedvaluesof2707schu</a:t>
          </a:r>
          <a:endParaRPr b="0" lang="en-US" sz="1200" spc="-1" strike="noStrike">
            <a:latin typeface="Times New Roman"/>
          </a:endParaRPr>
        </a:p>
        <a:p>
          <a:pPr marL="274320" indent="-273960">
            <a:lnSpc>
              <a:spcPct val="100000"/>
            </a:lnSpc>
          </a:pPr>
          <a:r>
            <a:rPr b="0" lang="en-US" sz="1200" spc="-1" strike="noStrike">
              <a:solidFill>
                <a:srgbClr val="000000"/>
              </a:solidFill>
              <a:latin typeface="Times New Roman"/>
              <a:ea typeface="Calibri"/>
            </a:rPr>
            <a:t> </a:t>
          </a:r>
          <a:endParaRPr b="0" lang="en-US" sz="1200" spc="-1" strike="noStrike">
            <a:latin typeface="Times New Roman"/>
          </a:endParaRPr>
        </a:p>
        <a:p>
          <a:pPr marL="274320" indent="-273960">
            <a:lnSpc>
              <a:spcPct val="100000"/>
            </a:lnSpc>
          </a:pPr>
          <a:r>
            <a:rPr b="0" lang="en-US" sz="1200" spc="-1" strike="noStrike">
              <a:solidFill>
                <a:srgbClr val="000000"/>
              </a:solidFill>
              <a:latin typeface="Times New Roman"/>
              <a:ea typeface="Calibri"/>
            </a:rPr>
            <a:t>Silva R. J., Bidoglio, G., Rand, M. H., Robouch, P. B., Wanner, and H., and Puigdomenech, I. (1995) </a:t>
          </a:r>
          <a:r>
            <a:rPr b="0" i="1" lang="en-US" sz="1200" spc="-1" strike="noStrike">
              <a:solidFill>
                <a:srgbClr val="000000"/>
              </a:solidFill>
              <a:latin typeface="Times New Roman"/>
              <a:ea typeface="Calibri"/>
            </a:rPr>
            <a:t>Chemical Thermodynamics of Americium</a:t>
          </a:r>
          <a:r>
            <a:rPr b="0" lang="en-US" sz="1200" spc="-1" strike="noStrike">
              <a:solidFill>
                <a:srgbClr val="000000"/>
              </a:solidFill>
              <a:latin typeface="Times New Roman"/>
              <a:ea typeface="Calibri"/>
            </a:rPr>
            <a:t>. Chemical Thermodynamics. Volume 2. North Holland Elsevier Science Publishers B. V., Amsterdam, The Netherlands. 374 pp. </a:t>
          </a:r>
          <a:r>
            <a:rPr b="0" lang="en-US" sz="1200" spc="-1" strike="noStrike" u="sng">
              <a:solidFill>
                <a:srgbClr val="0000ff"/>
              </a:solidFill>
              <a:uFillTx/>
              <a:latin typeface="Times New Roman"/>
              <a:ea typeface="Calibri"/>
            </a:rPr>
            <a:t>http://www.oecd-nea.org/dbtdb/pubs/americium.pdf</a:t>
          </a:r>
          <a:endParaRPr b="0" lang="en-US" sz="1200" spc="-1" strike="noStrike">
            <a:latin typeface="Times New Roman"/>
          </a:endParaRPr>
        </a:p>
        <a:p>
          <a:pPr marL="274320" indent="-273960">
            <a:lnSpc>
              <a:spcPct val="100000"/>
            </a:lnSpc>
          </a:pPr>
          <a:r>
            <a:rPr b="0" lang="en-US" sz="1200" spc="-1" strike="noStrike">
              <a:solidFill>
                <a:srgbClr val="000000"/>
              </a:solidFill>
              <a:latin typeface="Times New Roman"/>
              <a:ea typeface="Calibri"/>
            </a:rPr>
            <a:t> </a:t>
          </a:r>
          <a:endParaRPr b="0" lang="en-US" sz="1200" spc="-1" strike="noStrike">
            <a:latin typeface="Times New Roman"/>
          </a:endParaRPr>
        </a:p>
        <a:p>
          <a:pPr marL="274320" indent="-273960">
            <a:lnSpc>
              <a:spcPct val="100000"/>
            </a:lnSpc>
          </a:pPr>
          <a:r>
            <a:rPr b="0" lang="en-US" sz="1200" spc="-1" strike="noStrike">
              <a:solidFill>
                <a:srgbClr val="000000"/>
              </a:solidFill>
              <a:latin typeface="Times New Roman"/>
              <a:ea typeface="Calibri"/>
            </a:rPr>
            <a:t>Stull D.R. and Sinke G.C. (1956) </a:t>
          </a:r>
          <a:r>
            <a:rPr b="0" i="1" lang="en-US" sz="1200" spc="-1" strike="noStrike">
              <a:solidFill>
                <a:srgbClr val="000000"/>
              </a:solidFill>
              <a:latin typeface="Times New Roman"/>
              <a:ea typeface="Calibri"/>
            </a:rPr>
            <a:t>Thermodynamic Properties of the Elements</a:t>
          </a:r>
          <a:r>
            <a:rPr b="0" lang="en-US" sz="1200" spc="-1" strike="noStrike">
              <a:solidFill>
                <a:srgbClr val="000000"/>
              </a:solidFill>
              <a:latin typeface="Times New Roman"/>
              <a:ea typeface="Calibri"/>
            </a:rPr>
            <a:t>. Advances in Chemistry Series 18. American Chemical Society, Washington, DC. 242 pp. ISBN 125838194X.</a:t>
          </a:r>
          <a:endParaRPr b="0" lang="en-US" sz="1200" spc="-1" strike="noStrike">
            <a:latin typeface="Times New Roman"/>
          </a:endParaRPr>
        </a:p>
        <a:p>
          <a:pPr marL="274320" indent="-273960">
            <a:lnSpc>
              <a:spcPct val="100000"/>
            </a:lnSpc>
          </a:pPr>
          <a:r>
            <a:rPr b="0" lang="en-US" sz="1200" spc="-1" strike="noStrike">
              <a:solidFill>
                <a:srgbClr val="000000"/>
              </a:solidFill>
              <a:latin typeface="Times New Roman"/>
              <a:ea typeface="Calibri"/>
            </a:rPr>
            <a:t> </a:t>
          </a:r>
          <a:endParaRPr b="0" lang="en-US" sz="1200" spc="-1" strike="noStrike">
            <a:latin typeface="Times New Roman"/>
          </a:endParaRPr>
        </a:p>
        <a:p>
          <a:pPr marL="274320" indent="-273960">
            <a:lnSpc>
              <a:spcPct val="100000"/>
            </a:lnSpc>
          </a:pPr>
          <a:r>
            <a:rPr b="0" lang="en-US" sz="1200" spc="-1" strike="noStrike">
              <a:solidFill>
                <a:srgbClr val="000000"/>
              </a:solidFill>
              <a:latin typeface="Times New Roman"/>
              <a:ea typeface="Calibri"/>
            </a:rPr>
            <a:t>Stull D. R., and Prophet, H. (1971) </a:t>
          </a:r>
          <a:r>
            <a:rPr b="0" i="1" lang="en-US" sz="1200" spc="-1" strike="noStrike">
              <a:solidFill>
                <a:srgbClr val="000000"/>
              </a:solidFill>
              <a:latin typeface="Times New Roman"/>
              <a:ea typeface="Calibri"/>
            </a:rPr>
            <a:t>JANAF Thermochemical Tables, Second Edition</a:t>
          </a:r>
          <a:r>
            <a:rPr b="0" lang="en-US" sz="1200" spc="-1" strike="noStrike">
              <a:solidFill>
                <a:srgbClr val="000000"/>
              </a:solidFill>
              <a:latin typeface="Times New Roman"/>
              <a:ea typeface="Calibri"/>
            </a:rPr>
            <a:t>. United States Department of Commerce, National Bureau of Standards. NSRDS-NBS 37. United States  Government Printing Office, Washington, DC. 1139 pp. </a:t>
          </a:r>
          <a:r>
            <a:rPr b="0" lang="en-US" sz="1200" spc="-1" strike="noStrike" u="sng">
              <a:solidFill>
                <a:srgbClr val="0000ff"/>
              </a:solidFill>
              <a:uFillTx/>
              <a:latin typeface="Times New Roman"/>
              <a:ea typeface="Calibri"/>
            </a:rPr>
            <a:t>http://www.nist.gov/data/nsrds/NSRDS-NBS37.pdf</a:t>
          </a:r>
          <a:endParaRPr b="0" lang="en-US" sz="1200" spc="-1" strike="noStrike">
            <a:latin typeface="Times New Roman"/>
          </a:endParaRPr>
        </a:p>
        <a:p>
          <a:pPr marL="274320" indent="-273960">
            <a:lnSpc>
              <a:spcPct val="100000"/>
            </a:lnSpc>
          </a:pPr>
          <a:endParaRPr b="0" lang="en-US" sz="1200" spc="-1" strike="noStrike">
            <a:latin typeface="Times New Roman"/>
          </a:endParaRPr>
        </a:p>
        <a:p>
          <a:pPr marL="274320" indent="-273960">
            <a:lnSpc>
              <a:spcPct val="100000"/>
            </a:lnSpc>
          </a:pPr>
          <a:r>
            <a:rPr b="0" lang="en-US" sz="1200" spc="-1" strike="noStrike">
              <a:solidFill>
                <a:srgbClr val="000000"/>
              </a:solidFill>
              <a:latin typeface="Times New Roman"/>
              <a:ea typeface="Calibri"/>
            </a:rPr>
            <a:t>Wagman D. D., Evans W. H., Parker V. B., Halow I., Bailey S. M., and Schumm R. H. (1968) </a:t>
          </a:r>
          <a:r>
            <a:rPr b="0" i="1" lang="en-US" sz="1200" spc="-1" strike="noStrike">
              <a:solidFill>
                <a:srgbClr val="000000"/>
              </a:solidFill>
              <a:latin typeface="Times New Roman"/>
              <a:ea typeface="Calibri"/>
            </a:rPr>
            <a:t>Selected Values of Chemical Thermodynamic Properties. Tables for the First Thirty-Four Elements in the Standard Order of Arrangement</a:t>
          </a:r>
          <a:r>
            <a:rPr b="0" lang="en-US" sz="1200" spc="-1" strike="noStrike">
              <a:solidFill>
                <a:srgbClr val="000000"/>
              </a:solidFill>
              <a:latin typeface="Times New Roman"/>
              <a:ea typeface="Calibri"/>
            </a:rPr>
            <a:t>. National Bureau of Standards Technical Note 270-3. United States Government Printing Office, Washington, DC. 264 pp</a:t>
          </a:r>
          <a:r>
            <a:rPr b="0" lang="en-US" sz="1200" spc="-1" strike="noStrike">
              <a:solidFill>
                <a:srgbClr val="000000"/>
              </a:solidFill>
              <a:latin typeface="Times New Roman"/>
              <a:ea typeface="Calibri"/>
            </a:rPr>
            <a:t>. </a:t>
          </a:r>
          <a:r>
            <a:rPr b="0" lang="en-US" sz="1200" spc="-1" strike="noStrike" u="sng">
              <a:solidFill>
                <a:srgbClr val="000000"/>
              </a:solidFill>
              <a:uFillTx/>
              <a:latin typeface="Times New Roman"/>
              <a:ea typeface="Calibri"/>
            </a:rPr>
            <a:t>https://archive.org/details/selectedvaluesof2703wagm</a:t>
          </a:r>
          <a:endParaRPr b="0" lang="en-US" sz="1200" spc="-1" strike="noStrike">
            <a:latin typeface="Times New Roman"/>
          </a:endParaRPr>
        </a:p>
        <a:p>
          <a:pPr marL="274320" indent="-273960">
            <a:lnSpc>
              <a:spcPct val="100000"/>
            </a:lnSpc>
          </a:pPr>
          <a:endParaRPr b="0" lang="en-US" sz="1200" spc="-1" strike="noStrike">
            <a:latin typeface="Times New Roman"/>
          </a:endParaRPr>
        </a:p>
        <a:p>
          <a:pPr marL="274320" indent="-273960">
            <a:lnSpc>
              <a:spcPct val="100000"/>
            </a:lnSpc>
          </a:pPr>
          <a:r>
            <a:rPr b="0" lang="en-US" sz="1200" spc="-1" strike="noStrike">
              <a:solidFill>
                <a:srgbClr val="000000"/>
              </a:solidFill>
              <a:latin typeface="Times New Roman"/>
              <a:ea typeface="Calibri"/>
            </a:rPr>
            <a:t> </a:t>
          </a:r>
          <a:r>
            <a:rPr b="0" lang="en-US" sz="1200" spc="-1" strike="noStrike">
              <a:solidFill>
                <a:srgbClr val="000000"/>
              </a:solidFill>
              <a:latin typeface="Times New Roman"/>
              <a:ea typeface="Calibri"/>
            </a:rPr>
            <a:t>Wagman D. D., Evans W. H., Parker V. B., Halow I, Bailey S. M., and Schumm R. H. (1969) </a:t>
          </a:r>
          <a:r>
            <a:rPr b="0" i="1" lang="en-US" sz="1200" spc="-1" strike="noStrike">
              <a:solidFill>
                <a:srgbClr val="000000"/>
              </a:solidFill>
              <a:latin typeface="Times New Roman"/>
              <a:ea typeface="Calibri"/>
            </a:rPr>
            <a:t>Selected Values of Chemical Thermodynamic Properties. Tables for Elements 35 through 53 in the Standard Order of Arrangement</a:t>
          </a:r>
          <a:r>
            <a:rPr b="0" lang="en-US" sz="1200" spc="-1" strike="noStrike">
              <a:solidFill>
                <a:srgbClr val="000000"/>
              </a:solidFill>
              <a:latin typeface="Times New Roman"/>
              <a:ea typeface="Calibri"/>
            </a:rPr>
            <a:t>. National Bureau of Standards Technical Note 270-4. United States Government Printing Office, Washington, DC. 141  pp</a:t>
          </a:r>
          <a:r>
            <a:rPr b="0" lang="en-US" sz="1200" spc="-1" strike="noStrike">
              <a:solidFill>
                <a:srgbClr val="000000"/>
              </a:solidFill>
              <a:latin typeface="Times New Roman"/>
              <a:ea typeface="Calibri"/>
            </a:rPr>
            <a:t>. </a:t>
          </a:r>
          <a:r>
            <a:rPr b="0" lang="en-US" sz="1200" spc="-1" strike="noStrike" u="sng">
              <a:solidFill>
                <a:srgbClr val="000000"/>
              </a:solidFill>
              <a:uFillTx/>
              <a:latin typeface="Times New Roman"/>
              <a:ea typeface="Calibri"/>
            </a:rPr>
            <a:t>https://archive.org/details/selectedvaluesof2704wagm</a:t>
          </a:r>
          <a:endParaRPr b="0" lang="en-US" sz="1200" spc="-1" strike="noStrike">
            <a:latin typeface="Times New Roman"/>
          </a:endParaRPr>
        </a:p>
        <a:p>
          <a:pPr marL="274320" indent="-273960">
            <a:lnSpc>
              <a:spcPct val="100000"/>
            </a:lnSpc>
          </a:pPr>
          <a:r>
            <a:rPr b="0" lang="en-US" sz="1200" spc="-1" strike="noStrike">
              <a:solidFill>
                <a:srgbClr val="000000"/>
              </a:solidFill>
              <a:latin typeface="Times New Roman"/>
              <a:ea typeface="Calibri"/>
            </a:rPr>
            <a:t> </a:t>
          </a:r>
          <a:endParaRPr b="0" lang="en-US" sz="1200" spc="-1" strike="noStrike">
            <a:latin typeface="Times New Roman"/>
          </a:endParaRPr>
        </a:p>
        <a:p>
          <a:pPr marL="274320" indent="-273960">
            <a:lnSpc>
              <a:spcPct val="100000"/>
            </a:lnSpc>
          </a:pPr>
          <a:r>
            <a:rPr b="0" lang="en-US" sz="1200" spc="-1" strike="noStrike">
              <a:solidFill>
                <a:srgbClr val="000000"/>
              </a:solidFill>
              <a:latin typeface="Times New Roman"/>
              <a:ea typeface="Calibri"/>
            </a:rPr>
            <a:t>Wagman D. D., Evans W. H., Parker V. B., Halow, I., Bailey S. M., Schumm R. H., and Churney K. L. (1971) </a:t>
          </a:r>
          <a:r>
            <a:rPr b="0" i="1" lang="en-US" sz="1200" spc="-1" strike="noStrike">
              <a:solidFill>
                <a:srgbClr val="000000"/>
              </a:solidFill>
              <a:latin typeface="Times New Roman"/>
              <a:ea typeface="Calibri"/>
            </a:rPr>
            <a:t>Selected Values of Chemical Thermodynamic Properties. Tables for Elements 54 through 61 in the Standard Order of Arrangement</a:t>
          </a:r>
          <a:r>
            <a:rPr b="0" lang="en-US" sz="1200" spc="-1" strike="noStrike">
              <a:solidFill>
                <a:srgbClr val="000000"/>
              </a:solidFill>
              <a:latin typeface="Times New Roman"/>
              <a:ea typeface="Calibri"/>
            </a:rPr>
            <a:t>. National Bureau of Standards Technical Note 270-5. United States Government Printing Office, Washington, DC. 37 pp. </a:t>
          </a:r>
          <a:r>
            <a:rPr b="0" lang="en-US" sz="1200" spc="-1" strike="noStrike" u="sng">
              <a:solidFill>
                <a:srgbClr val="0000ff"/>
              </a:solidFill>
              <a:uFillTx/>
              <a:latin typeface="Times New Roman"/>
              <a:ea typeface="Calibri"/>
            </a:rPr>
            <a:t>https://archive.org/details/selectedvaluesof2705wagm</a:t>
          </a:r>
          <a:endParaRPr b="0" lang="en-US" sz="1200" spc="-1" strike="noStrike">
            <a:latin typeface="Times New Roman"/>
          </a:endParaRPr>
        </a:p>
        <a:p>
          <a:pPr marL="274320" indent="-273960">
            <a:lnSpc>
              <a:spcPct val="100000"/>
            </a:lnSpc>
          </a:pPr>
          <a:endParaRPr b="0" lang="en-US" sz="1200" spc="-1" strike="noStrike">
            <a:latin typeface="Times New Roman"/>
          </a:endParaRPr>
        </a:p>
        <a:p>
          <a:pPr marL="274320" indent="-273960">
            <a:lnSpc>
              <a:spcPct val="100000"/>
            </a:lnSpc>
          </a:pPr>
          <a:r>
            <a:rPr b="0" lang="en-US" sz="1200" spc="-1" strike="noStrike">
              <a:solidFill>
                <a:srgbClr val="000000"/>
              </a:solidFill>
              <a:latin typeface="Times New Roman"/>
              <a:ea typeface="Calibri"/>
            </a:rPr>
            <a:t>Wagman D. D., Evans W. H., Parker V. B., Schumm R. H., and Nuttall R. L. (1981) </a:t>
          </a:r>
          <a:r>
            <a:rPr b="0" i="1" lang="en-US" sz="1200" spc="-1" strike="noStrike">
              <a:solidFill>
                <a:srgbClr val="000000"/>
              </a:solidFill>
              <a:latin typeface="Times New Roman"/>
              <a:ea typeface="Calibri"/>
            </a:rPr>
            <a:t>Selected Values of Chemical Thermodynamic Properties. Compounds of Urnaium, Protactinium, Thorium, Actiium, and the Alkali Metals</a:t>
          </a:r>
          <a:r>
            <a:rPr b="0" lang="en-US" sz="1200" spc="-1" strike="noStrike">
              <a:solidFill>
                <a:srgbClr val="000000"/>
              </a:solidFill>
              <a:latin typeface="Times New Roman"/>
              <a:ea typeface="Calibri"/>
            </a:rPr>
            <a:t>. National Bureau of Standards Technical Note 270-8. United States Government Printing Office, Washington, DC. 134 pp. </a:t>
          </a:r>
          <a:r>
            <a:rPr b="0" lang="en-US" sz="1200" spc="-1" strike="noStrike" u="sng">
              <a:solidFill>
                <a:srgbClr val="0000ff"/>
              </a:solidFill>
              <a:uFillTx/>
              <a:latin typeface="Times New Roman"/>
              <a:ea typeface="Calibri"/>
            </a:rPr>
            <a:t>https://archive.org/details/selectedvaluesof2708wagm</a:t>
          </a:r>
          <a:endParaRPr b="0" lang="en-US" sz="1200" spc="-1" strike="noStrike">
            <a:latin typeface="Times New Roman"/>
          </a:endParaRPr>
        </a:p>
        <a:p>
          <a:pPr marL="274320" indent="-273960">
            <a:lnSpc>
              <a:spcPct val="100000"/>
            </a:lnSpc>
          </a:pPr>
          <a:r>
            <a:rPr b="0" lang="en-US" sz="1200" spc="-1" strike="noStrike">
              <a:solidFill>
                <a:srgbClr val="000000"/>
              </a:solidFill>
              <a:latin typeface="Times New Roman"/>
              <a:ea typeface="Calibri"/>
            </a:rPr>
            <a:t> </a:t>
          </a:r>
          <a:endParaRPr b="0" lang="en-US" sz="1200" spc="-1" strike="noStrike">
            <a:latin typeface="Times New Roman"/>
          </a:endParaRPr>
        </a:p>
        <a:p>
          <a:pPr marL="274320" indent="-273960">
            <a:lnSpc>
              <a:spcPct val="100000"/>
            </a:lnSpc>
          </a:pPr>
          <a:r>
            <a:rPr b="0" lang="en-US" sz="1200" spc="-1" strike="noStrike">
              <a:solidFill>
                <a:srgbClr val="000000"/>
              </a:solidFill>
              <a:latin typeface="Times New Roman"/>
              <a:ea typeface="Calibri"/>
            </a:rPr>
            <a:t>Wagman D. D., Evans W. H., Parker V. B., Schumm R. H., Halow I, Bailey S. M., Churney K. L., and Nuttall R. L. (1982) The NBS Tables of Chemical Thermodynamic Properties. </a:t>
          </a:r>
          <a:r>
            <a:rPr b="0" i="1" lang="en-US" sz="1200" spc="-1" strike="noStrike">
              <a:solidFill>
                <a:srgbClr val="000000"/>
              </a:solidFill>
              <a:latin typeface="Times New Roman"/>
              <a:ea typeface="Calibri"/>
            </a:rPr>
            <a:t>Journal of Physical and Chemical Reference Data</a:t>
          </a:r>
          <a:r>
            <a:rPr b="0" lang="en-US" sz="1200" spc="-1" strike="noStrike">
              <a:solidFill>
                <a:srgbClr val="000000"/>
              </a:solidFill>
              <a:latin typeface="Times New Roman"/>
              <a:ea typeface="Calibri"/>
            </a:rPr>
            <a:t>, Volume 11, Supplement No. 2. The American Chemical Society, Washington, DC, and the American Institute of Physics, New York. 392 pp. ISBN 0-88318-417-6.</a:t>
          </a:r>
          <a:r>
            <a:rPr b="0" lang="en-US" sz="1200" spc="-1" strike="noStrike" u="sng">
              <a:solidFill>
                <a:srgbClr val="0000ff"/>
              </a:solidFill>
              <a:uFillTx/>
              <a:latin typeface="Times New Roman"/>
              <a:ea typeface="Calibri"/>
            </a:rPr>
            <a:t>http://www.nist.gov/data/PDFfiles/jpcrdS2Vol11.pdf</a:t>
          </a:r>
          <a:r>
            <a:rPr b="0" lang="en-US" sz="1200" spc="-1" strike="noStrike">
              <a:solidFill>
                <a:srgbClr val="000000"/>
              </a:solidFill>
              <a:latin typeface="Times New Roman"/>
              <a:ea typeface="Calibri"/>
            </a:rPr>
            <a:t>.</a:t>
          </a:r>
          <a:endParaRPr b="0" lang="en-US" sz="1200" spc="-1" strike="noStrike">
            <a:latin typeface="Times New Roman"/>
          </a:endParaRPr>
        </a:p>
        <a:p>
          <a:pPr marL="274320" indent="-273960">
            <a:lnSpc>
              <a:spcPct val="100000"/>
            </a:lnSpc>
          </a:pPr>
          <a:r>
            <a:rPr b="0" lang="en-US" sz="1200" spc="-1" strike="noStrike">
              <a:solidFill>
                <a:srgbClr val="000000"/>
              </a:solidFill>
              <a:latin typeface="Times New Roman"/>
              <a:ea typeface="Calibri"/>
            </a:rPr>
            <a:t> </a:t>
          </a:r>
          <a:endParaRPr b="0" lang="en-US" sz="1200" spc="-1" strike="noStrike">
            <a:latin typeface="Times New Roman"/>
          </a:endParaRPr>
        </a:p>
        <a:p>
          <a:pPr marL="274320" indent="-273960">
            <a:lnSpc>
              <a:spcPct val="100000"/>
            </a:lnSpc>
          </a:pPr>
          <a:r>
            <a:rPr b="0" lang="en-US" sz="1200" spc="-1" strike="noStrike">
              <a:solidFill>
                <a:srgbClr val="000000"/>
              </a:solidFill>
              <a:latin typeface="Times New Roman"/>
              <a:ea typeface="Calibri"/>
            </a:rPr>
            <a:t>Wagman D. D., Evans W. H., Parker V. B., Schumm R. H., Halow I, Bailey S. M., Churney K. L., and Nuttall R. L. (1989) Erratum: The NBS tables of chemical thermodynamic properties. </a:t>
          </a:r>
          <a:r>
            <a:rPr b="0" i="1" lang="en-US" sz="1200" spc="-1" strike="noStrike">
              <a:solidFill>
                <a:srgbClr val="000000"/>
              </a:solidFill>
              <a:latin typeface="Times New Roman"/>
              <a:ea typeface="Calibri"/>
            </a:rPr>
            <a:t>J. Phys. Chem. Ref. Data</a:t>
          </a:r>
          <a:r>
            <a:rPr b="0" lang="en-US" sz="1200" spc="-1" strike="noStrike">
              <a:solidFill>
                <a:srgbClr val="000000"/>
              </a:solidFill>
              <a:latin typeface="Times New Roman"/>
              <a:ea typeface="Calibri"/>
            </a:rPr>
            <a:t> </a:t>
          </a:r>
          <a:r>
            <a:rPr b="1" lang="en-US" sz="1200" spc="-1" strike="noStrike">
              <a:solidFill>
                <a:srgbClr val="000000"/>
              </a:solidFill>
              <a:latin typeface="Times New Roman"/>
              <a:ea typeface="Calibri"/>
            </a:rPr>
            <a:t>18</a:t>
          </a:r>
          <a:r>
            <a:rPr b="0" lang="en-US" sz="1200" spc="-1" strike="noStrike">
              <a:solidFill>
                <a:srgbClr val="000000"/>
              </a:solidFill>
              <a:latin typeface="Times New Roman"/>
              <a:ea typeface="Calibri"/>
            </a:rPr>
            <a:t>, 1807-1812.</a:t>
          </a:r>
          <a:endParaRPr b="0" lang="en-US" sz="1200" spc="-1" strike="noStrike">
            <a:latin typeface="Times New Roman"/>
          </a:endParaRPr>
        </a:p>
        <a:p>
          <a:pPr marL="274320" indent="-273960">
            <a:lnSpc>
              <a:spcPct val="100000"/>
            </a:lnSpc>
          </a:pPr>
          <a:endParaRPr b="0" lang="en-US" sz="1200" spc="-1" strike="noStrike">
            <a:latin typeface="Times New Roman"/>
          </a:endParaRPr>
        </a:p>
        <a:p>
          <a:pPr marL="274320" indent="-273960">
            <a:lnSpc>
              <a:spcPct val="100000"/>
            </a:lnSpc>
          </a:pPr>
          <a:endParaRPr b="0" lang="en-US" sz="1200" spc="-1" strike="noStrike">
            <a:latin typeface="Times New Roman"/>
          </a:endParaRPr>
        </a:p>
      </xdr:txBody>
    </xdr:sp>
    <xdr:clientData/>
  </xdr:twoCellAnchor>
</xdr:wsDr>
</file>

<file path=xl/worksheets/_rels/sheet1.xml.rels><?xml version="1.0" encoding="UTF-8"?>
<Relationships xmlns="http://schemas.openxmlformats.org/package/2006/relationships"><Relationship Id="rId1" Type="http://schemas.openxmlformats.org/officeDocument/2006/relationships/hyperlink" Target="mailto:wolery1@llnl.gov" TargetMode="External"/><Relationship Id="rId2" Type="http://schemas.openxmlformats.org/officeDocument/2006/relationships/hyperlink" Target="mailto:cfjovec@sandia.gov" TargetMode="External"/><Relationship Id="rId3"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K324"/>
  <sheetViews>
    <sheetView showFormulas="false" showGridLines="true" showRowColHeaders="true" showZeros="true" rightToLeft="false" tabSelected="false" showOutlineSymbols="true" defaultGridColor="true" view="normal" topLeftCell="A37" colorId="64" zoomScale="100" zoomScaleNormal="100" zoomScalePageLayoutView="100" workbookViewId="0">
      <selection pane="topLeft" activeCell="F8" activeCellId="2" sqref="B16:B122 E16:F122 F8"/>
    </sheetView>
  </sheetViews>
  <sheetFormatPr defaultRowHeight="12.75" zeroHeight="false" outlineLevelRow="0" outlineLevelCol="0"/>
  <cols>
    <col collapsed="false" customWidth="true" hidden="false" outlineLevel="0" max="1025" min="1" style="1" width="11.71"/>
  </cols>
  <sheetData>
    <row r="1" customFormat="false" ht="14.25" hidden="false" customHeight="false" outlineLevel="0" collapsed="false">
      <c r="A1" s="2" t="str">
        <f aca="true">MID(CELL("filename",$A$1),   FIND("\[",CELL("filename",$A$1))+2,   FIND("]",CELL("filename",$A$1),FIND("\[",CELL("filename",$A$1))+2)-FIND("\[",CELL("filename",$A$1))-2)</f>
        <v>TDProperties_Rev0_v69.xlsx</v>
      </c>
      <c r="B1" s="3"/>
      <c r="C1" s="4"/>
      <c r="D1" s="4"/>
      <c r="E1" s="4"/>
      <c r="F1" s="4"/>
      <c r="G1" s="4"/>
      <c r="H1" s="5"/>
      <c r="I1" s="5"/>
      <c r="J1" s="5"/>
      <c r="K1" s="5"/>
    </row>
    <row r="2" customFormat="false" ht="12.75" hidden="false" customHeight="false" outlineLevel="0" collapsed="false">
      <c r="A2" s="4" t="str">
        <f aca="true">MID(CELL("filename",A1),FIND("]",CELL("filename",A1))+1,256)</f>
        <v>ReadMe</v>
      </c>
      <c r="B2" s="4"/>
      <c r="C2" s="4"/>
      <c r="D2" s="4"/>
      <c r="E2" s="4"/>
      <c r="F2" s="4"/>
      <c r="G2" s="4"/>
      <c r="H2" s="5"/>
      <c r="I2" s="5"/>
      <c r="J2" s="5"/>
      <c r="K2" s="5"/>
    </row>
    <row r="3" customFormat="false" ht="12.75" hidden="false" customHeight="false" outlineLevel="0" collapsed="false">
      <c r="A3" s="4"/>
      <c r="B3" s="4"/>
      <c r="C3" s="4"/>
      <c r="D3" s="4"/>
      <c r="E3" s="4"/>
      <c r="F3" s="4"/>
      <c r="G3" s="4"/>
      <c r="H3" s="5"/>
      <c r="I3" s="5"/>
      <c r="J3" s="5"/>
      <c r="K3" s="5"/>
    </row>
    <row r="4" customFormat="false" ht="12.75" hidden="false" customHeight="false" outlineLevel="0" collapsed="false">
      <c r="A4" s="6" t="s">
        <v>0</v>
      </c>
      <c r="B4" s="4"/>
      <c r="C4" s="4"/>
      <c r="D4" s="4"/>
      <c r="E4" s="4"/>
      <c r="F4" s="4"/>
      <c r="G4" s="4"/>
      <c r="H4" s="5"/>
      <c r="I4" s="5"/>
      <c r="J4" s="5"/>
      <c r="K4" s="5"/>
    </row>
    <row r="5" customFormat="false" ht="12.75" hidden="false" customHeight="false" outlineLevel="0" collapsed="false">
      <c r="A5" s="6"/>
      <c r="B5" s="4"/>
      <c r="C5" s="4"/>
      <c r="D5" s="4"/>
      <c r="E5" s="4"/>
      <c r="F5" s="4"/>
      <c r="G5" s="4"/>
      <c r="H5" s="5"/>
      <c r="I5" s="5"/>
      <c r="J5" s="5"/>
      <c r="K5" s="5"/>
    </row>
    <row r="6" customFormat="false" ht="12.75" hidden="false" customHeight="false" outlineLevel="0" collapsed="false">
      <c r="A6" s="6"/>
      <c r="B6" s="4"/>
      <c r="C6" s="4"/>
      <c r="D6" s="4"/>
      <c r="E6" s="4"/>
      <c r="F6" s="4"/>
      <c r="G6" s="4"/>
      <c r="H6" s="5"/>
      <c r="I6" s="5"/>
      <c r="J6" s="5"/>
      <c r="K6" s="5"/>
    </row>
    <row r="7" customFormat="false" ht="12.75" hidden="false" customHeight="false" outlineLevel="0" collapsed="false">
      <c r="A7" s="7" t="n">
        <v>42600</v>
      </c>
      <c r="B7" s="4"/>
      <c r="C7" s="4"/>
      <c r="D7" s="4"/>
      <c r="E7" s="4"/>
      <c r="F7" s="4"/>
      <c r="G7" s="4"/>
      <c r="H7" s="5"/>
      <c r="I7" s="5"/>
      <c r="J7" s="5"/>
      <c r="K7" s="5"/>
    </row>
    <row r="8" customFormat="false" ht="12.75" hidden="false" customHeight="false" outlineLevel="0" collapsed="false">
      <c r="A8" s="4" t="s">
        <v>1</v>
      </c>
      <c r="B8" s="4"/>
      <c r="D8" s="4" t="s">
        <v>2</v>
      </c>
      <c r="F8" s="4"/>
      <c r="G8" s="4"/>
      <c r="H8" s="5"/>
      <c r="I8" s="5"/>
      <c r="J8" s="5"/>
      <c r="K8" s="5"/>
    </row>
    <row r="9" customFormat="false" ht="12.75" hidden="false" customHeight="false" outlineLevel="0" collapsed="false">
      <c r="A9" s="8" t="s">
        <v>3</v>
      </c>
      <c r="B9" s="4"/>
      <c r="C9" s="4"/>
      <c r="D9" s="8" t="s">
        <v>4</v>
      </c>
      <c r="E9" s="4"/>
      <c r="F9" s="4"/>
      <c r="G9" s="4"/>
      <c r="H9" s="5"/>
      <c r="I9" s="5"/>
      <c r="J9" s="5"/>
      <c r="K9" s="5"/>
    </row>
    <row r="10" customFormat="false" ht="12.75" hidden="false" customHeight="false" outlineLevel="0" collapsed="false">
      <c r="A10" s="4" t="s">
        <v>5</v>
      </c>
      <c r="B10" s="4"/>
      <c r="C10" s="4"/>
      <c r="D10" s="4" t="s">
        <v>6</v>
      </c>
      <c r="E10" s="4"/>
      <c r="F10" s="4"/>
      <c r="G10" s="4"/>
      <c r="H10" s="5"/>
      <c r="I10" s="5"/>
      <c r="J10" s="5"/>
      <c r="K10" s="5"/>
    </row>
    <row r="324" customFormat="false" ht="15.75" hidden="false" customHeight="false" outlineLevel="0" collapsed="false"/>
  </sheetData>
  <hyperlinks>
    <hyperlink ref="A9" r:id="rId1" display="wolery1@llnl.gov"/>
    <hyperlink ref="D9" r:id="rId2" display="cfjovec@sandia.gov"/>
  </hyperlink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3"/>
</worksheet>
</file>

<file path=xl/worksheets/sheet10.xml><?xml version="1.0" encoding="utf-8"?>
<worksheet xmlns="http://schemas.openxmlformats.org/spreadsheetml/2006/main" xmlns:r="http://schemas.openxmlformats.org/officeDocument/2006/relationships">
  <sheetPr filterMode="false">
    <pageSetUpPr fitToPage="false"/>
  </sheetPr>
  <dimension ref="A1:U13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7" activeCellId="2" sqref="B16:B122 E16:F122 A7"/>
    </sheetView>
  </sheetViews>
  <sheetFormatPr defaultRowHeight="12.75" zeroHeight="false" outlineLevelRow="0" outlineLevelCol="0"/>
  <cols>
    <col collapsed="false" customWidth="true" hidden="false" outlineLevel="0" max="1025" min="1" style="0" width="11.42"/>
  </cols>
  <sheetData>
    <row r="1" customFormat="false" ht="12.75" hidden="false" customHeight="false" outlineLevel="0" collapsed="false">
      <c r="A1" s="9" t="str">
        <f aca="true">MID(CELL("filename",$A$1),   FIND("\[",CELL("filename",$A$1))+2,   FIND("]",CELL("filename",$A$1),FIND("\[",CELL("filename",$A$1))+2)-FIND("\[",CELL("filename",$A$1))-2)</f>
        <v>TDProperties_Rev0_v69.xlsx</v>
      </c>
    </row>
    <row r="2" customFormat="false" ht="12.75" hidden="false" customHeight="false" outlineLevel="0" collapsed="false">
      <c r="A2" s="0" t="str">
        <f aca="true">MID(CELL("filename",A1),FIND("]",CELL("filename",A1))+1,256)</f>
        <v>Elements USGS</v>
      </c>
    </row>
    <row r="4" customFormat="false" ht="12.75" hidden="false" customHeight="false" outlineLevel="0" collapsed="false">
      <c r="A4" s="9" t="s">
        <v>714</v>
      </c>
    </row>
    <row r="5" customFormat="false" ht="12.75" hidden="false" customHeight="false" outlineLevel="0" collapsed="false">
      <c r="A5" s="10" t="s">
        <v>715</v>
      </c>
      <c r="E5" s="10"/>
      <c r="T5" s="10"/>
      <c r="U5" s="10"/>
    </row>
    <row r="6" customFormat="false" ht="12.75" hidden="false" customHeight="false" outlineLevel="0" collapsed="false">
      <c r="A6" s="10"/>
      <c r="E6" s="10"/>
      <c r="G6" s="10"/>
      <c r="Q6" s="10"/>
      <c r="R6" s="10"/>
      <c r="S6" s="10"/>
      <c r="T6" s="10"/>
      <c r="U6" s="10"/>
    </row>
    <row r="7" customFormat="false" ht="12.75" hidden="false" customHeight="false" outlineLevel="0" collapsed="false">
      <c r="A7" s="10"/>
      <c r="E7" s="10"/>
      <c r="G7" s="10"/>
      <c r="Q7" s="10"/>
      <c r="R7" s="10"/>
      <c r="S7" s="10"/>
      <c r="T7" s="10"/>
      <c r="U7" s="10"/>
    </row>
    <row r="8" customFormat="false" ht="12.75" hidden="false" customHeight="false" outlineLevel="0" collapsed="false">
      <c r="A8" s="10"/>
      <c r="E8" s="10"/>
      <c r="G8" s="10"/>
      <c r="Q8" s="10"/>
      <c r="R8" s="10"/>
      <c r="S8" s="10"/>
      <c r="T8" s="10"/>
      <c r="U8" s="10"/>
    </row>
    <row r="9" customFormat="false" ht="13.5" hidden="false" customHeight="false" outlineLevel="0" collapsed="false">
      <c r="E9" s="10"/>
      <c r="G9" s="10"/>
      <c r="P9" s="10"/>
      <c r="Q9" s="10"/>
      <c r="R9" s="10"/>
      <c r="S9" s="10"/>
      <c r="T9" s="10"/>
      <c r="U9" s="10"/>
    </row>
    <row r="10" customFormat="false" ht="13.5" hidden="false" customHeight="false" outlineLevel="0" collapsed="false">
      <c r="E10" s="10"/>
      <c r="G10" s="10"/>
      <c r="L10" s="10" t="s">
        <v>709</v>
      </c>
      <c r="M10" s="70" t="n">
        <v>0.1</v>
      </c>
      <c r="N10" s="10" t="s">
        <v>710</v>
      </c>
      <c r="P10" s="10"/>
      <c r="Q10" s="10"/>
      <c r="R10" s="10"/>
      <c r="S10" s="10"/>
      <c r="T10" s="10"/>
      <c r="U10" s="10"/>
    </row>
    <row r="11" customFormat="false" ht="12.75" hidden="false" customHeight="false" outlineLevel="0" collapsed="false">
      <c r="B11" s="10"/>
      <c r="E11" s="10"/>
      <c r="G11" s="10"/>
      <c r="P11" s="10"/>
      <c r="Q11" s="10"/>
      <c r="R11" s="10"/>
      <c r="S11" s="10"/>
      <c r="T11" s="10"/>
      <c r="U11" s="10"/>
    </row>
    <row r="12" customFormat="false" ht="12.75" hidden="false" customHeight="false" outlineLevel="0" collapsed="false">
      <c r="B12" s="9" t="s">
        <v>711</v>
      </c>
      <c r="E12" s="10"/>
      <c r="G12" s="9" t="s">
        <v>712</v>
      </c>
      <c r="L12" s="9" t="s">
        <v>716</v>
      </c>
      <c r="P12" s="10"/>
      <c r="Q12" s="10"/>
      <c r="R12" s="10"/>
      <c r="S12" s="10"/>
      <c r="T12" s="10"/>
      <c r="U12" s="10"/>
    </row>
    <row r="13" customFormat="false" ht="12.75" hidden="false" customHeight="false" outlineLevel="0" collapsed="false">
      <c r="B13" s="9" t="s">
        <v>157</v>
      </c>
      <c r="C13" s="9"/>
      <c r="D13" s="9"/>
      <c r="E13" s="46"/>
      <c r="F13" s="10"/>
      <c r="G13" s="9" t="s">
        <v>157</v>
      </c>
      <c r="H13" s="9"/>
      <c r="I13" s="9"/>
      <c r="J13" s="46"/>
      <c r="K13" s="46"/>
      <c r="L13" s="9" t="s">
        <v>157</v>
      </c>
    </row>
    <row r="14" customFormat="false" ht="13.5" hidden="false" customHeight="false" outlineLevel="0" collapsed="false">
      <c r="A14" s="2"/>
      <c r="B14" s="10"/>
      <c r="C14" s="9"/>
      <c r="E14" s="9"/>
      <c r="G14" s="10"/>
      <c r="H14" s="9"/>
      <c r="J14" s="9"/>
      <c r="K14" s="9"/>
      <c r="L14" s="10"/>
      <c r="M14" s="10"/>
      <c r="N14" s="10"/>
    </row>
    <row r="15" customFormat="false" ht="13.5" hidden="false" customHeight="false" outlineLevel="0" collapsed="false">
      <c r="B15" s="120" t="s">
        <v>160</v>
      </c>
      <c r="C15" s="48" t="s">
        <v>211</v>
      </c>
      <c r="D15" s="48" t="s">
        <v>556</v>
      </c>
      <c r="E15" s="48" t="s">
        <v>563</v>
      </c>
      <c r="G15" s="120" t="s">
        <v>160</v>
      </c>
      <c r="H15" s="95" t="str">
        <f aca="false">C15</f>
        <v>USGS 1259</v>
      </c>
      <c r="I15" s="48" t="str">
        <f aca="false">D15</f>
        <v>USGS 1452</v>
      </c>
      <c r="J15" s="48" t="str">
        <f aca="false">E15</f>
        <v>USGS 2131</v>
      </c>
      <c r="K15" s="49"/>
      <c r="L15" s="120" t="s">
        <v>160</v>
      </c>
      <c r="M15" s="95" t="str">
        <f aca="false">H15</f>
        <v>USGS 1259</v>
      </c>
      <c r="N15" s="48" t="str">
        <f aca="false">I15</f>
        <v>USGS 1452</v>
      </c>
    </row>
    <row r="16" customFormat="false" ht="12.75" hidden="false" customHeight="false" outlineLevel="0" collapsed="false">
      <c r="B16" s="11"/>
      <c r="C16" s="51" t="s">
        <v>218</v>
      </c>
      <c r="D16" s="51" t="s">
        <v>566</v>
      </c>
      <c r="E16" s="51" t="s">
        <v>218</v>
      </c>
      <c r="F16" s="10"/>
      <c r="G16" s="11"/>
      <c r="H16" s="51" t="str">
        <f aca="false">C16</f>
        <v>Robie and</v>
      </c>
      <c r="I16" s="51" t="str">
        <f aca="false">D16</f>
        <v>Robie</v>
      </c>
      <c r="J16" s="51" t="str">
        <f aca="false">E16</f>
        <v>Robie and</v>
      </c>
      <c r="K16" s="49"/>
      <c r="L16" s="11"/>
      <c r="M16" s="51" t="str">
        <f aca="false">H16</f>
        <v>Robie and</v>
      </c>
      <c r="N16" s="51" t="str">
        <f aca="false">I16</f>
        <v>Robie</v>
      </c>
      <c r="T16" s="10"/>
      <c r="U16" s="10"/>
    </row>
    <row r="17" customFormat="false" ht="12.75" hidden="false" customHeight="false" outlineLevel="0" collapsed="false">
      <c r="B17" s="16" t="s">
        <v>20</v>
      </c>
      <c r="C17" s="54" t="s">
        <v>223</v>
      </c>
      <c r="D17" s="54" t="s">
        <v>165</v>
      </c>
      <c r="E17" s="54" t="s">
        <v>576</v>
      </c>
      <c r="G17" s="16" t="s">
        <v>20</v>
      </c>
      <c r="H17" s="54" t="str">
        <f aca="false">C17</f>
        <v>Waldbaum</v>
      </c>
      <c r="I17" s="54" t="str">
        <f aca="false">D17</f>
        <v>et al.</v>
      </c>
      <c r="J17" s="54" t="str">
        <f aca="false">E17</f>
        <v>Hemingway</v>
      </c>
      <c r="K17" s="49"/>
      <c r="L17" s="16" t="s">
        <v>20</v>
      </c>
      <c r="M17" s="54" t="str">
        <f aca="false">H17</f>
        <v>Waldbaum</v>
      </c>
      <c r="N17" s="54" t="str">
        <f aca="false">I17</f>
        <v>et al.</v>
      </c>
      <c r="Q17" s="10"/>
      <c r="R17" s="10"/>
      <c r="S17" s="10"/>
      <c r="T17" s="10"/>
      <c r="U17" s="10"/>
    </row>
    <row r="18" customFormat="false" ht="12.75" hidden="false" customHeight="false" outlineLevel="0" collapsed="false">
      <c r="B18" s="16" t="s">
        <v>17</v>
      </c>
      <c r="C18" s="54" t="n">
        <v>1968</v>
      </c>
      <c r="D18" s="54" t="n">
        <v>1978</v>
      </c>
      <c r="E18" s="54" t="n">
        <v>1995</v>
      </c>
      <c r="G18" s="16" t="s">
        <v>17</v>
      </c>
      <c r="H18" s="54" t="n">
        <f aca="false">C18</f>
        <v>1968</v>
      </c>
      <c r="I18" s="54" t="n">
        <f aca="false">D18</f>
        <v>1978</v>
      </c>
      <c r="J18" s="54" t="n">
        <f aca="false">E18</f>
        <v>1995</v>
      </c>
      <c r="K18" s="49"/>
      <c r="L18" s="16" t="s">
        <v>17</v>
      </c>
      <c r="M18" s="54" t="n">
        <f aca="false">H18</f>
        <v>1968</v>
      </c>
      <c r="N18" s="54" t="n">
        <f aca="false">I18</f>
        <v>1978</v>
      </c>
      <c r="Q18" s="10"/>
      <c r="R18" s="10"/>
      <c r="S18" s="10"/>
      <c r="T18" s="10"/>
      <c r="U18" s="10"/>
    </row>
    <row r="19" customFormat="false" ht="15" hidden="false" customHeight="false" outlineLevel="0" collapsed="false">
      <c r="B19" s="21" t="s">
        <v>29</v>
      </c>
      <c r="C19" s="55" t="s">
        <v>167</v>
      </c>
      <c r="D19" s="55" t="s">
        <v>167</v>
      </c>
      <c r="E19" s="55" t="s">
        <v>167</v>
      </c>
      <c r="G19" s="21" t="s">
        <v>29</v>
      </c>
      <c r="H19" s="55" t="s">
        <v>167</v>
      </c>
      <c r="I19" s="55" t="s">
        <v>167</v>
      </c>
      <c r="J19" s="55" t="s">
        <v>167</v>
      </c>
      <c r="K19" s="49"/>
      <c r="L19" s="21" t="s">
        <v>29</v>
      </c>
      <c r="M19" s="55" t="s">
        <v>167</v>
      </c>
      <c r="N19" s="55" t="s">
        <v>167</v>
      </c>
      <c r="Q19" s="10"/>
      <c r="R19" s="10"/>
      <c r="S19" s="10"/>
      <c r="T19" s="10"/>
      <c r="U19" s="10"/>
    </row>
    <row r="20" customFormat="false" ht="12.75" hidden="false" customHeight="false" outlineLevel="0" collapsed="false">
      <c r="B20" s="26" t="s">
        <v>30</v>
      </c>
      <c r="C20" s="208"/>
      <c r="D20" s="252"/>
      <c r="E20" s="235"/>
      <c r="F20" s="45"/>
      <c r="G20" s="26" t="s">
        <v>30</v>
      </c>
      <c r="H20" s="208" t="str">
        <f aca="false">IF(C20="","",VALUE(C20))</f>
        <v/>
      </c>
      <c r="I20" s="209" t="str">
        <f aca="false">IF(D20="","",VALUE(D20))</f>
        <v/>
      </c>
      <c r="J20" s="208" t="str">
        <f aca="false">IF(E20="","",VALUE(E20))</f>
        <v/>
      </c>
      <c r="K20" s="45"/>
      <c r="L20" s="134" t="s">
        <v>30</v>
      </c>
      <c r="M20" s="236" t="str">
        <f aca="false">IF(H20="","",IF($J20="","",IF(ABS(H20-$J20)&gt;$M$10,H20-$J20,"")))</f>
        <v/>
      </c>
      <c r="N20" s="237" t="str">
        <f aca="false">IF(I20="","",IF($J20="","",IF(ABS(I20-$J20)&gt;$M$10,I20-$J20,"")))</f>
        <v/>
      </c>
      <c r="P20" s="10"/>
      <c r="Q20" s="10"/>
      <c r="R20" s="10"/>
      <c r="S20" s="10"/>
      <c r="T20" s="10"/>
      <c r="U20" s="10"/>
    </row>
    <row r="21" customFormat="false" ht="12.75" hidden="false" customHeight="false" outlineLevel="0" collapsed="false">
      <c r="A21" s="87"/>
      <c r="B21" s="31" t="s">
        <v>31</v>
      </c>
      <c r="C21" s="238" t="n">
        <v>42.677</v>
      </c>
      <c r="D21" s="253" t="n">
        <v>42.55</v>
      </c>
      <c r="E21" s="239" t="n">
        <v>42.55</v>
      </c>
      <c r="F21" s="240"/>
      <c r="G21" s="31" t="s">
        <v>31</v>
      </c>
      <c r="H21" s="208" t="n">
        <f aca="false">IF(C21="","",VALUE(C21))</f>
        <v>42.677</v>
      </c>
      <c r="I21" s="209" t="n">
        <f aca="false">IF(D21="","",VALUE(D21))</f>
        <v>42.55</v>
      </c>
      <c r="J21" s="208" t="n">
        <f aca="false">IF(E21="","",VALUE(E21))</f>
        <v>42.55</v>
      </c>
      <c r="K21" s="240"/>
      <c r="L21" s="138" t="s">
        <v>31</v>
      </c>
      <c r="M21" s="241" t="n">
        <f aca="false">IF(H21="","",IF($J21="","",IF(ABS(H21-$J21)&gt;$M$10,H21-$J21,"")))</f>
        <v>0.127000000000002</v>
      </c>
      <c r="N21" s="242" t="str">
        <f aca="false">IF(I21="","",IF($J21="","",IF(ABS(I21-$J21)&gt;$M$10,I21-$J21,"")))</f>
        <v/>
      </c>
      <c r="P21" s="10"/>
      <c r="Q21" s="10"/>
      <c r="R21" s="10"/>
      <c r="S21" s="10"/>
      <c r="T21" s="10"/>
      <c r="U21" s="10"/>
    </row>
    <row r="22" customFormat="false" ht="12.75" hidden="false" customHeight="false" outlineLevel="0" collapsed="false">
      <c r="B22" s="31" t="s">
        <v>32</v>
      </c>
      <c r="C22" s="208" t="n">
        <v>28.326</v>
      </c>
      <c r="D22" s="253" t="n">
        <v>28.35</v>
      </c>
      <c r="E22" s="243" t="s">
        <v>532</v>
      </c>
      <c r="F22" s="240"/>
      <c r="G22" s="31" t="s">
        <v>32</v>
      </c>
      <c r="H22" s="208" t="n">
        <f aca="false">IF(C22="","",VALUE(C22))</f>
        <v>28.326</v>
      </c>
      <c r="I22" s="209" t="n">
        <f aca="false">IF(D22="","",VALUE(D22))</f>
        <v>28.35</v>
      </c>
      <c r="J22" s="208" t="n">
        <f aca="false">IF(E22="","",VALUE(E22))</f>
        <v>28.3</v>
      </c>
      <c r="K22" s="240"/>
      <c r="L22" s="138" t="s">
        <v>32</v>
      </c>
      <c r="M22" s="241" t="str">
        <f aca="false">IF(H22="","",IF($J22="","",IF(ABS(H22-$J22)&gt;$M$10,H22-$J22,"")))</f>
        <v/>
      </c>
      <c r="N22" s="242" t="str">
        <f aca="false">IF(I22="","",IF($J22="","",IF(ABS(I22-$J22)&gt;$M$10,I22-$J22,"")))</f>
        <v/>
      </c>
      <c r="P22" s="10"/>
      <c r="Q22" s="10"/>
      <c r="R22" s="10"/>
      <c r="S22" s="10"/>
      <c r="T22" s="10"/>
      <c r="U22" s="10"/>
    </row>
    <row r="23" customFormat="false" ht="12.75" hidden="false" customHeight="false" outlineLevel="0" collapsed="false">
      <c r="B23" s="31" t="s">
        <v>33</v>
      </c>
      <c r="C23" s="208"/>
      <c r="D23" s="253"/>
      <c r="E23" s="239"/>
      <c r="F23" s="240"/>
      <c r="G23" s="31" t="s">
        <v>33</v>
      </c>
      <c r="H23" s="208" t="str">
        <f aca="false">IF(C23="","",VALUE(C23))</f>
        <v/>
      </c>
      <c r="I23" s="209" t="str">
        <f aca="false">IF(D23="","",VALUE(D23))</f>
        <v/>
      </c>
      <c r="J23" s="208" t="str">
        <f aca="false">IF(E23="","",VALUE(E23))</f>
        <v/>
      </c>
      <c r="K23" s="240"/>
      <c r="L23" s="138" t="s">
        <v>33</v>
      </c>
      <c r="M23" s="241" t="str">
        <f aca="false">IF(H23="","",IF($J23="","",IF(ABS(H23-$J23)&gt;$M$10,H23-$J23,"")))</f>
        <v/>
      </c>
      <c r="N23" s="242" t="str">
        <f aca="false">IF(I23="","",IF($J23="","",IF(ABS(I23-$J23)&gt;$M$10,I23-$J23,"")))</f>
        <v/>
      </c>
      <c r="P23" s="10"/>
    </row>
    <row r="24" customFormat="false" ht="12.75" hidden="false" customHeight="false" outlineLevel="0" collapsed="false">
      <c r="B24" s="31" t="s">
        <v>34</v>
      </c>
      <c r="C24" s="208"/>
      <c r="D24" s="253" t="n">
        <v>154.84</v>
      </c>
      <c r="E24" s="239"/>
      <c r="F24" s="240"/>
      <c r="G24" s="31" t="s">
        <v>34</v>
      </c>
      <c r="H24" s="208" t="str">
        <f aca="false">IF(C24="","",VALUE(C24))</f>
        <v/>
      </c>
      <c r="I24" s="209" t="n">
        <f aca="false">IF(D24="","",VALUE(D24))</f>
        <v>154.84</v>
      </c>
      <c r="J24" s="208" t="str">
        <f aca="false">IF(E24="","",VALUE(E24))</f>
        <v/>
      </c>
      <c r="K24" s="240"/>
      <c r="L24" s="138" t="s">
        <v>34</v>
      </c>
      <c r="M24" s="241" t="str">
        <f aca="false">IF(H24="","",IF($J24="","",IF(ABS(H24-$J24)&gt;$M$10,H24-$J24,"")))</f>
        <v/>
      </c>
      <c r="N24" s="242" t="str">
        <f aca="false">IF(I24="","",IF($J24="","",IF(ABS(I24-$J24)&gt;$M$10,I24-$J24,"")))</f>
        <v/>
      </c>
      <c r="P24" s="10"/>
    </row>
    <row r="25" customFormat="false" ht="12.75" hidden="false" customHeight="false" outlineLevel="0" collapsed="false">
      <c r="B25" s="31" t="s">
        <v>35</v>
      </c>
      <c r="C25" s="238" t="n">
        <v>35.146</v>
      </c>
      <c r="D25" s="253" t="n">
        <v>35.69</v>
      </c>
      <c r="E25" s="239" t="n">
        <v>35.69</v>
      </c>
      <c r="F25" s="240"/>
      <c r="G25" s="31" t="s">
        <v>35</v>
      </c>
      <c r="H25" s="208" t="n">
        <f aca="false">IF(C25="","",VALUE(C25))</f>
        <v>35.146</v>
      </c>
      <c r="I25" s="209" t="n">
        <f aca="false">IF(D25="","",VALUE(D25))</f>
        <v>35.69</v>
      </c>
      <c r="J25" s="208" t="n">
        <f aca="false">IF(E25="","",VALUE(E25))</f>
        <v>35.69</v>
      </c>
      <c r="K25" s="240"/>
      <c r="L25" s="138" t="s">
        <v>35</v>
      </c>
      <c r="M25" s="241" t="n">
        <f aca="false">IF(H25="","",IF($J25="","",IF(ABS(H25-$J25)&gt;$M$10,H25-$J25,"")))</f>
        <v>-0.543999999999997</v>
      </c>
      <c r="N25" s="242" t="str">
        <f aca="false">IF(I25="","",IF($J25="","",IF(ABS(I25-$J25)&gt;$M$10,I25-$J25,"")))</f>
        <v/>
      </c>
      <c r="P25" s="10"/>
    </row>
    <row r="26" s="90" customFormat="true" ht="12.75" hidden="false" customHeight="false" outlineLevel="0" collapsed="false">
      <c r="A26" s="89"/>
      <c r="B26" s="38" t="s">
        <v>37</v>
      </c>
      <c r="C26" s="208"/>
      <c r="D26" s="253"/>
      <c r="E26" s="239"/>
      <c r="F26" s="240"/>
      <c r="G26" s="38" t="s">
        <v>37</v>
      </c>
      <c r="H26" s="208" t="str">
        <f aca="false">IF(C26="","",VALUE(C26))</f>
        <v/>
      </c>
      <c r="I26" s="209" t="str">
        <f aca="false">IF(D26="","",VALUE(D26))</f>
        <v/>
      </c>
      <c r="J26" s="208" t="str">
        <f aca="false">IF(E26="","",VALUE(E26))</f>
        <v/>
      </c>
      <c r="K26" s="240"/>
      <c r="L26" s="140" t="s">
        <v>37</v>
      </c>
      <c r="M26" s="241" t="str">
        <f aca="false">IF(H26="","",IF($J26="","",IF(ABS(H26-$J26)&gt;$M$10,H26-$J26,"")))</f>
        <v/>
      </c>
      <c r="N26" s="242" t="str">
        <f aca="false">IF(I26="","",IF($J26="","",IF(ABS(I26-$J26)&gt;$M$10,I26-$J26,"")))</f>
        <v/>
      </c>
      <c r="P26" s="10"/>
      <c r="T26" s="10"/>
      <c r="U26" s="10"/>
    </row>
    <row r="27" customFormat="false" ht="12.75" hidden="false" customHeight="false" outlineLevel="0" collapsed="false">
      <c r="B27" s="31" t="s">
        <v>39</v>
      </c>
      <c r="C27" s="238" t="n">
        <v>47.321</v>
      </c>
      <c r="D27" s="253" t="n">
        <v>47.49</v>
      </c>
      <c r="E27" s="239" t="n">
        <v>47.49</v>
      </c>
      <c r="F27" s="240"/>
      <c r="G27" s="31" t="s">
        <v>39</v>
      </c>
      <c r="H27" s="208" t="n">
        <f aca="false">IF(C27="","",VALUE(C27))</f>
        <v>47.321</v>
      </c>
      <c r="I27" s="209" t="n">
        <f aca="false">IF(D27="","",VALUE(D27))</f>
        <v>47.49</v>
      </c>
      <c r="J27" s="208" t="n">
        <f aca="false">IF(E27="","",VALUE(E27))</f>
        <v>47.49</v>
      </c>
      <c r="K27" s="240"/>
      <c r="L27" s="138" t="s">
        <v>39</v>
      </c>
      <c r="M27" s="241" t="n">
        <f aca="false">IF(H27="","",IF($J27="","",IF(ABS(H27-$J27)&gt;$M$10,H27-$J27,"")))</f>
        <v>-0.169000000000004</v>
      </c>
      <c r="N27" s="242" t="str">
        <f aca="false">IF(I27="","",IF($J27="","",IF(ABS(I27-$J27)&gt;$M$10,I27-$J27,"")))</f>
        <v/>
      </c>
      <c r="P27" s="10"/>
      <c r="Q27" s="10"/>
      <c r="R27" s="10"/>
      <c r="S27" s="10"/>
      <c r="T27" s="10"/>
      <c r="U27" s="10"/>
    </row>
    <row r="28" customFormat="false" ht="12.75" hidden="false" customHeight="false" outlineLevel="0" collapsed="false">
      <c r="B28" s="31" t="s">
        <v>40</v>
      </c>
      <c r="C28" s="208" t="n">
        <v>5.87</v>
      </c>
      <c r="D28" s="254" t="s">
        <v>534</v>
      </c>
      <c r="E28" s="239" t="n">
        <v>5.83</v>
      </c>
      <c r="F28" s="191"/>
      <c r="G28" s="31" t="s">
        <v>40</v>
      </c>
      <c r="H28" s="208" t="n">
        <f aca="false">IF(C28="","",VALUE(C28))</f>
        <v>5.87</v>
      </c>
      <c r="I28" s="209" t="n">
        <f aca="false">IF(D28="","",VALUE(D28))</f>
        <v>5.9</v>
      </c>
      <c r="J28" s="208" t="n">
        <f aca="false">IF(E28="","",VALUE(E28))</f>
        <v>5.83</v>
      </c>
      <c r="K28" s="191"/>
      <c r="L28" s="138" t="s">
        <v>40</v>
      </c>
      <c r="M28" s="241" t="str">
        <f aca="false">IF(H28="","",IF($J28="","",IF(ABS(H28-$J28)&gt;$M$10,H28-$J28,"")))</f>
        <v/>
      </c>
      <c r="N28" s="242" t="str">
        <f aca="false">IF(I28="","",IF($J28="","",IF(ABS(I28-$J28)&gt;$M$10,I28-$J28,"")))</f>
        <v/>
      </c>
      <c r="P28" s="10"/>
      <c r="Q28" s="10"/>
      <c r="R28" s="10"/>
      <c r="S28" s="10"/>
      <c r="T28" s="10"/>
      <c r="U28" s="10"/>
    </row>
    <row r="29" customFormat="false" ht="12.75" hidden="false" customHeight="false" outlineLevel="0" collapsed="false">
      <c r="B29" s="38" t="s">
        <v>41</v>
      </c>
      <c r="C29" s="238" t="n">
        <v>66.944</v>
      </c>
      <c r="D29" s="254" t="s">
        <v>591</v>
      </c>
      <c r="E29" s="239" t="n">
        <v>62.42</v>
      </c>
      <c r="F29" s="191"/>
      <c r="G29" s="38" t="s">
        <v>41</v>
      </c>
      <c r="H29" s="208" t="n">
        <f aca="false">IF(C29="","",VALUE(C29))</f>
        <v>66.944</v>
      </c>
      <c r="I29" s="209" t="n">
        <f aca="false">IF(D29="","",VALUE(D29))</f>
        <v>62.42</v>
      </c>
      <c r="J29" s="208" t="n">
        <f aca="false">IF(E29="","",VALUE(E29))</f>
        <v>62.42</v>
      </c>
      <c r="K29" s="191"/>
      <c r="L29" s="140" t="s">
        <v>41</v>
      </c>
      <c r="M29" s="241" t="n">
        <f aca="false">IF(H29="","",IF($J29="","",IF(ABS(H29-$J29)&gt;$M$10,H29-$J29,"")))</f>
        <v>4.524</v>
      </c>
      <c r="N29" s="242" t="str">
        <f aca="false">IF(I29="","",IF($J29="","",IF(ABS(I29-$J29)&gt;$M$10,I29-$J29,"")))</f>
        <v/>
      </c>
      <c r="P29" s="10"/>
      <c r="Q29" s="10"/>
      <c r="R29" s="10"/>
      <c r="S29" s="10"/>
      <c r="T29" s="10"/>
      <c r="U29" s="10"/>
    </row>
    <row r="30" customFormat="false" ht="12.75" hidden="false" customHeight="false" outlineLevel="0" collapsed="false">
      <c r="B30" s="31" t="s">
        <v>42</v>
      </c>
      <c r="C30" s="208" t="n">
        <v>9.54</v>
      </c>
      <c r="D30" s="253" t="n">
        <v>9.54</v>
      </c>
      <c r="E30" s="243" t="s">
        <v>535</v>
      </c>
      <c r="F30" s="191"/>
      <c r="G30" s="31" t="s">
        <v>42</v>
      </c>
      <c r="H30" s="208" t="n">
        <f aca="false">IF(C30="","",VALUE(C30))</f>
        <v>9.54</v>
      </c>
      <c r="I30" s="209" t="n">
        <f aca="false">IF(D30="","",VALUE(D30))</f>
        <v>9.54</v>
      </c>
      <c r="J30" s="208" t="n">
        <f aca="false">IF(E30="","",VALUE(E30))</f>
        <v>9.5</v>
      </c>
      <c r="K30" s="191"/>
      <c r="L30" s="138" t="s">
        <v>42</v>
      </c>
      <c r="M30" s="241" t="str">
        <f aca="false">IF(H30="","",IF($J30="","",IF(ABS(H30-$J30)&gt;$M$10,H30-$J30,"")))</f>
        <v/>
      </c>
      <c r="N30" s="242" t="str">
        <f aca="false">IF(I30="","",IF($J30="","",IF(ABS(I30-$J30)&gt;$M$10,I30-$J30,"")))</f>
        <v/>
      </c>
      <c r="P30" s="10"/>
      <c r="Q30" s="10"/>
      <c r="R30" s="10"/>
      <c r="S30" s="10"/>
      <c r="T30" s="10"/>
      <c r="U30" s="10"/>
    </row>
    <row r="31" customFormat="false" ht="12.75" hidden="false" customHeight="false" outlineLevel="0" collapsed="false">
      <c r="B31" s="31" t="s">
        <v>43</v>
      </c>
      <c r="C31" s="208" t="n">
        <v>56.735</v>
      </c>
      <c r="D31" s="253" t="n">
        <v>56.74</v>
      </c>
      <c r="E31" s="239" t="n">
        <v>56.74</v>
      </c>
      <c r="F31" s="191"/>
      <c r="G31" s="31" t="s">
        <v>43</v>
      </c>
      <c r="H31" s="208" t="n">
        <f aca="false">IF(C31="","",VALUE(C31))</f>
        <v>56.735</v>
      </c>
      <c r="I31" s="209" t="n">
        <f aca="false">IF(D31="","",VALUE(D31))</f>
        <v>56.74</v>
      </c>
      <c r="J31" s="208" t="n">
        <f aca="false">IF(E31="","",VALUE(E31))</f>
        <v>56.74</v>
      </c>
      <c r="K31" s="191"/>
      <c r="L31" s="138" t="s">
        <v>43</v>
      </c>
      <c r="M31" s="241" t="str">
        <f aca="false">IF(H31="","",IF($J31="","",IF(ABS(H31-$J31)&gt;$M$10,H31-$J31,"")))</f>
        <v/>
      </c>
      <c r="N31" s="242" t="str">
        <f aca="false">IF(I31="","",IF($J31="","",IF(ABS(I31-$J31)&gt;$M$10,I31-$J31,"")))</f>
        <v/>
      </c>
      <c r="P31" s="10"/>
      <c r="Q31" s="10"/>
      <c r="R31" s="10"/>
      <c r="S31" s="10"/>
      <c r="T31" s="10"/>
      <c r="U31" s="10"/>
    </row>
    <row r="32" customFormat="false" ht="12.75" hidden="false" customHeight="false" outlineLevel="0" collapsed="false">
      <c r="B32" s="31" t="s">
        <v>44</v>
      </c>
      <c r="C32" s="208"/>
      <c r="D32" s="253"/>
      <c r="E32" s="239"/>
      <c r="F32" s="191"/>
      <c r="G32" s="31" t="s">
        <v>44</v>
      </c>
      <c r="H32" s="208" t="str">
        <f aca="false">IF(C32="","",VALUE(C32))</f>
        <v/>
      </c>
      <c r="I32" s="209" t="str">
        <f aca="false">IF(D32="","",VALUE(D32))</f>
        <v/>
      </c>
      <c r="J32" s="208" t="str">
        <f aca="false">IF(E32="","",VALUE(E32))</f>
        <v/>
      </c>
      <c r="K32" s="191"/>
      <c r="L32" s="138" t="s">
        <v>44</v>
      </c>
      <c r="M32" s="241" t="str">
        <f aca="false">IF(H32="","",IF($J32="","",IF(ABS(H32-$J32)&gt;$M$10,H32-$J32,"")))</f>
        <v/>
      </c>
      <c r="N32" s="242" t="str">
        <f aca="false">IF(I32="","",IF($J32="","",IF(ABS(I32-$J32)&gt;$M$10,I32-$J32,"")))</f>
        <v/>
      </c>
      <c r="P32" s="10"/>
      <c r="Q32" s="10"/>
      <c r="R32" s="10"/>
      <c r="S32" s="10"/>
      <c r="T32" s="10"/>
      <c r="U32" s="10"/>
    </row>
    <row r="33" s="90" customFormat="true" ht="12.75" hidden="false" customHeight="false" outlineLevel="0" collapsed="false">
      <c r="A33" s="89"/>
      <c r="B33" s="38" t="s">
        <v>46</v>
      </c>
      <c r="C33" s="208" t="n">
        <v>152.231</v>
      </c>
      <c r="D33" s="255" t="n">
        <v>152.32</v>
      </c>
      <c r="E33" s="243" t="s">
        <v>599</v>
      </c>
      <c r="F33" s="191"/>
      <c r="G33" s="38" t="s">
        <v>46</v>
      </c>
      <c r="H33" s="208" t="n">
        <f aca="false">IF(C33="","",VALUE(C33))</f>
        <v>152.231</v>
      </c>
      <c r="I33" s="209" t="n">
        <f aca="false">IF(D33="","",VALUE(D33))</f>
        <v>152.32</v>
      </c>
      <c r="J33" s="208" t="n">
        <f aca="false">IF(E33="","",VALUE(E33))</f>
        <v>152.2</v>
      </c>
      <c r="K33" s="191"/>
      <c r="L33" s="140" t="s">
        <v>46</v>
      </c>
      <c r="M33" s="241" t="str">
        <f aca="false">IF(H33="","",IF($J33="","",IF(ABS(H33-$J33)&gt;$M$10,H33-$J33,"")))</f>
        <v/>
      </c>
      <c r="N33" s="242" t="n">
        <f aca="false">IF(I33="","",IF($J33="","",IF(ABS(I33-$J33)&gt;$M$10,I33-$J33,"")))</f>
        <v>0.120000000000005</v>
      </c>
      <c r="P33" s="10"/>
      <c r="Q33" s="10"/>
      <c r="R33" s="10"/>
      <c r="S33" s="10"/>
      <c r="T33" s="10"/>
      <c r="U33" s="10"/>
    </row>
    <row r="34" customFormat="false" ht="12.75" hidden="false" customHeight="false" outlineLevel="0" collapsed="false">
      <c r="B34" s="31" t="s">
        <v>48</v>
      </c>
      <c r="C34" s="208" t="n">
        <v>5.74</v>
      </c>
      <c r="D34" s="253" t="n">
        <v>5.74</v>
      </c>
      <c r="E34" s="239" t="n">
        <v>5.74</v>
      </c>
      <c r="F34" s="240"/>
      <c r="G34" s="31" t="s">
        <v>48</v>
      </c>
      <c r="H34" s="208" t="n">
        <f aca="false">IF(C34="","",VALUE(C34))</f>
        <v>5.74</v>
      </c>
      <c r="I34" s="209" t="n">
        <f aca="false">IF(D34="","",VALUE(D34))</f>
        <v>5.74</v>
      </c>
      <c r="J34" s="208" t="n">
        <f aca="false">IF(E34="","",VALUE(E34))</f>
        <v>5.74</v>
      </c>
      <c r="K34" s="240"/>
      <c r="L34" s="138" t="s">
        <v>48</v>
      </c>
      <c r="M34" s="241" t="str">
        <f aca="false">IF(H34="","",IF($J34="","",IF(ABS(H34-$J34)&gt;$M$10,H34-$J34,"")))</f>
        <v/>
      </c>
      <c r="N34" s="242" t="str">
        <f aca="false">IF(I34="","",IF($J34="","",IF(ABS(I34-$J34)&gt;$M$10,I34-$J34,"")))</f>
        <v/>
      </c>
    </row>
    <row r="35" customFormat="false" ht="12.75" hidden="false" customHeight="false" outlineLevel="0" collapsed="false">
      <c r="B35" s="31" t="s">
        <v>49</v>
      </c>
      <c r="C35" s="238" t="n">
        <v>41.631</v>
      </c>
      <c r="D35" s="255" t="n">
        <v>41.63</v>
      </c>
      <c r="E35" s="243" t="s">
        <v>603</v>
      </c>
      <c r="F35" s="240"/>
      <c r="G35" s="31" t="s">
        <v>49</v>
      </c>
      <c r="H35" s="208" t="n">
        <f aca="false">IF(C35="","",VALUE(C35))</f>
        <v>41.631</v>
      </c>
      <c r="I35" s="209" t="n">
        <f aca="false">IF(D35="","",VALUE(D35))</f>
        <v>41.63</v>
      </c>
      <c r="J35" s="208" t="n">
        <f aca="false">IF(E35="","",VALUE(E35))</f>
        <v>42.9</v>
      </c>
      <c r="K35" s="240"/>
      <c r="L35" s="138" t="s">
        <v>49</v>
      </c>
      <c r="M35" s="241" t="n">
        <f aca="false">IF(H35="","",IF($J35="","",IF(ABS(H35-$J35)&gt;$M$10,H35-$J35,"")))</f>
        <v>-1.269</v>
      </c>
      <c r="N35" s="242" t="n">
        <f aca="false">IF(I35="","",IF($J35="","",IF(ABS(I35-$J35)&gt;$M$10,I35-$J35,"")))</f>
        <v>-1.27</v>
      </c>
    </row>
    <row r="36" customFormat="false" ht="12.75" hidden="false" customHeight="false" outlineLevel="0" collapsed="false">
      <c r="B36" s="31" t="s">
        <v>50</v>
      </c>
      <c r="C36" s="208" t="n">
        <v>51.798</v>
      </c>
      <c r="D36" s="254" t="s">
        <v>538</v>
      </c>
      <c r="E36" s="243" t="s">
        <v>538</v>
      </c>
      <c r="F36" s="240"/>
      <c r="G36" s="31" t="s">
        <v>50</v>
      </c>
      <c r="H36" s="208" t="n">
        <f aca="false">IF(C36="","",VALUE(C36))</f>
        <v>51.798</v>
      </c>
      <c r="I36" s="209" t="n">
        <f aca="false">IF(D36="","",VALUE(D36))</f>
        <v>51.8</v>
      </c>
      <c r="J36" s="208" t="n">
        <f aca="false">IF(E36="","",VALUE(E36))</f>
        <v>51.8</v>
      </c>
      <c r="K36" s="240"/>
      <c r="L36" s="138" t="s">
        <v>50</v>
      </c>
      <c r="M36" s="241" t="str">
        <f aca="false">IF(H36="","",IF($J36="","",IF(ABS(H36-$J36)&gt;$M$10,H36-$J36,"")))</f>
        <v/>
      </c>
      <c r="N36" s="242" t="str">
        <f aca="false">IF(I36="","",IF($J36="","",IF(ABS(I36-$J36)&gt;$M$10,I36-$J36,"")))</f>
        <v/>
      </c>
    </row>
    <row r="37" customFormat="false" ht="12.75" hidden="false" customHeight="false" outlineLevel="0" collapsed="false">
      <c r="A37" s="10"/>
      <c r="B37" s="31" t="s">
        <v>51</v>
      </c>
      <c r="C37" s="238" t="n">
        <v>64.015</v>
      </c>
      <c r="D37" s="255" t="n">
        <v>69.46</v>
      </c>
      <c r="E37" s="243" t="s">
        <v>606</v>
      </c>
      <c r="F37" s="240"/>
      <c r="G37" s="31" t="s">
        <v>51</v>
      </c>
      <c r="H37" s="208" t="n">
        <f aca="false">IF(C37="","",VALUE(C37))</f>
        <v>64.015</v>
      </c>
      <c r="I37" s="209" t="n">
        <f aca="false">IF(D37="","",VALUE(D37))</f>
        <v>69.46</v>
      </c>
      <c r="J37" s="208" t="n">
        <f aca="false">IF(E37="","",VALUE(E37))</f>
        <v>72</v>
      </c>
      <c r="K37" s="240"/>
      <c r="L37" s="138" t="s">
        <v>51</v>
      </c>
      <c r="M37" s="241" t="n">
        <f aca="false">IF(H37="","",IF($J37="","",IF(ABS(H37-$J37)&gt;$M$10,H37-$J37,"")))</f>
        <v>-7.985</v>
      </c>
      <c r="N37" s="242" t="n">
        <f aca="false">IF(I37="","",IF($J37="","",IF(ABS(I37-$J37)&gt;$M$10,I37-$J37,"")))</f>
        <v>-2.54000000000001</v>
      </c>
      <c r="T37" s="10"/>
      <c r="U37" s="10"/>
    </row>
    <row r="38" customFormat="false" ht="12.75" hidden="false" customHeight="false" outlineLevel="0" collapsed="false">
      <c r="B38" s="31" t="s">
        <v>52</v>
      </c>
      <c r="C38" s="208"/>
      <c r="D38" s="253"/>
      <c r="E38" s="239"/>
      <c r="F38" s="191"/>
      <c r="G38" s="31" t="s">
        <v>52</v>
      </c>
      <c r="H38" s="208" t="str">
        <f aca="false">IF(C38="","",VALUE(C38))</f>
        <v/>
      </c>
      <c r="I38" s="209" t="str">
        <f aca="false">IF(D38="","",VALUE(D38))</f>
        <v/>
      </c>
      <c r="J38" s="208" t="str">
        <f aca="false">IF(E38="","",VALUE(E38))</f>
        <v/>
      </c>
      <c r="K38" s="191"/>
      <c r="L38" s="138" t="s">
        <v>52</v>
      </c>
      <c r="M38" s="241" t="str">
        <f aca="false">IF(H38="","",IF($J38="","",IF(ABS(H38-$J38)&gt;$M$10,H38-$J38,"")))</f>
        <v/>
      </c>
      <c r="N38" s="242" t="str">
        <f aca="false">IF(I38="","",IF($J38="","",IF(ABS(I38-$J38)&gt;$M$10,I38-$J38,"")))</f>
        <v/>
      </c>
      <c r="Q38" s="10"/>
      <c r="R38" s="10"/>
      <c r="S38" s="10"/>
      <c r="T38" s="10"/>
      <c r="U38" s="10"/>
    </row>
    <row r="39" s="90" customFormat="true" ht="12.75" hidden="false" customHeight="false" outlineLevel="0" collapsed="false">
      <c r="A39" s="89"/>
      <c r="B39" s="38" t="s">
        <v>54</v>
      </c>
      <c r="C39" s="208" t="n">
        <v>223.066</v>
      </c>
      <c r="D39" s="253" t="n">
        <v>223.08</v>
      </c>
      <c r="E39" s="239" t="n">
        <v>223.08</v>
      </c>
      <c r="F39" s="191"/>
      <c r="G39" s="38" t="s">
        <v>54</v>
      </c>
      <c r="H39" s="208" t="n">
        <f aca="false">IF(C39="","",VALUE(C39))</f>
        <v>223.066</v>
      </c>
      <c r="I39" s="209" t="n">
        <f aca="false">IF(D39="","",VALUE(D39))</f>
        <v>223.08</v>
      </c>
      <c r="J39" s="208" t="n">
        <f aca="false">IF(E39="","",VALUE(E39))</f>
        <v>223.08</v>
      </c>
      <c r="K39" s="191"/>
      <c r="L39" s="140" t="s">
        <v>54</v>
      </c>
      <c r="M39" s="241" t="str">
        <f aca="false">IF(H39="","",IF($J39="","",IF(ABS(H39-$J39)&gt;$M$10,H39-$J39,"")))</f>
        <v/>
      </c>
      <c r="N39" s="242" t="str">
        <f aca="false">IF(I39="","",IF($J39="","",IF(ABS(I39-$J39)&gt;$M$10,I39-$J39,"")))</f>
        <v/>
      </c>
      <c r="Q39" s="10"/>
      <c r="R39" s="10"/>
      <c r="S39" s="10"/>
      <c r="T39" s="10"/>
      <c r="U39" s="10"/>
    </row>
    <row r="40" customFormat="false" ht="12.75" hidden="false" customHeight="false" outlineLevel="0" collapsed="false">
      <c r="A40" s="10"/>
      <c r="B40" s="31" t="s">
        <v>56</v>
      </c>
      <c r="C40" s="208"/>
      <c r="D40" s="253"/>
      <c r="E40" s="239"/>
      <c r="F40" s="191"/>
      <c r="G40" s="31" t="s">
        <v>56</v>
      </c>
      <c r="H40" s="208" t="str">
        <f aca="false">IF(C40="","",VALUE(C40))</f>
        <v/>
      </c>
      <c r="I40" s="209" t="str">
        <f aca="false">IF(D40="","",VALUE(D40))</f>
        <v/>
      </c>
      <c r="J40" s="208" t="str">
        <f aca="false">IF(E40="","",VALUE(E40))</f>
        <v/>
      </c>
      <c r="K40" s="191"/>
      <c r="L40" s="138" t="s">
        <v>56</v>
      </c>
      <c r="M40" s="241" t="str">
        <f aca="false">IF(H40="","",IF($J40="","",IF(ABS(H40-$J40)&gt;$M$10,H40-$J40,"")))</f>
        <v/>
      </c>
      <c r="N40" s="242" t="str">
        <f aca="false">IF(I40="","",IF($J40="","",IF(ABS(I40-$J40)&gt;$M$10,I40-$J40,"")))</f>
        <v/>
      </c>
      <c r="Q40" s="10"/>
      <c r="R40" s="10"/>
      <c r="S40" s="10"/>
      <c r="T40" s="10"/>
      <c r="U40" s="10"/>
    </row>
    <row r="41" customFormat="false" ht="12.75" hidden="false" customHeight="false" outlineLevel="0" collapsed="false">
      <c r="B41" s="31" t="s">
        <v>57</v>
      </c>
      <c r="C41" s="208" t="n">
        <v>30.041</v>
      </c>
      <c r="D41" s="253" t="n">
        <v>30.04</v>
      </c>
      <c r="E41" s="239" t="n">
        <v>30.04</v>
      </c>
      <c r="F41" s="191"/>
      <c r="G41" s="31" t="s">
        <v>57</v>
      </c>
      <c r="H41" s="208" t="n">
        <f aca="false">IF(C41="","",VALUE(C41))</f>
        <v>30.041</v>
      </c>
      <c r="I41" s="209" t="n">
        <f aca="false">IF(D41="","",VALUE(D41))</f>
        <v>30.04</v>
      </c>
      <c r="J41" s="208" t="n">
        <f aca="false">IF(E41="","",VALUE(E41))</f>
        <v>30.04</v>
      </c>
      <c r="K41" s="191"/>
      <c r="L41" s="138" t="s">
        <v>57</v>
      </c>
      <c r="M41" s="241" t="str">
        <f aca="false">IF(H41="","",IF($J41="","",IF(ABS(H41-$J41)&gt;$M$10,H41-$J41,"")))</f>
        <v/>
      </c>
      <c r="N41" s="242" t="str">
        <f aca="false">IF(I41="","",IF($J41="","",IF(ABS(I41-$J41)&gt;$M$10,I41-$J41,"")))</f>
        <v/>
      </c>
      <c r="P41" s="10"/>
      <c r="Q41" s="10"/>
      <c r="R41" s="10"/>
      <c r="S41" s="10"/>
      <c r="T41" s="10"/>
      <c r="U41" s="10"/>
    </row>
    <row r="42" customFormat="false" ht="12.75" hidden="false" customHeight="false" outlineLevel="0" collapsed="false">
      <c r="B42" s="31" t="s">
        <v>58</v>
      </c>
      <c r="C42" s="208" t="n">
        <v>23.64</v>
      </c>
      <c r="D42" s="253" t="n">
        <v>23.64</v>
      </c>
      <c r="E42" s="239" t="n">
        <v>23.62</v>
      </c>
      <c r="F42" s="191"/>
      <c r="G42" s="31" t="s">
        <v>58</v>
      </c>
      <c r="H42" s="208" t="n">
        <f aca="false">IF(C42="","",VALUE(C42))</f>
        <v>23.64</v>
      </c>
      <c r="I42" s="209" t="n">
        <f aca="false">IF(D42="","",VALUE(D42))</f>
        <v>23.64</v>
      </c>
      <c r="J42" s="208" t="n">
        <f aca="false">IF(E42="","",VALUE(E42))</f>
        <v>23.62</v>
      </c>
      <c r="K42" s="191"/>
      <c r="L42" s="138" t="s">
        <v>58</v>
      </c>
      <c r="M42" s="241" t="str">
        <f aca="false">IF(H42="","",IF($J42="","",IF(ABS(H42-$J42)&gt;$M$10,H42-$J42,"")))</f>
        <v/>
      </c>
      <c r="N42" s="242" t="str">
        <f aca="false">IF(I42="","",IF($J42="","",IF(ABS(I42-$J42)&gt;$M$10,I42-$J42,"")))</f>
        <v/>
      </c>
      <c r="P42" s="10"/>
      <c r="Q42" s="10"/>
      <c r="R42" s="10"/>
      <c r="S42" s="10"/>
      <c r="T42" s="10"/>
      <c r="U42" s="10"/>
    </row>
    <row r="43" customFormat="false" ht="12.75" hidden="false" customHeight="false" outlineLevel="0" collapsed="false">
      <c r="B43" s="38" t="s">
        <v>59</v>
      </c>
      <c r="C43" s="208"/>
      <c r="D43" s="253" t="n">
        <v>85.23</v>
      </c>
      <c r="E43" s="239" t="n">
        <v>85.23</v>
      </c>
      <c r="F43" s="191"/>
      <c r="G43" s="38" t="s">
        <v>59</v>
      </c>
      <c r="H43" s="208" t="str">
        <f aca="false">IF(C43="","",VALUE(C43))</f>
        <v/>
      </c>
      <c r="I43" s="209" t="n">
        <f aca="false">IF(D43="","",VALUE(D43))</f>
        <v>85.23</v>
      </c>
      <c r="J43" s="208" t="n">
        <f aca="false">IF(E43="","",VALUE(E43))</f>
        <v>85.23</v>
      </c>
      <c r="K43" s="191"/>
      <c r="L43" s="140" t="s">
        <v>59</v>
      </c>
      <c r="M43" s="241" t="str">
        <f aca="false">IF(H43="","",IF($J43="","",IF(ABS(H43-$J43)&gt;$M$10,H43-$J43,"")))</f>
        <v/>
      </c>
      <c r="N43" s="242" t="str">
        <f aca="false">IF(I43="","",IF($J43="","",IF(ABS(I43-$J43)&gt;$M$10,I43-$J43,"")))</f>
        <v/>
      </c>
      <c r="P43" s="10"/>
      <c r="Q43" s="10"/>
      <c r="R43" s="10"/>
      <c r="S43" s="10"/>
      <c r="T43" s="10"/>
      <c r="U43" s="10"/>
    </row>
    <row r="44" customFormat="false" ht="12.75" hidden="false" customHeight="false" outlineLevel="0" collapsed="false">
      <c r="B44" s="31" t="s">
        <v>60</v>
      </c>
      <c r="C44" s="238" t="n">
        <v>33.346</v>
      </c>
      <c r="D44" s="253" t="n">
        <v>33.15</v>
      </c>
      <c r="E44" s="239" t="n">
        <v>33.14</v>
      </c>
      <c r="F44" s="191"/>
      <c r="G44" s="31" t="s">
        <v>60</v>
      </c>
      <c r="H44" s="208" t="n">
        <f aca="false">IF(C44="","",VALUE(C44))</f>
        <v>33.346</v>
      </c>
      <c r="I44" s="209" t="n">
        <f aca="false">IF(D44="","",VALUE(D44))</f>
        <v>33.15</v>
      </c>
      <c r="J44" s="208" t="n">
        <f aca="false">IF(E44="","",VALUE(E44))</f>
        <v>33.14</v>
      </c>
      <c r="K44" s="191"/>
      <c r="L44" s="138" t="s">
        <v>60</v>
      </c>
      <c r="M44" s="241" t="n">
        <f aca="false">IF(H44="","",IF($J44="","",IF(ABS(H44-$J44)&gt;$M$10,H44-$J44,"")))</f>
        <v>0.205999999999996</v>
      </c>
      <c r="N44" s="242" t="str">
        <f aca="false">IF(I44="","",IF($J44="","",IF(ABS(I44-$J44)&gt;$M$10,I44-$J44,"")))</f>
        <v/>
      </c>
      <c r="P44" s="10"/>
      <c r="Q44" s="10"/>
      <c r="R44" s="10"/>
      <c r="S44" s="10"/>
      <c r="T44" s="10"/>
      <c r="U44" s="10"/>
    </row>
    <row r="45" customFormat="false" ht="12.75" hidden="false" customHeight="false" outlineLevel="0" collapsed="false">
      <c r="B45" s="31" t="s">
        <v>61</v>
      </c>
      <c r="C45" s="208"/>
      <c r="D45" s="253" t="n">
        <v>74.89</v>
      </c>
      <c r="E45" s="239"/>
      <c r="F45" s="240"/>
      <c r="G45" s="31" t="s">
        <v>61</v>
      </c>
      <c r="H45" s="208" t="str">
        <f aca="false">IF(C45="","",VALUE(C45))</f>
        <v/>
      </c>
      <c r="I45" s="209" t="n">
        <f aca="false">IF(D45="","",VALUE(D45))</f>
        <v>74.89</v>
      </c>
      <c r="J45" s="208" t="str">
        <f aca="false">IF(E45="","",VALUE(E45))</f>
        <v/>
      </c>
      <c r="K45" s="240"/>
      <c r="L45" s="138" t="s">
        <v>61</v>
      </c>
      <c r="M45" s="241" t="str">
        <f aca="false">IF(H45="","",IF($J45="","",IF(ABS(H45-$J45)&gt;$M$10,H45-$J45,"")))</f>
        <v/>
      </c>
      <c r="N45" s="242" t="str">
        <f aca="false">IF(I45="","",IF($J45="","",IF(ABS(I45-$J45)&gt;$M$10,I45-$J45,"")))</f>
        <v/>
      </c>
    </row>
    <row r="46" customFormat="false" ht="12.75" hidden="false" customHeight="false" outlineLevel="0" collapsed="false">
      <c r="B46" s="31" t="s">
        <v>62</v>
      </c>
      <c r="C46" s="208"/>
      <c r="D46" s="253" t="n">
        <v>73.18</v>
      </c>
      <c r="E46" s="239"/>
      <c r="F46" s="240"/>
      <c r="G46" s="31" t="s">
        <v>62</v>
      </c>
      <c r="H46" s="208" t="str">
        <f aca="false">IF(C46="","",VALUE(C46))</f>
        <v/>
      </c>
      <c r="I46" s="209" t="n">
        <f aca="false">IF(D46="","",VALUE(D46))</f>
        <v>73.18</v>
      </c>
      <c r="J46" s="208" t="str">
        <f aca="false">IF(E46="","",VALUE(E46))</f>
        <v/>
      </c>
      <c r="K46" s="240"/>
      <c r="L46" s="138" t="s">
        <v>62</v>
      </c>
      <c r="M46" s="241" t="str">
        <f aca="false">IF(H46="","",IF($J46="","",IF(ABS(H46-$J46)&gt;$M$10,H46-$J46,"")))</f>
        <v/>
      </c>
      <c r="N46" s="242" t="str">
        <f aca="false">IF(I46="","",IF($J46="","",IF(ABS(I46-$J46)&gt;$M$10,I46-$J46,"")))</f>
        <v/>
      </c>
    </row>
    <row r="47" customFormat="false" ht="12.75" hidden="false" customHeight="false" outlineLevel="0" collapsed="false">
      <c r="B47" s="31" t="s">
        <v>63</v>
      </c>
      <c r="C47" s="208"/>
      <c r="D47" s="253"/>
      <c r="E47" s="239"/>
      <c r="F47" s="240"/>
      <c r="G47" s="31" t="s">
        <v>63</v>
      </c>
      <c r="H47" s="208" t="str">
        <f aca="false">IF(C47="","",VALUE(C47))</f>
        <v/>
      </c>
      <c r="I47" s="209" t="str">
        <f aca="false">IF(D47="","",VALUE(D47))</f>
        <v/>
      </c>
      <c r="J47" s="208" t="str">
        <f aca="false">IF(E47="","",VALUE(E47))</f>
        <v/>
      </c>
      <c r="K47" s="240"/>
      <c r="L47" s="138" t="s">
        <v>63</v>
      </c>
      <c r="M47" s="241" t="str">
        <f aca="false">IF(H47="","",IF($J47="","",IF(ABS(H47-$J47)&gt;$M$10,H47-$J47,"")))</f>
        <v/>
      </c>
      <c r="N47" s="242" t="str">
        <f aca="false">IF(I47="","",IF($J47="","",IF(ABS(I47-$J47)&gt;$M$10,I47-$J47,"")))</f>
        <v/>
      </c>
    </row>
    <row r="48" customFormat="false" ht="12.75" hidden="false" customHeight="false" outlineLevel="0" collapsed="false">
      <c r="B48" s="31" t="s">
        <v>64</v>
      </c>
      <c r="C48" s="208"/>
      <c r="D48" s="253" t="n">
        <v>80.79</v>
      </c>
      <c r="E48" s="239"/>
      <c r="F48" s="240"/>
      <c r="G48" s="31" t="s">
        <v>64</v>
      </c>
      <c r="H48" s="208" t="str">
        <f aca="false">IF(C48="","",VALUE(C48))</f>
        <v/>
      </c>
      <c r="I48" s="209" t="n">
        <f aca="false">IF(D48="","",VALUE(D48))</f>
        <v>80.79</v>
      </c>
      <c r="J48" s="208" t="str">
        <f aca="false">IF(E48="","",VALUE(E48))</f>
        <v/>
      </c>
      <c r="K48" s="240"/>
      <c r="L48" s="138" t="s">
        <v>64</v>
      </c>
      <c r="M48" s="241" t="str">
        <f aca="false">IF(H48="","",IF($J48="","",IF(ABS(H48-$J48)&gt;$M$10,H48-$J48,"")))</f>
        <v/>
      </c>
      <c r="N48" s="242" t="str">
        <f aca="false">IF(I48="","",IF($J48="","",IF(ABS(I48-$J48)&gt;$M$10,I48-$J48,"")))</f>
        <v/>
      </c>
      <c r="T48" s="10"/>
      <c r="U48" s="10"/>
    </row>
    <row r="49" s="90" customFormat="true" ht="12.75" hidden="false" customHeight="false" outlineLevel="0" collapsed="false">
      <c r="A49" s="89"/>
      <c r="B49" s="38" t="s">
        <v>66</v>
      </c>
      <c r="C49" s="208" t="n">
        <v>202.782</v>
      </c>
      <c r="D49" s="254" t="n">
        <v>202.79</v>
      </c>
      <c r="E49" s="243" t="n">
        <v>202.79</v>
      </c>
      <c r="F49" s="191"/>
      <c r="G49" s="38" t="s">
        <v>66</v>
      </c>
      <c r="H49" s="208" t="n">
        <f aca="false">IF(C49="","",VALUE(C49))</f>
        <v>202.782</v>
      </c>
      <c r="I49" s="209" t="n">
        <f aca="false">IF(D49="","",VALUE(D49))</f>
        <v>202.79</v>
      </c>
      <c r="J49" s="208" t="n">
        <f aca="false">IF(E49="","",VALUE(E49))</f>
        <v>202.79</v>
      </c>
      <c r="K49" s="191"/>
      <c r="L49" s="140" t="s">
        <v>66</v>
      </c>
      <c r="M49" s="241" t="str">
        <f aca="false">IF(H49="","",IF($J49="","",IF(ABS(H49-$J49)&gt;$M$10,H49-$J49,"")))</f>
        <v/>
      </c>
      <c r="N49" s="242" t="str">
        <f aca="false">IF(I49="","",IF($J49="","",IF(ABS(I49-$J49)&gt;$M$10,I49-$J49,"")))</f>
        <v/>
      </c>
      <c r="Q49" s="10"/>
      <c r="R49" s="10"/>
      <c r="S49" s="10"/>
      <c r="T49" s="10"/>
      <c r="U49" s="10"/>
    </row>
    <row r="50" customFormat="false" ht="12.75" hidden="false" customHeight="false" outlineLevel="0" collapsed="false">
      <c r="B50" s="38" t="s">
        <v>68</v>
      </c>
      <c r="C50" s="238" t="n">
        <v>27.28</v>
      </c>
      <c r="D50" s="255" t="n">
        <v>27.28</v>
      </c>
      <c r="E50" s="239" t="n">
        <v>27.09</v>
      </c>
      <c r="F50" s="191"/>
      <c r="G50" s="38" t="s">
        <v>68</v>
      </c>
      <c r="H50" s="208" t="n">
        <f aca="false">IF(C50="","",VALUE(C50))</f>
        <v>27.28</v>
      </c>
      <c r="I50" s="209" t="n">
        <f aca="false">IF(D50="","",VALUE(D50))</f>
        <v>27.28</v>
      </c>
      <c r="J50" s="208" t="n">
        <f aca="false">IF(E50="","",VALUE(E50))</f>
        <v>27.09</v>
      </c>
      <c r="K50" s="191"/>
      <c r="L50" s="140" t="s">
        <v>68</v>
      </c>
      <c r="M50" s="241" t="n">
        <f aca="false">IF(H50="","",IF($J50="","",IF(ABS(H50-$J50)&gt;$M$10,H50-$J50,"")))</f>
        <v>0.190000000000001</v>
      </c>
      <c r="N50" s="242" t="n">
        <f aca="false">IF(I50="","",IF($J50="","",IF(ABS(I50-$J50)&gt;$M$10,I50-$J50,"")))</f>
        <v>0.190000000000001</v>
      </c>
      <c r="Q50" s="10"/>
      <c r="R50" s="10"/>
      <c r="S50" s="10"/>
      <c r="T50" s="10"/>
      <c r="U50" s="10"/>
    </row>
    <row r="51" customFormat="false" ht="12.75" hidden="false" customHeight="false" outlineLevel="0" collapsed="false">
      <c r="B51" s="31" t="s">
        <v>69</v>
      </c>
      <c r="C51" s="208"/>
      <c r="D51" s="253"/>
      <c r="E51" s="239"/>
      <c r="F51" s="191"/>
      <c r="G51" s="31" t="s">
        <v>69</v>
      </c>
      <c r="H51" s="208" t="str">
        <f aca="false">IF(C51="","",VALUE(C51))</f>
        <v/>
      </c>
      <c r="I51" s="209" t="str">
        <f aca="false">IF(D51="","",VALUE(D51))</f>
        <v/>
      </c>
      <c r="J51" s="208" t="str">
        <f aca="false">IF(E51="","",VALUE(E51))</f>
        <v/>
      </c>
      <c r="K51" s="191"/>
      <c r="L51" s="138" t="s">
        <v>69</v>
      </c>
      <c r="M51" s="241" t="str">
        <f aca="false">IF(H51="","",IF($J51="","",IF(ABS(H51-$J51)&gt;$M$10,H51-$J51,"")))</f>
        <v/>
      </c>
      <c r="N51" s="242" t="str">
        <f aca="false">IF(I51="","",IF($J51="","",IF(ABS(I51-$J51)&gt;$M$10,I51-$J51,"")))</f>
        <v/>
      </c>
      <c r="Q51" s="10"/>
      <c r="R51" s="10"/>
      <c r="S51" s="10"/>
      <c r="T51" s="10"/>
      <c r="U51" s="10"/>
    </row>
    <row r="52" customFormat="false" ht="12.75" hidden="false" customHeight="false" outlineLevel="0" collapsed="false">
      <c r="B52" s="38" t="s">
        <v>70</v>
      </c>
      <c r="C52" s="208"/>
      <c r="D52" s="253"/>
      <c r="E52" s="239"/>
      <c r="F52" s="191"/>
      <c r="G52" s="38" t="s">
        <v>70</v>
      </c>
      <c r="H52" s="208" t="str">
        <f aca="false">IF(C52="","",VALUE(C52))</f>
        <v/>
      </c>
      <c r="I52" s="209" t="str">
        <f aca="false">IF(D52="","",VALUE(D52))</f>
        <v/>
      </c>
      <c r="J52" s="208" t="str">
        <f aca="false">IF(E52="","",VALUE(E52))</f>
        <v/>
      </c>
      <c r="K52" s="191"/>
      <c r="L52" s="140" t="s">
        <v>70</v>
      </c>
      <c r="M52" s="241" t="str">
        <f aca="false">IF(H52="","",IF($J52="","",IF(ABS(H52-$J52)&gt;$M$10,H52-$J52,"")))</f>
        <v/>
      </c>
      <c r="N52" s="242" t="str">
        <f aca="false">IF(I52="","",IF($J52="","",IF(ABS(I52-$J52)&gt;$M$10,I52-$J52,"")))</f>
        <v/>
      </c>
      <c r="P52" s="10"/>
      <c r="Q52" s="10"/>
      <c r="R52" s="10"/>
      <c r="S52" s="10"/>
      <c r="T52" s="10"/>
      <c r="U52" s="10"/>
    </row>
    <row r="53" customFormat="false" ht="12.75" hidden="false" customHeight="false" outlineLevel="0" collapsed="false">
      <c r="B53" s="31" t="s">
        <v>71</v>
      </c>
      <c r="C53" s="208"/>
      <c r="D53" s="253" t="n">
        <v>40.83</v>
      </c>
      <c r="E53" s="239"/>
      <c r="F53" s="191"/>
      <c r="G53" s="31" t="s">
        <v>71</v>
      </c>
      <c r="H53" s="208" t="str">
        <f aca="false">IF(C53="","",VALUE(C53))</f>
        <v/>
      </c>
      <c r="I53" s="209" t="n">
        <f aca="false">IF(D53="","",VALUE(D53))</f>
        <v>40.83</v>
      </c>
      <c r="J53" s="208" t="str">
        <f aca="false">IF(E53="","",VALUE(E53))</f>
        <v/>
      </c>
      <c r="K53" s="191"/>
      <c r="L53" s="138" t="s">
        <v>71</v>
      </c>
      <c r="M53" s="241" t="str">
        <f aca="false">IF(H53="","",IF($J53="","",IF(ABS(H53-$J53)&gt;$M$10,H53-$J53,"")))</f>
        <v/>
      </c>
      <c r="N53" s="242" t="str">
        <f aca="false">IF(I53="","",IF($J53="","",IF(ABS(I53-$J53)&gt;$M$10,I53-$J53,"")))</f>
        <v/>
      </c>
      <c r="P53" s="10"/>
      <c r="Q53" s="10"/>
      <c r="R53" s="10"/>
      <c r="S53" s="10"/>
      <c r="T53" s="10"/>
      <c r="U53" s="10"/>
    </row>
    <row r="54" customFormat="false" ht="12.75" hidden="false" customHeight="false" outlineLevel="0" collapsed="false">
      <c r="B54" s="31" t="s">
        <v>72</v>
      </c>
      <c r="C54" s="208"/>
      <c r="D54" s="253" t="n">
        <v>68.45</v>
      </c>
      <c r="E54" s="239"/>
      <c r="F54" s="240"/>
      <c r="G54" s="31" t="s">
        <v>72</v>
      </c>
      <c r="H54" s="208" t="str">
        <f aca="false">IF(C54="","",VALUE(C54))</f>
        <v/>
      </c>
      <c r="I54" s="209" t="n">
        <f aca="false">IF(D54="","",VALUE(D54))</f>
        <v>68.45</v>
      </c>
      <c r="J54" s="208" t="str">
        <f aca="false">IF(E54="","",VALUE(E54))</f>
        <v/>
      </c>
      <c r="K54" s="240"/>
      <c r="L54" s="138" t="s">
        <v>72</v>
      </c>
      <c r="M54" s="241" t="str">
        <f aca="false">IF(H54="","",IF($J54="","",IF(ABS(H54-$J54)&gt;$M$10,H54-$J54,"")))</f>
        <v/>
      </c>
      <c r="N54" s="242" t="str">
        <f aca="false">IF(I54="","",IF($J54="","",IF(ABS(I54-$J54)&gt;$M$10,I54-$J54,"")))</f>
        <v/>
      </c>
      <c r="P54" s="10"/>
      <c r="Q54" s="10"/>
      <c r="R54" s="10"/>
      <c r="S54" s="10"/>
      <c r="T54" s="10"/>
      <c r="U54" s="10"/>
    </row>
    <row r="55" customFormat="false" ht="12.75" hidden="false" customHeight="false" outlineLevel="0" collapsed="false">
      <c r="B55" s="31" t="s">
        <v>73</v>
      </c>
      <c r="C55" s="208"/>
      <c r="D55" s="253" t="n">
        <v>31.09</v>
      </c>
      <c r="E55" s="239" t="n">
        <v>31.09</v>
      </c>
      <c r="F55" s="191"/>
      <c r="G55" s="31" t="s">
        <v>73</v>
      </c>
      <c r="H55" s="208" t="str">
        <f aca="false">IF(C55="","",VALUE(C55))</f>
        <v/>
      </c>
      <c r="I55" s="209" t="n">
        <f aca="false">IF(D55="","",VALUE(D55))</f>
        <v>31.09</v>
      </c>
      <c r="J55" s="208" t="n">
        <f aca="false">IF(E55="","",VALUE(E55))</f>
        <v>31.09</v>
      </c>
      <c r="K55" s="191"/>
      <c r="L55" s="138" t="s">
        <v>73</v>
      </c>
      <c r="M55" s="241" t="str">
        <f aca="false">IF(H55="","",IF($J55="","",IF(ABS(H55-$J55)&gt;$M$10,H55-$J55,"")))</f>
        <v/>
      </c>
      <c r="N55" s="242" t="str">
        <f aca="false">IF(I55="","",IF($J55="","",IF(ABS(I55-$J55)&gt;$M$10,I55-$J55,"")))</f>
        <v/>
      </c>
      <c r="P55" s="10"/>
      <c r="Q55" s="10"/>
      <c r="R55" s="10"/>
      <c r="S55" s="10"/>
      <c r="T55" s="10"/>
      <c r="U55" s="10"/>
    </row>
    <row r="56" s="90" customFormat="true" ht="12.75" hidden="false" customHeight="false" outlineLevel="0" collapsed="false">
      <c r="A56" s="89"/>
      <c r="B56" s="38" t="s">
        <v>75</v>
      </c>
      <c r="C56" s="208" t="n">
        <v>130.684</v>
      </c>
      <c r="D56" s="253" t="n">
        <v>130.68</v>
      </c>
      <c r="E56" s="239" t="n">
        <v>130.68</v>
      </c>
      <c r="F56" s="240"/>
      <c r="G56" s="38" t="s">
        <v>75</v>
      </c>
      <c r="H56" s="208" t="n">
        <f aca="false">IF(C56="","",VALUE(C56))</f>
        <v>130.684</v>
      </c>
      <c r="I56" s="209" t="n">
        <f aca="false">IF(D56="","",VALUE(D56))</f>
        <v>130.68</v>
      </c>
      <c r="J56" s="208" t="n">
        <f aca="false">IF(E56="","",VALUE(E56))</f>
        <v>130.68</v>
      </c>
      <c r="K56" s="240"/>
      <c r="L56" s="140" t="s">
        <v>75</v>
      </c>
      <c r="M56" s="241" t="str">
        <f aca="false">IF(H56="","",IF($J56="","",IF(ABS(H56-$J56)&gt;$M$10,H56-$J56,"")))</f>
        <v/>
      </c>
      <c r="N56" s="242" t="str">
        <f aca="false">IF(I56="","",IF($J56="","",IF(ABS(I56-$J56)&gt;$M$10,I56-$J56,"")))</f>
        <v/>
      </c>
    </row>
    <row r="57" customFormat="false" ht="12.75" hidden="false" customHeight="false" outlineLevel="0" collapsed="false">
      <c r="B57" s="31" t="s">
        <v>77</v>
      </c>
      <c r="C57" s="208"/>
      <c r="D57" s="253" t="n">
        <v>126.15</v>
      </c>
      <c r="E57" s="239"/>
      <c r="F57" s="240"/>
      <c r="G57" s="31" t="s">
        <v>77</v>
      </c>
      <c r="H57" s="208" t="str">
        <f aca="false">IF(C57="","",VALUE(C57))</f>
        <v/>
      </c>
      <c r="I57" s="209" t="n">
        <f aca="false">IF(D57="","",VALUE(D57))</f>
        <v>126.15</v>
      </c>
      <c r="J57" s="208" t="str">
        <f aca="false">IF(E57="","",VALUE(E57))</f>
        <v/>
      </c>
      <c r="K57" s="240"/>
      <c r="L57" s="138" t="s">
        <v>77</v>
      </c>
      <c r="M57" s="241" t="str">
        <f aca="false">IF(H57="","",IF($J57="","",IF(ABS(H57-$J57)&gt;$M$10,H57-$J57,"")))</f>
        <v/>
      </c>
      <c r="N57" s="242" t="str">
        <f aca="false">IF(I57="","",IF($J57="","",IF(ABS(I57-$J57)&gt;$M$10,I57-$J57,"")))</f>
        <v/>
      </c>
    </row>
    <row r="58" customFormat="false" ht="12.75" hidden="false" customHeight="false" outlineLevel="0" collapsed="false">
      <c r="B58" s="31" t="s">
        <v>78</v>
      </c>
      <c r="C58" s="208" t="n">
        <v>43.555</v>
      </c>
      <c r="D58" s="253" t="n">
        <v>43.56</v>
      </c>
      <c r="E58" s="239"/>
      <c r="F58" s="240"/>
      <c r="G58" s="31" t="s">
        <v>78</v>
      </c>
      <c r="H58" s="208" t="n">
        <f aca="false">IF(C58="","",VALUE(C58))</f>
        <v>43.555</v>
      </c>
      <c r="I58" s="209" t="n">
        <f aca="false">IF(D58="","",VALUE(D58))</f>
        <v>43.56</v>
      </c>
      <c r="J58" s="208" t="str">
        <f aca="false">IF(E58="","",VALUE(E58))</f>
        <v/>
      </c>
      <c r="K58" s="240"/>
      <c r="L58" s="138" t="s">
        <v>78</v>
      </c>
      <c r="M58" s="241" t="str">
        <f aca="false">IF(H58="","",IF($J58="","",IF(ABS(H58-$J58)&gt;$M$10,H58-$J58,"")))</f>
        <v/>
      </c>
      <c r="N58" s="242" t="str">
        <f aca="false">IF(I58="","",IF($J58="","",IF(ABS(I58-$J58)&gt;$M$10,I58-$J58,"")))</f>
        <v/>
      </c>
    </row>
    <row r="59" customFormat="false" ht="12.75" hidden="false" customHeight="false" outlineLevel="0" collapsed="false">
      <c r="A59" s="10"/>
      <c r="B59" s="31" t="s">
        <v>79</v>
      </c>
      <c r="C59" s="238" t="n">
        <v>76.023</v>
      </c>
      <c r="D59" s="254" t="s">
        <v>544</v>
      </c>
      <c r="E59" s="243" t="s">
        <v>544</v>
      </c>
      <c r="F59" s="240"/>
      <c r="G59" s="31" t="s">
        <v>79</v>
      </c>
      <c r="H59" s="208" t="n">
        <f aca="false">IF(C59="","",VALUE(C59))</f>
        <v>76.023</v>
      </c>
      <c r="I59" s="209" t="n">
        <f aca="false">IF(D59="","",VALUE(D59))</f>
        <v>75.9</v>
      </c>
      <c r="J59" s="208" t="n">
        <f aca="false">IF(E59="","",VALUE(E59))</f>
        <v>75.9</v>
      </c>
      <c r="K59" s="240"/>
      <c r="L59" s="138" t="s">
        <v>79</v>
      </c>
      <c r="M59" s="241" t="n">
        <f aca="false">IF(H59="","",IF($J59="","",IF(ABS(H59-$J59)&gt;$M$10,H59-$J59,"")))</f>
        <v>0.12299999999999</v>
      </c>
      <c r="N59" s="242" t="str">
        <f aca="false">IF(I59="","",IF($J59="","",IF(ABS(I59-$J59)&gt;$M$10,I59-$J59,"")))</f>
        <v/>
      </c>
      <c r="T59" s="10"/>
      <c r="U59" s="10"/>
    </row>
    <row r="60" customFormat="false" ht="12.75" hidden="false" customHeight="false" outlineLevel="0" collapsed="false">
      <c r="B60" s="31" t="s">
        <v>80</v>
      </c>
      <c r="C60" s="208"/>
      <c r="D60" s="253" t="n">
        <v>75.02</v>
      </c>
      <c r="E60" s="239"/>
      <c r="F60" s="191"/>
      <c r="G60" s="31" t="s">
        <v>80</v>
      </c>
      <c r="H60" s="208" t="str">
        <f aca="false">IF(C60="","",VALUE(C60))</f>
        <v/>
      </c>
      <c r="I60" s="209" t="n">
        <f aca="false">IF(D60="","",VALUE(D60))</f>
        <v>75.02</v>
      </c>
      <c r="J60" s="208" t="str">
        <f aca="false">IF(E60="","",VALUE(E60))</f>
        <v/>
      </c>
      <c r="K60" s="191"/>
      <c r="L60" s="138" t="s">
        <v>80</v>
      </c>
      <c r="M60" s="241" t="str">
        <f aca="false">IF(H60="","",IF($J60="","",IF(ABS(H60-$J60)&gt;$M$10,H60-$J60,"")))</f>
        <v/>
      </c>
      <c r="N60" s="242" t="str">
        <f aca="false">IF(I60="","",IF($J60="","",IF(ABS(I60-$J60)&gt;$M$10,I60-$J60,"")))</f>
        <v/>
      </c>
      <c r="Q60" s="10"/>
      <c r="R60" s="10"/>
      <c r="S60" s="10"/>
      <c r="T60" s="10"/>
      <c r="U60" s="10"/>
    </row>
    <row r="61" s="90" customFormat="true" ht="12.75" hidden="false" customHeight="false" outlineLevel="0" collapsed="false">
      <c r="A61" s="89"/>
      <c r="B61" s="38" t="s">
        <v>82</v>
      </c>
      <c r="C61" s="208" t="n">
        <v>116.135</v>
      </c>
      <c r="D61" s="253" t="n">
        <v>116.15</v>
      </c>
      <c r="E61" s="239" t="n">
        <v>116.14</v>
      </c>
      <c r="F61" s="191"/>
      <c r="G61" s="38" t="s">
        <v>82</v>
      </c>
      <c r="H61" s="208" t="n">
        <f aca="false">IF(C61="","",VALUE(C61))</f>
        <v>116.135</v>
      </c>
      <c r="I61" s="209" t="n">
        <f aca="false">IF(D61="","",VALUE(D61))</f>
        <v>116.15</v>
      </c>
      <c r="J61" s="208" t="n">
        <f aca="false">IF(E61="","",VALUE(E61))</f>
        <v>116.14</v>
      </c>
      <c r="K61" s="191"/>
      <c r="L61" s="140" t="s">
        <v>82</v>
      </c>
      <c r="M61" s="241" t="str">
        <f aca="false">IF(H61="","",IF($J61="","",IF(ABS(H61-$J61)&gt;$M$10,H61-$J61,"")))</f>
        <v/>
      </c>
      <c r="N61" s="242" t="str">
        <f aca="false">IF(I61="","",IF($J61="","",IF(ABS(I61-$J61)&gt;$M$10,I61-$J61,"")))</f>
        <v/>
      </c>
      <c r="Q61" s="10"/>
      <c r="R61" s="10"/>
      <c r="S61" s="10"/>
      <c r="T61" s="10"/>
      <c r="U61" s="10"/>
    </row>
    <row r="62" customFormat="false" ht="12.75" hidden="false" customHeight="false" outlineLevel="0" collapsed="false">
      <c r="B62" s="31" t="s">
        <v>84</v>
      </c>
      <c r="C62" s="208"/>
      <c r="D62" s="253" t="n">
        <v>57.84</v>
      </c>
      <c r="E62" s="239"/>
      <c r="F62" s="191"/>
      <c r="G62" s="31" t="s">
        <v>84</v>
      </c>
      <c r="H62" s="208" t="str">
        <f aca="false">IF(C62="","",VALUE(C62))</f>
        <v/>
      </c>
      <c r="I62" s="209" t="n">
        <f aca="false">IF(D62="","",VALUE(D62))</f>
        <v>57.84</v>
      </c>
      <c r="J62" s="208" t="str">
        <f aca="false">IF(E62="","",VALUE(E62))</f>
        <v/>
      </c>
      <c r="K62" s="191"/>
      <c r="L62" s="138" t="s">
        <v>84</v>
      </c>
      <c r="M62" s="241" t="str">
        <f aca="false">IF(H62="","",IF($J62="","",IF(ABS(H62-$J62)&gt;$M$10,H62-$J62,"")))</f>
        <v/>
      </c>
      <c r="N62" s="242" t="str">
        <f aca="false">IF(I62="","",IF($J62="","",IF(ABS(I62-$J62)&gt;$M$10,I62-$J62,"")))</f>
        <v/>
      </c>
      <c r="Q62" s="10"/>
      <c r="R62" s="10"/>
      <c r="S62" s="10"/>
      <c r="T62" s="10"/>
      <c r="U62" s="10"/>
    </row>
    <row r="63" customFormat="false" ht="12.75" hidden="false" customHeight="false" outlineLevel="0" collapsed="false">
      <c r="B63" s="31" t="s">
        <v>85</v>
      </c>
      <c r="C63" s="208"/>
      <c r="D63" s="253" t="n">
        <v>35.48</v>
      </c>
      <c r="E63" s="239"/>
      <c r="F63" s="191"/>
      <c r="G63" s="31" t="s">
        <v>85</v>
      </c>
      <c r="H63" s="208" t="str">
        <f aca="false">IF(C63="","",VALUE(C63))</f>
        <v/>
      </c>
      <c r="I63" s="209" t="n">
        <f aca="false">IF(D63="","",VALUE(D63))</f>
        <v>35.48</v>
      </c>
      <c r="J63" s="208" t="str">
        <f aca="false">IF(E63="","",VALUE(E63))</f>
        <v/>
      </c>
      <c r="K63" s="191"/>
      <c r="L63" s="138" t="s">
        <v>85</v>
      </c>
      <c r="M63" s="241" t="str">
        <f aca="false">IF(H63="","",IF($J63="","",IF(ABS(H63-$J63)&gt;$M$10,H63-$J63,"")))</f>
        <v/>
      </c>
      <c r="N63" s="242" t="str">
        <f aca="false">IF(I63="","",IF($J63="","",IF(ABS(I63-$J63)&gt;$M$10,I63-$J63,"")))</f>
        <v/>
      </c>
      <c r="P63" s="10"/>
      <c r="Q63" s="10"/>
      <c r="R63" s="10"/>
      <c r="S63" s="10"/>
      <c r="T63" s="10"/>
      <c r="U63" s="10"/>
    </row>
    <row r="64" customFormat="false" ht="12.75" hidden="false" customHeight="false" outlineLevel="0" collapsed="false">
      <c r="B64" s="38" t="s">
        <v>86</v>
      </c>
      <c r="C64" s="208" t="n">
        <v>64.768</v>
      </c>
      <c r="D64" s="253" t="n">
        <v>64.68</v>
      </c>
      <c r="E64" s="239" t="n">
        <v>64.67</v>
      </c>
      <c r="F64" s="191"/>
      <c r="G64" s="38" t="s">
        <v>86</v>
      </c>
      <c r="H64" s="208" t="n">
        <f aca="false">IF(C64="","",VALUE(C64))</f>
        <v>64.768</v>
      </c>
      <c r="I64" s="209" t="n">
        <f aca="false">IF(D64="","",VALUE(D64))</f>
        <v>64.68</v>
      </c>
      <c r="J64" s="208" t="n">
        <f aca="false">IF(E64="","",VALUE(E64))</f>
        <v>64.67</v>
      </c>
      <c r="K64" s="191"/>
      <c r="L64" s="140" t="s">
        <v>86</v>
      </c>
      <c r="M64" s="241" t="str">
        <f aca="false">IF(H64="","",IF($J64="","",IF(ABS(H64-$J64)&gt;$M$10,H64-$J64,"")))</f>
        <v/>
      </c>
      <c r="N64" s="242" t="str">
        <f aca="false">IF(I64="","",IF($J64="","",IF(ABS(I64-$J64)&gt;$M$10,I64-$J64,"")))</f>
        <v/>
      </c>
      <c r="P64" s="10"/>
      <c r="Q64" s="10"/>
      <c r="R64" s="10"/>
      <c r="S64" s="10"/>
      <c r="T64" s="10"/>
      <c r="U64" s="10"/>
    </row>
    <row r="65" customFormat="false" ht="12.75" hidden="false" customHeight="false" outlineLevel="0" collapsed="false">
      <c r="B65" s="31" t="s">
        <v>87</v>
      </c>
      <c r="C65" s="208"/>
      <c r="D65" s="253" t="n">
        <v>164.08</v>
      </c>
      <c r="E65" s="239"/>
      <c r="F65" s="191"/>
      <c r="G65" s="31" t="s">
        <v>87</v>
      </c>
      <c r="H65" s="208" t="str">
        <f aca="false">IF(C65="","",VALUE(C65))</f>
        <v/>
      </c>
      <c r="I65" s="209" t="n">
        <f aca="false">IF(D65="","",VALUE(D65))</f>
        <v>164.08</v>
      </c>
      <c r="J65" s="208" t="str">
        <f aca="false">IF(E65="","",VALUE(E65))</f>
        <v/>
      </c>
      <c r="K65" s="191"/>
      <c r="L65" s="138" t="s">
        <v>87</v>
      </c>
      <c r="M65" s="241" t="str">
        <f aca="false">IF(H65="","",IF($J65="","",IF(ABS(H65-$J65)&gt;$M$10,H65-$J65,"")))</f>
        <v/>
      </c>
      <c r="N65" s="242" t="str">
        <f aca="false">IF(I65="","",IF($J65="","",IF(ABS(I65-$J65)&gt;$M$10,I65-$J65,"")))</f>
        <v/>
      </c>
      <c r="P65" s="10"/>
      <c r="Q65" s="10"/>
      <c r="R65" s="10"/>
      <c r="S65" s="10"/>
      <c r="T65" s="10"/>
      <c r="U65" s="10"/>
    </row>
    <row r="66" customFormat="false" ht="12.75" hidden="false" customHeight="false" outlineLevel="0" collapsed="false">
      <c r="B66" s="31" t="s">
        <v>88</v>
      </c>
      <c r="C66" s="208"/>
      <c r="D66" s="254" t="s">
        <v>639</v>
      </c>
      <c r="E66" s="239"/>
      <c r="F66" s="191"/>
      <c r="G66" s="31" t="s">
        <v>88</v>
      </c>
      <c r="H66" s="208" t="str">
        <f aca="false">IF(C66="","",VALUE(C66))</f>
        <v/>
      </c>
      <c r="I66" s="209" t="n">
        <f aca="false">IF(D66="","",VALUE(D66))</f>
        <v>56.9</v>
      </c>
      <c r="J66" s="208" t="str">
        <f aca="false">IF(E66="","",VALUE(E66))</f>
        <v/>
      </c>
      <c r="K66" s="191"/>
      <c r="L66" s="138" t="s">
        <v>88</v>
      </c>
      <c r="M66" s="241" t="str">
        <f aca="false">IF(H66="","",IF($J66="","",IF(ABS(H66-$J66)&gt;$M$10,H66-$J66,"")))</f>
        <v/>
      </c>
      <c r="N66" s="242" t="str">
        <f aca="false">IF(I66="","",IF($J66="","",IF(ABS(I66-$J66)&gt;$M$10,I66-$J66,"")))</f>
        <v/>
      </c>
      <c r="P66" s="10"/>
      <c r="Q66" s="10"/>
      <c r="R66" s="10"/>
      <c r="S66" s="10"/>
      <c r="T66" s="10"/>
      <c r="U66" s="10"/>
    </row>
    <row r="67" customFormat="false" ht="12.75" hidden="false" customHeight="false" outlineLevel="0" collapsed="false">
      <c r="B67" s="38" t="s">
        <v>89</v>
      </c>
      <c r="C67" s="208" t="n">
        <v>29.079</v>
      </c>
      <c r="D67" s="253" t="n">
        <v>29.12</v>
      </c>
      <c r="E67" s="239" t="n">
        <v>29.09</v>
      </c>
      <c r="F67" s="240"/>
      <c r="G67" s="38" t="s">
        <v>89</v>
      </c>
      <c r="H67" s="208" t="n">
        <f aca="false">IF(C67="","",VALUE(C67))</f>
        <v>29.079</v>
      </c>
      <c r="I67" s="209" t="n">
        <f aca="false">IF(D67="","",VALUE(D67))</f>
        <v>29.12</v>
      </c>
      <c r="J67" s="208" t="n">
        <f aca="false">IF(E67="","",VALUE(E67))</f>
        <v>29.09</v>
      </c>
      <c r="K67" s="240"/>
      <c r="L67" s="140" t="s">
        <v>89</v>
      </c>
      <c r="M67" s="241" t="str">
        <f aca="false">IF(H67="","",IF($J67="","",IF(ABS(H67-$J67)&gt;$M$10,H67-$J67,"")))</f>
        <v/>
      </c>
      <c r="N67" s="242" t="str">
        <f aca="false">IF(I67="","",IF($J67="","",IF(ABS(I67-$J67)&gt;$M$10,I67-$J67,"")))</f>
        <v/>
      </c>
    </row>
    <row r="68" customFormat="false" ht="12.75" hidden="false" customHeight="false" outlineLevel="0" collapsed="false">
      <c r="B68" s="31" t="s">
        <v>90</v>
      </c>
      <c r="C68" s="208"/>
      <c r="D68" s="253"/>
      <c r="E68" s="239"/>
      <c r="F68" s="240"/>
      <c r="G68" s="31" t="s">
        <v>90</v>
      </c>
      <c r="H68" s="208" t="str">
        <f aca="false">IF(C68="","",VALUE(C68))</f>
        <v/>
      </c>
      <c r="I68" s="209" t="str">
        <f aca="false">IF(D68="","",VALUE(D68))</f>
        <v/>
      </c>
      <c r="J68" s="208" t="str">
        <f aca="false">IF(E68="","",VALUE(E68))</f>
        <v/>
      </c>
      <c r="K68" s="240"/>
      <c r="L68" s="138" t="s">
        <v>90</v>
      </c>
      <c r="M68" s="241" t="str">
        <f aca="false">IF(H68="","",IF($J68="","",IF(ABS(H68-$J68)&gt;$M$10,H68-$J68,"")))</f>
        <v/>
      </c>
      <c r="N68" s="242" t="str">
        <f aca="false">IF(I68="","",IF($J68="","",IF(ABS(I68-$J68)&gt;$M$10,I68-$J68,"")))</f>
        <v/>
      </c>
    </row>
    <row r="69" customFormat="false" ht="12.75" hidden="false" customHeight="false" outlineLevel="0" collapsed="false">
      <c r="B69" s="31" t="s">
        <v>91</v>
      </c>
      <c r="C69" s="208"/>
      <c r="D69" s="253" t="n">
        <v>50.96</v>
      </c>
      <c r="E69" s="239"/>
      <c r="F69" s="240"/>
      <c r="G69" s="31" t="s">
        <v>91</v>
      </c>
      <c r="H69" s="208" t="str">
        <f aca="false">IF(C69="","",VALUE(C69))</f>
        <v/>
      </c>
      <c r="I69" s="209" t="n">
        <f aca="false">IF(D69="","",VALUE(D69))</f>
        <v>50.96</v>
      </c>
      <c r="J69" s="208" t="str">
        <f aca="false">IF(E69="","",VALUE(E69))</f>
        <v/>
      </c>
      <c r="K69" s="240"/>
      <c r="L69" s="138" t="s">
        <v>91</v>
      </c>
      <c r="M69" s="241" t="str">
        <f aca="false">IF(H69="","",IF($J69="","",IF(ABS(H69-$J69)&gt;$M$10,H69-$J69,"")))</f>
        <v/>
      </c>
      <c r="N69" s="242" t="str">
        <f aca="false">IF(I69="","",IF($J69="","",IF(ABS(I69-$J69)&gt;$M$10,I69-$J69,"")))</f>
        <v/>
      </c>
    </row>
    <row r="70" customFormat="false" ht="12.75" hidden="false" customHeight="false" outlineLevel="0" collapsed="false">
      <c r="B70" s="31" t="s">
        <v>92</v>
      </c>
      <c r="C70" s="208"/>
      <c r="D70" s="253"/>
      <c r="E70" s="239"/>
      <c r="F70" s="240"/>
      <c r="G70" s="31" t="s">
        <v>92</v>
      </c>
      <c r="H70" s="208" t="str">
        <f aca="false">IF(C70="","",VALUE(C70))</f>
        <v/>
      </c>
      <c r="I70" s="209" t="str">
        <f aca="false">IF(D70="","",VALUE(D70))</f>
        <v/>
      </c>
      <c r="J70" s="208" t="str">
        <f aca="false">IF(E70="","",VALUE(E70))</f>
        <v/>
      </c>
      <c r="K70" s="240"/>
      <c r="L70" s="138" t="s">
        <v>92</v>
      </c>
      <c r="M70" s="241" t="str">
        <f aca="false">IF(H70="","",IF($J70="","",IF(ABS(H70-$J70)&gt;$M$10,H70-$J70,"")))</f>
        <v/>
      </c>
      <c r="N70" s="242" t="str">
        <f aca="false">IF(I70="","",IF($J70="","",IF(ABS(I70-$J70)&gt;$M$10,I70-$J70,"")))</f>
        <v/>
      </c>
      <c r="T70" s="10"/>
      <c r="U70" s="10"/>
    </row>
    <row r="71" customFormat="false" ht="12.75" hidden="false" customHeight="false" outlineLevel="0" collapsed="false">
      <c r="B71" s="31" t="s">
        <v>93</v>
      </c>
      <c r="C71" s="208" t="n">
        <v>32.677</v>
      </c>
      <c r="D71" s="253" t="n">
        <v>32.68</v>
      </c>
      <c r="E71" s="239" t="n">
        <v>32.67</v>
      </c>
      <c r="F71" s="191"/>
      <c r="G71" s="31" t="s">
        <v>93</v>
      </c>
      <c r="H71" s="208" t="n">
        <f aca="false">IF(C71="","",VALUE(C71))</f>
        <v>32.677</v>
      </c>
      <c r="I71" s="209" t="n">
        <f aca="false">IF(D71="","",VALUE(D71))</f>
        <v>32.68</v>
      </c>
      <c r="J71" s="208" t="n">
        <f aca="false">IF(E71="","",VALUE(E71))</f>
        <v>32.67</v>
      </c>
      <c r="K71" s="191"/>
      <c r="L71" s="138" t="s">
        <v>93</v>
      </c>
      <c r="M71" s="241" t="str">
        <f aca="false">IF(H71="","",IF($J71="","",IF(ABS(H71-$J71)&gt;$M$10,H71-$J71,"")))</f>
        <v/>
      </c>
      <c r="N71" s="242" t="str">
        <f aca="false">IF(I71="","",IF($J71="","",IF(ABS(I71-$J71)&gt;$M$10,I71-$J71,"")))</f>
        <v/>
      </c>
      <c r="Q71" s="10"/>
      <c r="R71" s="10"/>
      <c r="S71" s="10"/>
      <c r="T71" s="10"/>
      <c r="U71" s="10"/>
    </row>
    <row r="72" customFormat="false" ht="12.75" hidden="false" customHeight="false" outlineLevel="0" collapsed="false">
      <c r="B72" s="31" t="s">
        <v>94</v>
      </c>
      <c r="C72" s="208" t="n">
        <v>32.008</v>
      </c>
      <c r="D72" s="253" t="n">
        <v>32.01</v>
      </c>
      <c r="E72" s="239" t="n">
        <v>32.01</v>
      </c>
      <c r="F72" s="191"/>
      <c r="G72" s="31" t="s">
        <v>94</v>
      </c>
      <c r="H72" s="208" t="n">
        <f aca="false">IF(C72="","",VALUE(C72))</f>
        <v>32.008</v>
      </c>
      <c r="I72" s="209" t="n">
        <f aca="false">IF(D72="","",VALUE(D72))</f>
        <v>32.01</v>
      </c>
      <c r="J72" s="208" t="n">
        <f aca="false">IF(E72="","",VALUE(E72))</f>
        <v>32.01</v>
      </c>
      <c r="K72" s="191"/>
      <c r="L72" s="138" t="s">
        <v>94</v>
      </c>
      <c r="M72" s="241" t="str">
        <f aca="false">IF(H72="","",IF($J72="","",IF(ABS(H72-$J72)&gt;$M$10,H72-$J72,"")))</f>
        <v/>
      </c>
      <c r="N72" s="242" t="str">
        <f aca="false">IF(I72="","",IF($J72="","",IF(ABS(I72-$J72)&gt;$M$10,I72-$J72,"")))</f>
        <v/>
      </c>
      <c r="Q72" s="10"/>
      <c r="R72" s="10"/>
      <c r="S72" s="10"/>
      <c r="T72" s="10"/>
      <c r="U72" s="10"/>
    </row>
    <row r="73" customFormat="false" ht="12.75" hidden="false" customHeight="false" outlineLevel="0" collapsed="false">
      <c r="B73" s="31" t="s">
        <v>95</v>
      </c>
      <c r="C73" s="208" t="n">
        <v>28.66</v>
      </c>
      <c r="D73" s="253" t="n">
        <v>28.66</v>
      </c>
      <c r="E73" s="239" t="n">
        <v>28.66</v>
      </c>
      <c r="F73" s="191"/>
      <c r="G73" s="31" t="s">
        <v>95</v>
      </c>
      <c r="H73" s="208" t="n">
        <f aca="false">IF(C73="","",VALUE(C73))</f>
        <v>28.66</v>
      </c>
      <c r="I73" s="209" t="n">
        <f aca="false">IF(D73="","",VALUE(D73))</f>
        <v>28.66</v>
      </c>
      <c r="J73" s="208" t="n">
        <f aca="false">IF(E73="","",VALUE(E73))</f>
        <v>28.66</v>
      </c>
      <c r="K73" s="191"/>
      <c r="L73" s="138" t="s">
        <v>95</v>
      </c>
      <c r="M73" s="241" t="str">
        <f aca="false">IF(H73="","",IF($J73="","",IF(ABS(H73-$J73)&gt;$M$10,H73-$J73,"")))</f>
        <v/>
      </c>
      <c r="N73" s="242" t="str">
        <f aca="false">IF(I73="","",IF($J73="","",IF(ABS(I73-$J73)&gt;$M$10,I73-$J73,"")))</f>
        <v/>
      </c>
      <c r="Q73" s="10"/>
      <c r="R73" s="10"/>
      <c r="S73" s="10"/>
      <c r="T73" s="10"/>
      <c r="U73" s="10"/>
    </row>
    <row r="74" s="90" customFormat="true" ht="12.75" hidden="false" customHeight="false" outlineLevel="0" collapsed="false">
      <c r="A74" s="89"/>
      <c r="B74" s="38" t="s">
        <v>97</v>
      </c>
      <c r="C74" s="208" t="n">
        <v>191.611</v>
      </c>
      <c r="D74" s="253" t="n">
        <v>191.61</v>
      </c>
      <c r="E74" s="239" t="n">
        <v>191.61</v>
      </c>
      <c r="F74" s="191"/>
      <c r="G74" s="38" t="s">
        <v>97</v>
      </c>
      <c r="H74" s="208" t="n">
        <f aca="false">IF(C74="","",VALUE(C74))</f>
        <v>191.611</v>
      </c>
      <c r="I74" s="209" t="n">
        <f aca="false">IF(D74="","",VALUE(D74))</f>
        <v>191.61</v>
      </c>
      <c r="J74" s="208" t="n">
        <f aca="false">IF(E74="","",VALUE(E74))</f>
        <v>191.61</v>
      </c>
      <c r="K74" s="191"/>
      <c r="L74" s="140" t="s">
        <v>97</v>
      </c>
      <c r="M74" s="241" t="str">
        <f aca="false">IF(H74="","",IF($J74="","",IF(ABS(H74-$J74)&gt;$M$10,H74-$J74,"")))</f>
        <v/>
      </c>
      <c r="N74" s="242" t="str">
        <f aca="false">IF(I74="","",IF($J74="","",IF(ABS(I74-$J74)&gt;$M$10,I74-$J74,"")))</f>
        <v/>
      </c>
      <c r="P74" s="10"/>
      <c r="Q74" s="10"/>
      <c r="R74" s="10"/>
      <c r="S74" s="10"/>
      <c r="T74" s="10"/>
      <c r="U74" s="10"/>
    </row>
    <row r="75" customFormat="false" ht="12.75" hidden="false" customHeight="false" outlineLevel="0" collapsed="false">
      <c r="B75" s="38" t="s">
        <v>99</v>
      </c>
      <c r="C75" s="238" t="n">
        <v>51.212</v>
      </c>
      <c r="D75" s="256" t="s">
        <v>548</v>
      </c>
      <c r="E75" s="239" t="n">
        <v>51.46</v>
      </c>
      <c r="F75" s="191"/>
      <c r="G75" s="38" t="s">
        <v>99</v>
      </c>
      <c r="H75" s="208" t="n">
        <f aca="false">IF(C75="","",VALUE(C75))</f>
        <v>51.212</v>
      </c>
      <c r="I75" s="209" t="n">
        <f aca="false">IF(D75="","",VALUE(D75))</f>
        <v>51.3</v>
      </c>
      <c r="J75" s="208" t="n">
        <f aca="false">IF(E75="","",VALUE(E75))</f>
        <v>51.46</v>
      </c>
      <c r="K75" s="191"/>
      <c r="L75" s="140" t="s">
        <v>99</v>
      </c>
      <c r="M75" s="241" t="n">
        <f aca="false">IF(H75="","",IF($J75="","",IF(ABS(H75-$J75)&gt;$M$10,H75-$J75,"")))</f>
        <v>-0.247999999999998</v>
      </c>
      <c r="N75" s="242" t="n">
        <f aca="false">IF(I75="","",IF($J75="","",IF(ABS(I75-$J75)&gt;$M$10,I75-$J75,"")))</f>
        <v>-0.160000000000004</v>
      </c>
      <c r="P75" s="10"/>
      <c r="Q75" s="10"/>
      <c r="R75" s="10"/>
      <c r="S75" s="10"/>
      <c r="T75" s="10"/>
      <c r="U75" s="10"/>
    </row>
    <row r="76" customFormat="false" ht="12.75" hidden="false" customHeight="false" outlineLevel="0" collapsed="false">
      <c r="B76" s="31" t="s">
        <v>100</v>
      </c>
      <c r="C76" s="208" t="n">
        <v>36.401</v>
      </c>
      <c r="D76" s="254" t="s">
        <v>650</v>
      </c>
      <c r="E76" s="239"/>
      <c r="F76" s="191"/>
      <c r="G76" s="31" t="s">
        <v>100</v>
      </c>
      <c r="H76" s="208" t="n">
        <f aca="false">IF(C76="","",VALUE(C76))</f>
        <v>36.401</v>
      </c>
      <c r="I76" s="209" t="n">
        <f aca="false">IF(D76="","",VALUE(D76))</f>
        <v>36.4</v>
      </c>
      <c r="J76" s="208" t="str">
        <f aca="false">IF(E76="","",VALUE(E76))</f>
        <v/>
      </c>
      <c r="K76" s="191"/>
      <c r="L76" s="138" t="s">
        <v>100</v>
      </c>
      <c r="M76" s="241" t="str">
        <f aca="false">IF(H76="","",IF($J76="","",IF(ABS(H76-$J76)&gt;$M$10,H76-$J76,"")))</f>
        <v/>
      </c>
      <c r="N76" s="242" t="str">
        <f aca="false">IF(I76="","",IF($J76="","",IF(ABS(I76-$J76)&gt;$M$10,I76-$J76,"")))</f>
        <v/>
      </c>
      <c r="P76" s="10"/>
      <c r="Q76" s="10"/>
      <c r="R76" s="10"/>
      <c r="S76" s="10"/>
      <c r="T76" s="10"/>
      <c r="U76" s="10"/>
    </row>
    <row r="77" customFormat="false" ht="12.75" hidden="false" customHeight="false" outlineLevel="0" collapsed="false">
      <c r="B77" s="31" t="s">
        <v>101</v>
      </c>
      <c r="C77" s="208"/>
      <c r="D77" s="253" t="n">
        <v>71.09</v>
      </c>
      <c r="E77" s="239"/>
      <c r="F77" s="191"/>
      <c r="G77" s="31" t="s">
        <v>101</v>
      </c>
      <c r="H77" s="208" t="str">
        <f aca="false">IF(C77="","",VALUE(C77))</f>
        <v/>
      </c>
      <c r="I77" s="209" t="n">
        <f aca="false">IF(D77="","",VALUE(D77))</f>
        <v>71.09</v>
      </c>
      <c r="J77" s="208" t="str">
        <f aca="false">IF(E77="","",VALUE(E77))</f>
        <v/>
      </c>
      <c r="K77" s="191"/>
      <c r="L77" s="138" t="s">
        <v>101</v>
      </c>
      <c r="M77" s="241" t="str">
        <f aca="false">IF(H77="","",IF($J77="","",IF(ABS(H77-$J77)&gt;$M$10,H77-$J77,"")))</f>
        <v/>
      </c>
      <c r="N77" s="242" t="str">
        <f aca="false">IF(I77="","",IF($J77="","",IF(ABS(I77-$J77)&gt;$M$10,I77-$J77,"")))</f>
        <v/>
      </c>
    </row>
    <row r="78" customFormat="false" ht="12.75" hidden="false" customHeight="false" outlineLevel="0" collapsed="false">
      <c r="B78" s="31" t="s">
        <v>102</v>
      </c>
      <c r="C78" s="208"/>
      <c r="D78" s="253" t="n">
        <v>146.32</v>
      </c>
      <c r="E78" s="239"/>
      <c r="F78" s="240"/>
      <c r="G78" s="31" t="s">
        <v>102</v>
      </c>
      <c r="H78" s="208" t="str">
        <f aca="false">IF(C78="","",VALUE(C78))</f>
        <v/>
      </c>
      <c r="I78" s="209" t="n">
        <f aca="false">IF(D78="","",VALUE(D78))</f>
        <v>146.32</v>
      </c>
      <c r="J78" s="208" t="str">
        <f aca="false">IF(E78="","",VALUE(E78))</f>
        <v/>
      </c>
      <c r="K78" s="240"/>
      <c r="L78" s="138" t="s">
        <v>102</v>
      </c>
      <c r="M78" s="241" t="str">
        <f aca="false">IF(H78="","",IF($J78="","",IF(ABS(H78-$J78)&gt;$M$10,H78-$J78,"")))</f>
        <v/>
      </c>
      <c r="N78" s="242" t="str">
        <f aca="false">IF(I78="","",IF($J78="","",IF(ABS(I78-$J78)&gt;$M$10,I78-$J78,"")))</f>
        <v/>
      </c>
    </row>
    <row r="79" customFormat="false" ht="12.75" hidden="false" customHeight="false" outlineLevel="0" collapsed="false">
      <c r="B79" s="31" t="s">
        <v>103</v>
      </c>
      <c r="C79" s="208" t="n">
        <v>29.874</v>
      </c>
      <c r="D79" s="253" t="n">
        <v>29.87</v>
      </c>
      <c r="E79" s="239" t="n">
        <v>29.87</v>
      </c>
      <c r="F79" s="240"/>
      <c r="G79" s="31" t="s">
        <v>103</v>
      </c>
      <c r="H79" s="208" t="n">
        <f aca="false">IF(C79="","",VALUE(C79))</f>
        <v>29.874</v>
      </c>
      <c r="I79" s="209" t="n">
        <f aca="false">IF(D79="","",VALUE(D79))</f>
        <v>29.87</v>
      </c>
      <c r="J79" s="208" t="n">
        <f aca="false">IF(E79="","",VALUE(E79))</f>
        <v>29.87</v>
      </c>
      <c r="K79" s="240"/>
      <c r="L79" s="138" t="s">
        <v>103</v>
      </c>
      <c r="M79" s="241" t="str">
        <f aca="false">IF(H79="","",IF($J79="","",IF(ABS(H79-$J79)&gt;$M$10,H79-$J79,"")))</f>
        <v/>
      </c>
      <c r="N79" s="242" t="str">
        <f aca="false">IF(I79="","",IF($J79="","",IF(ABS(I79-$J79)&gt;$M$10,I79-$J79,"")))</f>
        <v/>
      </c>
    </row>
    <row r="80" customFormat="false" ht="12.75" hidden="false" customHeight="false" outlineLevel="0" collapsed="false">
      <c r="B80" s="31" t="s">
        <v>104</v>
      </c>
      <c r="C80" s="208"/>
      <c r="D80" s="253"/>
      <c r="E80" s="239"/>
      <c r="F80" s="240"/>
      <c r="G80" s="31" t="s">
        <v>104</v>
      </c>
      <c r="H80" s="208" t="str">
        <f aca="false">IF(C80="","",VALUE(C80))</f>
        <v/>
      </c>
      <c r="I80" s="209" t="str">
        <f aca="false">IF(D80="","",VALUE(D80))</f>
        <v/>
      </c>
      <c r="J80" s="208" t="str">
        <f aca="false">IF(E80="","",VALUE(E80))</f>
        <v/>
      </c>
      <c r="K80" s="240"/>
      <c r="L80" s="138" t="s">
        <v>104</v>
      </c>
      <c r="M80" s="241" t="str">
        <f aca="false">IF(H80="","",IF($J80="","",IF(ABS(H80-$J80)&gt;$M$10,H80-$J80,"")))</f>
        <v/>
      </c>
      <c r="N80" s="242" t="str">
        <f aca="false">IF(I80="","",IF($J80="","",IF(ABS(I80-$J80)&gt;$M$10,I80-$J80,"")))</f>
        <v/>
      </c>
      <c r="T80" s="10"/>
      <c r="U80" s="10"/>
    </row>
    <row r="81" customFormat="false" ht="12.75" hidden="false" customHeight="false" outlineLevel="0" collapsed="false">
      <c r="B81" s="31" t="s">
        <v>105</v>
      </c>
      <c r="C81" s="208"/>
      <c r="D81" s="253"/>
      <c r="E81" s="239"/>
      <c r="F81" s="191"/>
      <c r="G81" s="31" t="s">
        <v>105</v>
      </c>
      <c r="H81" s="208" t="str">
        <f aca="false">IF(C81="","",VALUE(C81))</f>
        <v/>
      </c>
      <c r="I81" s="209" t="str">
        <f aca="false">IF(D81="","",VALUE(D81))</f>
        <v/>
      </c>
      <c r="J81" s="208" t="str">
        <f aca="false">IF(E81="","",VALUE(E81))</f>
        <v/>
      </c>
      <c r="K81" s="191"/>
      <c r="L81" s="138" t="s">
        <v>105</v>
      </c>
      <c r="M81" s="241" t="str">
        <f aca="false">IF(H81="","",IF($J81="","",IF(ABS(H81-$J81)&gt;$M$10,H81-$J81,"")))</f>
        <v/>
      </c>
      <c r="N81" s="242" t="str">
        <f aca="false">IF(I81="","",IF($J81="","",IF(ABS(I81-$J81)&gt;$M$10,I81-$J81,"")))</f>
        <v/>
      </c>
      <c r="Q81" s="10"/>
      <c r="R81" s="10"/>
      <c r="S81" s="10"/>
      <c r="T81" s="10"/>
      <c r="U81" s="10"/>
    </row>
    <row r="82" s="90" customFormat="true" ht="12.75" hidden="false" customHeight="false" outlineLevel="0" collapsed="false">
      <c r="A82" s="89"/>
      <c r="B82" s="38" t="s">
        <v>107</v>
      </c>
      <c r="C82" s="208" t="n">
        <v>205.109</v>
      </c>
      <c r="D82" s="253" t="n">
        <v>205.15</v>
      </c>
      <c r="E82" s="239" t="n">
        <v>205.15</v>
      </c>
      <c r="F82" s="191"/>
      <c r="G82" s="38" t="s">
        <v>107</v>
      </c>
      <c r="H82" s="208" t="n">
        <f aca="false">IF(C82="","",VALUE(C82))</f>
        <v>205.109</v>
      </c>
      <c r="I82" s="209" t="n">
        <f aca="false">IF(D82="","",VALUE(D82))</f>
        <v>205.15</v>
      </c>
      <c r="J82" s="208" t="n">
        <f aca="false">IF(E82="","",VALUE(E82))</f>
        <v>205.15</v>
      </c>
      <c r="K82" s="191"/>
      <c r="L82" s="140" t="s">
        <v>107</v>
      </c>
      <c r="M82" s="241" t="str">
        <f aca="false">IF(H82="","",IF($J82="","",IF(ABS(H82-$J82)&gt;$M$10,H82-$J82,"")))</f>
        <v/>
      </c>
      <c r="N82" s="242" t="str">
        <f aca="false">IF(I82="","",IF($J82="","",IF(ABS(I82-$J82)&gt;$M$10,I82-$J82,"")))</f>
        <v/>
      </c>
      <c r="Q82" s="10"/>
      <c r="R82" s="10"/>
      <c r="S82" s="10"/>
      <c r="T82" s="10"/>
      <c r="U82" s="10"/>
    </row>
    <row r="83" customFormat="false" ht="12.75" hidden="false" customHeight="false" outlineLevel="0" collapsed="false">
      <c r="B83" s="31" t="s">
        <v>109</v>
      </c>
      <c r="C83" s="208"/>
      <c r="D83" s="253" t="n">
        <v>32.64</v>
      </c>
      <c r="E83" s="239"/>
      <c r="F83" s="191"/>
      <c r="G83" s="31" t="s">
        <v>109</v>
      </c>
      <c r="H83" s="208" t="str">
        <f aca="false">IF(C83="","",VALUE(C83))</f>
        <v/>
      </c>
      <c r="I83" s="209" t="n">
        <f aca="false">IF(D83="","",VALUE(D83))</f>
        <v>32.64</v>
      </c>
      <c r="J83" s="208" t="str">
        <f aca="false">IF(E83="","",VALUE(E83))</f>
        <v/>
      </c>
      <c r="K83" s="191"/>
      <c r="L83" s="138" t="s">
        <v>109</v>
      </c>
      <c r="M83" s="241" t="str">
        <f aca="false">IF(H83="","",IF($J83="","",IF(ABS(H83-$J83)&gt;$M$10,H83-$J83,"")))</f>
        <v/>
      </c>
      <c r="N83" s="242" t="str">
        <f aca="false">IF(I83="","",IF($J83="","",IF(ABS(I83-$J83)&gt;$M$10,I83-$J83,"")))</f>
        <v/>
      </c>
      <c r="Q83" s="10"/>
      <c r="R83" s="10"/>
      <c r="S83" s="10"/>
      <c r="T83" s="10"/>
      <c r="U83" s="10"/>
    </row>
    <row r="84" customFormat="false" ht="12.75" hidden="false" customHeight="false" outlineLevel="0" collapsed="false">
      <c r="B84" s="31" t="s">
        <v>110</v>
      </c>
      <c r="C84" s="238" t="n">
        <v>22.803</v>
      </c>
      <c r="D84" s="256" t="s">
        <v>659</v>
      </c>
      <c r="E84" s="239" t="n">
        <v>41.09</v>
      </c>
      <c r="F84" s="191"/>
      <c r="G84" s="31" t="s">
        <v>110</v>
      </c>
      <c r="H84" s="208" t="n">
        <f aca="false">IF(C84="","",VALUE(C84))</f>
        <v>22.803</v>
      </c>
      <c r="I84" s="209" t="n">
        <f aca="false">IF(D84="","",VALUE(D84))</f>
        <v>22.85</v>
      </c>
      <c r="J84" s="208" t="n">
        <f aca="false">IF(E84="","",VALUE(E84))</f>
        <v>41.09</v>
      </c>
      <c r="K84" s="191"/>
      <c r="L84" s="138" t="s">
        <v>110</v>
      </c>
      <c r="M84" s="241" t="n">
        <f aca="false">IF(H84="","",IF($J84="","",IF(ABS(H84-$J84)&gt;$M$10,H84-$J84,"")))</f>
        <v>-18.287</v>
      </c>
      <c r="N84" s="242" t="n">
        <f aca="false">IF(I84="","",IF($J84="","",IF(ABS(I84-$J84)&gt;$M$10,I84-$J84,"")))</f>
        <v>-18.24</v>
      </c>
      <c r="P84" s="10"/>
      <c r="Q84" s="10"/>
      <c r="R84" s="10"/>
      <c r="S84" s="10"/>
      <c r="T84" s="10"/>
      <c r="U84" s="10"/>
    </row>
    <row r="85" customFormat="false" ht="12.75" hidden="false" customHeight="false" outlineLevel="0" collapsed="false">
      <c r="B85" s="31" t="s">
        <v>111</v>
      </c>
      <c r="C85" s="208"/>
      <c r="D85" s="253"/>
      <c r="E85" s="239"/>
      <c r="F85" s="191"/>
      <c r="G85" s="31" t="s">
        <v>111</v>
      </c>
      <c r="H85" s="208" t="str">
        <f aca="false">IF(C85="","",VALUE(C85))</f>
        <v/>
      </c>
      <c r="I85" s="209" t="str">
        <f aca="false">IF(D85="","",VALUE(D85))</f>
        <v/>
      </c>
      <c r="J85" s="208" t="str">
        <f aca="false">IF(E85="","",VALUE(E85))</f>
        <v/>
      </c>
      <c r="K85" s="191"/>
      <c r="L85" s="138" t="s">
        <v>111</v>
      </c>
      <c r="M85" s="241" t="str">
        <f aca="false">IF(H85="","",IF($J85="","",IF(ABS(H85-$J85)&gt;$M$10,H85-$J85,"")))</f>
        <v/>
      </c>
      <c r="N85" s="242" t="str">
        <f aca="false">IF(I85="","",IF($J85="","",IF(ABS(I85-$J85)&gt;$M$10,I85-$J85,"")))</f>
        <v/>
      </c>
      <c r="P85" s="10"/>
      <c r="Q85" s="10"/>
      <c r="R85" s="10"/>
      <c r="S85" s="10"/>
      <c r="T85" s="10"/>
      <c r="U85" s="10"/>
    </row>
    <row r="86" customFormat="false" ht="12.75" hidden="false" customHeight="false" outlineLevel="0" collapsed="false">
      <c r="B86" s="31" t="s">
        <v>112</v>
      </c>
      <c r="C86" s="238" t="n">
        <v>65.061</v>
      </c>
      <c r="D86" s="255" t="n">
        <v>65.06</v>
      </c>
      <c r="E86" s="239" t="n">
        <v>64.8</v>
      </c>
      <c r="F86" s="191"/>
      <c r="G86" s="31" t="s">
        <v>112</v>
      </c>
      <c r="H86" s="208" t="n">
        <f aca="false">IF(C86="","",VALUE(C86))</f>
        <v>65.061</v>
      </c>
      <c r="I86" s="209" t="n">
        <f aca="false">IF(D86="","",VALUE(D86))</f>
        <v>65.06</v>
      </c>
      <c r="J86" s="208" t="n">
        <f aca="false">IF(E86="","",VALUE(E86))</f>
        <v>64.8</v>
      </c>
      <c r="K86" s="191"/>
      <c r="L86" s="138" t="s">
        <v>112</v>
      </c>
      <c r="M86" s="241" t="n">
        <f aca="false">IF(H86="","",IF($J86="","",IF(ABS(H86-$J86)&gt;$M$10,H86-$J86,"")))</f>
        <v>0.26100000000001</v>
      </c>
      <c r="N86" s="242" t="n">
        <f aca="false">IF(I86="","",IF($J86="","",IF(ABS(I86-$J86)&gt;$M$10,I86-$J86,"")))</f>
        <v>0.260000000000005</v>
      </c>
      <c r="P86" s="10"/>
      <c r="Q86" s="10"/>
      <c r="R86" s="10"/>
      <c r="S86" s="10"/>
      <c r="T86" s="10"/>
      <c r="U86" s="10"/>
    </row>
    <row r="87" customFormat="false" ht="12.75" hidden="false" customHeight="false" outlineLevel="0" collapsed="false">
      <c r="B87" s="38" t="s">
        <v>113</v>
      </c>
      <c r="C87" s="208"/>
      <c r="D87" s="253" t="n">
        <v>37.82</v>
      </c>
      <c r="E87" s="239"/>
      <c r="F87" s="191"/>
      <c r="G87" s="38" t="s">
        <v>113</v>
      </c>
      <c r="H87" s="208" t="str">
        <f aca="false">IF(C87="","",VALUE(C87))</f>
        <v/>
      </c>
      <c r="I87" s="209" t="n">
        <f aca="false">IF(D87="","",VALUE(D87))</f>
        <v>37.82</v>
      </c>
      <c r="J87" s="208" t="str">
        <f aca="false">IF(E87="","",VALUE(E87))</f>
        <v/>
      </c>
      <c r="K87" s="191"/>
      <c r="L87" s="140" t="s">
        <v>113</v>
      </c>
      <c r="M87" s="241" t="str">
        <f aca="false">IF(H87="","",IF($J87="","",IF(ABS(H87-$J87)&gt;$M$10,H87-$J87,"")))</f>
        <v/>
      </c>
      <c r="N87" s="242" t="str">
        <f aca="false">IF(I87="","",IF($J87="","",IF(ABS(I87-$J87)&gt;$M$10,I87-$J87,"")))</f>
        <v/>
      </c>
      <c r="P87" s="10"/>
      <c r="Q87" s="10"/>
      <c r="R87" s="10"/>
      <c r="S87" s="10"/>
      <c r="T87" s="10"/>
      <c r="U87" s="10"/>
    </row>
    <row r="88" customFormat="false" ht="12.75" hidden="false" customHeight="false" outlineLevel="0" collapsed="false">
      <c r="B88" s="31" t="s">
        <v>114</v>
      </c>
      <c r="C88" s="208"/>
      <c r="D88" s="253"/>
      <c r="E88" s="239"/>
      <c r="F88" s="240"/>
      <c r="G88" s="31" t="s">
        <v>114</v>
      </c>
      <c r="H88" s="208" t="str">
        <f aca="false">IF(C88="","",VALUE(C88))</f>
        <v/>
      </c>
      <c r="I88" s="209" t="str">
        <f aca="false">IF(D88="","",VALUE(D88))</f>
        <v/>
      </c>
      <c r="J88" s="208" t="str">
        <f aca="false">IF(E88="","",VALUE(E88))</f>
        <v/>
      </c>
      <c r="K88" s="240"/>
      <c r="L88" s="138" t="s">
        <v>114</v>
      </c>
      <c r="M88" s="241" t="str">
        <f aca="false">IF(H88="","",IF($J88="","",IF(ABS(H88-$J88)&gt;$M$10,H88-$J88,"")))</f>
        <v/>
      </c>
      <c r="N88" s="242" t="str">
        <f aca="false">IF(I88="","",IF($J88="","",IF(ABS(I88-$J88)&gt;$M$10,I88-$J88,"")))</f>
        <v/>
      </c>
    </row>
    <row r="89" customFormat="false" ht="12.75" hidden="false" customHeight="false" outlineLevel="0" collapsed="false">
      <c r="B89" s="38" t="s">
        <v>115</v>
      </c>
      <c r="C89" s="208"/>
      <c r="D89" s="253"/>
      <c r="E89" s="239"/>
      <c r="F89" s="240"/>
      <c r="G89" s="38" t="s">
        <v>115</v>
      </c>
      <c r="H89" s="208" t="str">
        <f aca="false">IF(C89="","",VALUE(C89))</f>
        <v/>
      </c>
      <c r="I89" s="209" t="str">
        <f aca="false">IF(D89="","",VALUE(D89))</f>
        <v/>
      </c>
      <c r="J89" s="208" t="str">
        <f aca="false">IF(E89="","",VALUE(E89))</f>
        <v/>
      </c>
      <c r="K89" s="240"/>
      <c r="L89" s="140" t="s">
        <v>115</v>
      </c>
      <c r="M89" s="241" t="str">
        <f aca="false">IF(H89="","",IF($J89="","",IF(ABS(H89-$J89)&gt;$M$10,H89-$J89,"")))</f>
        <v/>
      </c>
      <c r="N89" s="242" t="str">
        <f aca="false">IF(I89="","",IF($J89="","",IF(ABS(I89-$J89)&gt;$M$10,I89-$J89,"")))</f>
        <v/>
      </c>
    </row>
    <row r="90" customFormat="false" ht="12.75" hidden="false" customHeight="false" outlineLevel="0" collapsed="false">
      <c r="B90" s="31" t="s">
        <v>116</v>
      </c>
      <c r="C90" s="208"/>
      <c r="D90" s="253" t="n">
        <v>73.93</v>
      </c>
      <c r="E90" s="239"/>
      <c r="F90" s="240"/>
      <c r="G90" s="31" t="s">
        <v>116</v>
      </c>
      <c r="H90" s="208" t="str">
        <f aca="false">IF(C90="","",VALUE(C90))</f>
        <v/>
      </c>
      <c r="I90" s="209" t="n">
        <f aca="false">IF(D90="","",VALUE(D90))</f>
        <v>73.93</v>
      </c>
      <c r="J90" s="208" t="str">
        <f aca="false">IF(E90="","",VALUE(E90))</f>
        <v/>
      </c>
      <c r="K90" s="240"/>
      <c r="L90" s="138" t="s">
        <v>116</v>
      </c>
      <c r="M90" s="241" t="str">
        <f aca="false">IF(H90="","",IF($J90="","",IF(ABS(H90-$J90)&gt;$M$10,H90-$J90,"")))</f>
        <v/>
      </c>
      <c r="N90" s="242" t="str">
        <f aca="false">IF(I90="","",IF($J90="","",IF(ABS(I90-$J90)&gt;$M$10,I90-$J90,"")))</f>
        <v/>
      </c>
    </row>
    <row r="91" customFormat="false" ht="12.75" hidden="false" customHeight="false" outlineLevel="0" collapsed="false">
      <c r="B91" s="31" t="s">
        <v>117</v>
      </c>
      <c r="C91" s="208" t="n">
        <v>41.631</v>
      </c>
      <c r="D91" s="253" t="n">
        <v>41.63</v>
      </c>
      <c r="E91" s="239" t="n">
        <v>41.63</v>
      </c>
      <c r="F91" s="240"/>
      <c r="G91" s="31" t="s">
        <v>117</v>
      </c>
      <c r="H91" s="208" t="n">
        <f aca="false">IF(C91="","",VALUE(C91))</f>
        <v>41.631</v>
      </c>
      <c r="I91" s="209" t="n">
        <f aca="false">IF(D91="","",VALUE(D91))</f>
        <v>41.63</v>
      </c>
      <c r="J91" s="208" t="n">
        <f aca="false">IF(E91="","",VALUE(E91))</f>
        <v>41.63</v>
      </c>
      <c r="K91" s="240"/>
      <c r="L91" s="138" t="s">
        <v>117</v>
      </c>
      <c r="M91" s="241" t="str">
        <f aca="false">IF(H91="","",IF($J91="","",IF(ABS(H91-$J91)&gt;$M$10,H91-$J91,"")))</f>
        <v/>
      </c>
      <c r="N91" s="242" t="str">
        <f aca="false">IF(I91="","",IF($J91="","",IF(ABS(I91-$J91)&gt;$M$10,I91-$J91,"")))</f>
        <v/>
      </c>
      <c r="T91" s="10"/>
      <c r="U91" s="10"/>
    </row>
    <row r="92" customFormat="false" ht="12.75" hidden="false" customHeight="false" outlineLevel="0" collapsed="false">
      <c r="B92" s="31" t="s">
        <v>118</v>
      </c>
      <c r="C92" s="208"/>
      <c r="D92" s="253" t="n">
        <v>51.46</v>
      </c>
      <c r="E92" s="239"/>
      <c r="F92" s="191"/>
      <c r="G92" s="31" t="s">
        <v>118</v>
      </c>
      <c r="H92" s="208" t="str">
        <f aca="false">IF(C92="","",VALUE(C92))</f>
        <v/>
      </c>
      <c r="I92" s="209" t="n">
        <f aca="false">IF(D92="","",VALUE(D92))</f>
        <v>51.46</v>
      </c>
      <c r="J92" s="208" t="str">
        <f aca="false">IF(E92="","",VALUE(E92))</f>
        <v/>
      </c>
      <c r="K92" s="191"/>
      <c r="L92" s="138" t="s">
        <v>118</v>
      </c>
      <c r="M92" s="241" t="str">
        <f aca="false">IF(H92="","",IF($J92="","",IF(ABS(H92-$J92)&gt;$M$10,H92-$J92,"")))</f>
        <v/>
      </c>
      <c r="N92" s="242" t="str">
        <f aca="false">IF(I92="","",IF($J92="","",IF(ABS(I92-$J92)&gt;$M$10,I92-$J92,"")))</f>
        <v/>
      </c>
      <c r="Q92" s="10"/>
      <c r="R92" s="10"/>
      <c r="S92" s="10"/>
      <c r="T92" s="10"/>
      <c r="U92" s="10"/>
    </row>
    <row r="93" customFormat="false" ht="12.75" hidden="false" customHeight="false" outlineLevel="0" collapsed="false">
      <c r="B93" s="38" t="s">
        <v>119</v>
      </c>
      <c r="C93" s="208"/>
      <c r="D93" s="253"/>
      <c r="E93" s="239"/>
      <c r="F93" s="191"/>
      <c r="G93" s="38" t="s">
        <v>119</v>
      </c>
      <c r="H93" s="208" t="str">
        <f aca="false">IF(C93="","",VALUE(C93))</f>
        <v/>
      </c>
      <c r="I93" s="209" t="str">
        <f aca="false">IF(D93="","",VALUE(D93))</f>
        <v/>
      </c>
      <c r="J93" s="208" t="str">
        <f aca="false">IF(E93="","",VALUE(E93))</f>
        <v/>
      </c>
      <c r="K93" s="191"/>
      <c r="L93" s="140" t="s">
        <v>119</v>
      </c>
      <c r="M93" s="241" t="str">
        <f aca="false">IF(H93="","",IF($J93="","",IF(ABS(H93-$J93)&gt;$M$10,H93-$J93,"")))</f>
        <v/>
      </c>
      <c r="N93" s="242" t="str">
        <f aca="false">IF(I93="","",IF($J93="","",IF(ABS(I93-$J93)&gt;$M$10,I93-$J93,"")))</f>
        <v/>
      </c>
      <c r="Q93" s="10"/>
      <c r="R93" s="10"/>
      <c r="S93" s="10"/>
      <c r="T93" s="10"/>
      <c r="U93" s="10"/>
    </row>
    <row r="94" customFormat="false" ht="12.75" hidden="false" customHeight="false" outlineLevel="0" collapsed="false">
      <c r="B94" s="38" t="s">
        <v>120</v>
      </c>
      <c r="C94" s="208"/>
      <c r="D94" s="253" t="n">
        <v>76.78</v>
      </c>
      <c r="E94" s="239"/>
      <c r="F94" s="240"/>
      <c r="G94" s="38" t="s">
        <v>120</v>
      </c>
      <c r="H94" s="208" t="str">
        <f aca="false">IF(C94="","",VALUE(C94))</f>
        <v/>
      </c>
      <c r="I94" s="209" t="n">
        <f aca="false">IF(D94="","",VALUE(D94))</f>
        <v>76.78</v>
      </c>
      <c r="J94" s="208" t="str">
        <f aca="false">IF(E94="","",VALUE(E94))</f>
        <v/>
      </c>
      <c r="K94" s="240"/>
      <c r="L94" s="140" t="s">
        <v>120</v>
      </c>
      <c r="M94" s="241" t="str">
        <f aca="false">IF(H94="","",IF($J94="","",IF(ABS(H94-$J94)&gt;$M$10,H94-$J94,"")))</f>
        <v/>
      </c>
      <c r="N94" s="242" t="str">
        <f aca="false">IF(I94="","",IF($J94="","",IF(ABS(I94-$J94)&gt;$M$10,I94-$J94,"")))</f>
        <v/>
      </c>
      <c r="Q94" s="10"/>
      <c r="R94" s="10"/>
      <c r="S94" s="10"/>
      <c r="T94" s="10"/>
      <c r="U94" s="10"/>
    </row>
    <row r="95" customFormat="false" ht="12.75" hidden="false" customHeight="false" outlineLevel="0" collapsed="false">
      <c r="B95" s="31" t="s">
        <v>121</v>
      </c>
      <c r="C95" s="208"/>
      <c r="D95" s="253" t="n">
        <v>36.53</v>
      </c>
      <c r="E95" s="239"/>
      <c r="F95" s="191"/>
      <c r="G95" s="31" t="s">
        <v>121</v>
      </c>
      <c r="H95" s="208" t="str">
        <f aca="false">IF(C95="","",VALUE(C95))</f>
        <v/>
      </c>
      <c r="I95" s="209" t="n">
        <f aca="false">IF(D95="","",VALUE(D95))</f>
        <v>36.53</v>
      </c>
      <c r="J95" s="208" t="str">
        <f aca="false">IF(E95="","",VALUE(E95))</f>
        <v/>
      </c>
      <c r="K95" s="191"/>
      <c r="L95" s="138" t="s">
        <v>121</v>
      </c>
      <c r="M95" s="241" t="str">
        <f aca="false">IF(H95="","",IF($J95="","",IF(ABS(H95-$J95)&gt;$M$10,H95-$J95,"")))</f>
        <v/>
      </c>
      <c r="N95" s="242" t="str">
        <f aca="false">IF(I95="","",IF($J95="","",IF(ABS(I95-$J95)&gt;$M$10,I95-$J95,"")))</f>
        <v/>
      </c>
      <c r="P95" s="10"/>
      <c r="Q95" s="10"/>
      <c r="R95" s="10"/>
      <c r="S95" s="10"/>
      <c r="T95" s="10"/>
      <c r="U95" s="10"/>
    </row>
    <row r="96" customFormat="false" ht="12.75" hidden="false" customHeight="false" outlineLevel="0" collapsed="false">
      <c r="B96" s="38" t="s">
        <v>122</v>
      </c>
      <c r="C96" s="208"/>
      <c r="D96" s="253" t="n">
        <v>31.54</v>
      </c>
      <c r="E96" s="239"/>
      <c r="F96" s="191"/>
      <c r="G96" s="38" t="s">
        <v>122</v>
      </c>
      <c r="H96" s="208" t="str">
        <f aca="false">IF(C96="","",VALUE(C96))</f>
        <v/>
      </c>
      <c r="I96" s="209" t="n">
        <f aca="false">IF(D96="","",VALUE(D96))</f>
        <v>31.54</v>
      </c>
      <c r="J96" s="208" t="str">
        <f aca="false">IF(E96="","",VALUE(E96))</f>
        <v/>
      </c>
      <c r="K96" s="191"/>
      <c r="L96" s="140" t="s">
        <v>122</v>
      </c>
      <c r="M96" s="241" t="str">
        <f aca="false">IF(H96="","",IF($J96="","",IF(ABS(H96-$J96)&gt;$M$10,H96-$J96,"")))</f>
        <v/>
      </c>
      <c r="N96" s="242" t="str">
        <f aca="false">IF(I96="","",IF($J96="","",IF(ABS(I96-$J96)&gt;$M$10,I96-$J96,"")))</f>
        <v/>
      </c>
      <c r="P96" s="10"/>
      <c r="Q96" s="10"/>
      <c r="R96" s="10"/>
      <c r="S96" s="10"/>
      <c r="T96" s="10"/>
      <c r="U96" s="10"/>
    </row>
    <row r="97" customFormat="false" ht="12.75" hidden="false" customHeight="false" outlineLevel="0" collapsed="false">
      <c r="B97" s="31" t="s">
        <v>123</v>
      </c>
      <c r="C97" s="208"/>
      <c r="D97" s="253" t="n">
        <v>176.23</v>
      </c>
      <c r="E97" s="239"/>
      <c r="F97" s="191"/>
      <c r="G97" s="31" t="s">
        <v>123</v>
      </c>
      <c r="H97" s="208" t="str">
        <f aca="false">IF(C97="","",VALUE(C97))</f>
        <v/>
      </c>
      <c r="I97" s="209" t="n">
        <f aca="false">IF(D97="","",VALUE(D97))</f>
        <v>176.23</v>
      </c>
      <c r="J97" s="208" t="str">
        <f aca="false">IF(E97="","",VALUE(E97))</f>
        <v/>
      </c>
      <c r="K97" s="191"/>
      <c r="L97" s="138" t="s">
        <v>123</v>
      </c>
      <c r="M97" s="241" t="str">
        <f aca="false">IF(H97="","",IF($J97="","",IF(ABS(H97-$J97)&gt;$M$10,H97-$J97,"")))</f>
        <v/>
      </c>
      <c r="N97" s="242" t="str">
        <f aca="false">IF(I97="","",IF($J97="","",IF(ABS(I97-$J97)&gt;$M$10,I97-$J97,"")))</f>
        <v/>
      </c>
      <c r="P97" s="10"/>
      <c r="Q97" s="10"/>
      <c r="R97" s="10"/>
      <c r="S97" s="10"/>
      <c r="T97" s="10"/>
      <c r="U97" s="10"/>
    </row>
    <row r="98" customFormat="false" ht="12.75" hidden="false" customHeight="false" outlineLevel="0" collapsed="false">
      <c r="B98" s="38" t="s">
        <v>124</v>
      </c>
      <c r="C98" s="208"/>
      <c r="D98" s="253" t="n">
        <v>28.53</v>
      </c>
      <c r="E98" s="239"/>
      <c r="F98" s="191"/>
      <c r="G98" s="38" t="s">
        <v>124</v>
      </c>
      <c r="H98" s="208" t="str">
        <f aca="false">IF(C98="","",VALUE(C98))</f>
        <v/>
      </c>
      <c r="I98" s="209" t="n">
        <f aca="false">IF(D98="","",VALUE(D98))</f>
        <v>28.53</v>
      </c>
      <c r="J98" s="208" t="str">
        <f aca="false">IF(E98="","",VALUE(E98))</f>
        <v/>
      </c>
      <c r="K98" s="191"/>
      <c r="L98" s="140" t="s">
        <v>124</v>
      </c>
      <c r="M98" s="241" t="str">
        <f aca="false">IF(H98="","",IF($J98="","",IF(ABS(H98-$J98)&gt;$M$10,H98-$J98,"")))</f>
        <v/>
      </c>
      <c r="N98" s="242" t="str">
        <f aca="false">IF(I98="","",IF($J98="","",IF(ABS(I98-$J98)&gt;$M$10,I98-$J98,"")))</f>
        <v/>
      </c>
      <c r="P98" s="10"/>
      <c r="Q98" s="10"/>
      <c r="R98" s="10"/>
      <c r="S98" s="10"/>
      <c r="T98" s="10"/>
      <c r="U98" s="10"/>
    </row>
    <row r="99" customFormat="false" ht="12.75" hidden="false" customHeight="false" outlineLevel="0" collapsed="false">
      <c r="B99" s="38" t="s">
        <v>125</v>
      </c>
      <c r="C99" s="238" t="n">
        <v>31.798</v>
      </c>
      <c r="D99" s="256" t="s">
        <v>667</v>
      </c>
      <c r="E99" s="239" t="n">
        <v>32.05</v>
      </c>
      <c r="F99" s="240"/>
      <c r="G99" s="38" t="s">
        <v>125</v>
      </c>
      <c r="H99" s="208" t="n">
        <f aca="false">IF(C99="","",VALUE(C99))</f>
        <v>31.798</v>
      </c>
      <c r="I99" s="209" t="n">
        <f aca="false">IF(D99="","",VALUE(D99))</f>
        <v>31.8</v>
      </c>
      <c r="J99" s="208" t="n">
        <f aca="false">IF(E99="","",VALUE(E99))</f>
        <v>32.05</v>
      </c>
      <c r="K99" s="240"/>
      <c r="L99" s="140" t="s">
        <v>125</v>
      </c>
      <c r="M99" s="241" t="n">
        <f aca="false">IF(H99="","",IF($J99="","",IF(ABS(H99-$J99)&gt;$M$10,H99-$J99,"")))</f>
        <v>-0.251999999999999</v>
      </c>
      <c r="N99" s="242" t="n">
        <f aca="false">IF(I99="","",IF($J99="","",IF(ABS(I99-$J99)&gt;$M$10,I99-$J99,"")))</f>
        <v>-0.249999999999996</v>
      </c>
    </row>
    <row r="100" customFormat="false" ht="12.75" hidden="false" customHeight="false" outlineLevel="0" collapsed="false">
      <c r="B100" s="31" t="s">
        <v>126</v>
      </c>
      <c r="C100" s="238" t="n">
        <v>45.689</v>
      </c>
      <c r="D100" s="253" t="n">
        <v>45.52</v>
      </c>
      <c r="E100" s="239" t="n">
        <v>45.52</v>
      </c>
      <c r="F100" s="240"/>
      <c r="G100" s="31" t="s">
        <v>126</v>
      </c>
      <c r="H100" s="208" t="n">
        <f aca="false">IF(C100="","",VALUE(C100))</f>
        <v>45.689</v>
      </c>
      <c r="I100" s="209" t="n">
        <f aca="false">IF(D100="","",VALUE(D100))</f>
        <v>45.52</v>
      </c>
      <c r="J100" s="208" t="n">
        <f aca="false">IF(E100="","",VALUE(E100))</f>
        <v>45.52</v>
      </c>
      <c r="K100" s="240"/>
      <c r="L100" s="138" t="s">
        <v>126</v>
      </c>
      <c r="M100" s="241" t="n">
        <f aca="false">IF(H100="","",IF($J100="","",IF(ABS(H100-$J100)&gt;$M$10,H100-$J100,"")))</f>
        <v>0.168999999999997</v>
      </c>
      <c r="N100" s="242" t="str">
        <f aca="false">IF(I100="","",IF($J100="","",IF(ABS(I100-$J100)&gt;$M$10,I100-$J100,"")))</f>
        <v/>
      </c>
    </row>
    <row r="101" customFormat="false" ht="12.75" hidden="false" customHeight="false" outlineLevel="0" collapsed="false">
      <c r="B101" s="31" t="s">
        <v>127</v>
      </c>
      <c r="C101" s="208"/>
      <c r="D101" s="253" t="n">
        <v>34.64</v>
      </c>
      <c r="E101" s="239"/>
      <c r="F101" s="240"/>
      <c r="G101" s="31" t="s">
        <v>127</v>
      </c>
      <c r="H101" s="208" t="str">
        <f aca="false">IF(C101="","",VALUE(C101))</f>
        <v/>
      </c>
      <c r="I101" s="209" t="n">
        <f aca="false">IF(D101="","",VALUE(D101))</f>
        <v>34.64</v>
      </c>
      <c r="J101" s="208" t="str">
        <f aca="false">IF(E101="","",VALUE(E101))</f>
        <v/>
      </c>
      <c r="K101" s="240"/>
      <c r="L101" s="138" t="s">
        <v>127</v>
      </c>
      <c r="M101" s="241" t="str">
        <f aca="false">IF(H101="","",IF($J101="","",IF(ABS(H101-$J101)&gt;$M$10,H101-$J101,"")))</f>
        <v/>
      </c>
      <c r="N101" s="242" t="str">
        <f aca="false">IF(I101="","",IF($J101="","",IF(ABS(I101-$J101)&gt;$M$10,I101-$J101,"")))</f>
        <v/>
      </c>
    </row>
    <row r="102" customFormat="false" ht="12.75" hidden="false" customHeight="false" outlineLevel="0" collapsed="false">
      <c r="B102" s="38" t="s">
        <v>128</v>
      </c>
      <c r="C102" s="238" t="n">
        <v>42.442</v>
      </c>
      <c r="D102" s="253" t="n">
        <v>42.27</v>
      </c>
      <c r="E102" s="239" t="n">
        <v>42.27</v>
      </c>
      <c r="F102" s="240"/>
      <c r="G102" s="38" t="s">
        <v>128</v>
      </c>
      <c r="H102" s="208" t="n">
        <f aca="false">IF(C102="","",VALUE(C102))</f>
        <v>42.442</v>
      </c>
      <c r="I102" s="209" t="n">
        <f aca="false">IF(D102="","",VALUE(D102))</f>
        <v>42.27</v>
      </c>
      <c r="J102" s="208" t="n">
        <f aca="false">IF(E102="","",VALUE(E102))</f>
        <v>42.27</v>
      </c>
      <c r="K102" s="240"/>
      <c r="L102" s="140" t="s">
        <v>128</v>
      </c>
      <c r="M102" s="241" t="n">
        <f aca="false">IF(H102="","",IF($J102="","",IF(ABS(H102-$J102)&gt;$M$10,H102-$J102,"")))</f>
        <v>0.171999999999997</v>
      </c>
      <c r="N102" s="242" t="str">
        <f aca="false">IF(I102="","",IF($J102="","",IF(ABS(I102-$J102)&gt;$M$10,I102-$J102,"")))</f>
        <v/>
      </c>
      <c r="T102" s="10"/>
      <c r="U102" s="10"/>
    </row>
    <row r="103" customFormat="false" ht="12.75" hidden="false" customHeight="false" outlineLevel="0" collapsed="false">
      <c r="B103" s="31" t="s">
        <v>129</v>
      </c>
      <c r="C103" s="208" t="n">
        <v>18.828</v>
      </c>
      <c r="D103" s="253" t="n">
        <v>18.81</v>
      </c>
      <c r="E103" s="239" t="n">
        <v>18.81</v>
      </c>
      <c r="F103" s="191"/>
      <c r="G103" s="31" t="s">
        <v>129</v>
      </c>
      <c r="H103" s="208" t="n">
        <f aca="false">IF(C103="","",VALUE(C103))</f>
        <v>18.828</v>
      </c>
      <c r="I103" s="209" t="n">
        <f aca="false">IF(D103="","",VALUE(D103))</f>
        <v>18.81</v>
      </c>
      <c r="J103" s="208" t="n">
        <f aca="false">IF(E103="","",VALUE(E103))</f>
        <v>18.81</v>
      </c>
      <c r="K103" s="191"/>
      <c r="L103" s="138" t="s">
        <v>129</v>
      </c>
      <c r="M103" s="241" t="str">
        <f aca="false">IF(H103="","",IF($J103="","",IF(ABS(H103-$J103)&gt;$M$10,H103-$J103,"")))</f>
        <v/>
      </c>
      <c r="N103" s="242" t="str">
        <f aca="false">IF(I103="","",IF($J103="","",IF(ABS(I103-$J103)&gt;$M$10,I103-$J103,"")))</f>
        <v/>
      </c>
      <c r="Q103" s="10"/>
      <c r="R103" s="10"/>
      <c r="S103" s="10"/>
      <c r="T103" s="10"/>
      <c r="U103" s="10"/>
    </row>
    <row r="104" customFormat="false" ht="12.75" hidden="false" customHeight="false" outlineLevel="0" collapsed="false">
      <c r="B104" s="31" t="s">
        <v>130</v>
      </c>
      <c r="C104" s="208"/>
      <c r="D104" s="254" t="s">
        <v>673</v>
      </c>
      <c r="E104" s="239"/>
      <c r="F104" s="191"/>
      <c r="G104" s="31" t="s">
        <v>130</v>
      </c>
      <c r="H104" s="208" t="str">
        <f aca="false">IF(C104="","",VALUE(C104))</f>
        <v/>
      </c>
      <c r="I104" s="209" t="n">
        <f aca="false">IF(D104="","",VALUE(D104))</f>
        <v>69.5</v>
      </c>
      <c r="J104" s="208" t="str">
        <f aca="false">IF(E104="","",VALUE(E104))</f>
        <v/>
      </c>
      <c r="K104" s="191"/>
      <c r="L104" s="138" t="s">
        <v>130</v>
      </c>
      <c r="M104" s="241" t="str">
        <f aca="false">IF(H104="","",IF($J104="","",IF(ABS(H104-$J104)&gt;$M$10,H104-$J104,"")))</f>
        <v/>
      </c>
      <c r="N104" s="242" t="str">
        <f aca="false">IF(I104="","",IF($J104="","",IF(ABS(I104-$J104)&gt;$M$10,I104-$J104,"")))</f>
        <v/>
      </c>
      <c r="Q104" s="10"/>
      <c r="R104" s="10"/>
      <c r="S104" s="10"/>
      <c r="T104" s="10"/>
      <c r="U104" s="10"/>
    </row>
    <row r="105" customFormat="false" ht="12.75" hidden="false" customHeight="false" outlineLevel="0" collapsed="false">
      <c r="B105" s="31" t="s">
        <v>131</v>
      </c>
      <c r="C105" s="238" t="n">
        <v>51.547</v>
      </c>
      <c r="D105" s="254" t="s">
        <v>674</v>
      </c>
      <c r="E105" s="239" t="n">
        <v>51.18</v>
      </c>
      <c r="F105" s="191"/>
      <c r="G105" s="31" t="s">
        <v>131</v>
      </c>
      <c r="H105" s="208" t="n">
        <f aca="false">IF(C105="","",VALUE(C105))</f>
        <v>51.547</v>
      </c>
      <c r="I105" s="209" t="n">
        <f aca="false">IF(D105="","",VALUE(D105))</f>
        <v>51.2</v>
      </c>
      <c r="J105" s="208" t="n">
        <f aca="false">IF(E105="","",VALUE(E105))</f>
        <v>51.18</v>
      </c>
      <c r="K105" s="191"/>
      <c r="L105" s="138" t="s">
        <v>131</v>
      </c>
      <c r="M105" s="241" t="n">
        <f aca="false">IF(H105="","",IF($J105="","",IF(ABS(H105-$J105)&gt;$M$10,H105-$J105,"")))</f>
        <v>0.366999999999997</v>
      </c>
      <c r="N105" s="242" t="str">
        <f aca="false">IF(I105="","",IF($J105="","",IF(ABS(I105-$J105)&gt;$M$10,I105-$J105,"")))</f>
        <v/>
      </c>
      <c r="Q105" s="10"/>
      <c r="R105" s="10"/>
      <c r="S105" s="10"/>
      <c r="T105" s="10"/>
      <c r="U105" s="10"/>
    </row>
    <row r="106" customFormat="false" ht="12.75" hidden="false" customHeight="false" outlineLevel="0" collapsed="false">
      <c r="B106" s="38" t="s">
        <v>132</v>
      </c>
      <c r="C106" s="238" t="n">
        <v>52.3</v>
      </c>
      <c r="D106" s="256" t="s">
        <v>676</v>
      </c>
      <c r="E106" s="239" t="n">
        <v>55.69</v>
      </c>
      <c r="F106" s="191"/>
      <c r="G106" s="38" t="s">
        <v>132</v>
      </c>
      <c r="H106" s="208" t="n">
        <f aca="false">IF(C106="","",VALUE(C106))</f>
        <v>52.3</v>
      </c>
      <c r="I106" s="209" t="n">
        <f aca="false">IF(D106="","",VALUE(D106))</f>
        <v>55.4</v>
      </c>
      <c r="J106" s="208" t="n">
        <f aca="false">IF(E106="","",VALUE(E106))</f>
        <v>55.69</v>
      </c>
      <c r="K106" s="191"/>
      <c r="L106" s="140" t="s">
        <v>132</v>
      </c>
      <c r="M106" s="241" t="n">
        <f aca="false">IF(H106="","",IF($J106="","",IF(ABS(H106-$J106)&gt;$M$10,H106-$J106,"")))</f>
        <v>-3.39</v>
      </c>
      <c r="N106" s="242" t="n">
        <f aca="false">IF(I106="","",IF($J106="","",IF(ABS(I106-$J106)&gt;$M$10,I106-$J106,"")))</f>
        <v>-0.289999999999999</v>
      </c>
      <c r="P106" s="10"/>
      <c r="Q106" s="10"/>
      <c r="R106" s="10"/>
      <c r="S106" s="10"/>
      <c r="T106" s="10"/>
      <c r="U106" s="10"/>
    </row>
    <row r="107" customFormat="false" ht="12.75" hidden="false" customHeight="false" outlineLevel="0" collapsed="false">
      <c r="B107" s="31" t="s">
        <v>133</v>
      </c>
      <c r="C107" s="208"/>
      <c r="D107" s="253" t="n">
        <v>41.51</v>
      </c>
      <c r="E107" s="239"/>
      <c r="F107" s="191"/>
      <c r="G107" s="31" t="s">
        <v>133</v>
      </c>
      <c r="H107" s="208" t="str">
        <f aca="false">IF(C107="","",VALUE(C107))</f>
        <v/>
      </c>
      <c r="I107" s="209" t="n">
        <f aca="false">IF(D107="","",VALUE(D107))</f>
        <v>41.51</v>
      </c>
      <c r="J107" s="208" t="str">
        <f aca="false">IF(E107="","",VALUE(E107))</f>
        <v/>
      </c>
      <c r="K107" s="191"/>
      <c r="L107" s="138" t="s">
        <v>133</v>
      </c>
      <c r="M107" s="241" t="str">
        <f aca="false">IF(H107="","",IF($J107="","",IF(ABS(H107-$J107)&gt;$M$10,H107-$J107,"")))</f>
        <v/>
      </c>
      <c r="N107" s="242" t="str">
        <f aca="false">IF(I107="","",IF($J107="","",IF(ABS(I107-$J107)&gt;$M$10,I107-$J107,"")))</f>
        <v/>
      </c>
      <c r="P107" s="10"/>
      <c r="Q107" s="10"/>
      <c r="R107" s="10"/>
      <c r="S107" s="10"/>
      <c r="T107" s="10"/>
      <c r="U107" s="10"/>
    </row>
    <row r="108" customFormat="false" ht="12.75" hidden="false" customHeight="false" outlineLevel="0" collapsed="false">
      <c r="B108" s="31" t="s">
        <v>134</v>
      </c>
      <c r="C108" s="208"/>
      <c r="D108" s="254" t="s">
        <v>682</v>
      </c>
      <c r="E108" s="239"/>
      <c r="F108" s="191"/>
      <c r="G108" s="31" t="s">
        <v>134</v>
      </c>
      <c r="H108" s="208" t="str">
        <f aca="false">IF(C108="","",VALUE(C108))</f>
        <v/>
      </c>
      <c r="I108" s="209" t="n">
        <f aca="false">IF(D108="","",VALUE(D108))</f>
        <v>73.3</v>
      </c>
      <c r="J108" s="208" t="str">
        <f aca="false">IF(E108="","",VALUE(E108))</f>
        <v/>
      </c>
      <c r="K108" s="191"/>
      <c r="L108" s="138" t="s">
        <v>134</v>
      </c>
      <c r="M108" s="241" t="str">
        <f aca="false">IF(H108="","",IF($J108="","",IF(ABS(H108-$J108)&gt;$M$10,H108-$J108,"")))</f>
        <v/>
      </c>
      <c r="N108" s="242" t="str">
        <f aca="false">IF(I108="","",IF($J108="","",IF(ABS(I108-$J108)&gt;$M$10,I108-$J108,"")))</f>
        <v/>
      </c>
      <c r="P108" s="10"/>
      <c r="Q108" s="10"/>
      <c r="R108" s="10"/>
      <c r="S108" s="10"/>
      <c r="T108" s="10"/>
      <c r="U108" s="10"/>
    </row>
    <row r="109" customFormat="false" ht="12.75" hidden="false" customHeight="false" outlineLevel="0" collapsed="false">
      <c r="B109" s="31" t="s">
        <v>135</v>
      </c>
      <c r="C109" s="208"/>
      <c r="D109" s="253"/>
      <c r="E109" s="239"/>
      <c r="F109" s="191"/>
      <c r="G109" s="31" t="s">
        <v>135</v>
      </c>
      <c r="H109" s="208" t="str">
        <f aca="false">IF(C109="","",VALUE(C109))</f>
        <v/>
      </c>
      <c r="I109" s="209" t="str">
        <f aca="false">IF(D109="","",VALUE(D109))</f>
        <v/>
      </c>
      <c r="J109" s="208" t="str">
        <f aca="false">IF(E109="","",VALUE(E109))</f>
        <v/>
      </c>
      <c r="K109" s="191"/>
      <c r="L109" s="138" t="s">
        <v>135</v>
      </c>
      <c r="M109" s="241" t="str">
        <f aca="false">IF(H109="","",IF($J109="","",IF(ABS(H109-$J109)&gt;$M$10,H109-$J109,"")))</f>
        <v/>
      </c>
      <c r="N109" s="242" t="str">
        <f aca="false">IF(I109="","",IF($J109="","",IF(ABS(I109-$J109)&gt;$M$10,I109-$J109,"")))</f>
        <v/>
      </c>
      <c r="P109" s="10"/>
      <c r="Q109" s="10"/>
      <c r="R109" s="10"/>
      <c r="S109" s="10"/>
      <c r="T109" s="10"/>
      <c r="U109" s="10"/>
    </row>
    <row r="110" customFormat="false" ht="12.75" hidden="false" customHeight="false" outlineLevel="0" collapsed="false">
      <c r="B110" s="38" t="s">
        <v>136</v>
      </c>
      <c r="C110" s="208" t="n">
        <v>49.706</v>
      </c>
      <c r="D110" s="256" t="s">
        <v>684</v>
      </c>
      <c r="E110" s="239" t="n">
        <v>49.71</v>
      </c>
      <c r="F110" s="240"/>
      <c r="G110" s="38" t="s">
        <v>136</v>
      </c>
      <c r="H110" s="208" t="n">
        <f aca="false">IF(C110="","",VALUE(C110))</f>
        <v>49.706</v>
      </c>
      <c r="I110" s="209" t="n">
        <f aca="false">IF(D110="","",VALUE(D110))</f>
        <v>49.5</v>
      </c>
      <c r="J110" s="208" t="n">
        <f aca="false">IF(E110="","",VALUE(E110))</f>
        <v>49.71</v>
      </c>
      <c r="K110" s="240"/>
      <c r="L110" s="140" t="s">
        <v>136</v>
      </c>
      <c r="M110" s="241" t="str">
        <f aca="false">IF(H110="","",IF($J110="","",IF(ABS(H110-$J110)&gt;$M$10,H110-$J110,"")))</f>
        <v/>
      </c>
      <c r="N110" s="242" t="n">
        <f aca="false">IF(I110="","",IF($J110="","",IF(ABS(I110-$J110)&gt;$M$10,I110-$J110,"")))</f>
        <v>-0.210000000000001</v>
      </c>
    </row>
    <row r="111" customFormat="false" ht="12.75" hidden="false" customHeight="false" outlineLevel="0" collapsed="false">
      <c r="B111" s="38" t="s">
        <v>137</v>
      </c>
      <c r="C111" s="238" t="n">
        <v>53.388</v>
      </c>
      <c r="D111" s="255" t="n">
        <v>53.39</v>
      </c>
      <c r="E111" s="239" t="n">
        <v>51.83</v>
      </c>
      <c r="F111" s="240"/>
      <c r="G111" s="38" t="s">
        <v>137</v>
      </c>
      <c r="H111" s="208" t="n">
        <f aca="false">IF(C111="","",VALUE(C111))</f>
        <v>53.388</v>
      </c>
      <c r="I111" s="209" t="n">
        <f aca="false">IF(D111="","",VALUE(D111))</f>
        <v>53.39</v>
      </c>
      <c r="J111" s="208" t="n">
        <f aca="false">IF(E111="","",VALUE(E111))</f>
        <v>51.83</v>
      </c>
      <c r="K111" s="240"/>
      <c r="L111" s="140" t="s">
        <v>137</v>
      </c>
      <c r="M111" s="241" t="n">
        <f aca="false">IF(H111="","",IF($J111="","",IF(ABS(H111-$J111)&gt;$M$10,H111-$J111,"")))</f>
        <v>1.558</v>
      </c>
      <c r="N111" s="242" t="n">
        <f aca="false">IF(I111="","",IF($J111="","",IF(ABS(I111-$J111)&gt;$M$10,I111-$J111,"")))</f>
        <v>1.56</v>
      </c>
    </row>
    <row r="112" customFormat="false" ht="12.75" hidden="false" customHeight="false" outlineLevel="0" collapsed="false">
      <c r="B112" s="31" t="s">
        <v>138</v>
      </c>
      <c r="C112" s="238" t="n">
        <v>30.627</v>
      </c>
      <c r="D112" s="255" t="n">
        <v>30.63</v>
      </c>
      <c r="E112" s="239" t="n">
        <v>30.76</v>
      </c>
      <c r="F112" s="240"/>
      <c r="G112" s="31" t="s">
        <v>138</v>
      </c>
      <c r="H112" s="208" t="n">
        <f aca="false">IF(C112="","",VALUE(C112))</f>
        <v>30.627</v>
      </c>
      <c r="I112" s="209" t="n">
        <f aca="false">IF(D112="","",VALUE(D112))</f>
        <v>30.63</v>
      </c>
      <c r="J112" s="208" t="n">
        <f aca="false">IF(E112="","",VALUE(E112))</f>
        <v>30.76</v>
      </c>
      <c r="K112" s="240"/>
      <c r="L112" s="138" t="s">
        <v>138</v>
      </c>
      <c r="M112" s="241" t="n">
        <f aca="false">IF(H112="","",IF($J112="","",IF(ABS(H112-$J112)&gt;$M$10,H112-$J112,"")))</f>
        <v>-0.133000000000003</v>
      </c>
      <c r="N112" s="242" t="n">
        <f aca="false">IF(I112="","",IF($J112="","",IF(ABS(I112-$J112)&gt;$M$10,I112-$J112,"")))</f>
        <v>-0.130000000000003</v>
      </c>
    </row>
    <row r="113" customFormat="false" ht="12.75" hidden="false" customHeight="false" outlineLevel="0" collapsed="false">
      <c r="B113" s="31" t="s">
        <v>139</v>
      </c>
      <c r="C113" s="208"/>
      <c r="D113" s="253" t="n">
        <v>64.18</v>
      </c>
      <c r="E113" s="239"/>
      <c r="F113" s="240"/>
      <c r="G113" s="31" t="s">
        <v>139</v>
      </c>
      <c r="H113" s="208" t="str">
        <f aca="false">IF(C113="","",VALUE(C113))</f>
        <v/>
      </c>
      <c r="I113" s="209" t="n">
        <f aca="false">IF(D113="","",VALUE(D113))</f>
        <v>64.18</v>
      </c>
      <c r="J113" s="208" t="str">
        <f aca="false">IF(E113="","",VALUE(E113))</f>
        <v/>
      </c>
      <c r="K113" s="240"/>
      <c r="L113" s="138" t="s">
        <v>139</v>
      </c>
      <c r="M113" s="241" t="str">
        <f aca="false">IF(H113="","",IF($J113="","",IF(ABS(H113-$J113)&gt;$M$10,H113-$J113,"")))</f>
        <v/>
      </c>
      <c r="N113" s="242" t="str">
        <f aca="false">IF(I113="","",IF($J113="","",IF(ABS(I113-$J113)&gt;$M$10,I113-$J113,"")))</f>
        <v/>
      </c>
      <c r="T113" s="10"/>
      <c r="U113" s="10"/>
    </row>
    <row r="114" customFormat="false" ht="12.75" hidden="false" customHeight="false" outlineLevel="0" collapsed="false">
      <c r="B114" s="31" t="s">
        <v>140</v>
      </c>
      <c r="C114" s="208"/>
      <c r="D114" s="253" t="n">
        <v>74.01</v>
      </c>
      <c r="E114" s="239"/>
      <c r="F114" s="191"/>
      <c r="G114" s="31" t="s">
        <v>140</v>
      </c>
      <c r="H114" s="208" t="str">
        <f aca="false">IF(C114="","",VALUE(C114))</f>
        <v/>
      </c>
      <c r="I114" s="209" t="n">
        <f aca="false">IF(D114="","",VALUE(D114))</f>
        <v>74.01</v>
      </c>
      <c r="J114" s="208" t="str">
        <f aca="false">IF(E114="","",VALUE(E114))</f>
        <v/>
      </c>
      <c r="K114" s="191"/>
      <c r="L114" s="138" t="s">
        <v>140</v>
      </c>
      <c r="M114" s="241" t="str">
        <f aca="false">IF(H114="","",IF($J114="","",IF(ABS(H114-$J114)&gt;$M$10,H114-$J114,"")))</f>
        <v/>
      </c>
      <c r="N114" s="242" t="str">
        <f aca="false">IF(I114="","",IF($J114="","",IF(ABS(I114-$J114)&gt;$M$10,I114-$J114,"")))</f>
        <v/>
      </c>
      <c r="Q114" s="10"/>
      <c r="R114" s="10"/>
      <c r="S114" s="10"/>
      <c r="T114" s="10"/>
      <c r="U114" s="10"/>
    </row>
    <row r="115" customFormat="false" ht="12.75" hidden="false" customHeight="false" outlineLevel="0" collapsed="false">
      <c r="B115" s="31" t="s">
        <v>141</v>
      </c>
      <c r="C115" s="208" t="n">
        <v>50.208</v>
      </c>
      <c r="D115" s="253" t="n">
        <v>50.29</v>
      </c>
      <c r="E115" s="239" t="n">
        <v>50.2</v>
      </c>
      <c r="F115" s="191"/>
      <c r="G115" s="31" t="s">
        <v>141</v>
      </c>
      <c r="H115" s="208" t="n">
        <f aca="false">IF(C115="","",VALUE(C115))</f>
        <v>50.208</v>
      </c>
      <c r="I115" s="209" t="n">
        <f aca="false">IF(D115="","",VALUE(D115))</f>
        <v>50.29</v>
      </c>
      <c r="J115" s="208" t="n">
        <f aca="false">IF(E115="","",VALUE(E115))</f>
        <v>50.2</v>
      </c>
      <c r="K115" s="191"/>
      <c r="L115" s="138" t="s">
        <v>141</v>
      </c>
      <c r="M115" s="241" t="str">
        <f aca="false">IF(H115="","",IF($J115="","",IF(ABS(H115-$J115)&gt;$M$10,H115-$J115,"")))</f>
        <v/>
      </c>
      <c r="N115" s="242" t="str">
        <f aca="false">IF(I115="","",IF($J115="","",IF(ABS(I115-$J115)&gt;$M$10,I115-$J115,"")))</f>
        <v/>
      </c>
      <c r="Q115" s="10"/>
      <c r="R115" s="10"/>
      <c r="S115" s="10"/>
      <c r="T115" s="10"/>
      <c r="U115" s="10"/>
    </row>
    <row r="116" customFormat="false" ht="12.75" hidden="false" customHeight="false" outlineLevel="0" collapsed="false">
      <c r="B116" s="31" t="s">
        <v>142</v>
      </c>
      <c r="C116" s="208" t="n">
        <v>28.911</v>
      </c>
      <c r="D116" s="253" t="n">
        <v>28.91</v>
      </c>
      <c r="E116" s="239" t="n">
        <v>28.94</v>
      </c>
      <c r="F116" s="191"/>
      <c r="G116" s="31" t="s">
        <v>142</v>
      </c>
      <c r="H116" s="208" t="n">
        <f aca="false">IF(C116="","",VALUE(C116))</f>
        <v>28.911</v>
      </c>
      <c r="I116" s="209" t="n">
        <f aca="false">IF(D116="","",VALUE(D116))</f>
        <v>28.91</v>
      </c>
      <c r="J116" s="208" t="n">
        <f aca="false">IF(E116="","",VALUE(E116))</f>
        <v>28.94</v>
      </c>
      <c r="K116" s="191"/>
      <c r="L116" s="138" t="s">
        <v>142</v>
      </c>
      <c r="M116" s="241" t="str">
        <f aca="false">IF(H116="","",IF($J116="","",IF(ABS(H116-$J116)&gt;$M$10,H116-$J116,"")))</f>
        <v/>
      </c>
      <c r="N116" s="242" t="str">
        <f aca="false">IF(I116="","",IF($J116="","",IF(ABS(I116-$J116)&gt;$M$10,I116-$J116,"")))</f>
        <v/>
      </c>
      <c r="Q116" s="10"/>
      <c r="R116" s="10"/>
      <c r="S116" s="10"/>
      <c r="T116" s="10"/>
      <c r="U116" s="10"/>
    </row>
    <row r="117" customFormat="false" ht="12.75" hidden="false" customHeight="false" outlineLevel="0" collapsed="false">
      <c r="A117" s="87"/>
      <c r="B117" s="31" t="s">
        <v>143</v>
      </c>
      <c r="C117" s="208" t="n">
        <v>32.635</v>
      </c>
      <c r="D117" s="253" t="n">
        <v>32.64</v>
      </c>
      <c r="E117" s="239" t="n">
        <v>32.65</v>
      </c>
      <c r="F117" s="191"/>
      <c r="G117" s="31" t="s">
        <v>143</v>
      </c>
      <c r="H117" s="208" t="n">
        <f aca="false">IF(C117="","",VALUE(C117))</f>
        <v>32.635</v>
      </c>
      <c r="I117" s="209" t="n">
        <f aca="false">IF(D117="","",VALUE(D117))</f>
        <v>32.64</v>
      </c>
      <c r="J117" s="208" t="n">
        <f aca="false">IF(E117="","",VALUE(E117))</f>
        <v>32.65</v>
      </c>
      <c r="K117" s="191"/>
      <c r="L117" s="138" t="s">
        <v>143</v>
      </c>
      <c r="M117" s="241" t="str">
        <f aca="false">IF(H117="","",IF($J117="","",IF(ABS(H117-$J117)&gt;$M$10,H117-$J117,"")))</f>
        <v/>
      </c>
      <c r="N117" s="242" t="str">
        <f aca="false">IF(I117="","",IF($J117="","",IF(ABS(I117-$J117)&gt;$M$10,I117-$J117,"")))</f>
        <v/>
      </c>
      <c r="P117" s="10"/>
      <c r="Q117" s="10"/>
      <c r="R117" s="10"/>
      <c r="S117" s="10"/>
      <c r="T117" s="10"/>
      <c r="U117" s="10"/>
    </row>
    <row r="118" customFormat="false" ht="12.75" hidden="false" customHeight="false" outlineLevel="0" collapsed="false">
      <c r="B118" s="31" t="s">
        <v>144</v>
      </c>
      <c r="C118" s="208"/>
      <c r="D118" s="253" t="n">
        <v>169.68</v>
      </c>
      <c r="E118" s="239"/>
      <c r="F118" s="191"/>
      <c r="G118" s="31" t="s">
        <v>144</v>
      </c>
      <c r="H118" s="208" t="str">
        <f aca="false">IF(C118="","",VALUE(C118))</f>
        <v/>
      </c>
      <c r="I118" s="209" t="n">
        <f aca="false">IF(D118="","",VALUE(D118))</f>
        <v>169.68</v>
      </c>
      <c r="J118" s="208" t="str">
        <f aca="false">IF(E118="","",VALUE(E118))</f>
        <v/>
      </c>
      <c r="K118" s="191"/>
      <c r="L118" s="138" t="s">
        <v>144</v>
      </c>
      <c r="M118" s="241" t="str">
        <f aca="false">IF(H118="","",IF($J118="","",IF(ABS(H118-$J118)&gt;$M$10,H118-$J118,"")))</f>
        <v/>
      </c>
      <c r="N118" s="242" t="str">
        <f aca="false">IF(I118="","",IF($J118="","",IF(ABS(I118-$J118)&gt;$M$10,I118-$J118,"")))</f>
        <v/>
      </c>
      <c r="P118" s="10"/>
      <c r="Q118" s="10"/>
      <c r="R118" s="10"/>
      <c r="S118" s="10"/>
      <c r="T118" s="10"/>
      <c r="U118" s="10"/>
    </row>
    <row r="119" customFormat="false" ht="12.75" hidden="false" customHeight="false" outlineLevel="0" collapsed="false">
      <c r="B119" s="31" t="s">
        <v>145</v>
      </c>
      <c r="C119" s="208"/>
      <c r="D119" s="253" t="n">
        <v>44.43</v>
      </c>
      <c r="E119" s="239"/>
      <c r="F119" s="191"/>
      <c r="G119" s="31" t="s">
        <v>145</v>
      </c>
      <c r="H119" s="208" t="str">
        <f aca="false">IF(C119="","",VALUE(C119))</f>
        <v/>
      </c>
      <c r="I119" s="209" t="n">
        <f aca="false">IF(D119="","",VALUE(D119))</f>
        <v>44.43</v>
      </c>
      <c r="J119" s="208" t="str">
        <f aca="false">IF(E119="","",VALUE(E119))</f>
        <v/>
      </c>
      <c r="K119" s="191"/>
      <c r="L119" s="138" t="s">
        <v>145</v>
      </c>
      <c r="M119" s="241" t="str">
        <f aca="false">IF(H119="","",IF($J119="","",IF(ABS(H119-$J119)&gt;$M$10,H119-$J119,"")))</f>
        <v/>
      </c>
      <c r="N119" s="242" t="str">
        <f aca="false">IF(I119="","",IF($J119="","",IF(ABS(I119-$J119)&gt;$M$10,I119-$J119,"")))</f>
        <v/>
      </c>
      <c r="P119" s="10"/>
      <c r="Q119" s="10"/>
      <c r="R119" s="10"/>
      <c r="S119" s="10"/>
      <c r="T119" s="10"/>
      <c r="U119" s="10"/>
    </row>
    <row r="120" customFormat="false" ht="12.75" hidden="false" customHeight="false" outlineLevel="0" collapsed="false">
      <c r="B120" s="31" t="s">
        <v>146</v>
      </c>
      <c r="C120" s="208"/>
      <c r="D120" s="253" t="n">
        <v>59.83</v>
      </c>
      <c r="E120" s="239"/>
      <c r="F120" s="191"/>
      <c r="G120" s="31" t="s">
        <v>146</v>
      </c>
      <c r="H120" s="208" t="str">
        <f aca="false">IF(C120="","",VALUE(C120))</f>
        <v/>
      </c>
      <c r="I120" s="209" t="n">
        <f aca="false">IF(D120="","",VALUE(D120))</f>
        <v>59.83</v>
      </c>
      <c r="J120" s="208" t="str">
        <f aca="false">IF(E120="","",VALUE(E120))</f>
        <v/>
      </c>
      <c r="K120" s="191"/>
      <c r="L120" s="138" t="s">
        <v>146</v>
      </c>
      <c r="M120" s="241" t="str">
        <f aca="false">IF(H120="","",IF($J120="","",IF(ABS(H120-$J120)&gt;$M$10,H120-$J120,"")))</f>
        <v/>
      </c>
      <c r="N120" s="242" t="str">
        <f aca="false">IF(I120="","",IF($J120="","",IF(ABS(I120-$J120)&gt;$M$10,I120-$J120,"")))</f>
        <v/>
      </c>
      <c r="P120" s="10"/>
      <c r="Q120" s="10"/>
      <c r="R120" s="10"/>
      <c r="S120" s="10"/>
      <c r="T120" s="10"/>
      <c r="U120" s="10"/>
    </row>
    <row r="121" customFormat="false" ht="12.75" hidden="false" customHeight="false" outlineLevel="0" collapsed="false">
      <c r="B121" s="31" t="s">
        <v>147</v>
      </c>
      <c r="C121" s="208" t="n">
        <v>41.631</v>
      </c>
      <c r="D121" s="253" t="n">
        <v>41.63</v>
      </c>
      <c r="E121" s="239" t="n">
        <v>41.63</v>
      </c>
      <c r="F121" s="240"/>
      <c r="G121" s="31" t="s">
        <v>147</v>
      </c>
      <c r="H121" s="208" t="n">
        <f aca="false">IF(C121="","",VALUE(C121))</f>
        <v>41.631</v>
      </c>
      <c r="I121" s="209" t="n">
        <f aca="false">IF(D121="","",VALUE(D121))</f>
        <v>41.63</v>
      </c>
      <c r="J121" s="208" t="n">
        <f aca="false">IF(E121="","",VALUE(E121))</f>
        <v>41.63</v>
      </c>
      <c r="K121" s="240"/>
      <c r="L121" s="138" t="s">
        <v>147</v>
      </c>
      <c r="M121" s="241" t="str">
        <f aca="false">IF(H121="","",IF($J121="","",IF(ABS(H121-$J121)&gt;$M$10,H121-$J121,"")))</f>
        <v/>
      </c>
      <c r="N121" s="242" t="str">
        <f aca="false">IF(I121="","",IF($J121="","",IF(ABS(I121-$J121)&gt;$M$10,I121-$J121,"")))</f>
        <v/>
      </c>
    </row>
    <row r="122" customFormat="false" ht="13.5" hidden="false" customHeight="false" outlineLevel="0" collapsed="false">
      <c r="B122" s="39" t="s">
        <v>148</v>
      </c>
      <c r="C122" s="208" t="n">
        <v>38.953</v>
      </c>
      <c r="D122" s="257" t="n">
        <v>38.99</v>
      </c>
      <c r="E122" s="258" t="n">
        <v>38.87</v>
      </c>
      <c r="F122" s="240"/>
      <c r="G122" s="39" t="s">
        <v>148</v>
      </c>
      <c r="H122" s="208" t="n">
        <f aca="false">IF(C122="","",VALUE(C122))</f>
        <v>38.953</v>
      </c>
      <c r="I122" s="209" t="n">
        <f aca="false">IF(D122="","",VALUE(D122))</f>
        <v>38.99</v>
      </c>
      <c r="J122" s="208" t="n">
        <f aca="false">IF(E122="","",VALUE(E122))</f>
        <v>38.87</v>
      </c>
      <c r="K122" s="240"/>
      <c r="L122" s="144" t="s">
        <v>148</v>
      </c>
      <c r="M122" s="245" t="str">
        <f aca="false">IF(H122="","",IF($J122="","",IF(ABS(H122-$J122)&gt;$M$10,H122-$J122,"")))</f>
        <v/>
      </c>
      <c r="N122" s="246" t="n">
        <f aca="false">IF(I122="","",IF($J122="","",IF(ABS(I122-$J122)&gt;$M$10,I122-$J122,"")))</f>
        <v>0.120000000000005</v>
      </c>
    </row>
    <row r="123" customFormat="false" ht="13.5" hidden="false" customHeight="false" outlineLevel="0" collapsed="false">
      <c r="B123" s="146" t="s">
        <v>185</v>
      </c>
      <c r="C123" s="70" t="n">
        <f aca="false">COUNT(C20:C122)</f>
        <v>50</v>
      </c>
      <c r="D123" s="70" t="n">
        <f aca="false">COUNTA(D20:D122)</f>
        <v>85</v>
      </c>
      <c r="E123" s="70" t="n">
        <f aca="false">COUNTA(E20:E122)</f>
        <v>50</v>
      </c>
      <c r="F123" s="10"/>
      <c r="G123" s="146" t="s">
        <v>185</v>
      </c>
      <c r="H123" s="70" t="n">
        <f aca="false">COUNT(H20:H122)</f>
        <v>50</v>
      </c>
      <c r="I123" s="70" t="n">
        <f aca="false">COUNT(I20:I122)</f>
        <v>85</v>
      </c>
      <c r="J123" s="70" t="n">
        <f aca="false">COUNT(J20:J122)</f>
        <v>50</v>
      </c>
      <c r="K123" s="10"/>
      <c r="L123" s="146" t="s">
        <v>185</v>
      </c>
      <c r="M123" s="247" t="n">
        <f aca="false">COUNT(M20:M122)</f>
        <v>19</v>
      </c>
      <c r="N123" s="247" t="n">
        <f aca="false">COUNT(N20:N122)</f>
        <v>13</v>
      </c>
    </row>
    <row r="124" customFormat="false" ht="12.75" hidden="false" customHeight="false" outlineLevel="0" collapsed="false">
      <c r="F124" s="10"/>
      <c r="K124" s="10"/>
      <c r="T124" s="10"/>
      <c r="U124" s="10"/>
    </row>
    <row r="125" customFormat="false" ht="12.75" hidden="false" customHeight="false" outlineLevel="0" collapsed="false">
      <c r="Q125" s="10"/>
      <c r="R125" s="10"/>
      <c r="S125" s="10"/>
      <c r="T125" s="10"/>
      <c r="U125" s="10"/>
    </row>
    <row r="126" customFormat="false" ht="13.5" hidden="false" customHeight="false" outlineLevel="0" collapsed="false">
      <c r="Q126" s="10"/>
      <c r="R126" s="10"/>
      <c r="S126" s="10"/>
      <c r="T126" s="10"/>
      <c r="U126" s="10"/>
    </row>
    <row r="127" customFormat="false" ht="13.5" hidden="false" customHeight="false" outlineLevel="0" collapsed="false">
      <c r="B127" s="120" t="s">
        <v>160</v>
      </c>
      <c r="C127" s="48" t="s">
        <v>211</v>
      </c>
      <c r="D127" s="48" t="s">
        <v>556</v>
      </c>
      <c r="E127" s="48" t="s">
        <v>563</v>
      </c>
      <c r="G127" s="11" t="s">
        <v>160</v>
      </c>
      <c r="H127" s="259" t="str">
        <f aca="false">C127</f>
        <v>USGS 1259</v>
      </c>
      <c r="I127" s="48" t="str">
        <f aca="false">D127</f>
        <v>USGS 1452</v>
      </c>
      <c r="J127" s="48" t="str">
        <f aca="false">E127</f>
        <v>USGS 2131</v>
      </c>
      <c r="L127" s="120" t="s">
        <v>160</v>
      </c>
      <c r="M127" s="259" t="str">
        <f aca="false">H127</f>
        <v>USGS 1259</v>
      </c>
      <c r="N127" s="50" t="str">
        <f aca="false">I127</f>
        <v>USGS 1452</v>
      </c>
    </row>
    <row r="128" customFormat="false" ht="12.75" hidden="false" customHeight="false" outlineLevel="0" collapsed="false">
      <c r="B128" s="11"/>
      <c r="C128" s="51" t="s">
        <v>218</v>
      </c>
      <c r="D128" s="51" t="s">
        <v>566</v>
      </c>
      <c r="E128" s="51" t="s">
        <v>218</v>
      </c>
      <c r="G128" s="15"/>
      <c r="H128" s="51" t="str">
        <f aca="false">C128</f>
        <v>Robie and</v>
      </c>
      <c r="I128" s="51" t="str">
        <f aca="false">D128</f>
        <v>Robie</v>
      </c>
      <c r="J128" s="51" t="str">
        <f aca="false">E128</f>
        <v>Robie and</v>
      </c>
      <c r="L128" s="15"/>
      <c r="M128" s="51" t="str">
        <f aca="false">H128</f>
        <v>Robie and</v>
      </c>
      <c r="N128" s="51" t="str">
        <f aca="false">I128</f>
        <v>Robie</v>
      </c>
    </row>
    <row r="129" customFormat="false" ht="12.75" hidden="false" customHeight="false" outlineLevel="0" collapsed="false">
      <c r="B129" s="16" t="s">
        <v>20</v>
      </c>
      <c r="C129" s="54" t="s">
        <v>223</v>
      </c>
      <c r="D129" s="54" t="s">
        <v>165</v>
      </c>
      <c r="E129" s="54" t="s">
        <v>576</v>
      </c>
      <c r="F129" s="10"/>
      <c r="G129" s="20" t="s">
        <v>20</v>
      </c>
      <c r="H129" s="54" t="str">
        <f aca="false">C129</f>
        <v>Waldbaum</v>
      </c>
      <c r="I129" s="54" t="str">
        <f aca="false">D129</f>
        <v>et al.</v>
      </c>
      <c r="J129" s="54" t="str">
        <f aca="false">E129</f>
        <v>Hemingway</v>
      </c>
      <c r="K129" s="10"/>
      <c r="L129" s="20" t="s">
        <v>20</v>
      </c>
      <c r="M129" s="54" t="str">
        <f aca="false">H129</f>
        <v>Waldbaum</v>
      </c>
      <c r="N129" s="54" t="str">
        <f aca="false">I129</f>
        <v>et al.</v>
      </c>
    </row>
    <row r="130" customFormat="false" ht="12.75" hidden="false" customHeight="false" outlineLevel="0" collapsed="false">
      <c r="B130" s="16" t="s">
        <v>17</v>
      </c>
      <c r="C130" s="54" t="n">
        <v>1968</v>
      </c>
      <c r="D130" s="54" t="n">
        <v>1978</v>
      </c>
      <c r="E130" s="54" t="n">
        <v>1995</v>
      </c>
      <c r="F130" s="10"/>
      <c r="G130" s="20" t="s">
        <v>17</v>
      </c>
      <c r="H130" s="54" t="n">
        <f aca="false">C130</f>
        <v>1968</v>
      </c>
      <c r="I130" s="54" t="n">
        <f aca="false">D130</f>
        <v>1978</v>
      </c>
      <c r="J130" s="54" t="n">
        <f aca="false">E130</f>
        <v>1995</v>
      </c>
      <c r="K130" s="10"/>
      <c r="L130" s="20" t="s">
        <v>17</v>
      </c>
      <c r="M130" s="54" t="n">
        <f aca="false">H130</f>
        <v>1968</v>
      </c>
      <c r="N130" s="54" t="n">
        <f aca="false">I130</f>
        <v>1978</v>
      </c>
      <c r="T130" s="10"/>
      <c r="U130" s="10"/>
    </row>
    <row r="131" customFormat="false" ht="15" hidden="false" customHeight="false" outlineLevel="0" collapsed="false">
      <c r="B131" s="21" t="s">
        <v>29</v>
      </c>
      <c r="C131" s="55" t="s">
        <v>167</v>
      </c>
      <c r="D131" s="55" t="s">
        <v>167</v>
      </c>
      <c r="E131" s="55" t="s">
        <v>167</v>
      </c>
      <c r="G131" s="25" t="s">
        <v>29</v>
      </c>
      <c r="H131" s="55" t="s">
        <v>167</v>
      </c>
      <c r="I131" s="55" t="s">
        <v>167</v>
      </c>
      <c r="J131" s="55" t="s">
        <v>167</v>
      </c>
      <c r="L131" s="25" t="s">
        <v>29</v>
      </c>
      <c r="M131" s="55" t="s">
        <v>167</v>
      </c>
      <c r="N131" s="55" t="s">
        <v>167</v>
      </c>
      <c r="Q131" s="10"/>
      <c r="R131" s="10"/>
      <c r="S131" s="10"/>
      <c r="T131" s="10"/>
      <c r="U131" s="10"/>
    </row>
    <row r="132" customFormat="false" ht="12.75" hidden="false" customHeight="false" outlineLevel="0" collapsed="false">
      <c r="B132" s="74" t="s">
        <v>187</v>
      </c>
      <c r="C132" s="249"/>
      <c r="D132" s="260"/>
      <c r="E132" s="251" t="n">
        <v>41.09</v>
      </c>
      <c r="G132" s="26" t="s">
        <v>187</v>
      </c>
      <c r="H132" s="208" t="str">
        <f aca="false">IF(C132="","",VALUE(C132))</f>
        <v/>
      </c>
      <c r="I132" s="209" t="str">
        <f aca="false">IF(D132="","",VALUE(D132))</f>
        <v/>
      </c>
      <c r="J132" s="208" t="n">
        <f aca="false">IF(E132="","",VALUE(E132))</f>
        <v>41.09</v>
      </c>
      <c r="L132" s="74" t="s">
        <v>187</v>
      </c>
      <c r="M132" s="261" t="str">
        <f aca="false">IF(H132="","",IF($J132="","",IF(ABS(H132-$J132)&gt;$M$10,H132-$J132,"")))</f>
        <v/>
      </c>
      <c r="N132" s="262" t="str">
        <f aca="false">IF(I132="","",IF($J132="","",IF(ABS(I132-$J132)&gt;$M$10,I132-$J132,"")))</f>
        <v/>
      </c>
      <c r="Q132" s="10"/>
      <c r="R132" s="10"/>
      <c r="S132" s="10"/>
      <c r="T132" s="10"/>
      <c r="U132" s="10"/>
    </row>
    <row r="133" customFormat="false" ht="13.5" hidden="false" customHeight="false" outlineLevel="0" collapsed="false">
      <c r="B133" s="39" t="s">
        <v>188</v>
      </c>
      <c r="C133" s="249" t="n">
        <v>22.803</v>
      </c>
      <c r="D133" s="263" t="n">
        <v>22.85</v>
      </c>
      <c r="E133" s="244"/>
      <c r="G133" s="39" t="s">
        <v>188</v>
      </c>
      <c r="H133" s="208" t="n">
        <f aca="false">IF(C133="","",VALUE(C133))</f>
        <v>22.803</v>
      </c>
      <c r="I133" s="209" t="n">
        <f aca="false">IF(D133="","",VALUE(D133))</f>
        <v>22.85</v>
      </c>
      <c r="J133" s="208" t="str">
        <f aca="false">IF(E133="","",VALUE(E133))</f>
        <v/>
      </c>
      <c r="L133" s="39" t="s">
        <v>188</v>
      </c>
      <c r="M133" s="245" t="str">
        <f aca="false">IF(H133="","",IF($J133="","",IF(ABS(H133-$J133)&gt;$M$10,H133-$J133,"")))</f>
        <v/>
      </c>
      <c r="N133" s="246" t="str">
        <f aca="false">IF(I133="","",IF($J133="","",IF(ABS(I133-$J133)&gt;$M$10,I133-$J133,"")))</f>
        <v/>
      </c>
      <c r="Q133" s="10"/>
      <c r="R133" s="10"/>
      <c r="S133" s="10"/>
      <c r="T133" s="10"/>
      <c r="U133" s="10"/>
    </row>
    <row r="134" customFormat="false" ht="13.5" hidden="false" customHeight="false" outlineLevel="0" collapsed="false">
      <c r="B134" s="80" t="s">
        <v>16</v>
      </c>
      <c r="C134" s="82" t="s">
        <v>506</v>
      </c>
      <c r="D134" s="81" t="s">
        <v>506</v>
      </c>
      <c r="E134" s="82" t="s">
        <v>505</v>
      </c>
      <c r="G134" s="80" t="s">
        <v>16</v>
      </c>
      <c r="H134" s="82" t="str">
        <f aca="false">C134</f>
        <v>red</v>
      </c>
      <c r="I134" s="82" t="str">
        <f aca="false">D134</f>
        <v>red</v>
      </c>
      <c r="J134" s="82" t="str">
        <f aca="false">E134</f>
        <v>white</v>
      </c>
      <c r="L134" s="80" t="s">
        <v>16</v>
      </c>
      <c r="M134" s="82" t="str">
        <f aca="false">H134</f>
        <v>red</v>
      </c>
      <c r="N134" s="82" t="str">
        <f aca="false">I134</f>
        <v>red</v>
      </c>
      <c r="P134" s="10"/>
      <c r="Q134" s="10"/>
      <c r="R134" s="10"/>
      <c r="S134" s="10"/>
      <c r="T134" s="10"/>
      <c r="U134" s="10"/>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U13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7" activeCellId="2" sqref="B16:B122 E16:F122 A7"/>
    </sheetView>
  </sheetViews>
  <sheetFormatPr defaultRowHeight="12.75" zeroHeight="false" outlineLevelRow="0" outlineLevelCol="0"/>
  <cols>
    <col collapsed="false" customWidth="true" hidden="false" outlineLevel="0" max="1025" min="1" style="0" width="11.42"/>
  </cols>
  <sheetData>
    <row r="1" customFormat="false" ht="12.75" hidden="false" customHeight="false" outlineLevel="0" collapsed="false">
      <c r="A1" s="9" t="str">
        <f aca="true">MID(CELL("filename",$A$1),   FIND("\[",CELL("filename",$A$1))+2,   FIND("]",CELL("filename",$A$1),FIND("\[",CELL("filename",$A$1))+2)-FIND("\[",CELL("filename",$A$1))-2)</f>
        <v>TDProperties_Rev0_v69.xlsx</v>
      </c>
    </row>
    <row r="2" customFormat="false" ht="12.75" hidden="false" customHeight="false" outlineLevel="0" collapsed="false">
      <c r="A2" s="0" t="str">
        <f aca="true">MID(CELL("filename",A1),FIND("]",CELL("filename",A1))+1,256)</f>
        <v>Elements JANAF</v>
      </c>
    </row>
    <row r="4" customFormat="false" ht="12.75" hidden="false" customHeight="false" outlineLevel="0" collapsed="false">
      <c r="A4" s="9" t="s">
        <v>717</v>
      </c>
    </row>
    <row r="5" customFormat="false" ht="12.75" hidden="false" customHeight="false" outlineLevel="0" collapsed="false">
      <c r="A5" s="10" t="s">
        <v>718</v>
      </c>
      <c r="E5" s="10"/>
      <c r="T5" s="10"/>
      <c r="U5" s="10"/>
    </row>
    <row r="6" customFormat="false" ht="12.75" hidden="false" customHeight="false" outlineLevel="0" collapsed="false">
      <c r="A6" s="10"/>
      <c r="E6" s="10"/>
      <c r="G6" s="10"/>
      <c r="Q6" s="10"/>
      <c r="R6" s="10"/>
      <c r="S6" s="10"/>
      <c r="T6" s="10"/>
      <c r="U6" s="10"/>
    </row>
    <row r="7" customFormat="false" ht="12.75" hidden="false" customHeight="false" outlineLevel="0" collapsed="false">
      <c r="A7" s="10"/>
      <c r="E7" s="10"/>
      <c r="G7" s="10"/>
      <c r="Q7" s="10"/>
      <c r="R7" s="10"/>
      <c r="S7" s="10"/>
      <c r="T7" s="10"/>
      <c r="U7" s="10"/>
    </row>
    <row r="8" customFormat="false" ht="12.75" hidden="false" customHeight="false" outlineLevel="0" collapsed="false">
      <c r="A8" s="10"/>
      <c r="E8" s="10"/>
      <c r="G8" s="10"/>
      <c r="Q8" s="10"/>
      <c r="R8" s="10"/>
      <c r="S8" s="10"/>
      <c r="T8" s="10"/>
      <c r="U8" s="10"/>
    </row>
    <row r="9" customFormat="false" ht="13.5" hidden="false" customHeight="false" outlineLevel="0" collapsed="false">
      <c r="E9" s="10"/>
      <c r="G9" s="10"/>
      <c r="P9" s="10"/>
      <c r="Q9" s="10"/>
      <c r="R9" s="10"/>
      <c r="S9" s="10"/>
      <c r="T9" s="10"/>
      <c r="U9" s="10"/>
    </row>
    <row r="10" customFormat="false" ht="13.5" hidden="false" customHeight="false" outlineLevel="0" collapsed="false">
      <c r="E10" s="10"/>
      <c r="G10" s="10"/>
      <c r="L10" s="10" t="s">
        <v>709</v>
      </c>
      <c r="M10" s="70" t="n">
        <v>0.1</v>
      </c>
      <c r="N10" s="10" t="s">
        <v>710</v>
      </c>
      <c r="P10" s="10"/>
      <c r="Q10" s="10"/>
      <c r="R10" s="10"/>
      <c r="S10" s="10"/>
      <c r="T10" s="10"/>
      <c r="U10" s="10"/>
    </row>
    <row r="11" customFormat="false" ht="12.75" hidden="false" customHeight="false" outlineLevel="0" collapsed="false">
      <c r="B11" s="10"/>
      <c r="E11" s="10"/>
      <c r="G11" s="10"/>
      <c r="P11" s="10"/>
      <c r="Q11" s="10"/>
      <c r="R11" s="10"/>
      <c r="S11" s="10"/>
      <c r="T11" s="10"/>
      <c r="U11" s="10"/>
    </row>
    <row r="12" customFormat="false" ht="12.75" hidden="false" customHeight="false" outlineLevel="0" collapsed="false">
      <c r="B12" s="9" t="s">
        <v>711</v>
      </c>
      <c r="E12" s="10"/>
      <c r="G12" s="9" t="s">
        <v>712</v>
      </c>
      <c r="L12" s="9" t="s">
        <v>719</v>
      </c>
      <c r="P12" s="10"/>
      <c r="Q12" s="10"/>
      <c r="R12" s="10"/>
      <c r="S12" s="10"/>
      <c r="T12" s="10"/>
      <c r="U12" s="10"/>
    </row>
    <row r="13" customFormat="false" ht="12.75" hidden="false" customHeight="false" outlineLevel="0" collapsed="false">
      <c r="B13" s="9" t="s">
        <v>157</v>
      </c>
      <c r="C13" s="9"/>
      <c r="D13" s="9"/>
      <c r="E13" s="46"/>
      <c r="F13" s="10"/>
      <c r="G13" s="9" t="s">
        <v>157</v>
      </c>
      <c r="H13" s="9"/>
      <c r="I13" s="9"/>
      <c r="J13" s="46"/>
      <c r="K13" s="46"/>
      <c r="L13" s="9" t="s">
        <v>157</v>
      </c>
    </row>
    <row r="14" customFormat="false" ht="13.5" hidden="false" customHeight="false" outlineLevel="0" collapsed="false">
      <c r="A14" s="2"/>
      <c r="B14" s="10"/>
      <c r="C14" s="9"/>
      <c r="E14" s="9"/>
      <c r="G14" s="10"/>
      <c r="H14" s="9"/>
      <c r="J14" s="9"/>
      <c r="K14" s="9"/>
      <c r="L14" s="10"/>
      <c r="M14" s="10"/>
      <c r="N14" s="10"/>
    </row>
    <row r="15" customFormat="false" ht="13.5" hidden="false" customHeight="false" outlineLevel="0" collapsed="false">
      <c r="B15" s="120" t="s">
        <v>160</v>
      </c>
      <c r="C15" s="95" t="s">
        <v>213</v>
      </c>
      <c r="D15" s="48" t="s">
        <v>558</v>
      </c>
      <c r="E15" s="48" t="s">
        <v>562</v>
      </c>
      <c r="G15" s="120" t="s">
        <v>160</v>
      </c>
      <c r="H15" s="95" t="str">
        <f aca="false">C15</f>
        <v>JANAF 2</v>
      </c>
      <c r="I15" s="48" t="str">
        <f aca="false">D15</f>
        <v>JANAF 3</v>
      </c>
      <c r="J15" s="48" t="str">
        <f aca="false">E15</f>
        <v>JANAF 4</v>
      </c>
      <c r="K15" s="49"/>
      <c r="L15" s="120" t="s">
        <v>160</v>
      </c>
      <c r="M15" s="95" t="str">
        <f aca="false">H15</f>
        <v>JANAF 2</v>
      </c>
      <c r="N15" s="48" t="str">
        <f aca="false">I15</f>
        <v>JANAF 3</v>
      </c>
    </row>
    <row r="16" customFormat="false" ht="12.75" hidden="false" customHeight="false" outlineLevel="0" collapsed="false">
      <c r="B16" s="11"/>
      <c r="C16" s="51" t="s">
        <v>216</v>
      </c>
      <c r="D16" s="50" t="s">
        <v>568</v>
      </c>
      <c r="E16" s="51" t="s">
        <v>571</v>
      </c>
      <c r="F16" s="10"/>
      <c r="G16" s="11"/>
      <c r="H16" s="51" t="str">
        <f aca="false">C16</f>
        <v>Stull and</v>
      </c>
      <c r="I16" s="51" t="str">
        <f aca="false">D16</f>
        <v>Chase </v>
      </c>
      <c r="J16" s="51" t="str">
        <f aca="false">E16</f>
        <v>Chase</v>
      </c>
      <c r="K16" s="49"/>
      <c r="L16" s="11"/>
      <c r="M16" s="51" t="str">
        <f aca="false">H16</f>
        <v>Stull and</v>
      </c>
      <c r="N16" s="51" t="str">
        <f aca="false">I16</f>
        <v>Chase </v>
      </c>
      <c r="T16" s="10"/>
      <c r="U16" s="10"/>
    </row>
    <row r="17" customFormat="false" ht="12.75" hidden="false" customHeight="false" outlineLevel="0" collapsed="false">
      <c r="B17" s="16" t="s">
        <v>20</v>
      </c>
      <c r="C17" s="54" t="s">
        <v>225</v>
      </c>
      <c r="D17" s="53" t="s">
        <v>165</v>
      </c>
      <c r="E17" s="54" t="s">
        <v>575</v>
      </c>
      <c r="G17" s="16" t="s">
        <v>20</v>
      </c>
      <c r="H17" s="54" t="str">
        <f aca="false">C17</f>
        <v>Prophet</v>
      </c>
      <c r="I17" s="54" t="str">
        <f aca="false">D17</f>
        <v>et al.</v>
      </c>
      <c r="J17" s="54" t="str">
        <f aca="false">E17</f>
        <v>(ed.)</v>
      </c>
      <c r="K17" s="49"/>
      <c r="L17" s="16" t="s">
        <v>20</v>
      </c>
      <c r="M17" s="54" t="str">
        <f aca="false">H17</f>
        <v>Prophet</v>
      </c>
      <c r="N17" s="54" t="str">
        <f aca="false">I17</f>
        <v>et al.</v>
      </c>
      <c r="Q17" s="10"/>
      <c r="R17" s="10"/>
      <c r="S17" s="10"/>
      <c r="T17" s="10"/>
      <c r="U17" s="10"/>
    </row>
    <row r="18" customFormat="false" ht="12.75" hidden="false" customHeight="false" outlineLevel="0" collapsed="false">
      <c r="B18" s="16" t="s">
        <v>17</v>
      </c>
      <c r="C18" s="54" t="n">
        <v>1971</v>
      </c>
      <c r="D18" s="53" t="n">
        <v>1985</v>
      </c>
      <c r="E18" s="54" t="n">
        <v>1998</v>
      </c>
      <c r="G18" s="16" t="s">
        <v>17</v>
      </c>
      <c r="H18" s="54" t="n">
        <f aca="false">C18</f>
        <v>1971</v>
      </c>
      <c r="I18" s="54" t="n">
        <f aca="false">D18</f>
        <v>1985</v>
      </c>
      <c r="J18" s="54" t="n">
        <f aca="false">E18</f>
        <v>1998</v>
      </c>
      <c r="K18" s="49"/>
      <c r="L18" s="16" t="s">
        <v>17</v>
      </c>
      <c r="M18" s="54" t="n">
        <f aca="false">H18</f>
        <v>1971</v>
      </c>
      <c r="N18" s="54" t="n">
        <f aca="false">I18</f>
        <v>1985</v>
      </c>
      <c r="Q18" s="10"/>
      <c r="R18" s="10"/>
      <c r="S18" s="10"/>
      <c r="T18" s="10"/>
      <c r="U18" s="10"/>
    </row>
    <row r="19" customFormat="false" ht="15" hidden="false" customHeight="false" outlineLevel="0" collapsed="false">
      <c r="B19" s="21" t="s">
        <v>29</v>
      </c>
      <c r="C19" s="55" t="s">
        <v>167</v>
      </c>
      <c r="D19" s="55" t="s">
        <v>167</v>
      </c>
      <c r="E19" s="55" t="s">
        <v>167</v>
      </c>
      <c r="G19" s="21" t="s">
        <v>29</v>
      </c>
      <c r="H19" s="55" t="s">
        <v>167</v>
      </c>
      <c r="I19" s="55" t="s">
        <v>167</v>
      </c>
      <c r="J19" s="55" t="s">
        <v>167</v>
      </c>
      <c r="K19" s="49"/>
      <c r="L19" s="21" t="s">
        <v>29</v>
      </c>
      <c r="M19" s="55" t="s">
        <v>167</v>
      </c>
      <c r="N19" s="55" t="s">
        <v>167</v>
      </c>
      <c r="Q19" s="10"/>
      <c r="R19" s="10"/>
      <c r="S19" s="10"/>
      <c r="T19" s="10"/>
      <c r="U19" s="10"/>
    </row>
    <row r="20" customFormat="false" ht="12.75" hidden="false" customHeight="false" outlineLevel="0" collapsed="false">
      <c r="B20" s="26" t="s">
        <v>30</v>
      </c>
      <c r="C20" s="208"/>
      <c r="D20" s="264"/>
      <c r="E20" s="235"/>
      <c r="F20" s="45"/>
      <c r="G20" s="26" t="s">
        <v>30</v>
      </c>
      <c r="H20" s="208" t="str">
        <f aca="false">IF(C20="","",VALUE(C20))</f>
        <v/>
      </c>
      <c r="I20" s="209" t="str">
        <f aca="false">IF(D20="","",VALUE(D20))</f>
        <v/>
      </c>
      <c r="J20" s="208" t="str">
        <f aca="false">IF(E20="","",VALUE(E20))</f>
        <v/>
      </c>
      <c r="K20" s="45"/>
      <c r="L20" s="134" t="s">
        <v>30</v>
      </c>
      <c r="M20" s="236" t="str">
        <f aca="false">IF(H20="","",IF($J20="","",IF(ABS(H20-$J20)&gt;$M$10,H20-$J20,"")))</f>
        <v/>
      </c>
      <c r="N20" s="237" t="str">
        <f aca="false">IF(I20="","",IF($J20="","",IF(ABS(I20-$J20)&gt;$M$10,I20-$J20,"")))</f>
        <v/>
      </c>
      <c r="P20" s="10"/>
      <c r="Q20" s="10"/>
      <c r="R20" s="10"/>
      <c r="S20" s="10"/>
      <c r="T20" s="10"/>
      <c r="U20" s="10"/>
    </row>
    <row r="21" customFormat="false" ht="12.75" hidden="false" customHeight="false" outlineLevel="0" collapsed="false">
      <c r="A21" s="87"/>
      <c r="B21" s="31" t="s">
        <v>31</v>
      </c>
      <c r="C21" s="208"/>
      <c r="D21" s="253"/>
      <c r="E21" s="239"/>
      <c r="F21" s="240"/>
      <c r="G21" s="31" t="s">
        <v>31</v>
      </c>
      <c r="H21" s="208" t="str">
        <f aca="false">IF(C21="","",VALUE(C21))</f>
        <v/>
      </c>
      <c r="I21" s="209" t="str">
        <f aca="false">IF(D21="","",VALUE(D21))</f>
        <v/>
      </c>
      <c r="J21" s="208" t="str">
        <f aca="false">IF(E21="","",VALUE(E21))</f>
        <v/>
      </c>
      <c r="K21" s="240"/>
      <c r="L21" s="138" t="s">
        <v>31</v>
      </c>
      <c r="M21" s="241" t="str">
        <f aca="false">IF(H21="","",IF($J21="","",IF(ABS(H21-$J21)&gt;$M$10,H21-$J21,"")))</f>
        <v/>
      </c>
      <c r="N21" s="242" t="str">
        <f aca="false">IF(I21="","",IF($J21="","",IF(ABS(I21-$J21)&gt;$M$10,I21-$J21,"")))</f>
        <v/>
      </c>
      <c r="P21" s="10"/>
      <c r="Q21" s="10"/>
      <c r="R21" s="10"/>
      <c r="S21" s="10"/>
      <c r="T21" s="10"/>
      <c r="U21" s="10"/>
    </row>
    <row r="22" customFormat="false" ht="12.75" hidden="false" customHeight="false" outlineLevel="0" collapsed="false">
      <c r="B22" s="31" t="s">
        <v>32</v>
      </c>
      <c r="C22" s="208" t="n">
        <v>28.321</v>
      </c>
      <c r="D22" s="253" t="n">
        <v>28.275</v>
      </c>
      <c r="E22" s="239" t="n">
        <v>28.275</v>
      </c>
      <c r="F22" s="240"/>
      <c r="G22" s="31" t="s">
        <v>32</v>
      </c>
      <c r="H22" s="208" t="n">
        <f aca="false">IF(C22="","",VALUE(C22))</f>
        <v>28.321</v>
      </c>
      <c r="I22" s="209" t="n">
        <f aca="false">IF(D22="","",VALUE(D22))</f>
        <v>28.275</v>
      </c>
      <c r="J22" s="208" t="n">
        <f aca="false">IF(E22="","",VALUE(E22))</f>
        <v>28.275</v>
      </c>
      <c r="K22" s="240"/>
      <c r="L22" s="138" t="s">
        <v>32</v>
      </c>
      <c r="M22" s="241" t="str">
        <f aca="false">IF(H22="","",IF($J22="","",IF(ABS(H22-$J22)&gt;$M$10,H22-$J22,"")))</f>
        <v/>
      </c>
      <c r="N22" s="242" t="str">
        <f aca="false">IF(I22="","",IF($J22="","",IF(ABS(I22-$J22)&gt;$M$10,I22-$J22,"")))</f>
        <v/>
      </c>
      <c r="P22" s="10"/>
      <c r="Q22" s="10"/>
      <c r="R22" s="10"/>
      <c r="S22" s="10"/>
      <c r="T22" s="10"/>
      <c r="U22" s="10"/>
    </row>
    <row r="23" customFormat="false" ht="12.75" hidden="false" customHeight="false" outlineLevel="0" collapsed="false">
      <c r="B23" s="31" t="s">
        <v>33</v>
      </c>
      <c r="C23" s="208"/>
      <c r="D23" s="254"/>
      <c r="E23" s="239"/>
      <c r="F23" s="240"/>
      <c r="G23" s="31" t="s">
        <v>33</v>
      </c>
      <c r="H23" s="208" t="str">
        <f aca="false">IF(C23="","",VALUE(C23))</f>
        <v/>
      </c>
      <c r="I23" s="209" t="str">
        <f aca="false">IF(D23="","",VALUE(D23))</f>
        <v/>
      </c>
      <c r="J23" s="208" t="str">
        <f aca="false">IF(E23="","",VALUE(E23))</f>
        <v/>
      </c>
      <c r="K23" s="240"/>
      <c r="L23" s="138" t="s">
        <v>33</v>
      </c>
      <c r="M23" s="241" t="str">
        <f aca="false">IF(H23="","",IF($J23="","",IF(ABS(H23-$J23)&gt;$M$10,H23-$J23,"")))</f>
        <v/>
      </c>
      <c r="N23" s="242" t="str">
        <f aca="false">IF(I23="","",IF($J23="","",IF(ABS(I23-$J23)&gt;$M$10,I23-$J23,"")))</f>
        <v/>
      </c>
      <c r="P23" s="10"/>
    </row>
    <row r="24" customFormat="false" ht="12.75" hidden="false" customHeight="false" outlineLevel="0" collapsed="false">
      <c r="B24" s="31" t="s">
        <v>34</v>
      </c>
      <c r="C24" s="208"/>
      <c r="D24" s="253" t="n">
        <v>154.845</v>
      </c>
      <c r="E24" s="239" t="n">
        <v>154.845</v>
      </c>
      <c r="F24" s="240"/>
      <c r="G24" s="31" t="s">
        <v>34</v>
      </c>
      <c r="H24" s="208" t="str">
        <f aca="false">IF(C24="","",VALUE(C24))</f>
        <v/>
      </c>
      <c r="I24" s="209" t="n">
        <f aca="false">IF(D24="","",VALUE(D24))</f>
        <v>154.845</v>
      </c>
      <c r="J24" s="208" t="n">
        <f aca="false">IF(E24="","",VALUE(E24))</f>
        <v>154.845</v>
      </c>
      <c r="K24" s="240"/>
      <c r="L24" s="138" t="s">
        <v>34</v>
      </c>
      <c r="M24" s="241" t="str">
        <f aca="false">IF(H24="","",IF($J24="","",IF(ABS(H24-$J24)&gt;$M$10,H24-$J24,"")))</f>
        <v/>
      </c>
      <c r="N24" s="242" t="str">
        <f aca="false">IF(I24="","",IF($J24="","",IF(ABS(I24-$J24)&gt;$M$10,I24-$J24,"")))</f>
        <v/>
      </c>
      <c r="P24" s="10"/>
    </row>
    <row r="25" customFormat="false" ht="12.75" hidden="false" customHeight="false" outlineLevel="0" collapsed="false">
      <c r="B25" s="31" t="s">
        <v>35</v>
      </c>
      <c r="C25" s="208"/>
      <c r="D25" s="253"/>
      <c r="E25" s="239"/>
      <c r="F25" s="240"/>
      <c r="G25" s="31" t="s">
        <v>35</v>
      </c>
      <c r="H25" s="208" t="str">
        <f aca="false">IF(C25="","",VALUE(C25))</f>
        <v/>
      </c>
      <c r="I25" s="209" t="str">
        <f aca="false">IF(D25="","",VALUE(D25))</f>
        <v/>
      </c>
      <c r="J25" s="208" t="str">
        <f aca="false">IF(E25="","",VALUE(E25))</f>
        <v/>
      </c>
      <c r="K25" s="240"/>
      <c r="L25" s="138" t="s">
        <v>35</v>
      </c>
      <c r="M25" s="241" t="str">
        <f aca="false">IF(H25="","",IF($J25="","",IF(ABS(H25-$J25)&gt;$M$10,H25-$J25,"")))</f>
        <v/>
      </c>
      <c r="N25" s="242" t="str">
        <f aca="false">IF(I25="","",IF($J25="","",IF(ABS(I25-$J25)&gt;$M$10,I25-$J25,"")))</f>
        <v/>
      </c>
      <c r="P25" s="10"/>
    </row>
    <row r="26" s="90" customFormat="true" ht="12.75" hidden="false" customHeight="false" outlineLevel="0" collapsed="false">
      <c r="A26" s="89"/>
      <c r="B26" s="38" t="s">
        <v>37</v>
      </c>
      <c r="C26" s="208"/>
      <c r="D26" s="254"/>
      <c r="E26" s="239"/>
      <c r="F26" s="240"/>
      <c r="G26" s="38" t="s">
        <v>37</v>
      </c>
      <c r="H26" s="208" t="str">
        <f aca="false">IF(C26="","",VALUE(C26))</f>
        <v/>
      </c>
      <c r="I26" s="209" t="str">
        <f aca="false">IF(D26="","",VALUE(D26))</f>
        <v/>
      </c>
      <c r="J26" s="208" t="str">
        <f aca="false">IF(E26="","",VALUE(E26))</f>
        <v/>
      </c>
      <c r="K26" s="240"/>
      <c r="L26" s="140" t="s">
        <v>37</v>
      </c>
      <c r="M26" s="241" t="str">
        <f aca="false">IF(H26="","",IF($J26="","",IF(ABS(H26-$J26)&gt;$M$10,H26-$J26,"")))</f>
        <v/>
      </c>
      <c r="N26" s="242" t="str">
        <f aca="false">IF(I26="","",IF($J26="","",IF(ABS(I26-$J26)&gt;$M$10,I26-$J26,"")))</f>
        <v/>
      </c>
      <c r="P26" s="10"/>
      <c r="T26" s="10"/>
      <c r="U26" s="10"/>
    </row>
    <row r="27" customFormat="false" ht="12.75" hidden="false" customHeight="false" outlineLevel="0" collapsed="false">
      <c r="B27" s="31" t="s">
        <v>39</v>
      </c>
      <c r="C27" s="208"/>
      <c r="D27" s="253"/>
      <c r="E27" s="239"/>
      <c r="F27" s="240"/>
      <c r="G27" s="31" t="s">
        <v>39</v>
      </c>
      <c r="H27" s="208" t="str">
        <f aca="false">IF(C27="","",VALUE(C27))</f>
        <v/>
      </c>
      <c r="I27" s="209" t="str">
        <f aca="false">IF(D27="","",VALUE(D27))</f>
        <v/>
      </c>
      <c r="J27" s="208" t="str">
        <f aca="false">IF(E27="","",VALUE(E27))</f>
        <v/>
      </c>
      <c r="K27" s="240"/>
      <c r="L27" s="138" t="s">
        <v>39</v>
      </c>
      <c r="M27" s="241" t="str">
        <f aca="false">IF(H27="","",IF($J27="","",IF(ABS(H27-$J27)&gt;$M$10,H27-$J27,"")))</f>
        <v/>
      </c>
      <c r="N27" s="242" t="str">
        <f aca="false">IF(I27="","",IF($J27="","",IF(ABS(I27-$J27)&gt;$M$10,I27-$J27,"")))</f>
        <v/>
      </c>
      <c r="P27" s="10"/>
      <c r="Q27" s="10"/>
      <c r="R27" s="10"/>
      <c r="S27" s="10"/>
      <c r="T27" s="10"/>
      <c r="U27" s="10"/>
    </row>
    <row r="28" customFormat="false" ht="12.75" hidden="false" customHeight="false" outlineLevel="0" collapsed="false">
      <c r="B28" s="31" t="s">
        <v>40</v>
      </c>
      <c r="C28" s="208" t="n">
        <v>5.87</v>
      </c>
      <c r="D28" s="253" t="n">
        <v>5.834</v>
      </c>
      <c r="E28" s="239" t="n">
        <v>5.834</v>
      </c>
      <c r="F28" s="191"/>
      <c r="G28" s="31" t="s">
        <v>40</v>
      </c>
      <c r="H28" s="208" t="n">
        <f aca="false">IF(C28="","",VALUE(C28))</f>
        <v>5.87</v>
      </c>
      <c r="I28" s="209" t="n">
        <f aca="false">IF(D28="","",VALUE(D28))</f>
        <v>5.834</v>
      </c>
      <c r="J28" s="208" t="n">
        <f aca="false">IF(E28="","",VALUE(E28))</f>
        <v>5.834</v>
      </c>
      <c r="K28" s="191"/>
      <c r="L28" s="138" t="s">
        <v>40</v>
      </c>
      <c r="M28" s="241" t="str">
        <f aca="false">IF(H28="","",IF($J28="","",IF(ABS(H28-$J28)&gt;$M$10,H28-$J28,"")))</f>
        <v/>
      </c>
      <c r="N28" s="242" t="str">
        <f aca="false">IF(I28="","",IF($J28="","",IF(ABS(I28-$J28)&gt;$M$10,I28-$J28,"")))</f>
        <v/>
      </c>
      <c r="P28" s="10"/>
      <c r="Q28" s="10"/>
      <c r="R28" s="10"/>
      <c r="S28" s="10"/>
      <c r="T28" s="10"/>
      <c r="U28" s="10"/>
    </row>
    <row r="29" customFormat="false" ht="12.75" hidden="false" customHeight="false" outlineLevel="0" collapsed="false">
      <c r="B29" s="38" t="s">
        <v>41</v>
      </c>
      <c r="C29" s="208"/>
      <c r="D29" s="253" t="n">
        <v>62.475</v>
      </c>
      <c r="E29" s="239" t="n">
        <v>62.475</v>
      </c>
      <c r="F29" s="191"/>
      <c r="G29" s="38" t="s">
        <v>41</v>
      </c>
      <c r="H29" s="208" t="str">
        <f aca="false">IF(C29="","",VALUE(C29))</f>
        <v/>
      </c>
      <c r="I29" s="209" t="n">
        <f aca="false">IF(D29="","",VALUE(D29))</f>
        <v>62.475</v>
      </c>
      <c r="J29" s="208" t="n">
        <f aca="false">IF(E29="","",VALUE(E29))</f>
        <v>62.475</v>
      </c>
      <c r="K29" s="191"/>
      <c r="L29" s="140" t="s">
        <v>41</v>
      </c>
      <c r="M29" s="241" t="str">
        <f aca="false">IF(H29="","",IF($J29="","",IF(ABS(H29-$J29)&gt;$M$10,H29-$J29,"")))</f>
        <v/>
      </c>
      <c r="N29" s="242" t="str">
        <f aca="false">IF(I29="","",IF($J29="","",IF(ABS(I29-$J29)&gt;$M$10,I29-$J29,"")))</f>
        <v/>
      </c>
      <c r="P29" s="10"/>
      <c r="Q29" s="10"/>
      <c r="R29" s="10"/>
      <c r="S29" s="10"/>
      <c r="T29" s="10"/>
      <c r="U29" s="10"/>
    </row>
    <row r="30" customFormat="false" ht="12.75" hidden="false" customHeight="false" outlineLevel="0" collapsed="false">
      <c r="B30" s="31" t="s">
        <v>42</v>
      </c>
      <c r="C30" s="208" t="n">
        <v>9.54</v>
      </c>
      <c r="D30" s="254" t="s">
        <v>595</v>
      </c>
      <c r="E30" s="243" t="s">
        <v>595</v>
      </c>
      <c r="F30" s="191"/>
      <c r="G30" s="31" t="s">
        <v>42</v>
      </c>
      <c r="H30" s="208" t="n">
        <f aca="false">IF(C30="","",VALUE(C30))</f>
        <v>9.54</v>
      </c>
      <c r="I30" s="209" t="n">
        <f aca="false">IF(D30="","",VALUE(D30))</f>
        <v>9.44</v>
      </c>
      <c r="J30" s="208" t="n">
        <f aca="false">IF(E30="","",VALUE(E30))</f>
        <v>9.44</v>
      </c>
      <c r="K30" s="191"/>
      <c r="L30" s="138" t="s">
        <v>42</v>
      </c>
      <c r="M30" s="241" t="str">
        <f aca="false">IF(H30="","",IF($J30="","",IF(ABS(H30-$J30)&gt;$M$10,H30-$J30,"")))</f>
        <v/>
      </c>
      <c r="N30" s="242" t="str">
        <f aca="false">IF(I30="","",IF($J30="","",IF(ABS(I30-$J30)&gt;$M$10,I30-$J30,"")))</f>
        <v/>
      </c>
      <c r="P30" s="10"/>
      <c r="Q30" s="10"/>
      <c r="R30" s="10"/>
      <c r="S30" s="10"/>
      <c r="T30" s="10"/>
      <c r="U30" s="10"/>
    </row>
    <row r="31" customFormat="false" ht="12.75" hidden="false" customHeight="false" outlineLevel="0" collapsed="false">
      <c r="B31" s="31" t="s">
        <v>43</v>
      </c>
      <c r="C31" s="208"/>
      <c r="D31" s="253"/>
      <c r="E31" s="239"/>
      <c r="F31" s="191"/>
      <c r="G31" s="31" t="s">
        <v>43</v>
      </c>
      <c r="H31" s="208" t="str">
        <f aca="false">IF(C31="","",VALUE(C31))</f>
        <v/>
      </c>
      <c r="I31" s="209" t="str">
        <f aca="false">IF(D31="","",VALUE(D31))</f>
        <v/>
      </c>
      <c r="J31" s="208" t="str">
        <f aca="false">IF(E31="","",VALUE(E31))</f>
        <v/>
      </c>
      <c r="K31" s="191"/>
      <c r="L31" s="138" t="s">
        <v>43</v>
      </c>
      <c r="M31" s="241" t="str">
        <f aca="false">IF(H31="","",IF($J31="","",IF(ABS(H31-$J31)&gt;$M$10,H31-$J31,"")))</f>
        <v/>
      </c>
      <c r="N31" s="242" t="str">
        <f aca="false">IF(I31="","",IF($J31="","",IF(ABS(I31-$J31)&gt;$M$10,I31-$J31,"")))</f>
        <v/>
      </c>
      <c r="P31" s="10"/>
      <c r="Q31" s="10"/>
      <c r="R31" s="10"/>
      <c r="S31" s="10"/>
      <c r="T31" s="10"/>
      <c r="U31" s="10"/>
    </row>
    <row r="32" customFormat="false" ht="12.75" hidden="false" customHeight="false" outlineLevel="0" collapsed="false">
      <c r="B32" s="31" t="s">
        <v>44</v>
      </c>
      <c r="C32" s="208"/>
      <c r="D32" s="254"/>
      <c r="E32" s="239"/>
      <c r="F32" s="191"/>
      <c r="G32" s="31" t="s">
        <v>44</v>
      </c>
      <c r="H32" s="208" t="str">
        <f aca="false">IF(C32="","",VALUE(C32))</f>
        <v/>
      </c>
      <c r="I32" s="209" t="str">
        <f aca="false">IF(D32="","",VALUE(D32))</f>
        <v/>
      </c>
      <c r="J32" s="208" t="str">
        <f aca="false">IF(E32="","",VALUE(E32))</f>
        <v/>
      </c>
      <c r="K32" s="191"/>
      <c r="L32" s="138" t="s">
        <v>44</v>
      </c>
      <c r="M32" s="241" t="str">
        <f aca="false">IF(H32="","",IF($J32="","",IF(ABS(H32-$J32)&gt;$M$10,H32-$J32,"")))</f>
        <v/>
      </c>
      <c r="N32" s="242" t="str">
        <f aca="false">IF(I32="","",IF($J32="","",IF(ABS(I32-$J32)&gt;$M$10,I32-$J32,"")))</f>
        <v/>
      </c>
      <c r="P32" s="10"/>
      <c r="Q32" s="10"/>
      <c r="R32" s="10"/>
      <c r="S32" s="10"/>
      <c r="T32" s="10"/>
      <c r="U32" s="10"/>
    </row>
    <row r="33" s="90" customFormat="true" ht="12.75" hidden="false" customHeight="false" outlineLevel="0" collapsed="false">
      <c r="A33" s="89"/>
      <c r="B33" s="38" t="s">
        <v>46</v>
      </c>
      <c r="C33" s="208" t="n">
        <v>152.231</v>
      </c>
      <c r="D33" s="253" t="n">
        <v>152.206</v>
      </c>
      <c r="E33" s="239" t="n">
        <v>152.206</v>
      </c>
      <c r="F33" s="191"/>
      <c r="G33" s="38" t="s">
        <v>46</v>
      </c>
      <c r="H33" s="208" t="n">
        <f aca="false">IF(C33="","",VALUE(C33))</f>
        <v>152.231</v>
      </c>
      <c r="I33" s="209" t="n">
        <f aca="false">IF(D33="","",VALUE(D33))</f>
        <v>152.206</v>
      </c>
      <c r="J33" s="208" t="n">
        <f aca="false">IF(E33="","",VALUE(E33))</f>
        <v>152.206</v>
      </c>
      <c r="K33" s="191"/>
      <c r="L33" s="140" t="s">
        <v>46</v>
      </c>
      <c r="M33" s="241" t="str">
        <f aca="false">IF(H33="","",IF($J33="","",IF(ABS(H33-$J33)&gt;$M$10,H33-$J33,"")))</f>
        <v/>
      </c>
      <c r="N33" s="242" t="str">
        <f aca="false">IF(I33="","",IF($J33="","",IF(ABS(I33-$J33)&gt;$M$10,I33-$J33,"")))</f>
        <v/>
      </c>
      <c r="P33" s="10"/>
      <c r="Q33" s="10"/>
      <c r="R33" s="10"/>
      <c r="S33" s="10"/>
      <c r="T33" s="10"/>
      <c r="U33" s="10"/>
    </row>
    <row r="34" customFormat="false" ht="12.75" hidden="false" customHeight="false" outlineLevel="0" collapsed="false">
      <c r="B34" s="31" t="s">
        <v>48</v>
      </c>
      <c r="C34" s="208" t="n">
        <v>5.686</v>
      </c>
      <c r="D34" s="254" t="s">
        <v>600</v>
      </c>
      <c r="E34" s="243" t="s">
        <v>600</v>
      </c>
      <c r="F34" s="240"/>
      <c r="G34" s="31" t="s">
        <v>48</v>
      </c>
      <c r="H34" s="208" t="n">
        <f aca="false">IF(C34="","",VALUE(C34))</f>
        <v>5.686</v>
      </c>
      <c r="I34" s="209" t="n">
        <f aca="false">IF(D34="","",VALUE(D34))</f>
        <v>5.74</v>
      </c>
      <c r="J34" s="208" t="n">
        <f aca="false">IF(E34="","",VALUE(E34))</f>
        <v>5.74</v>
      </c>
      <c r="K34" s="240"/>
      <c r="L34" s="138" t="s">
        <v>48</v>
      </c>
      <c r="M34" s="241" t="str">
        <f aca="false">IF(H34="","",IF($J34="","",IF(ABS(H34-$J34)&gt;$M$10,H34-$J34,"")))</f>
        <v/>
      </c>
      <c r="N34" s="242" t="str">
        <f aca="false">IF(I34="","",IF($J34="","",IF(ABS(I34-$J34)&gt;$M$10,I34-$J34,"")))</f>
        <v/>
      </c>
    </row>
    <row r="35" customFormat="false" ht="12.75" hidden="false" customHeight="false" outlineLevel="0" collapsed="false">
      <c r="B35" s="31" t="s">
        <v>49</v>
      </c>
      <c r="C35" s="208" t="n">
        <v>41.555</v>
      </c>
      <c r="D35" s="253" t="n">
        <v>41.588</v>
      </c>
      <c r="E35" s="239" t="n">
        <v>41.588</v>
      </c>
      <c r="F35" s="240"/>
      <c r="G35" s="31" t="s">
        <v>49</v>
      </c>
      <c r="H35" s="208" t="n">
        <f aca="false">IF(C35="","",VALUE(C35))</f>
        <v>41.555</v>
      </c>
      <c r="I35" s="209" t="n">
        <f aca="false">IF(D35="","",VALUE(D35))</f>
        <v>41.588</v>
      </c>
      <c r="J35" s="208" t="n">
        <f aca="false">IF(E35="","",VALUE(E35))</f>
        <v>41.588</v>
      </c>
      <c r="K35" s="240"/>
      <c r="L35" s="138" t="s">
        <v>49</v>
      </c>
      <c r="M35" s="241" t="str">
        <f aca="false">IF(H35="","",IF($J35="","",IF(ABS(H35-$J35)&gt;$M$10,H35-$J35,"")))</f>
        <v/>
      </c>
      <c r="N35" s="242" t="str">
        <f aca="false">IF(I35="","",IF($J35="","",IF(ABS(I35-$J35)&gt;$M$10,I35-$J35,"")))</f>
        <v/>
      </c>
    </row>
    <row r="36" customFormat="false" ht="12.75" hidden="false" customHeight="false" outlineLevel="0" collapsed="false">
      <c r="B36" s="31" t="s">
        <v>50</v>
      </c>
      <c r="C36" s="208"/>
      <c r="D36" s="253"/>
      <c r="E36" s="239"/>
      <c r="F36" s="240"/>
      <c r="G36" s="31" t="s">
        <v>50</v>
      </c>
      <c r="H36" s="208" t="str">
        <f aca="false">IF(C36="","",VALUE(C36))</f>
        <v/>
      </c>
      <c r="I36" s="209" t="str">
        <f aca="false">IF(D36="","",VALUE(D36))</f>
        <v/>
      </c>
      <c r="J36" s="208" t="str">
        <f aca="false">IF(E36="","",VALUE(E36))</f>
        <v/>
      </c>
      <c r="K36" s="240"/>
      <c r="L36" s="138" t="s">
        <v>50</v>
      </c>
      <c r="M36" s="241" t="str">
        <f aca="false">IF(H36="","",IF($J36="","",IF(ABS(H36-$J36)&gt;$M$10,H36-$J36,"")))</f>
        <v/>
      </c>
      <c r="N36" s="242" t="str">
        <f aca="false">IF(I36="","",IF($J36="","",IF(ABS(I36-$J36)&gt;$M$10,I36-$J36,"")))</f>
        <v/>
      </c>
    </row>
    <row r="37" customFormat="false" ht="12.75" hidden="false" customHeight="false" outlineLevel="0" collapsed="false">
      <c r="A37" s="10"/>
      <c r="B37" s="31" t="s">
        <v>51</v>
      </c>
      <c r="C37" s="208"/>
      <c r="D37" s="253"/>
      <c r="E37" s="239"/>
      <c r="F37" s="240"/>
      <c r="G37" s="31" t="s">
        <v>51</v>
      </c>
      <c r="H37" s="208" t="str">
        <f aca="false">IF(C37="","",VALUE(C37))</f>
        <v/>
      </c>
      <c r="I37" s="209" t="str">
        <f aca="false">IF(D37="","",VALUE(D37))</f>
        <v/>
      </c>
      <c r="J37" s="208" t="str">
        <f aca="false">IF(E37="","",VALUE(E37))</f>
        <v/>
      </c>
      <c r="K37" s="240"/>
      <c r="L37" s="138" t="s">
        <v>51</v>
      </c>
      <c r="M37" s="241" t="str">
        <f aca="false">IF(H37="","",IF($J37="","",IF(ABS(H37-$J37)&gt;$M$10,H37-$J37,"")))</f>
        <v/>
      </c>
      <c r="N37" s="242" t="str">
        <f aca="false">IF(I37="","",IF($J37="","",IF(ABS(I37-$J37)&gt;$M$10,I37-$J37,"")))</f>
        <v/>
      </c>
      <c r="T37" s="10"/>
      <c r="U37" s="10"/>
    </row>
    <row r="38" customFormat="false" ht="12.75" hidden="false" customHeight="false" outlineLevel="0" collapsed="false">
      <c r="B38" s="31" t="s">
        <v>52</v>
      </c>
      <c r="C38" s="208"/>
      <c r="D38" s="254"/>
      <c r="E38" s="239"/>
      <c r="F38" s="191"/>
      <c r="G38" s="31" t="s">
        <v>52</v>
      </c>
      <c r="H38" s="208" t="str">
        <f aca="false">IF(C38="","",VALUE(C38))</f>
        <v/>
      </c>
      <c r="I38" s="209" t="str">
        <f aca="false">IF(D38="","",VALUE(D38))</f>
        <v/>
      </c>
      <c r="J38" s="208" t="str">
        <f aca="false">IF(E38="","",VALUE(E38))</f>
        <v/>
      </c>
      <c r="K38" s="191"/>
      <c r="L38" s="138" t="s">
        <v>52</v>
      </c>
      <c r="M38" s="241" t="str">
        <f aca="false">IF(H38="","",IF($J38="","",IF(ABS(H38-$J38)&gt;$M$10,H38-$J38,"")))</f>
        <v/>
      </c>
      <c r="N38" s="242" t="str">
        <f aca="false">IF(I38="","",IF($J38="","",IF(ABS(I38-$J38)&gt;$M$10,I38-$J38,"")))</f>
        <v/>
      </c>
      <c r="Q38" s="10"/>
      <c r="R38" s="10"/>
      <c r="S38" s="10"/>
      <c r="T38" s="10"/>
      <c r="U38" s="10"/>
    </row>
    <row r="39" s="90" customFormat="true" ht="12.75" hidden="false" customHeight="false" outlineLevel="0" collapsed="false">
      <c r="A39" s="89"/>
      <c r="B39" s="38" t="s">
        <v>54</v>
      </c>
      <c r="C39" s="208" t="n">
        <v>223.071</v>
      </c>
      <c r="D39" s="253" t="n">
        <v>223.079</v>
      </c>
      <c r="E39" s="239" t="n">
        <v>223.079</v>
      </c>
      <c r="F39" s="191"/>
      <c r="G39" s="38" t="s">
        <v>54</v>
      </c>
      <c r="H39" s="208" t="n">
        <f aca="false">IF(C39="","",VALUE(C39))</f>
        <v>223.071</v>
      </c>
      <c r="I39" s="209" t="n">
        <f aca="false">IF(D39="","",VALUE(D39))</f>
        <v>223.079</v>
      </c>
      <c r="J39" s="208" t="n">
        <f aca="false">IF(E39="","",VALUE(E39))</f>
        <v>223.079</v>
      </c>
      <c r="K39" s="191"/>
      <c r="L39" s="140" t="s">
        <v>54</v>
      </c>
      <c r="M39" s="241" t="str">
        <f aca="false">IF(H39="","",IF($J39="","",IF(ABS(H39-$J39)&gt;$M$10,H39-$J39,"")))</f>
        <v/>
      </c>
      <c r="N39" s="242" t="str">
        <f aca="false">IF(I39="","",IF($J39="","",IF(ABS(I39-$J39)&gt;$M$10,I39-$J39,"")))</f>
        <v/>
      </c>
      <c r="Q39" s="10"/>
      <c r="R39" s="10"/>
      <c r="S39" s="10"/>
      <c r="T39" s="10"/>
      <c r="U39" s="10"/>
    </row>
    <row r="40" customFormat="false" ht="12.75" hidden="false" customHeight="false" outlineLevel="0" collapsed="false">
      <c r="A40" s="10"/>
      <c r="B40" s="31" t="s">
        <v>56</v>
      </c>
      <c r="C40" s="208"/>
      <c r="D40" s="254"/>
      <c r="E40" s="239"/>
      <c r="F40" s="191"/>
      <c r="G40" s="31" t="s">
        <v>56</v>
      </c>
      <c r="H40" s="208" t="str">
        <f aca="false">IF(C40="","",VALUE(C40))</f>
        <v/>
      </c>
      <c r="I40" s="209" t="str">
        <f aca="false">IF(D40="","",VALUE(D40))</f>
        <v/>
      </c>
      <c r="J40" s="208" t="str">
        <f aca="false">IF(E40="","",VALUE(E40))</f>
        <v/>
      </c>
      <c r="K40" s="191"/>
      <c r="L40" s="138" t="s">
        <v>56</v>
      </c>
      <c r="M40" s="241" t="str">
        <f aca="false">IF(H40="","",IF($J40="","",IF(ABS(H40-$J40)&gt;$M$10,H40-$J40,"")))</f>
        <v/>
      </c>
      <c r="N40" s="242" t="str">
        <f aca="false">IF(I40="","",IF($J40="","",IF(ABS(I40-$J40)&gt;$M$10,I40-$J40,"")))</f>
        <v/>
      </c>
      <c r="Q40" s="10"/>
      <c r="R40" s="10"/>
      <c r="S40" s="10"/>
      <c r="T40" s="10"/>
      <c r="U40" s="10"/>
    </row>
    <row r="41" customFormat="false" ht="12.75" hidden="false" customHeight="false" outlineLevel="0" collapsed="false">
      <c r="B41" s="31" t="s">
        <v>57</v>
      </c>
      <c r="C41" s="208" t="n">
        <v>30.041</v>
      </c>
      <c r="D41" s="253" t="n">
        <v>30.067</v>
      </c>
      <c r="E41" s="239" t="n">
        <v>30.067</v>
      </c>
      <c r="F41" s="191"/>
      <c r="G41" s="31" t="s">
        <v>57</v>
      </c>
      <c r="H41" s="208" t="n">
        <f aca="false">IF(C41="","",VALUE(C41))</f>
        <v>30.041</v>
      </c>
      <c r="I41" s="209" t="n">
        <f aca="false">IF(D41="","",VALUE(D41))</f>
        <v>30.067</v>
      </c>
      <c r="J41" s="208" t="n">
        <f aca="false">IF(E41="","",VALUE(E41))</f>
        <v>30.067</v>
      </c>
      <c r="K41" s="191"/>
      <c r="L41" s="138" t="s">
        <v>57</v>
      </c>
      <c r="M41" s="241" t="str">
        <f aca="false">IF(H41="","",IF($J41="","",IF(ABS(H41-$J41)&gt;$M$10,H41-$J41,"")))</f>
        <v/>
      </c>
      <c r="N41" s="242" t="str">
        <f aca="false">IF(I41="","",IF($J41="","",IF(ABS(I41-$J41)&gt;$M$10,I41-$J41,"")))</f>
        <v/>
      </c>
      <c r="P41" s="10"/>
      <c r="Q41" s="10"/>
      <c r="R41" s="10"/>
      <c r="S41" s="10"/>
      <c r="T41" s="10"/>
      <c r="U41" s="10"/>
    </row>
    <row r="42" customFormat="false" ht="12.75" hidden="false" customHeight="false" outlineLevel="0" collapsed="false">
      <c r="B42" s="31" t="s">
        <v>58</v>
      </c>
      <c r="C42" s="208"/>
      <c r="D42" s="253" t="n">
        <v>23.618</v>
      </c>
      <c r="E42" s="239" t="n">
        <v>23.618</v>
      </c>
      <c r="F42" s="191"/>
      <c r="G42" s="31" t="s">
        <v>58</v>
      </c>
      <c r="H42" s="208" t="str">
        <f aca="false">IF(C42="","",VALUE(C42))</f>
        <v/>
      </c>
      <c r="I42" s="209" t="n">
        <f aca="false">IF(D42="","",VALUE(D42))</f>
        <v>23.618</v>
      </c>
      <c r="J42" s="208" t="n">
        <f aca="false">IF(E42="","",VALUE(E42))</f>
        <v>23.618</v>
      </c>
      <c r="K42" s="191"/>
      <c r="L42" s="138" t="s">
        <v>58</v>
      </c>
      <c r="M42" s="241" t="str">
        <f aca="false">IF(H42="","",IF($J42="","",IF(ABS(H42-$J42)&gt;$M$10,H42-$J42,"")))</f>
        <v/>
      </c>
      <c r="N42" s="242" t="str">
        <f aca="false">IF(I42="","",IF($J42="","",IF(ABS(I42-$J42)&gt;$M$10,I42-$J42,"")))</f>
        <v/>
      </c>
      <c r="P42" s="10"/>
      <c r="Q42" s="10"/>
      <c r="R42" s="10"/>
      <c r="S42" s="10"/>
      <c r="T42" s="10"/>
      <c r="U42" s="10"/>
    </row>
    <row r="43" customFormat="false" ht="12.75" hidden="false" customHeight="false" outlineLevel="0" collapsed="false">
      <c r="B43" s="38" t="s">
        <v>59</v>
      </c>
      <c r="C43" s="208" t="n">
        <v>85.149</v>
      </c>
      <c r="D43" s="253" t="n">
        <v>85.147</v>
      </c>
      <c r="E43" s="239" t="n">
        <v>85.147</v>
      </c>
      <c r="F43" s="191"/>
      <c r="G43" s="38" t="s">
        <v>59</v>
      </c>
      <c r="H43" s="208" t="n">
        <f aca="false">IF(C43="","",VALUE(C43))</f>
        <v>85.149</v>
      </c>
      <c r="I43" s="209" t="n">
        <f aca="false">IF(D43="","",VALUE(D43))</f>
        <v>85.147</v>
      </c>
      <c r="J43" s="208" t="n">
        <f aca="false">IF(E43="","",VALUE(E43))</f>
        <v>85.147</v>
      </c>
      <c r="K43" s="191"/>
      <c r="L43" s="140" t="s">
        <v>59</v>
      </c>
      <c r="M43" s="241" t="str">
        <f aca="false">IF(H43="","",IF($J43="","",IF(ABS(H43-$J43)&gt;$M$10,H43-$J43,"")))</f>
        <v/>
      </c>
      <c r="N43" s="242" t="str">
        <f aca="false">IF(I43="","",IF($J43="","",IF(ABS(I43-$J43)&gt;$M$10,I43-$J43,"")))</f>
        <v/>
      </c>
      <c r="P43" s="10"/>
      <c r="Q43" s="10"/>
      <c r="R43" s="10"/>
      <c r="S43" s="10"/>
      <c r="T43" s="10"/>
      <c r="U43" s="10"/>
    </row>
    <row r="44" customFormat="false" ht="12.75" hidden="false" customHeight="false" outlineLevel="0" collapsed="false">
      <c r="B44" s="31" t="s">
        <v>60</v>
      </c>
      <c r="C44" s="208" t="n">
        <v>33.108</v>
      </c>
      <c r="D44" s="253" t="n">
        <v>33.164</v>
      </c>
      <c r="E44" s="239" t="n">
        <v>33.164</v>
      </c>
      <c r="F44" s="191"/>
      <c r="G44" s="31" t="s">
        <v>60</v>
      </c>
      <c r="H44" s="208" t="n">
        <f aca="false">IF(C44="","",VALUE(C44))</f>
        <v>33.108</v>
      </c>
      <c r="I44" s="209" t="n">
        <f aca="false">IF(D44="","",VALUE(D44))</f>
        <v>33.164</v>
      </c>
      <c r="J44" s="208" t="n">
        <f aca="false">IF(E44="","",VALUE(E44))</f>
        <v>33.164</v>
      </c>
      <c r="K44" s="191"/>
      <c r="L44" s="138" t="s">
        <v>60</v>
      </c>
      <c r="M44" s="241" t="str">
        <f aca="false">IF(H44="","",IF($J44="","",IF(ABS(H44-$J44)&gt;$M$10,H44-$J44,"")))</f>
        <v/>
      </c>
      <c r="N44" s="242" t="str">
        <f aca="false">IF(I44="","",IF($J44="","",IF(ABS(I44-$J44)&gt;$M$10,I44-$J44,"")))</f>
        <v/>
      </c>
      <c r="P44" s="10"/>
      <c r="Q44" s="10"/>
      <c r="R44" s="10"/>
      <c r="S44" s="10"/>
      <c r="T44" s="10"/>
      <c r="U44" s="10"/>
    </row>
    <row r="45" customFormat="false" ht="12.75" hidden="false" customHeight="false" outlineLevel="0" collapsed="false">
      <c r="B45" s="31" t="s">
        <v>61</v>
      </c>
      <c r="C45" s="208"/>
      <c r="D45" s="253"/>
      <c r="E45" s="239"/>
      <c r="F45" s="240"/>
      <c r="G45" s="31" t="s">
        <v>61</v>
      </c>
      <c r="H45" s="208" t="str">
        <f aca="false">IF(C45="","",VALUE(C45))</f>
        <v/>
      </c>
      <c r="I45" s="209" t="str">
        <f aca="false">IF(D45="","",VALUE(D45))</f>
        <v/>
      </c>
      <c r="J45" s="208" t="str">
        <f aca="false">IF(E45="","",VALUE(E45))</f>
        <v/>
      </c>
      <c r="K45" s="240"/>
      <c r="L45" s="138" t="s">
        <v>61</v>
      </c>
      <c r="M45" s="241" t="str">
        <f aca="false">IF(H45="","",IF($J45="","",IF(ABS(H45-$J45)&gt;$M$10,H45-$J45,"")))</f>
        <v/>
      </c>
      <c r="N45" s="242" t="str">
        <f aca="false">IF(I45="","",IF($J45="","",IF(ABS(I45-$J45)&gt;$M$10,I45-$J45,"")))</f>
        <v/>
      </c>
    </row>
    <row r="46" customFormat="false" ht="12.75" hidden="false" customHeight="false" outlineLevel="0" collapsed="false">
      <c r="B46" s="31" t="s">
        <v>62</v>
      </c>
      <c r="C46" s="208"/>
      <c r="D46" s="253"/>
      <c r="E46" s="239"/>
      <c r="F46" s="240"/>
      <c r="G46" s="31" t="s">
        <v>62</v>
      </c>
      <c r="H46" s="208" t="str">
        <f aca="false">IF(C46="","",VALUE(C46))</f>
        <v/>
      </c>
      <c r="I46" s="209" t="str">
        <f aca="false">IF(D46="","",VALUE(D46))</f>
        <v/>
      </c>
      <c r="J46" s="208" t="str">
        <f aca="false">IF(E46="","",VALUE(E46))</f>
        <v/>
      </c>
      <c r="K46" s="240"/>
      <c r="L46" s="138" t="s">
        <v>62</v>
      </c>
      <c r="M46" s="241" t="str">
        <f aca="false">IF(H46="","",IF($J46="","",IF(ABS(H46-$J46)&gt;$M$10,H46-$J46,"")))</f>
        <v/>
      </c>
      <c r="N46" s="242" t="str">
        <f aca="false">IF(I46="","",IF($J46="","",IF(ABS(I46-$J46)&gt;$M$10,I46-$J46,"")))</f>
        <v/>
      </c>
    </row>
    <row r="47" customFormat="false" ht="12.75" hidden="false" customHeight="false" outlineLevel="0" collapsed="false">
      <c r="B47" s="31" t="s">
        <v>63</v>
      </c>
      <c r="C47" s="208"/>
      <c r="D47" s="254"/>
      <c r="E47" s="239"/>
      <c r="F47" s="240"/>
      <c r="G47" s="31" t="s">
        <v>63</v>
      </c>
      <c r="H47" s="208" t="str">
        <f aca="false">IF(C47="","",VALUE(C47))</f>
        <v/>
      </c>
      <c r="I47" s="209" t="str">
        <f aca="false">IF(D47="","",VALUE(D47))</f>
        <v/>
      </c>
      <c r="J47" s="208" t="str">
        <f aca="false">IF(E47="","",VALUE(E47))</f>
        <v/>
      </c>
      <c r="K47" s="240"/>
      <c r="L47" s="138" t="s">
        <v>63</v>
      </c>
      <c r="M47" s="241" t="str">
        <f aca="false">IF(H47="","",IF($J47="","",IF(ABS(H47-$J47)&gt;$M$10,H47-$J47,"")))</f>
        <v/>
      </c>
      <c r="N47" s="242" t="str">
        <f aca="false">IF(I47="","",IF($J47="","",IF(ABS(I47-$J47)&gt;$M$10,I47-$J47,"")))</f>
        <v/>
      </c>
    </row>
    <row r="48" customFormat="false" ht="12.75" hidden="false" customHeight="false" outlineLevel="0" collapsed="false">
      <c r="B48" s="31" t="s">
        <v>64</v>
      </c>
      <c r="C48" s="208"/>
      <c r="D48" s="253"/>
      <c r="E48" s="239"/>
      <c r="F48" s="240"/>
      <c r="G48" s="31" t="s">
        <v>64</v>
      </c>
      <c r="H48" s="208" t="str">
        <f aca="false">IF(C48="","",VALUE(C48))</f>
        <v/>
      </c>
      <c r="I48" s="209" t="str">
        <f aca="false">IF(D48="","",VALUE(D48))</f>
        <v/>
      </c>
      <c r="J48" s="208" t="str">
        <f aca="false">IF(E48="","",VALUE(E48))</f>
        <v/>
      </c>
      <c r="K48" s="240"/>
      <c r="L48" s="138" t="s">
        <v>64</v>
      </c>
      <c r="M48" s="241" t="str">
        <f aca="false">IF(H48="","",IF($J48="","",IF(ABS(H48-$J48)&gt;$M$10,H48-$J48,"")))</f>
        <v/>
      </c>
      <c r="N48" s="242" t="str">
        <f aca="false">IF(I48="","",IF($J48="","",IF(ABS(I48-$J48)&gt;$M$10,I48-$J48,"")))</f>
        <v/>
      </c>
      <c r="T48" s="10"/>
      <c r="U48" s="10"/>
    </row>
    <row r="49" s="90" customFormat="true" ht="12.75" hidden="false" customHeight="false" outlineLevel="0" collapsed="false">
      <c r="A49" s="89"/>
      <c r="B49" s="38" t="s">
        <v>66</v>
      </c>
      <c r="C49" s="208" t="n">
        <v>202.812</v>
      </c>
      <c r="D49" s="253" t="n">
        <v>202.789</v>
      </c>
      <c r="E49" s="243" t="n">
        <v>202.789</v>
      </c>
      <c r="F49" s="191"/>
      <c r="G49" s="38" t="s">
        <v>66</v>
      </c>
      <c r="H49" s="208" t="n">
        <f aca="false">IF(C49="","",VALUE(C49))</f>
        <v>202.812</v>
      </c>
      <c r="I49" s="209" t="n">
        <f aca="false">IF(D49="","",VALUE(D49))</f>
        <v>202.789</v>
      </c>
      <c r="J49" s="208" t="n">
        <f aca="false">IF(E49="","",VALUE(E49))</f>
        <v>202.789</v>
      </c>
      <c r="K49" s="191"/>
      <c r="L49" s="140" t="s">
        <v>66</v>
      </c>
      <c r="M49" s="241" t="str">
        <f aca="false">IF(H49="","",IF($J49="","",IF(ABS(H49-$J49)&gt;$M$10,H49-$J49,"")))</f>
        <v/>
      </c>
      <c r="N49" s="242" t="str">
        <f aca="false">IF(I49="","",IF($J49="","",IF(ABS(I49-$J49)&gt;$M$10,I49-$J49,"")))</f>
        <v/>
      </c>
      <c r="Q49" s="10"/>
      <c r="R49" s="10"/>
      <c r="S49" s="10"/>
      <c r="T49" s="10"/>
      <c r="U49" s="10"/>
    </row>
    <row r="50" customFormat="false" ht="12.75" hidden="false" customHeight="false" outlineLevel="0" collapsed="false">
      <c r="B50" s="38" t="s">
        <v>68</v>
      </c>
      <c r="C50" s="208" t="n">
        <v>27.317</v>
      </c>
      <c r="D50" s="253" t="n">
        <v>27.321</v>
      </c>
      <c r="E50" s="239" t="n">
        <v>27.321</v>
      </c>
      <c r="F50" s="191"/>
      <c r="G50" s="38" t="s">
        <v>68</v>
      </c>
      <c r="H50" s="208" t="n">
        <f aca="false">IF(C50="","",VALUE(C50))</f>
        <v>27.317</v>
      </c>
      <c r="I50" s="209" t="n">
        <f aca="false">IF(D50="","",VALUE(D50))</f>
        <v>27.321</v>
      </c>
      <c r="J50" s="208" t="n">
        <f aca="false">IF(E50="","",VALUE(E50))</f>
        <v>27.321</v>
      </c>
      <c r="K50" s="191"/>
      <c r="L50" s="140" t="s">
        <v>68</v>
      </c>
      <c r="M50" s="241" t="str">
        <f aca="false">IF(H50="","",IF($J50="","",IF(ABS(H50-$J50)&gt;$M$10,H50-$J50,"")))</f>
        <v/>
      </c>
      <c r="N50" s="242" t="str">
        <f aca="false">IF(I50="","",IF($J50="","",IF(ABS(I50-$J50)&gt;$M$10,I50-$J50,"")))</f>
        <v/>
      </c>
      <c r="Q50" s="10"/>
      <c r="R50" s="10"/>
      <c r="S50" s="10"/>
      <c r="T50" s="10"/>
      <c r="U50" s="10"/>
    </row>
    <row r="51" customFormat="false" ht="12.75" hidden="false" customHeight="false" outlineLevel="0" collapsed="false">
      <c r="B51" s="31" t="s">
        <v>69</v>
      </c>
      <c r="C51" s="208"/>
      <c r="D51" s="254"/>
      <c r="E51" s="239"/>
      <c r="F51" s="191"/>
      <c r="G51" s="31" t="s">
        <v>69</v>
      </c>
      <c r="H51" s="208" t="str">
        <f aca="false">IF(C51="","",VALUE(C51))</f>
        <v/>
      </c>
      <c r="I51" s="209" t="str">
        <f aca="false">IF(D51="","",VALUE(D51))</f>
        <v/>
      </c>
      <c r="J51" s="208" t="str">
        <f aca="false">IF(E51="","",VALUE(E51))</f>
        <v/>
      </c>
      <c r="K51" s="191"/>
      <c r="L51" s="138" t="s">
        <v>69</v>
      </c>
      <c r="M51" s="241" t="str">
        <f aca="false">IF(H51="","",IF($J51="","",IF(ABS(H51-$J51)&gt;$M$10,H51-$J51,"")))</f>
        <v/>
      </c>
      <c r="N51" s="242" t="str">
        <f aca="false">IF(I51="","",IF($J51="","",IF(ABS(I51-$J51)&gt;$M$10,I51-$J51,"")))</f>
        <v/>
      </c>
      <c r="Q51" s="10"/>
      <c r="R51" s="10"/>
      <c r="S51" s="10"/>
      <c r="T51" s="10"/>
      <c r="U51" s="10"/>
    </row>
    <row r="52" customFormat="false" ht="12.75" hidden="false" customHeight="false" outlineLevel="0" collapsed="false">
      <c r="B52" s="38" t="s">
        <v>70</v>
      </c>
      <c r="C52" s="208"/>
      <c r="D52" s="253"/>
      <c r="E52" s="239"/>
      <c r="F52" s="191"/>
      <c r="G52" s="38" t="s">
        <v>70</v>
      </c>
      <c r="H52" s="208" t="str">
        <f aca="false">IF(C52="","",VALUE(C52))</f>
        <v/>
      </c>
      <c r="I52" s="209" t="str">
        <f aca="false">IF(D52="","",VALUE(D52))</f>
        <v/>
      </c>
      <c r="J52" s="208" t="str">
        <f aca="false">IF(E52="","",VALUE(E52))</f>
        <v/>
      </c>
      <c r="K52" s="191"/>
      <c r="L52" s="140" t="s">
        <v>70</v>
      </c>
      <c r="M52" s="241" t="str">
        <f aca="false">IF(H52="","",IF($J52="","",IF(ABS(H52-$J52)&gt;$M$10,H52-$J52,"")))</f>
        <v/>
      </c>
      <c r="N52" s="242" t="str">
        <f aca="false">IF(I52="","",IF($J52="","",IF(ABS(I52-$J52)&gt;$M$10,I52-$J52,"")))</f>
        <v/>
      </c>
      <c r="P52" s="10"/>
      <c r="Q52" s="10"/>
      <c r="R52" s="10"/>
      <c r="S52" s="10"/>
      <c r="T52" s="10"/>
      <c r="U52" s="10"/>
    </row>
    <row r="53" customFormat="false" ht="12.75" hidden="false" customHeight="false" outlineLevel="0" collapsed="false">
      <c r="B53" s="31" t="s">
        <v>71</v>
      </c>
      <c r="C53" s="208"/>
      <c r="D53" s="253" t="n">
        <v>40.838</v>
      </c>
      <c r="E53" s="239" t="n">
        <v>40.838</v>
      </c>
      <c r="F53" s="191"/>
      <c r="G53" s="31" t="s">
        <v>71</v>
      </c>
      <c r="H53" s="208" t="str">
        <f aca="false">IF(C53="","",VALUE(C53))</f>
        <v/>
      </c>
      <c r="I53" s="209" t="n">
        <f aca="false">IF(D53="","",VALUE(D53))</f>
        <v>40.838</v>
      </c>
      <c r="J53" s="208" t="n">
        <f aca="false">IF(E53="","",VALUE(E53))</f>
        <v>40.838</v>
      </c>
      <c r="K53" s="191"/>
      <c r="L53" s="138" t="s">
        <v>71</v>
      </c>
      <c r="M53" s="241" t="str">
        <f aca="false">IF(H53="","",IF($J53="","",IF(ABS(H53-$J53)&gt;$M$10,H53-$J53,"")))</f>
        <v/>
      </c>
      <c r="N53" s="242" t="str">
        <f aca="false">IF(I53="","",IF($J53="","",IF(ABS(I53-$J53)&gt;$M$10,I53-$J53,"")))</f>
        <v/>
      </c>
      <c r="P53" s="10"/>
      <c r="Q53" s="10"/>
      <c r="R53" s="10"/>
      <c r="S53" s="10"/>
      <c r="T53" s="10"/>
      <c r="U53" s="10"/>
    </row>
    <row r="54" customFormat="false" ht="12.75" hidden="false" customHeight="false" outlineLevel="0" collapsed="false">
      <c r="B54" s="31" t="s">
        <v>72</v>
      </c>
      <c r="C54" s="208"/>
      <c r="D54" s="253"/>
      <c r="E54" s="239"/>
      <c r="F54" s="240"/>
      <c r="G54" s="31" t="s">
        <v>72</v>
      </c>
      <c r="H54" s="208" t="str">
        <f aca="false">IF(C54="","",VALUE(C54))</f>
        <v/>
      </c>
      <c r="I54" s="209" t="str">
        <f aca="false">IF(D54="","",VALUE(D54))</f>
        <v/>
      </c>
      <c r="J54" s="208" t="str">
        <f aca="false">IF(E54="","",VALUE(E54))</f>
        <v/>
      </c>
      <c r="K54" s="240"/>
      <c r="L54" s="138" t="s">
        <v>72</v>
      </c>
      <c r="M54" s="241" t="str">
        <f aca="false">IF(H54="","",IF($J54="","",IF(ABS(H54-$J54)&gt;$M$10,H54-$J54,"")))</f>
        <v/>
      </c>
      <c r="N54" s="242" t="str">
        <f aca="false">IF(I54="","",IF($J54="","",IF(ABS(I54-$J54)&gt;$M$10,I54-$J54,"")))</f>
        <v/>
      </c>
      <c r="P54" s="10"/>
      <c r="Q54" s="10"/>
      <c r="R54" s="10"/>
      <c r="S54" s="10"/>
      <c r="T54" s="10"/>
      <c r="U54" s="10"/>
    </row>
    <row r="55" customFormat="false" ht="12.75" hidden="false" customHeight="false" outlineLevel="0" collapsed="false">
      <c r="B55" s="31" t="s">
        <v>73</v>
      </c>
      <c r="C55" s="208"/>
      <c r="D55" s="253"/>
      <c r="E55" s="239"/>
      <c r="F55" s="191"/>
      <c r="G55" s="31" t="s">
        <v>73</v>
      </c>
      <c r="H55" s="208" t="str">
        <f aca="false">IF(C55="","",VALUE(C55))</f>
        <v/>
      </c>
      <c r="I55" s="209" t="str">
        <f aca="false">IF(D55="","",VALUE(D55))</f>
        <v/>
      </c>
      <c r="J55" s="208" t="str">
        <f aca="false">IF(E55="","",VALUE(E55))</f>
        <v/>
      </c>
      <c r="K55" s="191"/>
      <c r="L55" s="138" t="s">
        <v>73</v>
      </c>
      <c r="M55" s="241" t="str">
        <f aca="false">IF(H55="","",IF($J55="","",IF(ABS(H55-$J55)&gt;$M$10,H55-$J55,"")))</f>
        <v/>
      </c>
      <c r="N55" s="242" t="str">
        <f aca="false">IF(I55="","",IF($J55="","",IF(ABS(I55-$J55)&gt;$M$10,I55-$J55,"")))</f>
        <v/>
      </c>
      <c r="P55" s="10"/>
      <c r="Q55" s="10"/>
      <c r="R55" s="10"/>
      <c r="S55" s="10"/>
      <c r="T55" s="10"/>
      <c r="U55" s="10"/>
    </row>
    <row r="56" s="90" customFormat="true" ht="12.75" hidden="false" customHeight="false" outlineLevel="0" collapsed="false">
      <c r="A56" s="89"/>
      <c r="B56" s="38" t="s">
        <v>75</v>
      </c>
      <c r="C56" s="208" t="n">
        <v>130.684</v>
      </c>
      <c r="D56" s="254" t="s">
        <v>623</v>
      </c>
      <c r="E56" s="239" t="s">
        <v>623</v>
      </c>
      <c r="F56" s="240"/>
      <c r="G56" s="38" t="s">
        <v>75</v>
      </c>
      <c r="H56" s="208" t="n">
        <f aca="false">IF(C56="","",VALUE(C56))</f>
        <v>130.684</v>
      </c>
      <c r="I56" s="209" t="n">
        <f aca="false">IF(D56="","",VALUE(D56))</f>
        <v>130.68</v>
      </c>
      <c r="J56" s="208" t="n">
        <f aca="false">IF(E56="","",VALUE(E56))</f>
        <v>130.68</v>
      </c>
      <c r="K56" s="240"/>
      <c r="L56" s="140" t="s">
        <v>75</v>
      </c>
      <c r="M56" s="241" t="str">
        <f aca="false">IF(H56="","",IF($J56="","",IF(ABS(H56-$J56)&gt;$M$10,H56-$J56,"")))</f>
        <v/>
      </c>
      <c r="N56" s="242" t="str">
        <f aca="false">IF(I56="","",IF($J56="","",IF(ABS(I56-$J56)&gt;$M$10,I56-$J56,"")))</f>
        <v/>
      </c>
    </row>
    <row r="57" customFormat="false" ht="12.75" hidden="false" customHeight="false" outlineLevel="0" collapsed="false">
      <c r="B57" s="31" t="s">
        <v>77</v>
      </c>
      <c r="C57" s="208"/>
      <c r="D57" s="253" t="n">
        <v>126.152</v>
      </c>
      <c r="E57" s="239" t="n">
        <v>126.152</v>
      </c>
      <c r="F57" s="240"/>
      <c r="G57" s="31" t="s">
        <v>77</v>
      </c>
      <c r="H57" s="208" t="str">
        <f aca="false">IF(C57="","",VALUE(C57))</f>
        <v/>
      </c>
      <c r="I57" s="209" t="n">
        <f aca="false">IF(D57="","",VALUE(D57))</f>
        <v>126.152</v>
      </c>
      <c r="J57" s="208" t="n">
        <f aca="false">IF(E57="","",VALUE(E57))</f>
        <v>126.152</v>
      </c>
      <c r="K57" s="240"/>
      <c r="L57" s="138" t="s">
        <v>77</v>
      </c>
      <c r="M57" s="241" t="str">
        <f aca="false">IF(H57="","",IF($J57="","",IF(ABS(H57-$J57)&gt;$M$10,H57-$J57,"")))</f>
        <v/>
      </c>
      <c r="N57" s="242" t="str">
        <f aca="false">IF(I57="","",IF($J57="","",IF(ABS(I57-$J57)&gt;$M$10,I57-$J57,"")))</f>
        <v/>
      </c>
    </row>
    <row r="58" customFormat="false" ht="12.75" hidden="false" customHeight="false" outlineLevel="0" collapsed="false">
      <c r="B58" s="31" t="s">
        <v>78</v>
      </c>
      <c r="C58" s="208"/>
      <c r="D58" s="254" t="s">
        <v>628</v>
      </c>
      <c r="E58" s="243" t="s">
        <v>628</v>
      </c>
      <c r="F58" s="240"/>
      <c r="G58" s="31" t="s">
        <v>78</v>
      </c>
      <c r="H58" s="208" t="str">
        <f aca="false">IF(C58="","",VALUE(C58))</f>
        <v/>
      </c>
      <c r="I58" s="209" t="n">
        <f aca="false">IF(D58="","",VALUE(D58))</f>
        <v>43.56</v>
      </c>
      <c r="J58" s="208" t="n">
        <f aca="false">IF(E58="","",VALUE(E58))</f>
        <v>43.56</v>
      </c>
      <c r="K58" s="240"/>
      <c r="L58" s="138" t="s">
        <v>78</v>
      </c>
      <c r="M58" s="241" t="str">
        <f aca="false">IF(H58="","",IF($J58="","",IF(ABS(H58-$J58)&gt;$M$10,H58-$J58,"")))</f>
        <v/>
      </c>
      <c r="N58" s="242" t="str">
        <f aca="false">IF(I58="","",IF($J58="","",IF(ABS(I58-$J58)&gt;$M$10,I58-$J58,"")))</f>
        <v/>
      </c>
    </row>
    <row r="59" customFormat="false" ht="12.75" hidden="false" customHeight="false" outlineLevel="0" collapsed="false">
      <c r="A59" s="10"/>
      <c r="B59" s="31" t="s">
        <v>79</v>
      </c>
      <c r="C59" s="208" t="n">
        <v>76.027</v>
      </c>
      <c r="D59" s="253" t="n">
        <v>76.028</v>
      </c>
      <c r="E59" s="239" t="n">
        <v>76.028</v>
      </c>
      <c r="F59" s="240"/>
      <c r="G59" s="31" t="s">
        <v>79</v>
      </c>
      <c r="H59" s="208" t="n">
        <f aca="false">IF(C59="","",VALUE(C59))</f>
        <v>76.027</v>
      </c>
      <c r="I59" s="209" t="n">
        <f aca="false">IF(D59="","",VALUE(D59))</f>
        <v>76.028</v>
      </c>
      <c r="J59" s="208" t="n">
        <f aca="false">IF(E59="","",VALUE(E59))</f>
        <v>76.028</v>
      </c>
      <c r="K59" s="240"/>
      <c r="L59" s="138" t="s">
        <v>79</v>
      </c>
      <c r="M59" s="241" t="str">
        <f aca="false">IF(H59="","",IF($J59="","",IF(ABS(H59-$J59)&gt;$M$10,H59-$J59,"")))</f>
        <v/>
      </c>
      <c r="N59" s="242" t="str">
        <f aca="false">IF(I59="","",IF($J59="","",IF(ABS(I59-$J59)&gt;$M$10,I59-$J59,"")))</f>
        <v/>
      </c>
      <c r="T59" s="10"/>
      <c r="U59" s="10"/>
    </row>
    <row r="60" customFormat="false" ht="12.75" hidden="false" customHeight="false" outlineLevel="0" collapsed="false">
      <c r="B60" s="31" t="s">
        <v>80</v>
      </c>
      <c r="C60" s="208"/>
      <c r="D60" s="253"/>
      <c r="E60" s="239"/>
      <c r="F60" s="191"/>
      <c r="G60" s="31" t="s">
        <v>80</v>
      </c>
      <c r="H60" s="208" t="str">
        <f aca="false">IF(C60="","",VALUE(C60))</f>
        <v/>
      </c>
      <c r="I60" s="209" t="str">
        <f aca="false">IF(D60="","",VALUE(D60))</f>
        <v/>
      </c>
      <c r="J60" s="208" t="str">
        <f aca="false">IF(E60="","",VALUE(E60))</f>
        <v/>
      </c>
      <c r="K60" s="191"/>
      <c r="L60" s="138" t="s">
        <v>80</v>
      </c>
      <c r="M60" s="241" t="str">
        <f aca="false">IF(H60="","",IF($J60="","",IF(ABS(H60-$J60)&gt;$M$10,H60-$J60,"")))</f>
        <v/>
      </c>
      <c r="N60" s="242" t="str">
        <f aca="false">IF(I60="","",IF($J60="","",IF(ABS(I60-$J60)&gt;$M$10,I60-$J60,"")))</f>
        <v/>
      </c>
      <c r="Q60" s="10"/>
      <c r="R60" s="10"/>
      <c r="S60" s="10"/>
      <c r="T60" s="10"/>
      <c r="U60" s="10"/>
    </row>
    <row r="61" s="90" customFormat="true" ht="12.75" hidden="false" customHeight="false" outlineLevel="0" collapsed="false">
      <c r="A61" s="89"/>
      <c r="B61" s="38" t="s">
        <v>82</v>
      </c>
      <c r="C61" s="208" t="n">
        <v>116.139</v>
      </c>
      <c r="D61" s="253" t="n">
        <v>116.142</v>
      </c>
      <c r="E61" s="239" t="n">
        <v>116.142</v>
      </c>
      <c r="F61" s="191"/>
      <c r="G61" s="38" t="s">
        <v>82</v>
      </c>
      <c r="H61" s="208" t="n">
        <f aca="false">IF(C61="","",VALUE(C61))</f>
        <v>116.139</v>
      </c>
      <c r="I61" s="209" t="n">
        <f aca="false">IF(D61="","",VALUE(D61))</f>
        <v>116.142</v>
      </c>
      <c r="J61" s="208" t="n">
        <f aca="false">IF(E61="","",VALUE(E61))</f>
        <v>116.142</v>
      </c>
      <c r="K61" s="191"/>
      <c r="L61" s="140" t="s">
        <v>82</v>
      </c>
      <c r="M61" s="241" t="str">
        <f aca="false">IF(H61="","",IF($J61="","",IF(ABS(H61-$J61)&gt;$M$10,H61-$J61,"")))</f>
        <v/>
      </c>
      <c r="N61" s="242" t="str">
        <f aca="false">IF(I61="","",IF($J61="","",IF(ABS(I61-$J61)&gt;$M$10,I61-$J61,"")))</f>
        <v/>
      </c>
      <c r="Q61" s="10"/>
      <c r="R61" s="10"/>
      <c r="S61" s="10"/>
      <c r="T61" s="10"/>
      <c r="U61" s="10"/>
    </row>
    <row r="62" customFormat="false" ht="12.75" hidden="false" customHeight="false" outlineLevel="0" collapsed="false">
      <c r="B62" s="31" t="s">
        <v>84</v>
      </c>
      <c r="C62" s="208"/>
      <c r="D62" s="253"/>
      <c r="E62" s="239"/>
      <c r="F62" s="191"/>
      <c r="G62" s="31" t="s">
        <v>84</v>
      </c>
      <c r="H62" s="208" t="str">
        <f aca="false">IF(C62="","",VALUE(C62))</f>
        <v/>
      </c>
      <c r="I62" s="209" t="str">
        <f aca="false">IF(D62="","",VALUE(D62))</f>
        <v/>
      </c>
      <c r="J62" s="208" t="str">
        <f aca="false">IF(E62="","",VALUE(E62))</f>
        <v/>
      </c>
      <c r="K62" s="191"/>
      <c r="L62" s="138" t="s">
        <v>84</v>
      </c>
      <c r="M62" s="241" t="str">
        <f aca="false">IF(H62="","",IF($J62="","",IF(ABS(H62-$J62)&gt;$M$10,H62-$J62,"")))</f>
        <v/>
      </c>
      <c r="N62" s="242" t="str">
        <f aca="false">IF(I62="","",IF($J62="","",IF(ABS(I62-$J62)&gt;$M$10,I62-$J62,"")))</f>
        <v/>
      </c>
      <c r="Q62" s="10"/>
      <c r="R62" s="10"/>
      <c r="S62" s="10"/>
      <c r="T62" s="10"/>
      <c r="U62" s="10"/>
    </row>
    <row r="63" customFormat="false" ht="12.75" hidden="false" customHeight="false" outlineLevel="0" collapsed="false">
      <c r="B63" s="31" t="s">
        <v>85</v>
      </c>
      <c r="C63" s="208"/>
      <c r="D63" s="253"/>
      <c r="E63" s="239"/>
      <c r="F63" s="191"/>
      <c r="G63" s="31" t="s">
        <v>85</v>
      </c>
      <c r="H63" s="208" t="str">
        <f aca="false">IF(C63="","",VALUE(C63))</f>
        <v/>
      </c>
      <c r="I63" s="209" t="str">
        <f aca="false">IF(D63="","",VALUE(D63))</f>
        <v/>
      </c>
      <c r="J63" s="208" t="str">
        <f aca="false">IF(E63="","",VALUE(E63))</f>
        <v/>
      </c>
      <c r="K63" s="191"/>
      <c r="L63" s="138" t="s">
        <v>85</v>
      </c>
      <c r="M63" s="241" t="str">
        <f aca="false">IF(H63="","",IF($J63="","",IF(ABS(H63-$J63)&gt;$M$10,H63-$J63,"")))</f>
        <v/>
      </c>
      <c r="N63" s="242" t="str">
        <f aca="false">IF(I63="","",IF($J63="","",IF(ABS(I63-$J63)&gt;$M$10,I63-$J63,"")))</f>
        <v/>
      </c>
      <c r="P63" s="10"/>
      <c r="Q63" s="10"/>
      <c r="R63" s="10"/>
      <c r="S63" s="10"/>
      <c r="T63" s="10"/>
      <c r="U63" s="10"/>
    </row>
    <row r="64" customFormat="false" ht="12.75" hidden="false" customHeight="false" outlineLevel="0" collapsed="false">
      <c r="B64" s="38" t="s">
        <v>86</v>
      </c>
      <c r="C64" s="208" t="n">
        <v>64.672</v>
      </c>
      <c r="D64" s="254" t="s">
        <v>634</v>
      </c>
      <c r="E64" s="243" t="s">
        <v>634</v>
      </c>
      <c r="F64" s="191"/>
      <c r="G64" s="38" t="s">
        <v>86</v>
      </c>
      <c r="H64" s="208" t="n">
        <f aca="false">IF(C64="","",VALUE(C64))</f>
        <v>64.672</v>
      </c>
      <c r="I64" s="209" t="n">
        <f aca="false">IF(D64="","",VALUE(D64))</f>
        <v>64.67</v>
      </c>
      <c r="J64" s="208" t="n">
        <f aca="false">IF(E64="","",VALUE(E64))</f>
        <v>64.67</v>
      </c>
      <c r="K64" s="191"/>
      <c r="L64" s="140" t="s">
        <v>86</v>
      </c>
      <c r="M64" s="241" t="str">
        <f aca="false">IF(H64="","",IF($J64="","",IF(ABS(H64-$J64)&gt;$M$10,H64-$J64,"")))</f>
        <v/>
      </c>
      <c r="N64" s="242" t="str">
        <f aca="false">IF(I64="","",IF($J64="","",IF(ABS(I64-$J64)&gt;$M$10,I64-$J64,"")))</f>
        <v/>
      </c>
      <c r="P64" s="10"/>
      <c r="Q64" s="10"/>
      <c r="R64" s="10"/>
      <c r="S64" s="10"/>
      <c r="T64" s="10"/>
      <c r="U64" s="10"/>
    </row>
    <row r="65" customFormat="false" ht="12.75" hidden="false" customHeight="false" outlineLevel="0" collapsed="false">
      <c r="B65" s="31" t="s">
        <v>87</v>
      </c>
      <c r="C65" s="208"/>
      <c r="D65" s="253" t="n">
        <v>164.084</v>
      </c>
      <c r="E65" s="239" t="n">
        <v>164.084</v>
      </c>
      <c r="F65" s="191"/>
      <c r="G65" s="31" t="s">
        <v>87</v>
      </c>
      <c r="H65" s="208" t="str">
        <f aca="false">IF(C65="","",VALUE(C65))</f>
        <v/>
      </c>
      <c r="I65" s="209" t="n">
        <f aca="false">IF(D65="","",VALUE(D65))</f>
        <v>164.084</v>
      </c>
      <c r="J65" s="208" t="n">
        <f aca="false">IF(E65="","",VALUE(E65))</f>
        <v>164.084</v>
      </c>
      <c r="K65" s="191"/>
      <c r="L65" s="138" t="s">
        <v>87</v>
      </c>
      <c r="M65" s="241" t="str">
        <f aca="false">IF(H65="","",IF($J65="","",IF(ABS(H65-$J65)&gt;$M$10,H65-$J65,"")))</f>
        <v/>
      </c>
      <c r="N65" s="242" t="str">
        <f aca="false">IF(I65="","",IF($J65="","",IF(ABS(I65-$J65)&gt;$M$10,I65-$J65,"")))</f>
        <v/>
      </c>
      <c r="P65" s="10"/>
      <c r="Q65" s="10"/>
      <c r="R65" s="10"/>
      <c r="S65" s="10"/>
      <c r="T65" s="10"/>
      <c r="U65" s="10"/>
    </row>
    <row r="66" customFormat="false" ht="12.75" hidden="false" customHeight="false" outlineLevel="0" collapsed="false">
      <c r="B66" s="31" t="s">
        <v>88</v>
      </c>
      <c r="C66" s="208"/>
      <c r="D66" s="253"/>
      <c r="E66" s="239"/>
      <c r="F66" s="191"/>
      <c r="G66" s="31" t="s">
        <v>88</v>
      </c>
      <c r="H66" s="208" t="str">
        <f aca="false">IF(C66="","",VALUE(C66))</f>
        <v/>
      </c>
      <c r="I66" s="209" t="str">
        <f aca="false">IF(D66="","",VALUE(D66))</f>
        <v/>
      </c>
      <c r="J66" s="208" t="str">
        <f aca="false">IF(E66="","",VALUE(E66))</f>
        <v/>
      </c>
      <c r="K66" s="191"/>
      <c r="L66" s="138" t="s">
        <v>88</v>
      </c>
      <c r="M66" s="241" t="str">
        <f aca="false">IF(H66="","",IF($J66="","",IF(ABS(H66-$J66)&gt;$M$10,H66-$J66,"")))</f>
        <v/>
      </c>
      <c r="N66" s="242" t="str">
        <f aca="false">IF(I66="","",IF($J66="","",IF(ABS(I66-$J66)&gt;$M$10,I66-$J66,"")))</f>
        <v/>
      </c>
      <c r="P66" s="10"/>
      <c r="Q66" s="10"/>
      <c r="R66" s="10"/>
      <c r="S66" s="10"/>
      <c r="T66" s="10"/>
      <c r="U66" s="10"/>
    </row>
    <row r="67" customFormat="false" ht="12.75" hidden="false" customHeight="false" outlineLevel="0" collapsed="false">
      <c r="B67" s="38" t="s">
        <v>89</v>
      </c>
      <c r="C67" s="208" t="n">
        <v>29.096</v>
      </c>
      <c r="D67" s="253" t="n">
        <v>29.085</v>
      </c>
      <c r="E67" s="239" t="n">
        <v>29.085</v>
      </c>
      <c r="F67" s="240"/>
      <c r="G67" s="38" t="s">
        <v>89</v>
      </c>
      <c r="H67" s="208" t="n">
        <f aca="false">IF(C67="","",VALUE(C67))</f>
        <v>29.096</v>
      </c>
      <c r="I67" s="209" t="n">
        <f aca="false">IF(D67="","",VALUE(D67))</f>
        <v>29.085</v>
      </c>
      <c r="J67" s="208" t="n">
        <f aca="false">IF(E67="","",VALUE(E67))</f>
        <v>29.085</v>
      </c>
      <c r="K67" s="240"/>
      <c r="L67" s="140" t="s">
        <v>89</v>
      </c>
      <c r="M67" s="241" t="str">
        <f aca="false">IF(H67="","",IF($J67="","",IF(ABS(H67-$J67)&gt;$M$10,H67-$J67,"")))</f>
        <v/>
      </c>
      <c r="N67" s="242" t="str">
        <f aca="false">IF(I67="","",IF($J67="","",IF(ABS(I67-$J67)&gt;$M$10,I67-$J67,"")))</f>
        <v/>
      </c>
    </row>
    <row r="68" customFormat="false" ht="12.75" hidden="false" customHeight="false" outlineLevel="0" collapsed="false">
      <c r="B68" s="31" t="s">
        <v>90</v>
      </c>
      <c r="C68" s="208"/>
      <c r="D68" s="254"/>
      <c r="E68" s="239"/>
      <c r="F68" s="240"/>
      <c r="G68" s="31" t="s">
        <v>90</v>
      </c>
      <c r="H68" s="208" t="str">
        <f aca="false">IF(C68="","",VALUE(C68))</f>
        <v/>
      </c>
      <c r="I68" s="209" t="str">
        <f aca="false">IF(D68="","",VALUE(D68))</f>
        <v/>
      </c>
      <c r="J68" s="208" t="str">
        <f aca="false">IF(E68="","",VALUE(E68))</f>
        <v/>
      </c>
      <c r="K68" s="240"/>
      <c r="L68" s="138" t="s">
        <v>90</v>
      </c>
      <c r="M68" s="241" t="str">
        <f aca="false">IF(H68="","",IF($J68="","",IF(ABS(H68-$J68)&gt;$M$10,H68-$J68,"")))</f>
        <v/>
      </c>
      <c r="N68" s="242" t="str">
        <f aca="false">IF(I68="","",IF($J68="","",IF(ABS(I68-$J68)&gt;$M$10,I68-$J68,"")))</f>
        <v/>
      </c>
    </row>
    <row r="69" customFormat="false" ht="12.75" hidden="false" customHeight="false" outlineLevel="0" collapsed="false">
      <c r="B69" s="31" t="s">
        <v>91</v>
      </c>
      <c r="C69" s="208"/>
      <c r="D69" s="253"/>
      <c r="E69" s="239"/>
      <c r="F69" s="240"/>
      <c r="G69" s="31" t="s">
        <v>91</v>
      </c>
      <c r="H69" s="208" t="str">
        <f aca="false">IF(C69="","",VALUE(C69))</f>
        <v/>
      </c>
      <c r="I69" s="209" t="str">
        <f aca="false">IF(D69="","",VALUE(D69))</f>
        <v/>
      </c>
      <c r="J69" s="208" t="str">
        <f aca="false">IF(E69="","",VALUE(E69))</f>
        <v/>
      </c>
      <c r="K69" s="240"/>
      <c r="L69" s="138" t="s">
        <v>91</v>
      </c>
      <c r="M69" s="241" t="str">
        <f aca="false">IF(H69="","",IF($J69="","",IF(ABS(H69-$J69)&gt;$M$10,H69-$J69,"")))</f>
        <v/>
      </c>
      <c r="N69" s="242" t="str">
        <f aca="false">IF(I69="","",IF($J69="","",IF(ABS(I69-$J69)&gt;$M$10,I69-$J69,"")))</f>
        <v/>
      </c>
    </row>
    <row r="70" customFormat="false" ht="12.75" hidden="false" customHeight="false" outlineLevel="0" collapsed="false">
      <c r="B70" s="31" t="s">
        <v>92</v>
      </c>
      <c r="C70" s="208"/>
      <c r="D70" s="254"/>
      <c r="E70" s="239"/>
      <c r="F70" s="240"/>
      <c r="G70" s="31" t="s">
        <v>92</v>
      </c>
      <c r="H70" s="208" t="str">
        <f aca="false">IF(C70="","",VALUE(C70))</f>
        <v/>
      </c>
      <c r="I70" s="209" t="str">
        <f aca="false">IF(D70="","",VALUE(D70))</f>
        <v/>
      </c>
      <c r="J70" s="208" t="str">
        <f aca="false">IF(E70="","",VALUE(E70))</f>
        <v/>
      </c>
      <c r="K70" s="240"/>
      <c r="L70" s="138" t="s">
        <v>92</v>
      </c>
      <c r="M70" s="241" t="str">
        <f aca="false">IF(H70="","",IF($J70="","",IF(ABS(H70-$J70)&gt;$M$10,H70-$J70,"")))</f>
        <v/>
      </c>
      <c r="N70" s="242" t="str">
        <f aca="false">IF(I70="","",IF($J70="","",IF(ABS(I70-$J70)&gt;$M$10,I70-$J70,"")))</f>
        <v/>
      </c>
      <c r="T70" s="10"/>
      <c r="U70" s="10"/>
    </row>
    <row r="71" customFormat="false" ht="12.75" hidden="false" customHeight="false" outlineLevel="0" collapsed="false">
      <c r="B71" s="31" t="s">
        <v>93</v>
      </c>
      <c r="C71" s="208" t="n">
        <v>32.694</v>
      </c>
      <c r="D71" s="253" t="n">
        <v>32.671</v>
      </c>
      <c r="E71" s="239" t="n">
        <v>32.671</v>
      </c>
      <c r="F71" s="191"/>
      <c r="G71" s="31" t="s">
        <v>93</v>
      </c>
      <c r="H71" s="208" t="n">
        <f aca="false">IF(C71="","",VALUE(C71))</f>
        <v>32.694</v>
      </c>
      <c r="I71" s="209" t="n">
        <f aca="false">IF(D71="","",VALUE(D71))</f>
        <v>32.671</v>
      </c>
      <c r="J71" s="208" t="n">
        <f aca="false">IF(E71="","",VALUE(E71))</f>
        <v>32.671</v>
      </c>
      <c r="K71" s="191"/>
      <c r="L71" s="138" t="s">
        <v>93</v>
      </c>
      <c r="M71" s="241" t="str">
        <f aca="false">IF(H71="","",IF($J71="","",IF(ABS(H71-$J71)&gt;$M$10,H71-$J71,"")))</f>
        <v/>
      </c>
      <c r="N71" s="242" t="str">
        <f aca="false">IF(I71="","",IF($J71="","",IF(ABS(I71-$J71)&gt;$M$10,I71-$J71,"")))</f>
        <v/>
      </c>
      <c r="Q71" s="10"/>
      <c r="R71" s="10"/>
      <c r="S71" s="10"/>
      <c r="T71" s="10"/>
      <c r="U71" s="10"/>
    </row>
    <row r="72" customFormat="false" ht="12.75" hidden="false" customHeight="false" outlineLevel="0" collapsed="false">
      <c r="B72" s="31" t="s">
        <v>94</v>
      </c>
      <c r="C72" s="208"/>
      <c r="D72" s="254" t="s">
        <v>645</v>
      </c>
      <c r="E72" s="243" t="s">
        <v>645</v>
      </c>
      <c r="F72" s="191"/>
      <c r="G72" s="31" t="s">
        <v>94</v>
      </c>
      <c r="H72" s="208" t="str">
        <f aca="false">IF(C72="","",VALUE(C72))</f>
        <v/>
      </c>
      <c r="I72" s="209" t="n">
        <f aca="false">IF(D72="","",VALUE(D72))</f>
        <v>32.01</v>
      </c>
      <c r="J72" s="208" t="n">
        <f aca="false">IF(E72="","",VALUE(E72))</f>
        <v>32.01</v>
      </c>
      <c r="K72" s="191"/>
      <c r="L72" s="138" t="s">
        <v>94</v>
      </c>
      <c r="M72" s="241" t="str">
        <f aca="false">IF(H72="","",IF($J72="","",IF(ABS(H72-$J72)&gt;$M$10,H72-$J72,"")))</f>
        <v/>
      </c>
      <c r="N72" s="242" t="str">
        <f aca="false">IF(I72="","",IF($J72="","",IF(ABS(I72-$J72)&gt;$M$10,I72-$J72,"")))</f>
        <v/>
      </c>
      <c r="Q72" s="10"/>
      <c r="R72" s="10"/>
      <c r="S72" s="10"/>
      <c r="T72" s="10"/>
      <c r="U72" s="10"/>
    </row>
    <row r="73" customFormat="false" ht="12.75" hidden="false" customHeight="false" outlineLevel="0" collapsed="false">
      <c r="B73" s="31" t="s">
        <v>95</v>
      </c>
      <c r="C73" s="208" t="n">
        <v>28.606</v>
      </c>
      <c r="D73" s="253" t="n">
        <v>28.605</v>
      </c>
      <c r="E73" s="239" t="n">
        <v>28.605</v>
      </c>
      <c r="F73" s="191"/>
      <c r="G73" s="31" t="s">
        <v>95</v>
      </c>
      <c r="H73" s="208" t="n">
        <f aca="false">IF(C73="","",VALUE(C73))</f>
        <v>28.606</v>
      </c>
      <c r="I73" s="209" t="n">
        <f aca="false">IF(D73="","",VALUE(D73))</f>
        <v>28.605</v>
      </c>
      <c r="J73" s="208" t="n">
        <f aca="false">IF(E73="","",VALUE(E73))</f>
        <v>28.605</v>
      </c>
      <c r="K73" s="191"/>
      <c r="L73" s="138" t="s">
        <v>95</v>
      </c>
      <c r="M73" s="241" t="str">
        <f aca="false">IF(H73="","",IF($J73="","",IF(ABS(H73-$J73)&gt;$M$10,H73-$J73,"")))</f>
        <v/>
      </c>
      <c r="N73" s="242" t="str">
        <f aca="false">IF(I73="","",IF($J73="","",IF(ABS(I73-$J73)&gt;$M$10,I73-$J73,"")))</f>
        <v/>
      </c>
      <c r="Q73" s="10"/>
      <c r="R73" s="10"/>
      <c r="S73" s="10"/>
      <c r="T73" s="10"/>
      <c r="U73" s="10"/>
    </row>
    <row r="74" s="90" customFormat="true" ht="12.75" hidden="false" customHeight="false" outlineLevel="0" collapsed="false">
      <c r="A74" s="89"/>
      <c r="B74" s="38" t="s">
        <v>97</v>
      </c>
      <c r="C74" s="208" t="n">
        <v>191.611</v>
      </c>
      <c r="D74" s="254" t="n">
        <v>191.609</v>
      </c>
      <c r="E74" s="239" t="n">
        <v>191.609</v>
      </c>
      <c r="F74" s="191"/>
      <c r="G74" s="38" t="s">
        <v>97</v>
      </c>
      <c r="H74" s="208" t="n">
        <f aca="false">IF(C74="","",VALUE(C74))</f>
        <v>191.611</v>
      </c>
      <c r="I74" s="209" t="n">
        <f aca="false">IF(D74="","",VALUE(D74))</f>
        <v>191.609</v>
      </c>
      <c r="J74" s="208" t="n">
        <f aca="false">IF(E74="","",VALUE(E74))</f>
        <v>191.609</v>
      </c>
      <c r="K74" s="191"/>
      <c r="L74" s="140" t="s">
        <v>97</v>
      </c>
      <c r="M74" s="241" t="str">
        <f aca="false">IF(H74="","",IF($J74="","",IF(ABS(H74-$J74)&gt;$M$10,H74-$J74,"")))</f>
        <v/>
      </c>
      <c r="N74" s="242" t="str">
        <f aca="false">IF(I74="","",IF($J74="","",IF(ABS(I74-$J74)&gt;$M$10,I74-$J74,"")))</f>
        <v/>
      </c>
      <c r="P74" s="10"/>
      <c r="Q74" s="10"/>
      <c r="R74" s="10"/>
      <c r="S74" s="10"/>
      <c r="T74" s="10"/>
      <c r="U74" s="10"/>
    </row>
    <row r="75" customFormat="false" ht="12.75" hidden="false" customHeight="false" outlineLevel="0" collapsed="false">
      <c r="B75" s="38" t="s">
        <v>99</v>
      </c>
      <c r="C75" s="208" t="n">
        <v>51.455</v>
      </c>
      <c r="D75" s="253" t="n">
        <v>51.455</v>
      </c>
      <c r="E75" s="239" t="n">
        <v>51.455</v>
      </c>
      <c r="F75" s="191"/>
      <c r="G75" s="38" t="s">
        <v>99</v>
      </c>
      <c r="H75" s="208" t="n">
        <f aca="false">IF(C75="","",VALUE(C75))</f>
        <v>51.455</v>
      </c>
      <c r="I75" s="209" t="n">
        <f aca="false">IF(D75="","",VALUE(D75))</f>
        <v>51.455</v>
      </c>
      <c r="J75" s="208" t="n">
        <f aca="false">IF(E75="","",VALUE(E75))</f>
        <v>51.455</v>
      </c>
      <c r="K75" s="191"/>
      <c r="L75" s="140" t="s">
        <v>99</v>
      </c>
      <c r="M75" s="241" t="str">
        <f aca="false">IF(H75="","",IF($J75="","",IF(ABS(H75-$J75)&gt;$M$10,H75-$J75,"")))</f>
        <v/>
      </c>
      <c r="N75" s="242" t="str">
        <f aca="false">IF(I75="","",IF($J75="","",IF(ABS(I75-$J75)&gt;$M$10,I75-$J75,"")))</f>
        <v/>
      </c>
      <c r="P75" s="10"/>
      <c r="Q75" s="10"/>
      <c r="R75" s="10"/>
      <c r="S75" s="10"/>
      <c r="T75" s="10"/>
      <c r="U75" s="10"/>
    </row>
    <row r="76" customFormat="false" ht="12.75" hidden="false" customHeight="false" outlineLevel="0" collapsed="false">
      <c r="B76" s="31" t="s">
        <v>100</v>
      </c>
      <c r="C76" s="208"/>
      <c r="D76" s="253" t="n">
        <v>36.464</v>
      </c>
      <c r="E76" s="239" t="n">
        <v>36.464</v>
      </c>
      <c r="F76" s="191"/>
      <c r="G76" s="31" t="s">
        <v>100</v>
      </c>
      <c r="H76" s="208" t="str">
        <f aca="false">IF(C76="","",VALUE(C76))</f>
        <v/>
      </c>
      <c r="I76" s="209" t="n">
        <f aca="false">IF(D76="","",VALUE(D76))</f>
        <v>36.464</v>
      </c>
      <c r="J76" s="208" t="n">
        <f aca="false">IF(E76="","",VALUE(E76))</f>
        <v>36.464</v>
      </c>
      <c r="K76" s="191"/>
      <c r="L76" s="138" t="s">
        <v>100</v>
      </c>
      <c r="M76" s="241" t="str">
        <f aca="false">IF(H76="","",IF($J76="","",IF(ABS(H76-$J76)&gt;$M$10,H76-$J76,"")))</f>
        <v/>
      </c>
      <c r="N76" s="242" t="str">
        <f aca="false">IF(I76="","",IF($J76="","",IF(ABS(I76-$J76)&gt;$M$10,I76-$J76,"")))</f>
        <v/>
      </c>
      <c r="P76" s="10"/>
      <c r="Q76" s="10"/>
      <c r="R76" s="10"/>
      <c r="S76" s="10"/>
      <c r="T76" s="10"/>
      <c r="U76" s="10"/>
    </row>
    <row r="77" customFormat="false" ht="12.75" hidden="false" customHeight="false" outlineLevel="0" collapsed="false">
      <c r="B77" s="31" t="s">
        <v>101</v>
      </c>
      <c r="C77" s="208"/>
      <c r="D77" s="253"/>
      <c r="E77" s="239"/>
      <c r="F77" s="191"/>
      <c r="G77" s="31" t="s">
        <v>101</v>
      </c>
      <c r="H77" s="208" t="str">
        <f aca="false">IF(C77="","",VALUE(C77))</f>
        <v/>
      </c>
      <c r="I77" s="209" t="str">
        <f aca="false">IF(D77="","",VALUE(D77))</f>
        <v/>
      </c>
      <c r="J77" s="208" t="str">
        <f aca="false">IF(E77="","",VALUE(E77))</f>
        <v/>
      </c>
      <c r="K77" s="191"/>
      <c r="L77" s="138" t="s">
        <v>101</v>
      </c>
      <c r="M77" s="241" t="str">
        <f aca="false">IF(H77="","",IF($J77="","",IF(ABS(H77-$J77)&gt;$M$10,H77-$J77,"")))</f>
        <v/>
      </c>
      <c r="N77" s="242" t="str">
        <f aca="false">IF(I77="","",IF($J77="","",IF(ABS(I77-$J77)&gt;$M$10,I77-$J77,"")))</f>
        <v/>
      </c>
    </row>
    <row r="78" customFormat="false" ht="12.75" hidden="false" customHeight="false" outlineLevel="0" collapsed="false">
      <c r="B78" s="31" t="s">
        <v>102</v>
      </c>
      <c r="C78" s="208"/>
      <c r="D78" s="253" t="n">
        <v>146.327</v>
      </c>
      <c r="E78" s="239" t="n">
        <v>146.327</v>
      </c>
      <c r="F78" s="240"/>
      <c r="G78" s="31" t="s">
        <v>102</v>
      </c>
      <c r="H78" s="208" t="str">
        <f aca="false">IF(C78="","",VALUE(C78))</f>
        <v/>
      </c>
      <c r="I78" s="209" t="n">
        <f aca="false">IF(D78="","",VALUE(D78))</f>
        <v>146.327</v>
      </c>
      <c r="J78" s="208" t="n">
        <f aca="false">IF(E78="","",VALUE(E78))</f>
        <v>146.327</v>
      </c>
      <c r="K78" s="240"/>
      <c r="L78" s="138" t="s">
        <v>102</v>
      </c>
      <c r="M78" s="241" t="str">
        <f aca="false">IF(H78="","",IF($J78="","",IF(ABS(H78-$J78)&gt;$M$10,H78-$J78,"")))</f>
        <v/>
      </c>
      <c r="N78" s="242" t="str">
        <f aca="false">IF(I78="","",IF($J78="","",IF(ABS(I78-$J78)&gt;$M$10,I78-$J78,"")))</f>
        <v/>
      </c>
    </row>
    <row r="79" customFormat="false" ht="12.75" hidden="false" customHeight="false" outlineLevel="0" collapsed="false">
      <c r="B79" s="31" t="s">
        <v>103</v>
      </c>
      <c r="C79" s="208"/>
      <c r="D79" s="254" t="s">
        <v>655</v>
      </c>
      <c r="E79" s="243" t="s">
        <v>655</v>
      </c>
      <c r="F79" s="240"/>
      <c r="G79" s="31" t="s">
        <v>103</v>
      </c>
      <c r="H79" s="208" t="str">
        <f aca="false">IF(C79="","",VALUE(C79))</f>
        <v/>
      </c>
      <c r="I79" s="209" t="n">
        <f aca="false">IF(D79="","",VALUE(D79))</f>
        <v>29.87</v>
      </c>
      <c r="J79" s="208" t="n">
        <f aca="false">IF(E79="","",VALUE(E79))</f>
        <v>29.87</v>
      </c>
      <c r="K79" s="240"/>
      <c r="L79" s="138" t="s">
        <v>103</v>
      </c>
      <c r="M79" s="241" t="str">
        <f aca="false">IF(H79="","",IF($J79="","",IF(ABS(H79-$J79)&gt;$M$10,H79-$J79,"")))</f>
        <v/>
      </c>
      <c r="N79" s="242" t="str">
        <f aca="false">IF(I79="","",IF($J79="","",IF(ABS(I79-$J79)&gt;$M$10,I79-$J79,"")))</f>
        <v/>
      </c>
    </row>
    <row r="80" customFormat="false" ht="12.75" hidden="false" customHeight="false" outlineLevel="0" collapsed="false">
      <c r="B80" s="31" t="s">
        <v>104</v>
      </c>
      <c r="C80" s="208"/>
      <c r="D80" s="254"/>
      <c r="E80" s="239"/>
      <c r="F80" s="240"/>
      <c r="G80" s="31" t="s">
        <v>104</v>
      </c>
      <c r="H80" s="208" t="str">
        <f aca="false">IF(C80="","",VALUE(C80))</f>
        <v/>
      </c>
      <c r="I80" s="209" t="str">
        <f aca="false">IF(D80="","",VALUE(D80))</f>
        <v/>
      </c>
      <c r="J80" s="208" t="str">
        <f aca="false">IF(E80="","",VALUE(E80))</f>
        <v/>
      </c>
      <c r="K80" s="240"/>
      <c r="L80" s="138" t="s">
        <v>104</v>
      </c>
      <c r="M80" s="241" t="str">
        <f aca="false">IF(H80="","",IF($J80="","",IF(ABS(H80-$J80)&gt;$M$10,H80-$J80,"")))</f>
        <v/>
      </c>
      <c r="N80" s="242" t="str">
        <f aca="false">IF(I80="","",IF($J80="","",IF(ABS(I80-$J80)&gt;$M$10,I80-$J80,"")))</f>
        <v/>
      </c>
      <c r="T80" s="10"/>
      <c r="U80" s="10"/>
    </row>
    <row r="81" customFormat="false" ht="12.75" hidden="false" customHeight="false" outlineLevel="0" collapsed="false">
      <c r="B81" s="31" t="s">
        <v>105</v>
      </c>
      <c r="C81" s="208"/>
      <c r="D81" s="254"/>
      <c r="E81" s="239"/>
      <c r="F81" s="191"/>
      <c r="G81" s="31" t="s">
        <v>105</v>
      </c>
      <c r="H81" s="208" t="str">
        <f aca="false">IF(C81="","",VALUE(C81))</f>
        <v/>
      </c>
      <c r="I81" s="209" t="str">
        <f aca="false">IF(D81="","",VALUE(D81))</f>
        <v/>
      </c>
      <c r="J81" s="208" t="str">
        <f aca="false">IF(E81="","",VALUE(E81))</f>
        <v/>
      </c>
      <c r="K81" s="191"/>
      <c r="L81" s="138" t="s">
        <v>105</v>
      </c>
      <c r="M81" s="241" t="str">
        <f aca="false">IF(H81="","",IF($J81="","",IF(ABS(H81-$J81)&gt;$M$10,H81-$J81,"")))</f>
        <v/>
      </c>
      <c r="N81" s="242" t="str">
        <f aca="false">IF(I81="","",IF($J81="","",IF(ABS(I81-$J81)&gt;$M$10,I81-$J81,"")))</f>
        <v/>
      </c>
      <c r="Q81" s="10"/>
      <c r="R81" s="10"/>
      <c r="S81" s="10"/>
      <c r="T81" s="10"/>
      <c r="U81" s="10"/>
    </row>
    <row r="82" s="90" customFormat="true" ht="12.75" hidden="false" customHeight="false" outlineLevel="0" collapsed="false">
      <c r="A82" s="89"/>
      <c r="B82" s="38" t="s">
        <v>107</v>
      </c>
      <c r="C82" s="208" t="n">
        <v>205.142</v>
      </c>
      <c r="D82" s="253" t="n">
        <v>205.147</v>
      </c>
      <c r="E82" s="239" t="n">
        <v>205.147</v>
      </c>
      <c r="F82" s="191"/>
      <c r="G82" s="38" t="s">
        <v>107</v>
      </c>
      <c r="H82" s="208" t="n">
        <f aca="false">IF(C82="","",VALUE(C82))</f>
        <v>205.142</v>
      </c>
      <c r="I82" s="209" t="n">
        <f aca="false">IF(D82="","",VALUE(D82))</f>
        <v>205.147</v>
      </c>
      <c r="J82" s="208" t="n">
        <f aca="false">IF(E82="","",VALUE(E82))</f>
        <v>205.147</v>
      </c>
      <c r="K82" s="191"/>
      <c r="L82" s="140" t="s">
        <v>107</v>
      </c>
      <c r="M82" s="241" t="str">
        <f aca="false">IF(H82="","",IF($J82="","",IF(ABS(H82-$J82)&gt;$M$10,H82-$J82,"")))</f>
        <v/>
      </c>
      <c r="N82" s="242" t="str">
        <f aca="false">IF(I82="","",IF($J82="","",IF(ABS(I82-$J82)&gt;$M$10,I82-$J82,"")))</f>
        <v/>
      </c>
      <c r="Q82" s="10"/>
      <c r="R82" s="10"/>
      <c r="S82" s="10"/>
      <c r="T82" s="10"/>
      <c r="U82" s="10"/>
    </row>
    <row r="83" customFormat="false" ht="12.75" hidden="false" customHeight="false" outlineLevel="0" collapsed="false">
      <c r="B83" s="31" t="s">
        <v>109</v>
      </c>
      <c r="C83" s="208"/>
      <c r="D83" s="254"/>
      <c r="E83" s="239"/>
      <c r="F83" s="191"/>
      <c r="G83" s="31" t="s">
        <v>109</v>
      </c>
      <c r="H83" s="208" t="str">
        <f aca="false">IF(C83="","",VALUE(C83))</f>
        <v/>
      </c>
      <c r="I83" s="209" t="str">
        <f aca="false">IF(D83="","",VALUE(D83))</f>
        <v/>
      </c>
      <c r="J83" s="208" t="str">
        <f aca="false">IF(E83="","",VALUE(E83))</f>
        <v/>
      </c>
      <c r="K83" s="191"/>
      <c r="L83" s="138" t="s">
        <v>109</v>
      </c>
      <c r="M83" s="241" t="str">
        <f aca="false">IF(H83="","",IF($J83="","",IF(ABS(H83-$J83)&gt;$M$10,H83-$J83,"")))</f>
        <v/>
      </c>
      <c r="N83" s="242" t="str">
        <f aca="false">IF(I83="","",IF($J83="","",IF(ABS(I83-$J83)&gt;$M$10,I83-$J83,"")))</f>
        <v/>
      </c>
      <c r="Q83" s="10"/>
      <c r="R83" s="10"/>
      <c r="S83" s="10"/>
      <c r="T83" s="10"/>
      <c r="U83" s="10"/>
    </row>
    <row r="84" customFormat="false" ht="12.75" hidden="false" customHeight="false" outlineLevel="0" collapsed="false">
      <c r="B84" s="31" t="s">
        <v>110</v>
      </c>
      <c r="C84" s="238" t="n">
        <v>22.803</v>
      </c>
      <c r="D84" s="253" t="n">
        <v>41.077</v>
      </c>
      <c r="E84" s="239" t="n">
        <v>41.077</v>
      </c>
      <c r="F84" s="191"/>
      <c r="G84" s="31" t="s">
        <v>110</v>
      </c>
      <c r="H84" s="208" t="n">
        <f aca="false">IF(C84="","",VALUE(C84))</f>
        <v>22.803</v>
      </c>
      <c r="I84" s="209" t="n">
        <f aca="false">IF(D84="","",VALUE(D84))</f>
        <v>41.077</v>
      </c>
      <c r="J84" s="208" t="n">
        <f aca="false">IF(E84="","",VALUE(E84))</f>
        <v>41.077</v>
      </c>
      <c r="K84" s="191"/>
      <c r="L84" s="138" t="s">
        <v>110</v>
      </c>
      <c r="M84" s="241" t="n">
        <f aca="false">IF(H84="","",IF($J84="","",IF(ABS(H84-$J84)&gt;$M$10,H84-$J84,"")))</f>
        <v>-18.274</v>
      </c>
      <c r="N84" s="242" t="str">
        <f aca="false">IF(I84="","",IF($J84="","",IF(ABS(I84-$J84)&gt;$M$10,I84-$J84,"")))</f>
        <v/>
      </c>
      <c r="P84" s="10"/>
      <c r="Q84" s="10"/>
      <c r="R84" s="10"/>
      <c r="S84" s="10"/>
      <c r="T84" s="10"/>
      <c r="U84" s="10"/>
    </row>
    <row r="85" customFormat="false" ht="12.75" hidden="false" customHeight="false" outlineLevel="0" collapsed="false">
      <c r="B85" s="31" t="s">
        <v>111</v>
      </c>
      <c r="C85" s="208"/>
      <c r="D85" s="253"/>
      <c r="E85" s="239"/>
      <c r="F85" s="191"/>
      <c r="G85" s="31" t="s">
        <v>111</v>
      </c>
      <c r="H85" s="208" t="str">
        <f aca="false">IF(C85="","",VALUE(C85))</f>
        <v/>
      </c>
      <c r="I85" s="209" t="str">
        <f aca="false">IF(D85="","",VALUE(D85))</f>
        <v/>
      </c>
      <c r="J85" s="208" t="str">
        <f aca="false">IF(E85="","",VALUE(E85))</f>
        <v/>
      </c>
      <c r="K85" s="191"/>
      <c r="L85" s="138" t="s">
        <v>111</v>
      </c>
      <c r="M85" s="241" t="str">
        <f aca="false">IF(H85="","",IF($J85="","",IF(ABS(H85-$J85)&gt;$M$10,H85-$J85,"")))</f>
        <v/>
      </c>
      <c r="N85" s="242" t="str">
        <f aca="false">IF(I85="","",IF($J85="","",IF(ABS(I85-$J85)&gt;$M$10,I85-$J85,"")))</f>
        <v/>
      </c>
      <c r="P85" s="10"/>
      <c r="Q85" s="10"/>
      <c r="R85" s="10"/>
      <c r="S85" s="10"/>
      <c r="T85" s="10"/>
      <c r="U85" s="10"/>
    </row>
    <row r="86" customFormat="false" ht="12.75" hidden="false" customHeight="false" outlineLevel="0" collapsed="false">
      <c r="B86" s="31" t="s">
        <v>112</v>
      </c>
      <c r="C86" s="208" t="n">
        <v>64.785</v>
      </c>
      <c r="D86" s="253" t="n">
        <v>64.785</v>
      </c>
      <c r="E86" s="239" t="n">
        <v>64.785</v>
      </c>
      <c r="F86" s="191"/>
      <c r="G86" s="31" t="s">
        <v>112</v>
      </c>
      <c r="H86" s="208" t="n">
        <f aca="false">IF(C86="","",VALUE(C86))</f>
        <v>64.785</v>
      </c>
      <c r="I86" s="209" t="n">
        <f aca="false">IF(D86="","",VALUE(D86))</f>
        <v>64.785</v>
      </c>
      <c r="J86" s="208" t="n">
        <f aca="false">IF(E86="","",VALUE(E86))</f>
        <v>64.785</v>
      </c>
      <c r="K86" s="191"/>
      <c r="L86" s="138" t="s">
        <v>112</v>
      </c>
      <c r="M86" s="241" t="str">
        <f aca="false">IF(H86="","",IF($J86="","",IF(ABS(H86-$J86)&gt;$M$10,H86-$J86,"")))</f>
        <v/>
      </c>
      <c r="N86" s="242" t="str">
        <f aca="false">IF(I86="","",IF($J86="","",IF(ABS(I86-$J86)&gt;$M$10,I86-$J86,"")))</f>
        <v/>
      </c>
      <c r="P86" s="10"/>
      <c r="Q86" s="10"/>
      <c r="R86" s="10"/>
      <c r="S86" s="10"/>
      <c r="T86" s="10"/>
      <c r="U86" s="10"/>
    </row>
    <row r="87" customFormat="false" ht="12.75" hidden="false" customHeight="false" outlineLevel="0" collapsed="false">
      <c r="B87" s="38" t="s">
        <v>113</v>
      </c>
      <c r="C87" s="208"/>
      <c r="D87" s="253"/>
      <c r="E87" s="239"/>
      <c r="F87" s="191"/>
      <c r="G87" s="38" t="s">
        <v>113</v>
      </c>
      <c r="H87" s="208" t="str">
        <f aca="false">IF(C87="","",VALUE(C87))</f>
        <v/>
      </c>
      <c r="I87" s="209" t="str">
        <f aca="false">IF(D87="","",VALUE(D87))</f>
        <v/>
      </c>
      <c r="J87" s="208" t="str">
        <f aca="false">IF(E87="","",VALUE(E87))</f>
        <v/>
      </c>
      <c r="K87" s="191"/>
      <c r="L87" s="140" t="s">
        <v>113</v>
      </c>
      <c r="M87" s="241" t="str">
        <f aca="false">IF(H87="","",IF($J87="","",IF(ABS(H87-$J87)&gt;$M$10,H87-$J87,"")))</f>
        <v/>
      </c>
      <c r="N87" s="242" t="str">
        <f aca="false">IF(I87="","",IF($J87="","",IF(ABS(I87-$J87)&gt;$M$10,I87-$J87,"")))</f>
        <v/>
      </c>
      <c r="P87" s="10"/>
      <c r="Q87" s="10"/>
      <c r="R87" s="10"/>
      <c r="S87" s="10"/>
      <c r="T87" s="10"/>
      <c r="U87" s="10"/>
    </row>
    <row r="88" customFormat="false" ht="12.75" hidden="false" customHeight="false" outlineLevel="0" collapsed="false">
      <c r="B88" s="31" t="s">
        <v>114</v>
      </c>
      <c r="C88" s="208"/>
      <c r="D88" s="254"/>
      <c r="E88" s="239"/>
      <c r="F88" s="240"/>
      <c r="G88" s="31" t="s">
        <v>114</v>
      </c>
      <c r="H88" s="208" t="str">
        <f aca="false">IF(C88="","",VALUE(C88))</f>
        <v/>
      </c>
      <c r="I88" s="209" t="str">
        <f aca="false">IF(D88="","",VALUE(D88))</f>
        <v/>
      </c>
      <c r="J88" s="208" t="str">
        <f aca="false">IF(E88="","",VALUE(E88))</f>
        <v/>
      </c>
      <c r="K88" s="240"/>
      <c r="L88" s="138" t="s">
        <v>114</v>
      </c>
      <c r="M88" s="241" t="str">
        <f aca="false">IF(H88="","",IF($J88="","",IF(ABS(H88-$J88)&gt;$M$10,H88-$J88,"")))</f>
        <v/>
      </c>
      <c r="N88" s="242" t="str">
        <f aca="false">IF(I88="","",IF($J88="","",IF(ABS(I88-$J88)&gt;$M$10,I88-$J88,"")))</f>
        <v/>
      </c>
    </row>
    <row r="89" customFormat="false" ht="12.75" hidden="false" customHeight="false" outlineLevel="0" collapsed="false">
      <c r="B89" s="38" t="s">
        <v>115</v>
      </c>
      <c r="C89" s="208"/>
      <c r="D89" s="254"/>
      <c r="E89" s="239"/>
      <c r="F89" s="240"/>
      <c r="G89" s="38" t="s">
        <v>115</v>
      </c>
      <c r="H89" s="208" t="str">
        <f aca="false">IF(C89="","",VALUE(C89))</f>
        <v/>
      </c>
      <c r="I89" s="209" t="str">
        <f aca="false">IF(D89="","",VALUE(D89))</f>
        <v/>
      </c>
      <c r="J89" s="208" t="str">
        <f aca="false">IF(E89="","",VALUE(E89))</f>
        <v/>
      </c>
      <c r="K89" s="240"/>
      <c r="L89" s="140" t="s">
        <v>115</v>
      </c>
      <c r="M89" s="241" t="str">
        <f aca="false">IF(H89="","",IF($J89="","",IF(ABS(H89-$J89)&gt;$M$10,H89-$J89,"")))</f>
        <v/>
      </c>
      <c r="N89" s="242" t="str">
        <f aca="false">IF(I89="","",IF($J89="","",IF(ABS(I89-$J89)&gt;$M$10,I89-$J89,"")))</f>
        <v/>
      </c>
    </row>
    <row r="90" customFormat="false" ht="12.75" hidden="false" customHeight="false" outlineLevel="0" collapsed="false">
      <c r="B90" s="31" t="s">
        <v>116</v>
      </c>
      <c r="C90" s="208"/>
      <c r="D90" s="253"/>
      <c r="E90" s="239"/>
      <c r="F90" s="240"/>
      <c r="G90" s="31" t="s">
        <v>116</v>
      </c>
      <c r="H90" s="208" t="str">
        <f aca="false">IF(C90="","",VALUE(C90))</f>
        <v/>
      </c>
      <c r="I90" s="209" t="str">
        <f aca="false">IF(D90="","",VALUE(D90))</f>
        <v/>
      </c>
      <c r="J90" s="208" t="str">
        <f aca="false">IF(E90="","",VALUE(E90))</f>
        <v/>
      </c>
      <c r="K90" s="240"/>
      <c r="L90" s="138" t="s">
        <v>116</v>
      </c>
      <c r="M90" s="241" t="str">
        <f aca="false">IF(H90="","",IF($J90="","",IF(ABS(H90-$J90)&gt;$M$10,H90-$J90,"")))</f>
        <v/>
      </c>
      <c r="N90" s="242" t="str">
        <f aca="false">IF(I90="","",IF($J90="","",IF(ABS(I90-$J90)&gt;$M$10,I90-$J90,"")))</f>
        <v/>
      </c>
    </row>
    <row r="91" customFormat="false" ht="12.75" hidden="false" customHeight="false" outlineLevel="0" collapsed="false">
      <c r="B91" s="31" t="s">
        <v>117</v>
      </c>
      <c r="C91" s="208"/>
      <c r="D91" s="253"/>
      <c r="E91" s="239"/>
      <c r="F91" s="240"/>
      <c r="G91" s="31" t="s">
        <v>117</v>
      </c>
      <c r="H91" s="208" t="str">
        <f aca="false">IF(C91="","",VALUE(C91))</f>
        <v/>
      </c>
      <c r="I91" s="209" t="str">
        <f aca="false">IF(D91="","",VALUE(D91))</f>
        <v/>
      </c>
      <c r="J91" s="208" t="str">
        <f aca="false">IF(E91="","",VALUE(E91))</f>
        <v/>
      </c>
      <c r="K91" s="240"/>
      <c r="L91" s="138" t="s">
        <v>117</v>
      </c>
      <c r="M91" s="241" t="str">
        <f aca="false">IF(H91="","",IF($J91="","",IF(ABS(H91-$J91)&gt;$M$10,H91-$J91,"")))</f>
        <v/>
      </c>
      <c r="N91" s="242" t="str">
        <f aca="false">IF(I91="","",IF($J91="","",IF(ABS(I91-$J91)&gt;$M$10,I91-$J91,"")))</f>
        <v/>
      </c>
      <c r="T91" s="10"/>
      <c r="U91" s="10"/>
    </row>
    <row r="92" customFormat="false" ht="12.75" hidden="false" customHeight="false" outlineLevel="0" collapsed="false">
      <c r="B92" s="31" t="s">
        <v>118</v>
      </c>
      <c r="C92" s="208"/>
      <c r="D92" s="254"/>
      <c r="E92" s="239"/>
      <c r="F92" s="191"/>
      <c r="G92" s="31" t="s">
        <v>118</v>
      </c>
      <c r="H92" s="208" t="str">
        <f aca="false">IF(C92="","",VALUE(C92))</f>
        <v/>
      </c>
      <c r="I92" s="209" t="str">
        <f aca="false">IF(D92="","",VALUE(D92))</f>
        <v/>
      </c>
      <c r="J92" s="208" t="str">
        <f aca="false">IF(E92="","",VALUE(E92))</f>
        <v/>
      </c>
      <c r="K92" s="191"/>
      <c r="L92" s="138" t="s">
        <v>118</v>
      </c>
      <c r="M92" s="241" t="str">
        <f aca="false">IF(H92="","",IF($J92="","",IF(ABS(H92-$J92)&gt;$M$10,H92-$J92,"")))</f>
        <v/>
      </c>
      <c r="N92" s="242" t="str">
        <f aca="false">IF(I92="","",IF($J92="","",IF(ABS(I92-$J92)&gt;$M$10,I92-$J92,"")))</f>
        <v/>
      </c>
      <c r="Q92" s="10"/>
      <c r="R92" s="10"/>
      <c r="S92" s="10"/>
      <c r="T92" s="10"/>
      <c r="U92" s="10"/>
    </row>
    <row r="93" customFormat="false" ht="12.75" hidden="false" customHeight="false" outlineLevel="0" collapsed="false">
      <c r="B93" s="38" t="s">
        <v>119</v>
      </c>
      <c r="C93" s="208"/>
      <c r="D93" s="253"/>
      <c r="E93" s="239"/>
      <c r="F93" s="191"/>
      <c r="G93" s="38" t="s">
        <v>119</v>
      </c>
      <c r="H93" s="208" t="str">
        <f aca="false">IF(C93="","",VALUE(C93))</f>
        <v/>
      </c>
      <c r="I93" s="209" t="str">
        <f aca="false">IF(D93="","",VALUE(D93))</f>
        <v/>
      </c>
      <c r="J93" s="208" t="str">
        <f aca="false">IF(E93="","",VALUE(E93))</f>
        <v/>
      </c>
      <c r="K93" s="191"/>
      <c r="L93" s="140" t="s">
        <v>119</v>
      </c>
      <c r="M93" s="241" t="str">
        <f aca="false">IF(H93="","",IF($J93="","",IF(ABS(H93-$J93)&gt;$M$10,H93-$J93,"")))</f>
        <v/>
      </c>
      <c r="N93" s="242" t="str">
        <f aca="false">IF(I93="","",IF($J93="","",IF(ABS(I93-$J93)&gt;$M$10,I93-$J93,"")))</f>
        <v/>
      </c>
      <c r="Q93" s="10"/>
      <c r="R93" s="10"/>
      <c r="S93" s="10"/>
      <c r="T93" s="10"/>
      <c r="U93" s="10"/>
    </row>
    <row r="94" customFormat="false" ht="12.75" hidden="false" customHeight="false" outlineLevel="0" collapsed="false">
      <c r="B94" s="38" t="s">
        <v>120</v>
      </c>
      <c r="C94" s="208"/>
      <c r="D94" s="253" t="n">
        <v>76.778</v>
      </c>
      <c r="E94" s="239" t="n">
        <v>76.778</v>
      </c>
      <c r="F94" s="240"/>
      <c r="G94" s="38" t="s">
        <v>120</v>
      </c>
      <c r="H94" s="208" t="str">
        <f aca="false">IF(C94="","",VALUE(C94))</f>
        <v/>
      </c>
      <c r="I94" s="209" t="n">
        <f aca="false">IF(D94="","",VALUE(D94))</f>
        <v>76.778</v>
      </c>
      <c r="J94" s="208" t="n">
        <f aca="false">IF(E94="","",VALUE(E94))</f>
        <v>76.778</v>
      </c>
      <c r="K94" s="240"/>
      <c r="L94" s="140" t="s">
        <v>120</v>
      </c>
      <c r="M94" s="241" t="str">
        <f aca="false">IF(H94="","",IF($J94="","",IF(ABS(H94-$J94)&gt;$M$10,H94-$J94,"")))</f>
        <v/>
      </c>
      <c r="N94" s="242" t="str">
        <f aca="false">IF(I94="","",IF($J94="","",IF(ABS(I94-$J94)&gt;$M$10,I94-$J94,"")))</f>
        <v/>
      </c>
      <c r="Q94" s="10"/>
      <c r="R94" s="10"/>
      <c r="S94" s="10"/>
      <c r="T94" s="10"/>
      <c r="U94" s="10"/>
    </row>
    <row r="95" customFormat="false" ht="12.75" hidden="false" customHeight="false" outlineLevel="0" collapsed="false">
      <c r="B95" s="31" t="s">
        <v>121</v>
      </c>
      <c r="C95" s="208"/>
      <c r="D95" s="253"/>
      <c r="E95" s="239"/>
      <c r="F95" s="191"/>
      <c r="G95" s="31" t="s">
        <v>121</v>
      </c>
      <c r="H95" s="208" t="str">
        <f aca="false">IF(C95="","",VALUE(C95))</f>
        <v/>
      </c>
      <c r="I95" s="209" t="str">
        <f aca="false">IF(D95="","",VALUE(D95))</f>
        <v/>
      </c>
      <c r="J95" s="208" t="str">
        <f aca="false">IF(E95="","",VALUE(E95))</f>
        <v/>
      </c>
      <c r="K95" s="191"/>
      <c r="L95" s="138" t="s">
        <v>121</v>
      </c>
      <c r="M95" s="241" t="str">
        <f aca="false">IF(H95="","",IF($J95="","",IF(ABS(H95-$J95)&gt;$M$10,H95-$J95,"")))</f>
        <v/>
      </c>
      <c r="N95" s="242" t="str">
        <f aca="false">IF(I95="","",IF($J95="","",IF(ABS(I95-$J95)&gt;$M$10,I95-$J95,"")))</f>
        <v/>
      </c>
      <c r="P95" s="10"/>
      <c r="Q95" s="10"/>
      <c r="R95" s="10"/>
      <c r="S95" s="10"/>
      <c r="T95" s="10"/>
      <c r="U95" s="10"/>
    </row>
    <row r="96" customFormat="false" ht="12.75" hidden="false" customHeight="false" outlineLevel="0" collapsed="false">
      <c r="B96" s="38" t="s">
        <v>122</v>
      </c>
      <c r="C96" s="208"/>
      <c r="D96" s="253"/>
      <c r="E96" s="239"/>
      <c r="F96" s="191"/>
      <c r="G96" s="38" t="s">
        <v>122</v>
      </c>
      <c r="H96" s="208" t="str">
        <f aca="false">IF(C96="","",VALUE(C96))</f>
        <v/>
      </c>
      <c r="I96" s="209" t="str">
        <f aca="false">IF(D96="","",VALUE(D96))</f>
        <v/>
      </c>
      <c r="J96" s="208" t="str">
        <f aca="false">IF(E96="","",VALUE(E96))</f>
        <v/>
      </c>
      <c r="K96" s="191"/>
      <c r="L96" s="140" t="s">
        <v>122</v>
      </c>
      <c r="M96" s="241" t="str">
        <f aca="false">IF(H96="","",IF($J96="","",IF(ABS(H96-$J96)&gt;$M$10,H96-$J96,"")))</f>
        <v/>
      </c>
      <c r="N96" s="242" t="str">
        <f aca="false">IF(I96="","",IF($J96="","",IF(ABS(I96-$J96)&gt;$M$10,I96-$J96,"")))</f>
        <v/>
      </c>
      <c r="P96" s="10"/>
      <c r="Q96" s="10"/>
      <c r="R96" s="10"/>
      <c r="S96" s="10"/>
      <c r="T96" s="10"/>
      <c r="U96" s="10"/>
    </row>
    <row r="97" customFormat="false" ht="12.75" hidden="false" customHeight="false" outlineLevel="0" collapsed="false">
      <c r="B97" s="31" t="s">
        <v>123</v>
      </c>
      <c r="C97" s="208"/>
      <c r="D97" s="253" t="n">
        <v>176.235</v>
      </c>
      <c r="E97" s="239" t="n">
        <v>176.235</v>
      </c>
      <c r="F97" s="191"/>
      <c r="G97" s="31" t="s">
        <v>123</v>
      </c>
      <c r="H97" s="208" t="str">
        <f aca="false">IF(C97="","",VALUE(C97))</f>
        <v/>
      </c>
      <c r="I97" s="209" t="n">
        <f aca="false">IF(D97="","",VALUE(D97))</f>
        <v>176.235</v>
      </c>
      <c r="J97" s="208" t="n">
        <f aca="false">IF(E97="","",VALUE(E97))</f>
        <v>176.235</v>
      </c>
      <c r="K97" s="191"/>
      <c r="L97" s="138" t="s">
        <v>123</v>
      </c>
      <c r="M97" s="241" t="str">
        <f aca="false">IF(H97="","",IF($J97="","",IF(ABS(H97-$J97)&gt;$M$10,H97-$J97,"")))</f>
        <v/>
      </c>
      <c r="N97" s="242" t="str">
        <f aca="false">IF(I97="","",IF($J97="","",IF(ABS(I97-$J97)&gt;$M$10,I97-$J97,"")))</f>
        <v/>
      </c>
      <c r="P97" s="10"/>
      <c r="Q97" s="10"/>
      <c r="R97" s="10"/>
      <c r="S97" s="10"/>
      <c r="T97" s="10"/>
      <c r="U97" s="10"/>
    </row>
    <row r="98" customFormat="false" ht="12.75" hidden="false" customHeight="false" outlineLevel="0" collapsed="false">
      <c r="B98" s="38" t="s">
        <v>124</v>
      </c>
      <c r="C98" s="208"/>
      <c r="D98" s="253"/>
      <c r="E98" s="239"/>
      <c r="F98" s="191"/>
      <c r="G98" s="38" t="s">
        <v>124</v>
      </c>
      <c r="H98" s="208" t="str">
        <f aca="false">IF(C98="","",VALUE(C98))</f>
        <v/>
      </c>
      <c r="I98" s="209" t="str">
        <f aca="false">IF(D98="","",VALUE(D98))</f>
        <v/>
      </c>
      <c r="J98" s="208" t="str">
        <f aca="false">IF(E98="","",VALUE(E98))</f>
        <v/>
      </c>
      <c r="K98" s="191"/>
      <c r="L98" s="140" t="s">
        <v>124</v>
      </c>
      <c r="M98" s="241" t="str">
        <f aca="false">IF(H98="","",IF($J98="","",IF(ABS(H98-$J98)&gt;$M$10,H98-$J98,"")))</f>
        <v/>
      </c>
      <c r="N98" s="242" t="str">
        <f aca="false">IF(I98="","",IF($J98="","",IF(ABS(I98-$J98)&gt;$M$10,I98-$J98,"")))</f>
        <v/>
      </c>
      <c r="P98" s="10"/>
      <c r="Q98" s="10"/>
      <c r="R98" s="10"/>
      <c r="S98" s="10"/>
      <c r="T98" s="10"/>
      <c r="U98" s="10"/>
    </row>
    <row r="99" customFormat="false" ht="12.75" hidden="false" customHeight="false" outlineLevel="0" collapsed="false">
      <c r="B99" s="38" t="s">
        <v>125</v>
      </c>
      <c r="C99" s="238" t="n">
        <v>31.928</v>
      </c>
      <c r="D99" s="253" t="n">
        <v>32.056</v>
      </c>
      <c r="E99" s="239" t="n">
        <v>32.056</v>
      </c>
      <c r="F99" s="240"/>
      <c r="G99" s="38" t="s">
        <v>125</v>
      </c>
      <c r="H99" s="208" t="n">
        <f aca="false">IF(C99="","",VALUE(C99))</f>
        <v>31.928</v>
      </c>
      <c r="I99" s="209" t="n">
        <f aca="false">IF(D99="","",VALUE(D99))</f>
        <v>32.056</v>
      </c>
      <c r="J99" s="208" t="n">
        <f aca="false">IF(E99="","",VALUE(E99))</f>
        <v>32.056</v>
      </c>
      <c r="K99" s="240"/>
      <c r="L99" s="140" t="s">
        <v>125</v>
      </c>
      <c r="M99" s="241" t="n">
        <f aca="false">IF(H99="","",IF($J99="","",IF(ABS(H99-$J99)&gt;$M$10,H99-$J99,"")))</f>
        <v>-0.127999999999997</v>
      </c>
      <c r="N99" s="242" t="str">
        <f aca="false">IF(I99="","",IF($J99="","",IF(ABS(I99-$J99)&gt;$M$10,I99-$J99,"")))</f>
        <v/>
      </c>
    </row>
    <row r="100" customFormat="false" ht="12.75" hidden="false" customHeight="false" outlineLevel="0" collapsed="false">
      <c r="B100" s="31" t="s">
        <v>126</v>
      </c>
      <c r="C100" s="208"/>
      <c r="D100" s="253"/>
      <c r="E100" s="239"/>
      <c r="F100" s="240"/>
      <c r="G100" s="31" t="s">
        <v>126</v>
      </c>
      <c r="H100" s="208" t="str">
        <f aca="false">IF(C100="","",VALUE(C100))</f>
        <v/>
      </c>
      <c r="I100" s="209" t="str">
        <f aca="false">IF(D100="","",VALUE(D100))</f>
        <v/>
      </c>
      <c r="J100" s="208" t="str">
        <f aca="false">IF(E100="","",VALUE(E100))</f>
        <v/>
      </c>
      <c r="K100" s="240"/>
      <c r="L100" s="138" t="s">
        <v>126</v>
      </c>
      <c r="M100" s="241" t="str">
        <f aca="false">IF(H100="","",IF($J100="","",IF(ABS(H100-$J100)&gt;$M$10,H100-$J100,"")))</f>
        <v/>
      </c>
      <c r="N100" s="242" t="str">
        <f aca="false">IF(I100="","",IF($J100="","",IF(ABS(I100-$J100)&gt;$M$10,I100-$J100,"")))</f>
        <v/>
      </c>
    </row>
    <row r="101" customFormat="false" ht="12.75" hidden="false" customHeight="false" outlineLevel="0" collapsed="false">
      <c r="B101" s="31" t="s">
        <v>127</v>
      </c>
      <c r="C101" s="208"/>
      <c r="D101" s="253"/>
      <c r="E101" s="239"/>
      <c r="F101" s="240"/>
      <c r="G101" s="31" t="s">
        <v>127</v>
      </c>
      <c r="H101" s="208" t="str">
        <f aca="false">IF(C101="","",VALUE(C101))</f>
        <v/>
      </c>
      <c r="I101" s="209" t="str">
        <f aca="false">IF(D101="","",VALUE(D101))</f>
        <v/>
      </c>
      <c r="J101" s="208" t="str">
        <f aca="false">IF(E101="","",VALUE(E101))</f>
        <v/>
      </c>
      <c r="K101" s="240"/>
      <c r="L101" s="138" t="s">
        <v>127</v>
      </c>
      <c r="M101" s="241" t="str">
        <f aca="false">IF(H101="","",IF($J101="","",IF(ABS(H101-$J101)&gt;$M$10,H101-$J101,"")))</f>
        <v/>
      </c>
      <c r="N101" s="242" t="str">
        <f aca="false">IF(I101="","",IF($J101="","",IF(ABS(I101-$J101)&gt;$M$10,I101-$J101,"")))</f>
        <v/>
      </c>
    </row>
    <row r="102" customFormat="false" ht="12.75" hidden="false" customHeight="false" outlineLevel="0" collapsed="false">
      <c r="B102" s="38" t="s">
        <v>128</v>
      </c>
      <c r="C102" s="208"/>
      <c r="D102" s="253"/>
      <c r="E102" s="239"/>
      <c r="F102" s="240"/>
      <c r="G102" s="38" t="s">
        <v>128</v>
      </c>
      <c r="H102" s="208" t="str">
        <f aca="false">IF(C102="","",VALUE(C102))</f>
        <v/>
      </c>
      <c r="I102" s="209" t="str">
        <f aca="false">IF(D102="","",VALUE(D102))</f>
        <v/>
      </c>
      <c r="J102" s="208" t="str">
        <f aca="false">IF(E102="","",VALUE(E102))</f>
        <v/>
      </c>
      <c r="K102" s="240"/>
      <c r="L102" s="140" t="s">
        <v>128</v>
      </c>
      <c r="M102" s="241" t="str">
        <f aca="false">IF(H102="","",IF($J102="","",IF(ABS(H102-$J102)&gt;$M$10,H102-$J102,"")))</f>
        <v/>
      </c>
      <c r="N102" s="242" t="str">
        <f aca="false">IF(I102="","",IF($J102="","",IF(ABS(I102-$J102)&gt;$M$10,I102-$J102,"")))</f>
        <v/>
      </c>
      <c r="T102" s="10"/>
      <c r="U102" s="10"/>
    </row>
    <row r="103" customFormat="false" ht="12.75" hidden="false" customHeight="false" outlineLevel="0" collapsed="false">
      <c r="B103" s="31" t="s">
        <v>129</v>
      </c>
      <c r="C103" s="208" t="n">
        <v>18.82</v>
      </c>
      <c r="D103" s="254" t="s">
        <v>671</v>
      </c>
      <c r="E103" s="243" t="s">
        <v>671</v>
      </c>
      <c r="F103" s="191"/>
      <c r="G103" s="31" t="s">
        <v>129</v>
      </c>
      <c r="H103" s="208" t="n">
        <f aca="false">IF(C103="","",VALUE(C103))</f>
        <v>18.82</v>
      </c>
      <c r="I103" s="209" t="n">
        <f aca="false">IF(D103="","",VALUE(D103))</f>
        <v>18.82</v>
      </c>
      <c r="J103" s="208" t="n">
        <f aca="false">IF(E103="","",VALUE(E103))</f>
        <v>18.82</v>
      </c>
      <c r="K103" s="191"/>
      <c r="L103" s="138" t="s">
        <v>129</v>
      </c>
      <c r="M103" s="241" t="str">
        <f aca="false">IF(H103="","",IF($J103="","",IF(ABS(H103-$J103)&gt;$M$10,H103-$J103,"")))</f>
        <v/>
      </c>
      <c r="N103" s="242" t="str">
        <f aca="false">IF(I103="","",IF($J103="","",IF(ABS(I103-$J103)&gt;$M$10,I103-$J103,"")))</f>
        <v/>
      </c>
      <c r="Q103" s="10"/>
      <c r="R103" s="10"/>
      <c r="S103" s="10"/>
      <c r="T103" s="10"/>
      <c r="U103" s="10"/>
    </row>
    <row r="104" customFormat="false" ht="12.75" hidden="false" customHeight="false" outlineLevel="0" collapsed="false">
      <c r="B104" s="31" t="s">
        <v>130</v>
      </c>
      <c r="C104" s="208"/>
      <c r="D104" s="253"/>
      <c r="E104" s="239"/>
      <c r="F104" s="191"/>
      <c r="G104" s="31" t="s">
        <v>130</v>
      </c>
      <c r="H104" s="208" t="str">
        <f aca="false">IF(C104="","",VALUE(C104))</f>
        <v/>
      </c>
      <c r="I104" s="209" t="str">
        <f aca="false">IF(D104="","",VALUE(D104))</f>
        <v/>
      </c>
      <c r="J104" s="208" t="str">
        <f aca="false">IF(E104="","",VALUE(E104))</f>
        <v/>
      </c>
      <c r="K104" s="191"/>
      <c r="L104" s="138" t="s">
        <v>130</v>
      </c>
      <c r="M104" s="241" t="str">
        <f aca="false">IF(H104="","",IF($J104="","",IF(ABS(H104-$J104)&gt;$M$10,H104-$J104,"")))</f>
        <v/>
      </c>
      <c r="N104" s="242" t="str">
        <f aca="false">IF(I104="","",IF($J104="","",IF(ABS(I104-$J104)&gt;$M$10,I104-$J104,"")))</f>
        <v/>
      </c>
      <c r="Q104" s="10"/>
      <c r="R104" s="10"/>
      <c r="S104" s="10"/>
      <c r="T104" s="10"/>
      <c r="U104" s="10"/>
    </row>
    <row r="105" customFormat="false" ht="12.75" hidden="false" customHeight="false" outlineLevel="0" collapsed="false">
      <c r="B105" s="31" t="s">
        <v>131</v>
      </c>
      <c r="C105" s="208"/>
      <c r="D105" s="253"/>
      <c r="E105" s="239"/>
      <c r="F105" s="191"/>
      <c r="G105" s="31" t="s">
        <v>131</v>
      </c>
      <c r="H105" s="208" t="str">
        <f aca="false">IF(C105="","",VALUE(C105))</f>
        <v/>
      </c>
      <c r="I105" s="209" t="str">
        <f aca="false">IF(D105="","",VALUE(D105))</f>
        <v/>
      </c>
      <c r="J105" s="208" t="str">
        <f aca="false">IF(E105="","",VALUE(E105))</f>
        <v/>
      </c>
      <c r="K105" s="191"/>
      <c r="L105" s="138" t="s">
        <v>131</v>
      </c>
      <c r="M105" s="241" t="str">
        <f aca="false">IF(H105="","",IF($J105="","",IF(ABS(H105-$J105)&gt;$M$10,H105-$J105,"")))</f>
        <v/>
      </c>
      <c r="N105" s="242" t="str">
        <f aca="false">IF(I105="","",IF($J105="","",IF(ABS(I105-$J105)&gt;$M$10,I105-$J105,"")))</f>
        <v/>
      </c>
      <c r="Q105" s="10"/>
      <c r="R105" s="10"/>
      <c r="S105" s="10"/>
      <c r="T105" s="10"/>
      <c r="U105" s="10"/>
    </row>
    <row r="106" customFormat="false" ht="12.75" hidden="false" customHeight="false" outlineLevel="0" collapsed="false">
      <c r="B106" s="38" t="s">
        <v>132</v>
      </c>
      <c r="C106" s="208"/>
      <c r="D106" s="253" t="n">
        <v>55.694</v>
      </c>
      <c r="E106" s="239" t="n">
        <v>55.694</v>
      </c>
      <c r="F106" s="191"/>
      <c r="G106" s="38" t="s">
        <v>132</v>
      </c>
      <c r="H106" s="208" t="str">
        <f aca="false">IF(C106="","",VALUE(C106))</f>
        <v/>
      </c>
      <c r="I106" s="209" t="n">
        <f aca="false">IF(D106="","",VALUE(D106))</f>
        <v>55.694</v>
      </c>
      <c r="J106" s="208" t="n">
        <f aca="false">IF(E106="","",VALUE(E106))</f>
        <v>55.694</v>
      </c>
      <c r="K106" s="191"/>
      <c r="L106" s="140" t="s">
        <v>132</v>
      </c>
      <c r="M106" s="241" t="str">
        <f aca="false">IF(H106="","",IF($J106="","",IF(ABS(H106-$J106)&gt;$M$10,H106-$J106,"")))</f>
        <v/>
      </c>
      <c r="N106" s="242" t="str">
        <f aca="false">IF(I106="","",IF($J106="","",IF(ABS(I106-$J106)&gt;$M$10,I106-$J106,"")))</f>
        <v/>
      </c>
      <c r="P106" s="10"/>
      <c r="Q106" s="10"/>
      <c r="R106" s="10"/>
      <c r="S106" s="10"/>
      <c r="T106" s="10"/>
      <c r="U106" s="10"/>
    </row>
    <row r="107" customFormat="false" ht="12.75" hidden="false" customHeight="false" outlineLevel="0" collapsed="false">
      <c r="B107" s="31" t="s">
        <v>133</v>
      </c>
      <c r="C107" s="208"/>
      <c r="D107" s="253" t="n">
        <v>41.471</v>
      </c>
      <c r="E107" s="239" t="n">
        <v>41.471</v>
      </c>
      <c r="F107" s="191"/>
      <c r="G107" s="31" t="s">
        <v>133</v>
      </c>
      <c r="H107" s="208" t="str">
        <f aca="false">IF(C107="","",VALUE(C107))</f>
        <v/>
      </c>
      <c r="I107" s="209" t="n">
        <f aca="false">IF(D107="","",VALUE(D107))</f>
        <v>41.471</v>
      </c>
      <c r="J107" s="208" t="n">
        <f aca="false">IF(E107="","",VALUE(E107))</f>
        <v>41.471</v>
      </c>
      <c r="K107" s="191"/>
      <c r="L107" s="138" t="s">
        <v>133</v>
      </c>
      <c r="M107" s="241" t="str">
        <f aca="false">IF(H107="","",IF($J107="","",IF(ABS(H107-$J107)&gt;$M$10,H107-$J107,"")))</f>
        <v/>
      </c>
      <c r="N107" s="242" t="str">
        <f aca="false">IF(I107="","",IF($J107="","",IF(ABS(I107-$J107)&gt;$M$10,I107-$J107,"")))</f>
        <v/>
      </c>
      <c r="P107" s="10"/>
      <c r="Q107" s="10"/>
      <c r="R107" s="10"/>
      <c r="S107" s="10"/>
      <c r="T107" s="10"/>
      <c r="U107" s="10"/>
    </row>
    <row r="108" customFormat="false" ht="12.75" hidden="false" customHeight="false" outlineLevel="0" collapsed="false">
      <c r="B108" s="31" t="s">
        <v>134</v>
      </c>
      <c r="C108" s="208"/>
      <c r="D108" s="253"/>
      <c r="E108" s="239"/>
      <c r="F108" s="191"/>
      <c r="G108" s="31" t="s">
        <v>134</v>
      </c>
      <c r="H108" s="208" t="str">
        <f aca="false">IF(C108="","",VALUE(C108))</f>
        <v/>
      </c>
      <c r="I108" s="209" t="str">
        <f aca="false">IF(D108="","",VALUE(D108))</f>
        <v/>
      </c>
      <c r="J108" s="208" t="str">
        <f aca="false">IF(E108="","",VALUE(E108))</f>
        <v/>
      </c>
      <c r="K108" s="191"/>
      <c r="L108" s="138" t="s">
        <v>134</v>
      </c>
      <c r="M108" s="241" t="str">
        <f aca="false">IF(H108="","",IF($J108="","",IF(ABS(H108-$J108)&gt;$M$10,H108-$J108,"")))</f>
        <v/>
      </c>
      <c r="N108" s="242" t="str">
        <f aca="false">IF(I108="","",IF($J108="","",IF(ABS(I108-$J108)&gt;$M$10,I108-$J108,"")))</f>
        <v/>
      </c>
      <c r="P108" s="10"/>
      <c r="Q108" s="10"/>
      <c r="R108" s="10"/>
      <c r="S108" s="10"/>
      <c r="T108" s="10"/>
      <c r="U108" s="10"/>
    </row>
    <row r="109" customFormat="false" ht="12.75" hidden="false" customHeight="false" outlineLevel="0" collapsed="false">
      <c r="B109" s="31" t="s">
        <v>135</v>
      </c>
      <c r="C109" s="208"/>
      <c r="D109" s="254"/>
      <c r="E109" s="239"/>
      <c r="F109" s="191"/>
      <c r="G109" s="31" t="s">
        <v>135</v>
      </c>
      <c r="H109" s="208" t="str">
        <f aca="false">IF(C109="","",VALUE(C109))</f>
        <v/>
      </c>
      <c r="I109" s="209" t="str">
        <f aca="false">IF(D109="","",VALUE(D109))</f>
        <v/>
      </c>
      <c r="J109" s="208" t="str">
        <f aca="false">IF(E109="","",VALUE(E109))</f>
        <v/>
      </c>
      <c r="K109" s="191"/>
      <c r="L109" s="138" t="s">
        <v>135</v>
      </c>
      <c r="M109" s="241" t="str">
        <f aca="false">IF(H109="","",IF($J109="","",IF(ABS(H109-$J109)&gt;$M$10,H109-$J109,"")))</f>
        <v/>
      </c>
      <c r="N109" s="242" t="str">
        <f aca="false">IF(I109="","",IF($J109="","",IF(ABS(I109-$J109)&gt;$M$10,I109-$J109,"")))</f>
        <v/>
      </c>
      <c r="P109" s="10"/>
      <c r="Q109" s="10"/>
      <c r="R109" s="10"/>
      <c r="S109" s="10"/>
      <c r="T109" s="10"/>
      <c r="U109" s="10"/>
    </row>
    <row r="110" customFormat="false" ht="12.75" hidden="false" customHeight="false" outlineLevel="0" collapsed="false">
      <c r="B110" s="38" t="s">
        <v>136</v>
      </c>
      <c r="C110" s="208"/>
      <c r="D110" s="253"/>
      <c r="E110" s="239"/>
      <c r="F110" s="240"/>
      <c r="G110" s="38" t="s">
        <v>136</v>
      </c>
      <c r="H110" s="208" t="str">
        <f aca="false">IF(C110="","",VALUE(C110))</f>
        <v/>
      </c>
      <c r="I110" s="209" t="str">
        <f aca="false">IF(D110="","",VALUE(D110))</f>
        <v/>
      </c>
      <c r="J110" s="208" t="str">
        <f aca="false">IF(E110="","",VALUE(E110))</f>
        <v/>
      </c>
      <c r="K110" s="240"/>
      <c r="L110" s="140" t="s">
        <v>136</v>
      </c>
      <c r="M110" s="241" t="str">
        <f aca="false">IF(H110="","",IF($J110="","",IF(ABS(H110-$J110)&gt;$M$10,H110-$J110,"")))</f>
        <v/>
      </c>
      <c r="N110" s="242" t="str">
        <f aca="false">IF(I110="","",IF($J110="","",IF(ABS(I110-$J110)&gt;$M$10,I110-$J110,"")))</f>
        <v/>
      </c>
    </row>
    <row r="111" customFormat="false" ht="12.75" hidden="false" customHeight="false" outlineLevel="0" collapsed="false">
      <c r="B111" s="38" t="s">
        <v>137</v>
      </c>
      <c r="C111" s="208"/>
      <c r="D111" s="253"/>
      <c r="E111" s="239"/>
      <c r="F111" s="240"/>
      <c r="G111" s="38" t="s">
        <v>137</v>
      </c>
      <c r="H111" s="208" t="str">
        <f aca="false">IF(C111="","",VALUE(C111))</f>
        <v/>
      </c>
      <c r="I111" s="209" t="str">
        <f aca="false">IF(D111="","",VALUE(D111))</f>
        <v/>
      </c>
      <c r="J111" s="208" t="str">
        <f aca="false">IF(E111="","",VALUE(E111))</f>
        <v/>
      </c>
      <c r="K111" s="240"/>
      <c r="L111" s="140" t="s">
        <v>137</v>
      </c>
      <c r="M111" s="241" t="str">
        <f aca="false">IF(H111="","",IF($J111="","",IF(ABS(H111-$J111)&gt;$M$10,H111-$J111,"")))</f>
        <v/>
      </c>
      <c r="N111" s="242" t="str">
        <f aca="false">IF(I111="","",IF($J111="","",IF(ABS(I111-$J111)&gt;$M$10,I111-$J111,"")))</f>
        <v/>
      </c>
    </row>
    <row r="112" customFormat="false" ht="12.75" hidden="false" customHeight="false" outlineLevel="0" collapsed="false">
      <c r="B112" s="31" t="s">
        <v>138</v>
      </c>
      <c r="C112" s="238" t="n">
        <v>30.648</v>
      </c>
      <c r="D112" s="253" t="n">
        <v>30.759</v>
      </c>
      <c r="E112" s="239" t="n">
        <v>30.759</v>
      </c>
      <c r="F112" s="240"/>
      <c r="G112" s="31" t="s">
        <v>138</v>
      </c>
      <c r="H112" s="208" t="n">
        <f aca="false">IF(C112="","",VALUE(C112))</f>
        <v>30.648</v>
      </c>
      <c r="I112" s="209" t="n">
        <f aca="false">IF(D112="","",VALUE(D112))</f>
        <v>30.759</v>
      </c>
      <c r="J112" s="208" t="n">
        <f aca="false">IF(E112="","",VALUE(E112))</f>
        <v>30.759</v>
      </c>
      <c r="K112" s="240"/>
      <c r="L112" s="138" t="s">
        <v>138</v>
      </c>
      <c r="M112" s="241" t="n">
        <f aca="false">IF(H112="","",IF($J112="","",IF(ABS(H112-$J112)&gt;$M$10,H112-$J112,"")))</f>
        <v>-0.111000000000001</v>
      </c>
      <c r="N112" s="242" t="str">
        <f aca="false">IF(I112="","",IF($J112="","",IF(ABS(I112-$J112)&gt;$M$10,I112-$J112,"")))</f>
        <v/>
      </c>
    </row>
    <row r="113" customFormat="false" ht="12.75" hidden="false" customHeight="false" outlineLevel="0" collapsed="false">
      <c r="B113" s="31" t="s">
        <v>139</v>
      </c>
      <c r="C113" s="208"/>
      <c r="D113" s="253"/>
      <c r="E113" s="239"/>
      <c r="F113" s="240"/>
      <c r="G113" s="31" t="s">
        <v>139</v>
      </c>
      <c r="H113" s="208" t="str">
        <f aca="false">IF(C113="","",VALUE(C113))</f>
        <v/>
      </c>
      <c r="I113" s="209" t="str">
        <f aca="false">IF(D113="","",VALUE(D113))</f>
        <v/>
      </c>
      <c r="J113" s="208" t="str">
        <f aca="false">IF(E113="","",VALUE(E113))</f>
        <v/>
      </c>
      <c r="K113" s="240"/>
      <c r="L113" s="138" t="s">
        <v>139</v>
      </c>
      <c r="M113" s="241" t="str">
        <f aca="false">IF(H113="","",IF($J113="","",IF(ABS(H113-$J113)&gt;$M$10,H113-$J113,"")))</f>
        <v/>
      </c>
      <c r="N113" s="242" t="str">
        <f aca="false">IF(I113="","",IF($J113="","",IF(ABS(I113-$J113)&gt;$M$10,I113-$J113,"")))</f>
        <v/>
      </c>
      <c r="T113" s="10"/>
      <c r="U113" s="10"/>
    </row>
    <row r="114" customFormat="false" ht="12.75" hidden="false" customHeight="false" outlineLevel="0" collapsed="false">
      <c r="B114" s="31" t="s">
        <v>140</v>
      </c>
      <c r="C114" s="208"/>
      <c r="D114" s="253"/>
      <c r="E114" s="239"/>
      <c r="F114" s="191"/>
      <c r="G114" s="31" t="s">
        <v>140</v>
      </c>
      <c r="H114" s="208" t="str">
        <f aca="false">IF(C114="","",VALUE(C114))</f>
        <v/>
      </c>
      <c r="I114" s="209" t="str">
        <f aca="false">IF(D114="","",VALUE(D114))</f>
        <v/>
      </c>
      <c r="J114" s="208" t="str">
        <f aca="false">IF(E114="","",VALUE(E114))</f>
        <v/>
      </c>
      <c r="K114" s="191"/>
      <c r="L114" s="138" t="s">
        <v>140</v>
      </c>
      <c r="M114" s="241" t="str">
        <f aca="false">IF(H114="","",IF($J114="","",IF(ABS(H114-$J114)&gt;$M$10,H114-$J114,"")))</f>
        <v/>
      </c>
      <c r="N114" s="242" t="str">
        <f aca="false">IF(I114="","",IF($J114="","",IF(ABS(I114-$J114)&gt;$M$10,I114-$J114,"")))</f>
        <v/>
      </c>
      <c r="Q114" s="10"/>
      <c r="R114" s="10"/>
      <c r="S114" s="10"/>
      <c r="T114" s="10"/>
      <c r="U114" s="10"/>
    </row>
    <row r="115" customFormat="false" ht="12.75" hidden="false" customHeight="false" outlineLevel="0" collapsed="false">
      <c r="B115" s="31" t="s">
        <v>141</v>
      </c>
      <c r="C115" s="208"/>
      <c r="D115" s="253"/>
      <c r="E115" s="239"/>
      <c r="F115" s="191"/>
      <c r="G115" s="31" t="s">
        <v>141</v>
      </c>
      <c r="H115" s="208" t="str">
        <f aca="false">IF(C115="","",VALUE(C115))</f>
        <v/>
      </c>
      <c r="I115" s="209" t="str">
        <f aca="false">IF(D115="","",VALUE(D115))</f>
        <v/>
      </c>
      <c r="J115" s="208" t="str">
        <f aca="false">IF(E115="","",VALUE(E115))</f>
        <v/>
      </c>
      <c r="K115" s="191"/>
      <c r="L115" s="138" t="s">
        <v>141</v>
      </c>
      <c r="M115" s="241" t="str">
        <f aca="false">IF(H115="","",IF($J115="","",IF(ABS(H115-$J115)&gt;$M$10,H115-$J115,"")))</f>
        <v/>
      </c>
      <c r="N115" s="242" t="str">
        <f aca="false">IF(I115="","",IF($J115="","",IF(ABS(I115-$J115)&gt;$M$10,I115-$J115,"")))</f>
        <v/>
      </c>
      <c r="Q115" s="10"/>
      <c r="R115" s="10"/>
      <c r="S115" s="10"/>
      <c r="T115" s="10"/>
      <c r="U115" s="10"/>
    </row>
    <row r="116" customFormat="false" ht="12.75" hidden="false" customHeight="false" outlineLevel="0" collapsed="false">
      <c r="B116" s="31" t="s">
        <v>142</v>
      </c>
      <c r="C116" s="208"/>
      <c r="D116" s="253" t="n">
        <v>28.936</v>
      </c>
      <c r="E116" s="239" t="n">
        <v>28.936</v>
      </c>
      <c r="F116" s="191"/>
      <c r="G116" s="31" t="s">
        <v>142</v>
      </c>
      <c r="H116" s="208" t="str">
        <f aca="false">IF(C116="","",VALUE(C116))</f>
        <v/>
      </c>
      <c r="I116" s="209" t="n">
        <f aca="false">IF(D116="","",VALUE(D116))</f>
        <v>28.936</v>
      </c>
      <c r="J116" s="208" t="n">
        <f aca="false">IF(E116="","",VALUE(E116))</f>
        <v>28.936</v>
      </c>
      <c r="K116" s="191"/>
      <c r="L116" s="138" t="s">
        <v>142</v>
      </c>
      <c r="M116" s="241" t="str">
        <f aca="false">IF(H116="","",IF($J116="","",IF(ABS(H116-$J116)&gt;$M$10,H116-$J116,"")))</f>
        <v/>
      </c>
      <c r="N116" s="242" t="str">
        <f aca="false">IF(I116="","",IF($J116="","",IF(ABS(I116-$J116)&gt;$M$10,I116-$J116,"")))</f>
        <v/>
      </c>
      <c r="Q116" s="10"/>
      <c r="R116" s="10"/>
      <c r="S116" s="10"/>
      <c r="T116" s="10"/>
      <c r="U116" s="10"/>
    </row>
    <row r="117" customFormat="false" ht="12.75" hidden="false" customHeight="false" outlineLevel="0" collapsed="false">
      <c r="A117" s="87"/>
      <c r="B117" s="31" t="s">
        <v>143</v>
      </c>
      <c r="C117" s="208" t="n">
        <v>32.66</v>
      </c>
      <c r="D117" s="254" t="s">
        <v>692</v>
      </c>
      <c r="E117" s="243" t="s">
        <v>692</v>
      </c>
      <c r="F117" s="191"/>
      <c r="G117" s="31" t="s">
        <v>143</v>
      </c>
      <c r="H117" s="208" t="n">
        <f aca="false">IF(C117="","",VALUE(C117))</f>
        <v>32.66</v>
      </c>
      <c r="I117" s="209" t="n">
        <f aca="false">IF(D117="","",VALUE(D117))</f>
        <v>32.66</v>
      </c>
      <c r="J117" s="208" t="n">
        <f aca="false">IF(E117="","",VALUE(E117))</f>
        <v>32.66</v>
      </c>
      <c r="K117" s="191"/>
      <c r="L117" s="138" t="s">
        <v>143</v>
      </c>
      <c r="M117" s="241" t="str">
        <f aca="false">IF(H117="","",IF($J117="","",IF(ABS(H117-$J117)&gt;$M$10,H117-$J117,"")))</f>
        <v/>
      </c>
      <c r="N117" s="242" t="str">
        <f aca="false">IF(I117="","",IF($J117="","",IF(ABS(I117-$J117)&gt;$M$10,I117-$J117,"")))</f>
        <v/>
      </c>
      <c r="P117" s="10"/>
      <c r="Q117" s="10"/>
      <c r="R117" s="10"/>
      <c r="S117" s="10"/>
      <c r="T117" s="10"/>
      <c r="U117" s="10"/>
    </row>
    <row r="118" customFormat="false" ht="12.75" hidden="false" customHeight="false" outlineLevel="0" collapsed="false">
      <c r="B118" s="31" t="s">
        <v>144</v>
      </c>
      <c r="C118" s="208"/>
      <c r="D118" s="253" t="n">
        <v>169.684</v>
      </c>
      <c r="E118" s="239" t="n">
        <v>169.684</v>
      </c>
      <c r="F118" s="191"/>
      <c r="G118" s="31" t="s">
        <v>144</v>
      </c>
      <c r="H118" s="208" t="str">
        <f aca="false">IF(C118="","",VALUE(C118))</f>
        <v/>
      </c>
      <c r="I118" s="209" t="n">
        <f aca="false">IF(D118="","",VALUE(D118))</f>
        <v>169.684</v>
      </c>
      <c r="J118" s="208" t="n">
        <f aca="false">IF(E118="","",VALUE(E118))</f>
        <v>169.684</v>
      </c>
      <c r="K118" s="191"/>
      <c r="L118" s="138" t="s">
        <v>144</v>
      </c>
      <c r="M118" s="241" t="str">
        <f aca="false">IF(H118="","",IF($J118="","",IF(ABS(H118-$J118)&gt;$M$10,H118-$J118,"")))</f>
        <v/>
      </c>
      <c r="N118" s="242" t="str">
        <f aca="false">IF(I118="","",IF($J118="","",IF(ABS(I118-$J118)&gt;$M$10,I118-$J118,"")))</f>
        <v/>
      </c>
      <c r="P118" s="10"/>
      <c r="Q118" s="10"/>
      <c r="R118" s="10"/>
      <c r="S118" s="10"/>
      <c r="T118" s="10"/>
      <c r="U118" s="10"/>
    </row>
    <row r="119" customFormat="false" ht="12.75" hidden="false" customHeight="false" outlineLevel="0" collapsed="false">
      <c r="B119" s="31" t="s">
        <v>145</v>
      </c>
      <c r="C119" s="208"/>
      <c r="D119" s="253"/>
      <c r="E119" s="239"/>
      <c r="F119" s="191"/>
      <c r="G119" s="31" t="s">
        <v>145</v>
      </c>
      <c r="H119" s="208" t="str">
        <f aca="false">IF(C119="","",VALUE(C119))</f>
        <v/>
      </c>
      <c r="I119" s="209" t="str">
        <f aca="false">IF(D119="","",VALUE(D119))</f>
        <v/>
      </c>
      <c r="J119" s="208" t="str">
        <f aca="false">IF(E119="","",VALUE(E119))</f>
        <v/>
      </c>
      <c r="K119" s="191"/>
      <c r="L119" s="138" t="s">
        <v>145</v>
      </c>
      <c r="M119" s="241" t="str">
        <f aca="false">IF(H119="","",IF($J119="","",IF(ABS(H119-$J119)&gt;$M$10,H119-$J119,"")))</f>
        <v/>
      </c>
      <c r="N119" s="242" t="str">
        <f aca="false">IF(I119="","",IF($J119="","",IF(ABS(I119-$J119)&gt;$M$10,I119-$J119,"")))</f>
        <v/>
      </c>
      <c r="P119" s="10"/>
      <c r="Q119" s="10"/>
      <c r="R119" s="10"/>
      <c r="S119" s="10"/>
      <c r="T119" s="10"/>
      <c r="U119" s="10"/>
    </row>
    <row r="120" customFormat="false" ht="12.75" hidden="false" customHeight="false" outlineLevel="0" collapsed="false">
      <c r="B120" s="31" t="s">
        <v>146</v>
      </c>
      <c r="C120" s="208"/>
      <c r="D120" s="253"/>
      <c r="E120" s="239"/>
      <c r="F120" s="191"/>
      <c r="G120" s="31" t="s">
        <v>146</v>
      </c>
      <c r="H120" s="208" t="str">
        <f aca="false">IF(C120="","",VALUE(C120))</f>
        <v/>
      </c>
      <c r="I120" s="209" t="str">
        <f aca="false">IF(D120="","",VALUE(D120))</f>
        <v/>
      </c>
      <c r="J120" s="208" t="str">
        <f aca="false">IF(E120="","",VALUE(E120))</f>
        <v/>
      </c>
      <c r="K120" s="191"/>
      <c r="L120" s="138" t="s">
        <v>146</v>
      </c>
      <c r="M120" s="241" t="str">
        <f aca="false">IF(H120="","",IF($J120="","",IF(ABS(H120-$J120)&gt;$M$10,H120-$J120,"")))</f>
        <v/>
      </c>
      <c r="N120" s="242" t="str">
        <f aca="false">IF(I120="","",IF($J120="","",IF(ABS(I120-$J120)&gt;$M$10,I120-$J120,"")))</f>
        <v/>
      </c>
      <c r="P120" s="10"/>
      <c r="Q120" s="10"/>
      <c r="R120" s="10"/>
      <c r="S120" s="10"/>
      <c r="T120" s="10"/>
      <c r="U120" s="10"/>
    </row>
    <row r="121" customFormat="false" ht="12.75" hidden="false" customHeight="false" outlineLevel="0" collapsed="false">
      <c r="B121" s="31" t="s">
        <v>147</v>
      </c>
      <c r="C121" s="208"/>
      <c r="D121" s="253" t="n">
        <v>41.717</v>
      </c>
      <c r="E121" s="239" t="n">
        <v>41.717</v>
      </c>
      <c r="F121" s="240"/>
      <c r="G121" s="31" t="s">
        <v>147</v>
      </c>
      <c r="H121" s="208" t="str">
        <f aca="false">IF(C121="","",VALUE(C121))</f>
        <v/>
      </c>
      <c r="I121" s="209" t="n">
        <f aca="false">IF(D121="","",VALUE(D121))</f>
        <v>41.717</v>
      </c>
      <c r="J121" s="208" t="n">
        <f aca="false">IF(E121="","",VALUE(E121))</f>
        <v>41.717</v>
      </c>
      <c r="K121" s="240"/>
      <c r="L121" s="138" t="s">
        <v>147</v>
      </c>
      <c r="M121" s="241" t="str">
        <f aca="false">IF(H121="","",IF($J121="","",IF(ABS(H121-$J121)&gt;$M$10,H121-$J121,"")))</f>
        <v/>
      </c>
      <c r="N121" s="242" t="str">
        <f aca="false">IF(I121="","",IF($J121="","",IF(ABS(I121-$J121)&gt;$M$10,I121-$J121,"")))</f>
        <v/>
      </c>
    </row>
    <row r="122" customFormat="false" ht="13.5" hidden="false" customHeight="false" outlineLevel="0" collapsed="false">
      <c r="B122" s="39" t="s">
        <v>148</v>
      </c>
      <c r="C122" s="238" t="n">
        <v>38.97</v>
      </c>
      <c r="D122" s="265" t="n">
        <v>38.869</v>
      </c>
      <c r="E122" s="244" t="n">
        <v>38.869</v>
      </c>
      <c r="F122" s="240"/>
      <c r="G122" s="39" t="s">
        <v>148</v>
      </c>
      <c r="H122" s="208" t="n">
        <f aca="false">IF(C122="","",VALUE(C122))</f>
        <v>38.97</v>
      </c>
      <c r="I122" s="209" t="n">
        <f aca="false">IF(D122="","",VALUE(D122))</f>
        <v>38.869</v>
      </c>
      <c r="J122" s="208" t="n">
        <f aca="false">IF(E122="","",VALUE(E122))</f>
        <v>38.869</v>
      </c>
      <c r="K122" s="240"/>
      <c r="L122" s="144" t="s">
        <v>148</v>
      </c>
      <c r="M122" s="245" t="n">
        <f aca="false">IF(H122="","",IF($J122="","",IF(ABS(H122-$J122)&gt;$M$10,H122-$J122,"")))</f>
        <v>0.100999999999999</v>
      </c>
      <c r="N122" s="246" t="str">
        <f aca="false">IF(I122="","",IF($J122="","",IF(ABS(I122-$J122)&gt;$M$10,I122-$J122,"")))</f>
        <v/>
      </c>
    </row>
    <row r="123" customFormat="false" ht="13.5" hidden="false" customHeight="false" outlineLevel="0" collapsed="false">
      <c r="B123" s="146" t="s">
        <v>185</v>
      </c>
      <c r="C123" s="70" t="n">
        <f aca="false">COUNT(C20:C122)</f>
        <v>29</v>
      </c>
      <c r="D123" s="70" t="n">
        <f aca="false">COUNTA(D20:D122)</f>
        <v>47</v>
      </c>
      <c r="E123" s="70" t="n">
        <f aca="false">COUNTA(E20:E122)</f>
        <v>47</v>
      </c>
      <c r="F123" s="10"/>
      <c r="G123" s="146" t="s">
        <v>185</v>
      </c>
      <c r="H123" s="70" t="n">
        <f aca="false">COUNT(H20:H122)</f>
        <v>29</v>
      </c>
      <c r="I123" s="70" t="n">
        <f aca="false">COUNT(I20:I122)</f>
        <v>47</v>
      </c>
      <c r="J123" s="70" t="n">
        <f aca="false">COUNT(J20:J122)</f>
        <v>47</v>
      </c>
      <c r="K123" s="10"/>
      <c r="L123" s="146" t="s">
        <v>185</v>
      </c>
      <c r="M123" s="247" t="n">
        <f aca="false">COUNT(M20:M122)</f>
        <v>4</v>
      </c>
      <c r="N123" s="247" t="n">
        <f aca="false">COUNT(N20:N122)</f>
        <v>0</v>
      </c>
    </row>
    <row r="124" customFormat="false" ht="12.75" hidden="false" customHeight="false" outlineLevel="0" collapsed="false">
      <c r="F124" s="10"/>
      <c r="K124" s="10"/>
      <c r="T124" s="10"/>
      <c r="U124" s="10"/>
    </row>
    <row r="125" customFormat="false" ht="12.75" hidden="false" customHeight="false" outlineLevel="0" collapsed="false">
      <c r="Q125" s="10"/>
      <c r="R125" s="10"/>
      <c r="S125" s="10"/>
      <c r="T125" s="10"/>
      <c r="U125" s="10"/>
    </row>
    <row r="126" customFormat="false" ht="13.5" hidden="false" customHeight="false" outlineLevel="0" collapsed="false">
      <c r="Q126" s="10"/>
      <c r="R126" s="10"/>
      <c r="S126" s="10"/>
      <c r="T126" s="10"/>
      <c r="U126" s="10"/>
    </row>
    <row r="127" customFormat="false" ht="13.5" hidden="false" customHeight="false" outlineLevel="0" collapsed="false">
      <c r="B127" s="120" t="s">
        <v>160</v>
      </c>
      <c r="C127" s="95" t="s">
        <v>213</v>
      </c>
      <c r="D127" s="48" t="s">
        <v>558</v>
      </c>
      <c r="E127" s="48" t="s">
        <v>562</v>
      </c>
      <c r="G127" s="11" t="s">
        <v>160</v>
      </c>
      <c r="H127" s="259" t="str">
        <f aca="false">C127</f>
        <v>JANAF 2</v>
      </c>
      <c r="I127" s="48" t="str">
        <f aca="false">D127</f>
        <v>JANAF 3</v>
      </c>
      <c r="J127" s="48" t="str">
        <f aca="false">E127</f>
        <v>JANAF 4</v>
      </c>
      <c r="L127" s="120" t="s">
        <v>160</v>
      </c>
      <c r="M127" s="259" t="str">
        <f aca="false">H127</f>
        <v>JANAF 2</v>
      </c>
      <c r="N127" s="50" t="str">
        <f aca="false">I127</f>
        <v>JANAF 3</v>
      </c>
    </row>
    <row r="128" customFormat="false" ht="12.75" hidden="false" customHeight="false" outlineLevel="0" collapsed="false">
      <c r="B128" s="11"/>
      <c r="C128" s="51" t="s">
        <v>216</v>
      </c>
      <c r="D128" s="50" t="s">
        <v>568</v>
      </c>
      <c r="E128" s="51" t="s">
        <v>571</v>
      </c>
      <c r="G128" s="15"/>
      <c r="H128" s="51" t="str">
        <f aca="false">C128</f>
        <v>Stull and</v>
      </c>
      <c r="I128" s="51" t="str">
        <f aca="false">D128</f>
        <v>Chase </v>
      </c>
      <c r="J128" s="51" t="str">
        <f aca="false">E128</f>
        <v>Chase</v>
      </c>
      <c r="L128" s="15"/>
      <c r="M128" s="51" t="str">
        <f aca="false">H128</f>
        <v>Stull and</v>
      </c>
      <c r="N128" s="51" t="str">
        <f aca="false">I128</f>
        <v>Chase </v>
      </c>
    </row>
    <row r="129" customFormat="false" ht="12.75" hidden="false" customHeight="false" outlineLevel="0" collapsed="false">
      <c r="B129" s="16" t="s">
        <v>20</v>
      </c>
      <c r="C129" s="54" t="s">
        <v>225</v>
      </c>
      <c r="D129" s="53" t="s">
        <v>165</v>
      </c>
      <c r="E129" s="54" t="s">
        <v>575</v>
      </c>
      <c r="F129" s="10"/>
      <c r="G129" s="20" t="s">
        <v>20</v>
      </c>
      <c r="H129" s="54" t="str">
        <f aca="false">C129</f>
        <v>Prophet</v>
      </c>
      <c r="I129" s="54" t="str">
        <f aca="false">D129</f>
        <v>et al.</v>
      </c>
      <c r="J129" s="54" t="str">
        <f aca="false">E129</f>
        <v>(ed.)</v>
      </c>
      <c r="K129" s="10"/>
      <c r="L129" s="20" t="s">
        <v>20</v>
      </c>
      <c r="M129" s="54" t="str">
        <f aca="false">H129</f>
        <v>Prophet</v>
      </c>
      <c r="N129" s="54" t="str">
        <f aca="false">I129</f>
        <v>et al.</v>
      </c>
    </row>
    <row r="130" customFormat="false" ht="12.75" hidden="false" customHeight="false" outlineLevel="0" collapsed="false">
      <c r="B130" s="16" t="s">
        <v>17</v>
      </c>
      <c r="C130" s="54" t="n">
        <v>1971</v>
      </c>
      <c r="D130" s="53" t="n">
        <v>1985</v>
      </c>
      <c r="E130" s="54" t="n">
        <v>1998</v>
      </c>
      <c r="F130" s="10"/>
      <c r="G130" s="20" t="s">
        <v>17</v>
      </c>
      <c r="H130" s="54" t="n">
        <f aca="false">C130</f>
        <v>1971</v>
      </c>
      <c r="I130" s="54" t="n">
        <f aca="false">D130</f>
        <v>1985</v>
      </c>
      <c r="J130" s="54" t="n">
        <f aca="false">E130</f>
        <v>1998</v>
      </c>
      <c r="K130" s="10"/>
      <c r="L130" s="20" t="s">
        <v>17</v>
      </c>
      <c r="M130" s="54" t="n">
        <f aca="false">H130</f>
        <v>1971</v>
      </c>
      <c r="N130" s="54" t="n">
        <f aca="false">I130</f>
        <v>1985</v>
      </c>
      <c r="T130" s="10"/>
      <c r="U130" s="10"/>
    </row>
    <row r="131" customFormat="false" ht="15" hidden="false" customHeight="false" outlineLevel="0" collapsed="false">
      <c r="B131" s="21" t="s">
        <v>29</v>
      </c>
      <c r="C131" s="55" t="s">
        <v>167</v>
      </c>
      <c r="D131" s="55" t="s">
        <v>167</v>
      </c>
      <c r="E131" s="55" t="s">
        <v>167</v>
      </c>
      <c r="G131" s="25" t="s">
        <v>29</v>
      </c>
      <c r="H131" s="55" t="s">
        <v>167</v>
      </c>
      <c r="I131" s="55" t="s">
        <v>167</v>
      </c>
      <c r="J131" s="55" t="s">
        <v>167</v>
      </c>
      <c r="L131" s="25" t="s">
        <v>29</v>
      </c>
      <c r="M131" s="55" t="s">
        <v>167</v>
      </c>
      <c r="N131" s="55" t="s">
        <v>167</v>
      </c>
      <c r="Q131" s="10"/>
      <c r="R131" s="10"/>
      <c r="S131" s="10"/>
      <c r="T131" s="10"/>
      <c r="U131" s="10"/>
    </row>
    <row r="132" customFormat="false" ht="12.75" hidden="false" customHeight="false" outlineLevel="0" collapsed="false">
      <c r="B132" s="74" t="s">
        <v>187</v>
      </c>
      <c r="C132" s="249" t="n">
        <v>41.079</v>
      </c>
      <c r="D132" s="253" t="n">
        <v>41.077</v>
      </c>
      <c r="E132" s="251" t="n">
        <v>41.077</v>
      </c>
      <c r="G132" s="26" t="s">
        <v>187</v>
      </c>
      <c r="H132" s="208" t="n">
        <f aca="false">IF(C132="","",VALUE(C132))</f>
        <v>41.079</v>
      </c>
      <c r="I132" s="209" t="n">
        <f aca="false">IF(D132="","",VALUE(D132))</f>
        <v>41.077</v>
      </c>
      <c r="J132" s="208" t="n">
        <f aca="false">IF(E132="","",VALUE(E132))</f>
        <v>41.077</v>
      </c>
      <c r="L132" s="74" t="s">
        <v>187</v>
      </c>
      <c r="M132" s="261" t="str">
        <f aca="false">IF(H132="","",IF($J132="","",IF(ABS(H132-$J132)&gt;$M$10,H132-$J132,"")))</f>
        <v/>
      </c>
      <c r="N132" s="262" t="str">
        <f aca="false">IF(I132="","",IF($J132="","",IF(ABS(I132-$J132)&gt;$M$10,I132-$J132,"")))</f>
        <v/>
      </c>
      <c r="Q132" s="10"/>
      <c r="R132" s="10"/>
      <c r="S132" s="10"/>
      <c r="T132" s="10"/>
      <c r="U132" s="10"/>
    </row>
    <row r="133" customFormat="false" ht="13.5" hidden="false" customHeight="false" outlineLevel="0" collapsed="false">
      <c r="B133" s="39" t="s">
        <v>188</v>
      </c>
      <c r="C133" s="249" t="n">
        <v>22.803</v>
      </c>
      <c r="D133" s="253" t="n">
        <v>22.853</v>
      </c>
      <c r="E133" s="244"/>
      <c r="G133" s="39" t="s">
        <v>188</v>
      </c>
      <c r="H133" s="208" t="n">
        <f aca="false">IF(C133="","",VALUE(C133))</f>
        <v>22.803</v>
      </c>
      <c r="I133" s="209" t="n">
        <f aca="false">IF(D133="","",VALUE(D133))</f>
        <v>22.853</v>
      </c>
      <c r="J133" s="208" t="str">
        <f aca="false">IF(E133="","",VALUE(E133))</f>
        <v/>
      </c>
      <c r="L133" s="39" t="s">
        <v>188</v>
      </c>
      <c r="M133" s="245" t="str">
        <f aca="false">IF(H133="","",IF($J133="","",IF(ABS(H133-$J133)&gt;$M$10,H133-$J133,"")))</f>
        <v/>
      </c>
      <c r="N133" s="246" t="str">
        <f aca="false">IF(I133="","",IF($J133="","",IF(ABS(I133-$J133)&gt;$M$10,I133-$J133,"")))</f>
        <v/>
      </c>
      <c r="Q133" s="10"/>
      <c r="R133" s="10"/>
      <c r="S133" s="10"/>
      <c r="T133" s="10"/>
      <c r="U133" s="10"/>
    </row>
    <row r="134" customFormat="false" ht="13.5" hidden="false" customHeight="false" outlineLevel="0" collapsed="false">
      <c r="B134" s="80" t="s">
        <v>16</v>
      </c>
      <c r="C134" s="82" t="s">
        <v>506</v>
      </c>
      <c r="D134" s="82" t="s">
        <v>505</v>
      </c>
      <c r="E134" s="82" t="s">
        <v>505</v>
      </c>
      <c r="G134" s="80" t="s">
        <v>16</v>
      </c>
      <c r="H134" s="82" t="str">
        <f aca="false">C134</f>
        <v>red</v>
      </c>
      <c r="I134" s="82" t="str">
        <f aca="false">D134</f>
        <v>white</v>
      </c>
      <c r="J134" s="82" t="str">
        <f aca="false">E134</f>
        <v>white</v>
      </c>
      <c r="L134" s="80" t="s">
        <v>16</v>
      </c>
      <c r="M134" s="82" t="str">
        <f aca="false">H134</f>
        <v>red</v>
      </c>
      <c r="N134" s="82" t="str">
        <f aca="false">I134</f>
        <v>white</v>
      </c>
      <c r="P134" s="10"/>
      <c r="Q134" s="10"/>
      <c r="R134" s="10"/>
      <c r="S134" s="10"/>
      <c r="T134" s="10"/>
      <c r="U134" s="10"/>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O134"/>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E122" activeCellId="1" sqref="B16:B122 E16:F122"/>
    </sheetView>
  </sheetViews>
  <sheetFormatPr defaultRowHeight="12.75" zeroHeight="false" outlineLevelRow="0" outlineLevelCol="0"/>
  <cols>
    <col collapsed="false" customWidth="true" hidden="false" outlineLevel="0" max="1025" min="1" style="0" width="11.42"/>
  </cols>
  <sheetData>
    <row r="1" customFormat="false" ht="12.75" hidden="false" customHeight="false" outlineLevel="0" collapsed="false">
      <c r="A1" s="9" t="str">
        <f aca="true">MID(CELL("filename",$A$1),   FIND("\[",CELL("filename",$A$1))+2,   FIND("]",CELL("filename",$A$1),FIND("\[",CELL("filename",$A$1))+2)-FIND("\[",CELL("filename",$A$1))-2)</f>
        <v>TDProperties_Rev0_v69.xlsx</v>
      </c>
    </row>
    <row r="2" customFormat="false" ht="12.75" hidden="false" customHeight="false" outlineLevel="0" collapsed="false">
      <c r="A2" s="0" t="str">
        <f aca="true">MID(CELL("filename",A1),FIND("]",CELL("filename",A1))+1,256)</f>
        <v>Elements C89&amp;NEA w Uncert</v>
      </c>
    </row>
    <row r="4" customFormat="false" ht="12.75" hidden="false" customHeight="false" outlineLevel="0" collapsed="false">
      <c r="A4" s="9" t="s">
        <v>720</v>
      </c>
    </row>
    <row r="5" customFormat="false" ht="12.75" hidden="false" customHeight="false" outlineLevel="0" collapsed="false">
      <c r="A5" s="10" t="s">
        <v>150</v>
      </c>
    </row>
    <row r="6" customFormat="false" ht="12.75" hidden="false" customHeight="false" outlineLevel="0" collapsed="false">
      <c r="A6" s="10"/>
      <c r="J6" s="10"/>
      <c r="K6" s="10"/>
    </row>
    <row r="7" customFormat="false" ht="13.5" hidden="false" customHeight="false" outlineLevel="0" collapsed="false">
      <c r="A7" s="10"/>
      <c r="J7" s="10"/>
      <c r="K7" s="10"/>
    </row>
    <row r="8" customFormat="false" ht="12.75" hidden="false" customHeight="false" outlineLevel="0" collapsed="false">
      <c r="A8" s="10"/>
      <c r="C8" s="51" t="s">
        <v>530</v>
      </c>
      <c r="E8" s="50" t="s">
        <v>560</v>
      </c>
    </row>
    <row r="9" customFormat="false" ht="13.5" hidden="false" customHeight="false" outlineLevel="0" collapsed="false">
      <c r="C9" s="54" t="s">
        <v>165</v>
      </c>
      <c r="E9" s="54" t="s">
        <v>574</v>
      </c>
      <c r="I9" s="10"/>
      <c r="J9" s="10"/>
      <c r="K9" s="10"/>
    </row>
    <row r="10" customFormat="false" ht="13.5" hidden="false" customHeight="false" outlineLevel="0" collapsed="false">
      <c r="C10" s="266" t="n">
        <v>1989</v>
      </c>
      <c r="E10" s="55" t="s">
        <v>579</v>
      </c>
      <c r="H10" s="10" t="s">
        <v>709</v>
      </c>
      <c r="I10" s="70" t="n">
        <v>0</v>
      </c>
      <c r="J10" s="10" t="s">
        <v>710</v>
      </c>
      <c r="K10" s="10"/>
    </row>
    <row r="11" customFormat="false" ht="12.75" hidden="false" customHeight="false" outlineLevel="0" collapsed="false">
      <c r="B11" s="10"/>
      <c r="C11" s="10"/>
      <c r="D11" s="10"/>
      <c r="I11" s="10"/>
      <c r="J11" s="10"/>
      <c r="K11" s="10"/>
    </row>
    <row r="12" customFormat="false" ht="12.75" hidden="false" customHeight="false" outlineLevel="0" collapsed="false">
      <c r="B12" s="9" t="s">
        <v>152</v>
      </c>
      <c r="C12" s="9"/>
      <c r="D12" s="9"/>
      <c r="H12" s="9" t="s">
        <v>721</v>
      </c>
      <c r="I12" s="10"/>
      <c r="J12" s="10"/>
      <c r="K12" s="10"/>
    </row>
    <row r="13" customFormat="false" ht="12.75" hidden="false" customHeight="false" outlineLevel="0" collapsed="false">
      <c r="B13" s="9" t="s">
        <v>157</v>
      </c>
      <c r="C13" s="9"/>
      <c r="D13" s="267"/>
      <c r="E13" s="9"/>
      <c r="F13" s="9"/>
      <c r="G13" s="10"/>
      <c r="H13" s="9" t="s">
        <v>157</v>
      </c>
    </row>
    <row r="14" customFormat="false" ht="13.5" hidden="false" customHeight="false" outlineLevel="0" collapsed="false">
      <c r="A14" s="2"/>
      <c r="B14" s="10"/>
      <c r="C14" s="10"/>
      <c r="D14" s="10"/>
      <c r="E14" s="9"/>
    </row>
    <row r="15" customFormat="false" ht="13.5" hidden="false" customHeight="false" outlineLevel="0" collapsed="false">
      <c r="A15" s="71"/>
      <c r="B15" s="120" t="s">
        <v>160</v>
      </c>
      <c r="C15" s="47" t="s">
        <v>722</v>
      </c>
      <c r="D15" s="268"/>
      <c r="E15" s="47" t="s">
        <v>723</v>
      </c>
      <c r="F15" s="268"/>
      <c r="G15" s="71"/>
      <c r="H15" s="120" t="s">
        <v>160</v>
      </c>
      <c r="I15" s="47" t="s">
        <v>724</v>
      </c>
      <c r="J15" s="268"/>
      <c r="K15" s="2"/>
      <c r="L15" s="71"/>
      <c r="M15" s="71"/>
      <c r="N15" s="71"/>
      <c r="O15" s="71"/>
    </row>
    <row r="16" customFormat="false" ht="12.75" hidden="false" customHeight="false" outlineLevel="0" collapsed="false">
      <c r="B16" s="16"/>
      <c r="C16" s="168"/>
      <c r="D16" s="168"/>
      <c r="E16" s="168"/>
      <c r="F16" s="168"/>
      <c r="G16" s="10"/>
      <c r="H16" s="16"/>
      <c r="I16" s="168"/>
      <c r="J16" s="168"/>
      <c r="K16" s="49"/>
    </row>
    <row r="17" customFormat="false" ht="12.75" hidden="false" customHeight="false" outlineLevel="0" collapsed="false">
      <c r="B17" s="16" t="s">
        <v>20</v>
      </c>
      <c r="C17" s="127"/>
      <c r="D17" s="168" t="s">
        <v>725</v>
      </c>
      <c r="E17" s="127"/>
      <c r="F17" s="168" t="s">
        <v>725</v>
      </c>
      <c r="H17" s="16" t="s">
        <v>20</v>
      </c>
      <c r="I17" s="127"/>
      <c r="J17" s="168" t="s">
        <v>725</v>
      </c>
      <c r="K17" s="49"/>
    </row>
    <row r="18" customFormat="false" ht="12.75" hidden="false" customHeight="false" outlineLevel="0" collapsed="false">
      <c r="B18" s="16" t="s">
        <v>17</v>
      </c>
      <c r="C18" s="168" t="s">
        <v>726</v>
      </c>
      <c r="D18" s="168" t="s">
        <v>727</v>
      </c>
      <c r="E18" s="168" t="s">
        <v>726</v>
      </c>
      <c r="F18" s="168" t="s">
        <v>727</v>
      </c>
      <c r="H18" s="16" t="s">
        <v>17</v>
      </c>
      <c r="I18" s="168" t="s">
        <v>726</v>
      </c>
      <c r="J18" s="168" t="s">
        <v>727</v>
      </c>
      <c r="K18" s="49"/>
    </row>
    <row r="19" customFormat="false" ht="15" hidden="false" customHeight="false" outlineLevel="0" collapsed="false">
      <c r="B19" s="21" t="s">
        <v>29</v>
      </c>
      <c r="C19" s="55" t="s">
        <v>167</v>
      </c>
      <c r="D19" s="55" t="s">
        <v>167</v>
      </c>
      <c r="E19" s="55" t="s">
        <v>167</v>
      </c>
      <c r="F19" s="55" t="s">
        <v>167</v>
      </c>
      <c r="H19" s="21" t="s">
        <v>29</v>
      </c>
      <c r="I19" s="55" t="s">
        <v>167</v>
      </c>
      <c r="J19" s="55" t="s">
        <v>167</v>
      </c>
      <c r="K19" s="49"/>
    </row>
    <row r="20" customFormat="false" ht="12.75" hidden="false" customHeight="false" outlineLevel="0" collapsed="false">
      <c r="B20" s="26" t="s">
        <v>30</v>
      </c>
      <c r="C20" s="59"/>
      <c r="D20" s="56"/>
      <c r="E20" s="97"/>
      <c r="F20" s="97"/>
      <c r="G20" s="45"/>
      <c r="H20" s="134" t="s">
        <v>30</v>
      </c>
      <c r="I20" s="269" t="str">
        <f aca="false">IF(E20="","",IF(C20="","",IF(ABS(E20-C20)&gt;$I$10,E20-C20,"")))</f>
        <v/>
      </c>
      <c r="J20" s="269" t="str">
        <f aca="false">IF(F20="","",IF(D20="","",IF(ABS(F20-D20)&gt;$I$10,F20-D20,"")))</f>
        <v/>
      </c>
      <c r="K20" s="210"/>
    </row>
    <row r="21" customFormat="false" ht="12.75" hidden="false" customHeight="false" outlineLevel="0" collapsed="false">
      <c r="A21" s="87"/>
      <c r="B21" s="31" t="s">
        <v>31</v>
      </c>
      <c r="C21" s="62" t="n">
        <v>42.55</v>
      </c>
      <c r="D21" s="64" t="s">
        <v>728</v>
      </c>
      <c r="E21" s="65" t="s">
        <v>581</v>
      </c>
      <c r="F21" s="65" t="s">
        <v>729</v>
      </c>
      <c r="G21" s="240"/>
      <c r="H21" s="138" t="s">
        <v>31</v>
      </c>
      <c r="I21" s="270" t="str">
        <f aca="false">IF(E21="","",IF(C21="","",IF(ABS(E21-C21)&gt;$I$10,E21-C21,"")))</f>
        <v/>
      </c>
      <c r="J21" s="270" t="str">
        <f aca="false">IF(F21="","",IF(D21="","",IF(ABS(F21-D21)&gt;$I$10,F21-D21,"")))</f>
        <v/>
      </c>
      <c r="K21" s="210"/>
    </row>
    <row r="22" customFormat="false" ht="12.75" hidden="false" customHeight="false" outlineLevel="0" collapsed="false">
      <c r="B22" s="31" t="s">
        <v>32</v>
      </c>
      <c r="C22" s="64" t="s">
        <v>532</v>
      </c>
      <c r="D22" s="64" t="s">
        <v>730</v>
      </c>
      <c r="E22" s="65" t="s">
        <v>582</v>
      </c>
      <c r="F22" s="65" t="s">
        <v>731</v>
      </c>
      <c r="G22" s="240"/>
      <c r="H22" s="138" t="s">
        <v>32</v>
      </c>
      <c r="I22" s="270" t="str">
        <f aca="false">IF(E22="","",IF(C22="","",IF(ABS(E22-C22)&gt;$I$10,E22-C22,"")))</f>
        <v/>
      </c>
      <c r="J22" s="270" t="str">
        <f aca="false">IF(F22="","",IF(D22="","",IF(ABS(F22-D22)&gt;$I$10,F22-D22,"")))</f>
        <v/>
      </c>
      <c r="K22" s="210"/>
    </row>
    <row r="23" customFormat="false" ht="12.75" hidden="false" customHeight="false" outlineLevel="0" collapsed="false">
      <c r="B23" s="31" t="s">
        <v>33</v>
      </c>
      <c r="C23" s="62"/>
      <c r="D23" s="64"/>
      <c r="E23" s="65" t="s">
        <v>583</v>
      </c>
      <c r="F23" s="65" t="s">
        <v>732</v>
      </c>
      <c r="G23" s="240"/>
      <c r="H23" s="138" t="s">
        <v>33</v>
      </c>
      <c r="I23" s="270" t="str">
        <f aca="false">IF(E23="","",IF(C23="","",IF(ABS(E23-C23)&gt;$I$10,E23-C23,"")))</f>
        <v/>
      </c>
      <c r="J23" s="270" t="str">
        <f aca="false">IF(F23="","",IF(D23="","",IF(ABS(F23-D23)&gt;$I$10,F23-D23,"")))</f>
        <v/>
      </c>
      <c r="K23" s="210"/>
    </row>
    <row r="24" customFormat="false" ht="12.75" hidden="false" customHeight="false" outlineLevel="0" collapsed="false">
      <c r="B24" s="31" t="s">
        <v>34</v>
      </c>
      <c r="C24" s="64" t="s">
        <v>733</v>
      </c>
      <c r="D24" s="64" t="s">
        <v>734</v>
      </c>
      <c r="E24" s="65" t="n">
        <v>154.846</v>
      </c>
      <c r="F24" s="65" t="s">
        <v>734</v>
      </c>
      <c r="G24" s="240"/>
      <c r="H24" s="138" t="s">
        <v>34</v>
      </c>
      <c r="I24" s="270" t="str">
        <f aca="false">IF(E24="","",IF(C24="","",IF(ABS(E24-C24)&gt;$I$10,E24-C24,"")))</f>
        <v/>
      </c>
      <c r="J24" s="270" t="str">
        <f aca="false">IF(F24="","",IF(D24="","",IF(ABS(F24-D24)&gt;$I$10,F24-D24,"")))</f>
        <v/>
      </c>
      <c r="K24" s="210"/>
    </row>
    <row r="25" customFormat="false" ht="12.75" hidden="false" customHeight="false" outlineLevel="0" collapsed="false">
      <c r="B25" s="31" t="s">
        <v>35</v>
      </c>
      <c r="C25" s="62"/>
      <c r="D25" s="64"/>
      <c r="E25" s="65" t="s">
        <v>586</v>
      </c>
      <c r="F25" s="65" t="s">
        <v>735</v>
      </c>
      <c r="G25" s="240"/>
      <c r="H25" s="138" t="s">
        <v>35</v>
      </c>
      <c r="I25" s="270" t="str">
        <f aca="false">IF(E25="","",IF(C25="","",IF(ABS(E25-C25)&gt;$I$10,E25-C25,"")))</f>
        <v/>
      </c>
      <c r="J25" s="270" t="str">
        <f aca="false">IF(F25="","",IF(D25="","",IF(ABS(F25-D25)&gt;$I$10,F25-D25,"")))</f>
        <v/>
      </c>
      <c r="K25" s="210"/>
    </row>
    <row r="26" s="90" customFormat="true" ht="12.75" hidden="false" customHeight="false" outlineLevel="0" collapsed="false">
      <c r="A26" s="89"/>
      <c r="B26" s="38" t="s">
        <v>37</v>
      </c>
      <c r="C26" s="62"/>
      <c r="D26" s="64"/>
      <c r="E26" s="65"/>
      <c r="F26" s="65"/>
      <c r="G26" s="240"/>
      <c r="H26" s="140" t="s">
        <v>37</v>
      </c>
      <c r="I26" s="270" t="str">
        <f aca="false">IF(E26="","",IF(C26="","",IF(ABS(E26-C26)&gt;$I$10,E26-C26,"")))</f>
        <v/>
      </c>
      <c r="J26" s="270" t="str">
        <f aca="false">IF(F26="","",IF(D26="","",IF(ABS(F26-D26)&gt;$I$10,F26-D26,"")))</f>
        <v/>
      </c>
      <c r="K26" s="210"/>
    </row>
    <row r="27" customFormat="false" ht="12.75" hidden="false" customHeight="false" outlineLevel="0" collapsed="false">
      <c r="B27" s="31" t="s">
        <v>39</v>
      </c>
      <c r="C27" s="62"/>
      <c r="D27" s="64"/>
      <c r="E27" s="65"/>
      <c r="F27" s="65"/>
      <c r="G27" s="240"/>
      <c r="H27" s="138" t="s">
        <v>39</v>
      </c>
      <c r="I27" s="270" t="str">
        <f aca="false">IF(E27="","",IF(C27="","",IF(ABS(E27-C27)&gt;$I$10,E27-C27,"")))</f>
        <v/>
      </c>
      <c r="J27" s="270" t="str">
        <f aca="false">IF(F27="","",IF(D27="","",IF(ABS(F27-D27)&gt;$I$10,F27-D27,"")))</f>
        <v/>
      </c>
      <c r="K27" s="210"/>
    </row>
    <row r="28" customFormat="false" ht="12.75" hidden="false" customHeight="false" outlineLevel="0" collapsed="false">
      <c r="B28" s="31" t="s">
        <v>40</v>
      </c>
      <c r="C28" s="64" t="s">
        <v>534</v>
      </c>
      <c r="D28" s="64" t="s">
        <v>736</v>
      </c>
      <c r="E28" s="65" t="s">
        <v>588</v>
      </c>
      <c r="F28" s="65" t="s">
        <v>737</v>
      </c>
      <c r="G28" s="191"/>
      <c r="H28" s="138" t="s">
        <v>40</v>
      </c>
      <c r="I28" s="270" t="str">
        <f aca="false">IF(E28="","",IF(C28="","",IF(ABS(E28-C28)&gt;$I$10,E28-C28,"")))</f>
        <v/>
      </c>
      <c r="J28" s="270" t="str">
        <f aca="false">IF(F28="","",IF(D28="","",IF(ABS(F28-D28)&gt;$I$10,F28-D28,"")))</f>
        <v/>
      </c>
      <c r="K28" s="210"/>
    </row>
    <row r="29" customFormat="false" ht="12.75" hidden="false" customHeight="false" outlineLevel="0" collapsed="false">
      <c r="B29" s="38" t="s">
        <v>41</v>
      </c>
      <c r="C29" s="62"/>
      <c r="D29" s="64"/>
      <c r="E29" s="65" t="s">
        <v>593</v>
      </c>
      <c r="F29" s="65" t="s">
        <v>738</v>
      </c>
      <c r="G29" s="191"/>
      <c r="H29" s="140" t="s">
        <v>41</v>
      </c>
      <c r="I29" s="270" t="str">
        <f aca="false">IF(E29="","",IF(C29="","",IF(ABS(E29-C29)&gt;$I$10,E29-C29,"")))</f>
        <v/>
      </c>
      <c r="J29" s="270" t="str">
        <f aca="false">IF(F29="","",IF(D29="","",IF(ABS(F29-D29)&gt;$I$10,F29-D29,"")))</f>
        <v/>
      </c>
      <c r="K29" s="210"/>
    </row>
    <row r="30" customFormat="false" ht="12.75" hidden="false" customHeight="false" outlineLevel="0" collapsed="false">
      <c r="A30" s="10"/>
      <c r="B30" s="31" t="s">
        <v>42</v>
      </c>
      <c r="C30" s="64" t="s">
        <v>535</v>
      </c>
      <c r="D30" s="64" t="s">
        <v>736</v>
      </c>
      <c r="E30" s="65" t="s">
        <v>596</v>
      </c>
      <c r="F30" s="65" t="s">
        <v>737</v>
      </c>
      <c r="G30" s="191"/>
      <c r="H30" s="138" t="s">
        <v>42</v>
      </c>
      <c r="I30" s="270" t="str">
        <f aca="false">IF(E30="","",IF(C30="","",IF(ABS(E30-C30)&gt;$I$10,E30-C30,"")))</f>
        <v/>
      </c>
      <c r="J30" s="270" t="str">
        <f aca="false">IF(F30="","",IF(D30="","",IF(ABS(F30-D30)&gt;$I$10,F30-D30,"")))</f>
        <v/>
      </c>
      <c r="K30" s="210"/>
    </row>
    <row r="31" customFormat="false" ht="12.75" hidden="false" customHeight="false" outlineLevel="0" collapsed="false">
      <c r="B31" s="31" t="s">
        <v>43</v>
      </c>
      <c r="C31" s="62"/>
      <c r="D31" s="64"/>
      <c r="E31" s="65" t="s">
        <v>598</v>
      </c>
      <c r="F31" s="65" t="s">
        <v>739</v>
      </c>
      <c r="G31" s="191"/>
      <c r="H31" s="138" t="s">
        <v>43</v>
      </c>
      <c r="I31" s="270" t="str">
        <f aca="false">IF(E31="","",IF(C31="","",IF(ABS(E31-C31)&gt;$I$10,E31-C31,"")))</f>
        <v/>
      </c>
      <c r="J31" s="270" t="str">
        <f aca="false">IF(F31="","",IF(D31="","",IF(ABS(F31-D31)&gt;$I$10,F31-D31,"")))</f>
        <v/>
      </c>
      <c r="K31" s="210"/>
    </row>
    <row r="32" customFormat="false" ht="12.75" hidden="false" customHeight="false" outlineLevel="0" collapsed="false">
      <c r="B32" s="31" t="s">
        <v>44</v>
      </c>
      <c r="C32" s="62"/>
      <c r="D32" s="64"/>
      <c r="E32" s="65"/>
      <c r="F32" s="65"/>
      <c r="G32" s="191"/>
      <c r="H32" s="138" t="s">
        <v>44</v>
      </c>
      <c r="I32" s="270" t="str">
        <f aca="false">IF(E32="","",IF(C32="","",IF(ABS(E32-C32)&gt;$I$10,E32-C32,"")))</f>
        <v/>
      </c>
      <c r="J32" s="270" t="str">
        <f aca="false">IF(F32="","",IF(D32="","",IF(ABS(F32-D32)&gt;$I$10,F32-D32,"")))</f>
        <v/>
      </c>
      <c r="K32" s="210"/>
    </row>
    <row r="33" s="90" customFormat="true" ht="12.75" hidden="false" customHeight="false" outlineLevel="0" collapsed="false">
      <c r="A33" s="89"/>
      <c r="B33" s="38" t="s">
        <v>46</v>
      </c>
      <c r="C33" s="64" t="s">
        <v>537</v>
      </c>
      <c r="D33" s="64" t="s">
        <v>740</v>
      </c>
      <c r="E33" s="65" t="s">
        <v>536</v>
      </c>
      <c r="F33" s="65" t="s">
        <v>741</v>
      </c>
      <c r="G33" s="191"/>
      <c r="H33" s="140" t="s">
        <v>46</v>
      </c>
      <c r="I33" s="270" t="str">
        <f aca="false">IF(E33="","",IF(C33="","",IF(ABS(E33-C33)&gt;$I$10,E33-C33,"")))</f>
        <v/>
      </c>
      <c r="J33" s="270" t="str">
        <f aca="false">IF(F33="","",IF(D33="","",IF(ABS(F33-D33)&gt;$I$10,F33-D33,"")))</f>
        <v/>
      </c>
      <c r="K33" s="210"/>
    </row>
    <row r="34" customFormat="false" ht="12.75" hidden="false" customHeight="false" outlineLevel="0" collapsed="false">
      <c r="A34" s="10"/>
      <c r="B34" s="31" t="s">
        <v>48</v>
      </c>
      <c r="C34" s="62" t="n">
        <v>5.74</v>
      </c>
      <c r="D34" s="64" t="s">
        <v>730</v>
      </c>
      <c r="E34" s="65" t="s">
        <v>600</v>
      </c>
      <c r="F34" s="65" t="s">
        <v>731</v>
      </c>
      <c r="G34" s="240"/>
      <c r="H34" s="138" t="s">
        <v>48</v>
      </c>
      <c r="I34" s="270" t="str">
        <f aca="false">IF(E34="","",IF(C34="","",IF(ABS(E34-C34)&gt;$I$10,E34-C34,"")))</f>
        <v/>
      </c>
      <c r="J34" s="270" t="str">
        <f aca="false">IF(F34="","",IF(D34="","",IF(ABS(F34-D34)&gt;$I$10,F34-D34,"")))</f>
        <v/>
      </c>
      <c r="K34" s="210"/>
    </row>
    <row r="35" customFormat="false" ht="12.75" hidden="false" customHeight="false" outlineLevel="0" collapsed="false">
      <c r="A35" s="10"/>
      <c r="B35" s="31" t="s">
        <v>49</v>
      </c>
      <c r="C35" s="62" t="n">
        <v>41.59</v>
      </c>
      <c r="D35" s="64" t="s">
        <v>742</v>
      </c>
      <c r="E35" s="65" t="s">
        <v>602</v>
      </c>
      <c r="F35" s="65" t="s">
        <v>743</v>
      </c>
      <c r="G35" s="240"/>
      <c r="H35" s="138" t="s">
        <v>49</v>
      </c>
      <c r="I35" s="270" t="str">
        <f aca="false">IF(E35="","",IF(C35="","",IF(ABS(E35-C35)&gt;$I$10,E35-C35,"")))</f>
        <v/>
      </c>
      <c r="J35" s="270" t="str">
        <f aca="false">IF(F35="","",IF(D35="","",IF(ABS(F35-D35)&gt;$I$10,F35-D35,"")))</f>
        <v/>
      </c>
      <c r="K35" s="210"/>
    </row>
    <row r="36" customFormat="false" ht="12.75" hidden="false" customHeight="false" outlineLevel="0" collapsed="false">
      <c r="A36" s="10"/>
      <c r="B36" s="31" t="s">
        <v>50</v>
      </c>
      <c r="C36" s="64" t="s">
        <v>538</v>
      </c>
      <c r="D36" s="64" t="s">
        <v>744</v>
      </c>
      <c r="E36" s="65" t="s">
        <v>605</v>
      </c>
      <c r="F36" s="65" t="s">
        <v>745</v>
      </c>
      <c r="G36" s="240"/>
      <c r="H36" s="138" t="s">
        <v>50</v>
      </c>
      <c r="I36" s="270" t="str">
        <f aca="false">IF(E36="","",IF(C36="","",IF(ABS(E36-C36)&gt;$I$10,E36-C36,"")))</f>
        <v/>
      </c>
      <c r="J36" s="270" t="str">
        <f aca="false">IF(F36="","",IF(D36="","",IF(ABS(F36-D36)&gt;$I$10,F36-D36,"")))</f>
        <v/>
      </c>
      <c r="K36" s="210"/>
    </row>
    <row r="37" customFormat="false" ht="12.75" hidden="false" customHeight="false" outlineLevel="0" collapsed="false">
      <c r="A37" s="10"/>
      <c r="B37" s="31" t="s">
        <v>51</v>
      </c>
      <c r="C37" s="62"/>
      <c r="D37" s="64"/>
      <c r="E37" s="65"/>
      <c r="F37" s="65"/>
      <c r="G37" s="240"/>
      <c r="H37" s="138" t="s">
        <v>51</v>
      </c>
      <c r="I37" s="270" t="str">
        <f aca="false">IF(E37="","",IF(C37="","",IF(ABS(E37-C37)&gt;$I$10,E37-C37,"")))</f>
        <v/>
      </c>
      <c r="J37" s="270" t="str">
        <f aca="false">IF(F37="","",IF(D37="","",IF(ABS(F37-D37)&gt;$I$10,F37-D37,"")))</f>
        <v/>
      </c>
      <c r="K37" s="210"/>
    </row>
    <row r="38" customFormat="false" ht="12.75" hidden="false" customHeight="false" outlineLevel="0" collapsed="false">
      <c r="B38" s="31" t="s">
        <v>52</v>
      </c>
      <c r="C38" s="62"/>
      <c r="D38" s="64"/>
      <c r="E38" s="65"/>
      <c r="F38" s="65"/>
      <c r="G38" s="191"/>
      <c r="H38" s="138" t="s">
        <v>52</v>
      </c>
      <c r="I38" s="270" t="str">
        <f aca="false">IF(E38="","",IF(C38="","",IF(ABS(E38-C38)&gt;$I$10,E38-C38,"")))</f>
        <v/>
      </c>
      <c r="J38" s="270" t="str">
        <f aca="false">IF(F38="","",IF(D38="","",IF(ABS(F38-D38)&gt;$I$10,F38-D38,"")))</f>
        <v/>
      </c>
      <c r="K38" s="210"/>
    </row>
    <row r="39" s="90" customFormat="true" ht="12.75" hidden="false" customHeight="false" outlineLevel="0" collapsed="false">
      <c r="A39" s="89"/>
      <c r="B39" s="38" t="s">
        <v>54</v>
      </c>
      <c r="C39" s="64" t="s">
        <v>746</v>
      </c>
      <c r="D39" s="64" t="s">
        <v>747</v>
      </c>
      <c r="E39" s="65" t="n">
        <v>223.081</v>
      </c>
      <c r="F39" s="65" t="s">
        <v>747</v>
      </c>
      <c r="G39" s="191"/>
      <c r="H39" s="140" t="s">
        <v>54</v>
      </c>
      <c r="I39" s="270" t="str">
        <f aca="false">IF(E39="","",IF(C39="","",IF(ABS(E39-C39)&gt;$I$10,E39-C39,"")))</f>
        <v/>
      </c>
      <c r="J39" s="270" t="str">
        <f aca="false">IF(F39="","",IF(D39="","",IF(ABS(F39-D39)&gt;$I$10,F39-D39,"")))</f>
        <v/>
      </c>
      <c r="K39" s="210"/>
    </row>
    <row r="40" customFormat="false" ht="12.75" hidden="false" customHeight="false" outlineLevel="0" collapsed="false">
      <c r="A40" s="10"/>
      <c r="B40" s="31" t="s">
        <v>56</v>
      </c>
      <c r="C40" s="62"/>
      <c r="D40" s="64"/>
      <c r="E40" s="65"/>
      <c r="F40" s="65"/>
      <c r="G40" s="191"/>
      <c r="H40" s="138" t="s">
        <v>56</v>
      </c>
      <c r="I40" s="270" t="str">
        <f aca="false">IF(E40="","",IF(C40="","",IF(ABS(E40-C40)&gt;$I$10,E40-C40,"")))</f>
        <v/>
      </c>
      <c r="J40" s="270" t="str">
        <f aca="false">IF(F40="","",IF(D40="","",IF(ABS(F40-D40)&gt;$I$10,F40-D40,"")))</f>
        <v/>
      </c>
      <c r="K40" s="210"/>
    </row>
    <row r="41" customFormat="false" ht="12.75" hidden="false" customHeight="false" outlineLevel="0" collapsed="false">
      <c r="B41" s="31" t="s">
        <v>57</v>
      </c>
      <c r="C41" s="62"/>
      <c r="D41" s="64"/>
      <c r="E41" s="65"/>
      <c r="F41" s="65"/>
      <c r="G41" s="191"/>
      <c r="H41" s="138" t="s">
        <v>57</v>
      </c>
      <c r="I41" s="270" t="str">
        <f aca="false">IF(E41="","",IF(C41="","",IF(ABS(E41-C41)&gt;$I$10,E41-C41,"")))</f>
        <v/>
      </c>
      <c r="J41" s="270" t="str">
        <f aca="false">IF(F41="","",IF(D41="","",IF(ABS(F41-D41)&gt;$I$10,F41-D41,"")))</f>
        <v/>
      </c>
      <c r="K41" s="210"/>
    </row>
    <row r="42" customFormat="false" ht="12.75" hidden="false" customHeight="false" outlineLevel="0" collapsed="false">
      <c r="B42" s="31" t="s">
        <v>58</v>
      </c>
      <c r="C42" s="62"/>
      <c r="D42" s="64"/>
      <c r="E42" s="65"/>
      <c r="F42" s="65"/>
      <c r="G42" s="191"/>
      <c r="H42" s="138" t="s">
        <v>58</v>
      </c>
      <c r="I42" s="270" t="str">
        <f aca="false">IF(E42="","",IF(C42="","",IF(ABS(E42-C42)&gt;$I$10,E42-C42,"")))</f>
        <v/>
      </c>
      <c r="J42" s="270" t="str">
        <f aca="false">IF(F42="","",IF(D42="","",IF(ABS(F42-D42)&gt;$I$10,F42-D42,"")))</f>
        <v/>
      </c>
      <c r="K42" s="210"/>
    </row>
    <row r="43" customFormat="false" ht="12.75" hidden="false" customHeight="false" outlineLevel="0" collapsed="false">
      <c r="A43" s="10"/>
      <c r="B43" s="38" t="s">
        <v>59</v>
      </c>
      <c r="C43" s="62" t="n">
        <v>85.23</v>
      </c>
      <c r="D43" s="64" t="s">
        <v>742</v>
      </c>
      <c r="E43" s="65" t="s">
        <v>613</v>
      </c>
      <c r="F43" s="65" t="s">
        <v>743</v>
      </c>
      <c r="G43" s="191"/>
      <c r="H43" s="140" t="s">
        <v>59</v>
      </c>
      <c r="I43" s="270" t="str">
        <f aca="false">IF(E43="","",IF(C43="","",IF(ABS(E43-C43)&gt;$I$10,E43-C43,"")))</f>
        <v/>
      </c>
      <c r="J43" s="270" t="str">
        <f aca="false">IF(F43="","",IF(D43="","",IF(ABS(F43-D43)&gt;$I$10,F43-D43,"")))</f>
        <v/>
      </c>
      <c r="K43" s="210"/>
    </row>
    <row r="44" customFormat="false" ht="12.75" hidden="false" customHeight="false" outlineLevel="0" collapsed="false">
      <c r="A44" s="10"/>
      <c r="B44" s="31" t="s">
        <v>60</v>
      </c>
      <c r="C44" s="62" t="n">
        <v>33.15</v>
      </c>
      <c r="D44" s="64" t="s">
        <v>736</v>
      </c>
      <c r="E44" s="65" t="s">
        <v>614</v>
      </c>
      <c r="F44" s="65" t="s">
        <v>737</v>
      </c>
      <c r="G44" s="191"/>
      <c r="H44" s="138" t="s">
        <v>60</v>
      </c>
      <c r="I44" s="270" t="str">
        <f aca="false">IF(E44="","",IF(C44="","",IF(ABS(E44-C44)&gt;$I$10,E44-C44,"")))</f>
        <v/>
      </c>
      <c r="J44" s="270" t="str">
        <f aca="false">IF(F44="","",IF(D44="","",IF(ABS(F44-D44)&gt;$I$10,F44-D44,"")))</f>
        <v/>
      </c>
      <c r="K44" s="210"/>
    </row>
    <row r="45" customFormat="false" ht="12.75" hidden="false" customHeight="false" outlineLevel="0" collapsed="false">
      <c r="B45" s="31" t="s">
        <v>61</v>
      </c>
      <c r="C45" s="62"/>
      <c r="D45" s="64"/>
      <c r="E45" s="65"/>
      <c r="F45" s="65"/>
      <c r="G45" s="240"/>
      <c r="H45" s="138" t="s">
        <v>61</v>
      </c>
      <c r="I45" s="270" t="str">
        <f aca="false">IF(E45="","",IF(C45="","",IF(ABS(E45-C45)&gt;$I$10,E45-C45,"")))</f>
        <v/>
      </c>
      <c r="J45" s="270" t="str">
        <f aca="false">IF(F45="","",IF(D45="","",IF(ABS(F45-D45)&gt;$I$10,F45-D45,"")))</f>
        <v/>
      </c>
      <c r="K45" s="210"/>
    </row>
    <row r="46" customFormat="false" ht="12.75" hidden="false" customHeight="false" outlineLevel="0" collapsed="false">
      <c r="B46" s="31" t="s">
        <v>62</v>
      </c>
      <c r="C46" s="62"/>
      <c r="D46" s="64"/>
      <c r="E46" s="65"/>
      <c r="F46" s="65"/>
      <c r="G46" s="240"/>
      <c r="H46" s="138" t="s">
        <v>62</v>
      </c>
      <c r="I46" s="270" t="str">
        <f aca="false">IF(E46="","",IF(C46="","",IF(ABS(E46-C46)&gt;$I$10,E46-C46,"")))</f>
        <v/>
      </c>
      <c r="J46" s="270" t="str">
        <f aca="false">IF(F46="","",IF(D46="","",IF(ABS(F46-D46)&gt;$I$10,F46-D46,"")))</f>
        <v/>
      </c>
      <c r="K46" s="210"/>
    </row>
    <row r="47" customFormat="false" ht="12.75" hidden="false" customHeight="false" outlineLevel="0" collapsed="false">
      <c r="B47" s="31" t="s">
        <v>63</v>
      </c>
      <c r="C47" s="62"/>
      <c r="D47" s="64"/>
      <c r="E47" s="65"/>
      <c r="F47" s="65"/>
      <c r="G47" s="240"/>
      <c r="H47" s="138" t="s">
        <v>63</v>
      </c>
      <c r="I47" s="270" t="str">
        <f aca="false">IF(E47="","",IF(C47="","",IF(ABS(E47-C47)&gt;$I$10,E47-C47,"")))</f>
        <v/>
      </c>
      <c r="J47" s="270" t="str">
        <f aca="false">IF(F47="","",IF(D47="","",IF(ABS(F47-D47)&gt;$I$10,F47-D47,"")))</f>
        <v/>
      </c>
      <c r="K47" s="210"/>
    </row>
    <row r="48" customFormat="false" ht="12.75" hidden="false" customHeight="false" outlineLevel="0" collapsed="false">
      <c r="B48" s="31" t="s">
        <v>64</v>
      </c>
      <c r="C48" s="62"/>
      <c r="D48" s="64"/>
      <c r="E48" s="65"/>
      <c r="F48" s="65"/>
      <c r="G48" s="240"/>
      <c r="H48" s="138" t="s">
        <v>64</v>
      </c>
      <c r="I48" s="270" t="str">
        <f aca="false">IF(E48="","",IF(C48="","",IF(ABS(E48-C48)&gt;$I$10,E48-C48,"")))</f>
        <v/>
      </c>
      <c r="J48" s="270" t="str">
        <f aca="false">IF(F48="","",IF(D48="","",IF(ABS(F48-D48)&gt;$I$10,F48-D48,"")))</f>
        <v/>
      </c>
      <c r="K48" s="210"/>
    </row>
    <row r="49" s="90" customFormat="true" ht="12.75" hidden="false" customHeight="false" outlineLevel="0" collapsed="false">
      <c r="A49" s="89"/>
      <c r="B49" s="38" t="s">
        <v>66</v>
      </c>
      <c r="C49" s="64" t="s">
        <v>748</v>
      </c>
      <c r="D49" s="64" t="s">
        <v>749</v>
      </c>
      <c r="E49" s="65" t="n">
        <v>202.791</v>
      </c>
      <c r="F49" s="65" t="s">
        <v>749</v>
      </c>
      <c r="G49" s="191"/>
      <c r="H49" s="140" t="s">
        <v>66</v>
      </c>
      <c r="I49" s="270" t="str">
        <f aca="false">IF(E49="","",IF(C49="","",IF(ABS(E49-C49)&gt;$I$10,E49-C49,"")))</f>
        <v/>
      </c>
      <c r="J49" s="270" t="str">
        <f aca="false">IF(F49="","",IF(D49="","",IF(ABS(F49-D49)&gt;$I$10,F49-D49,"")))</f>
        <v/>
      </c>
      <c r="K49" s="210"/>
    </row>
    <row r="50" customFormat="false" ht="12.75" hidden="false" customHeight="false" outlineLevel="0" collapsed="false">
      <c r="B50" s="38" t="s">
        <v>68</v>
      </c>
      <c r="C50" s="62"/>
      <c r="D50" s="64"/>
      <c r="E50" s="65" t="s">
        <v>617</v>
      </c>
      <c r="F50" s="65" t="s">
        <v>750</v>
      </c>
      <c r="G50" s="191"/>
      <c r="H50" s="140" t="s">
        <v>68</v>
      </c>
      <c r="I50" s="270" t="str">
        <f aca="false">IF(E50="","",IF(C50="","",IF(ABS(E50-C50)&gt;$I$10,E50-C50,"")))</f>
        <v/>
      </c>
      <c r="J50" s="270" t="str">
        <f aca="false">IF(F50="","",IF(D50="","",IF(ABS(F50-D50)&gt;$I$10,F50-D50,"")))</f>
        <v/>
      </c>
      <c r="K50" s="210"/>
    </row>
    <row r="51" customFormat="false" ht="12.75" hidden="false" customHeight="false" outlineLevel="0" collapsed="false">
      <c r="B51" s="31" t="s">
        <v>69</v>
      </c>
      <c r="C51" s="62"/>
      <c r="D51" s="64"/>
      <c r="E51" s="65"/>
      <c r="F51" s="65"/>
      <c r="G51" s="191"/>
      <c r="H51" s="138" t="s">
        <v>69</v>
      </c>
      <c r="I51" s="270" t="str">
        <f aca="false">IF(E51="","",IF(C51="","",IF(ABS(E51-C51)&gt;$I$10,E51-C51,"")))</f>
        <v/>
      </c>
      <c r="J51" s="270" t="str">
        <f aca="false">IF(F51="","",IF(D51="","",IF(ABS(F51-D51)&gt;$I$10,F51-D51,"")))</f>
        <v/>
      </c>
      <c r="K51" s="210"/>
    </row>
    <row r="52" customFormat="false" ht="12.75" hidden="false" customHeight="false" outlineLevel="0" collapsed="false">
      <c r="B52" s="38" t="s">
        <v>70</v>
      </c>
      <c r="C52" s="62"/>
      <c r="D52" s="64"/>
      <c r="E52" s="65"/>
      <c r="F52" s="65"/>
      <c r="G52" s="191"/>
      <c r="H52" s="140" t="s">
        <v>70</v>
      </c>
      <c r="I52" s="270" t="str">
        <f aca="false">IF(E52="","",IF(C52="","",IF(ABS(E52-C52)&gt;$I$10,E52-C52,"")))</f>
        <v/>
      </c>
      <c r="J52" s="270" t="str">
        <f aca="false">IF(F52="","",IF(D52="","",IF(ABS(F52-D52)&gt;$I$10,F52-D52,"")))</f>
        <v/>
      </c>
      <c r="K52" s="210"/>
    </row>
    <row r="53" customFormat="false" ht="12.75" hidden="false" customHeight="false" outlineLevel="0" collapsed="false">
      <c r="B53" s="31" t="s">
        <v>71</v>
      </c>
      <c r="C53" s="62"/>
      <c r="D53" s="64"/>
      <c r="E53" s="65"/>
      <c r="F53" s="65"/>
      <c r="G53" s="191"/>
      <c r="H53" s="138" t="s">
        <v>71</v>
      </c>
      <c r="I53" s="270" t="str">
        <f aca="false">IF(E53="","",IF(C53="","",IF(ABS(E53-C53)&gt;$I$10,E53-C53,"")))</f>
        <v/>
      </c>
      <c r="J53" s="270" t="str">
        <f aca="false">IF(F53="","",IF(D53="","",IF(ABS(F53-D53)&gt;$I$10,F53-D53,"")))</f>
        <v/>
      </c>
      <c r="K53" s="210"/>
    </row>
    <row r="54" customFormat="false" ht="12.75" hidden="false" customHeight="false" outlineLevel="0" collapsed="false">
      <c r="B54" s="31" t="s">
        <v>72</v>
      </c>
      <c r="C54" s="62"/>
      <c r="D54" s="64"/>
      <c r="E54" s="65"/>
      <c r="F54" s="65"/>
      <c r="G54" s="240"/>
      <c r="H54" s="138" t="s">
        <v>72</v>
      </c>
      <c r="I54" s="270" t="str">
        <f aca="false">IF(E54="","",IF(C54="","",IF(ABS(E54-C54)&gt;$I$10,E54-C54,"")))</f>
        <v/>
      </c>
      <c r="J54" s="270" t="str">
        <f aca="false">IF(F54="","",IF(D54="","",IF(ABS(F54-D54)&gt;$I$10,F54-D54,"")))</f>
        <v/>
      </c>
      <c r="K54" s="210"/>
    </row>
    <row r="55" customFormat="false" ht="12.75" hidden="false" customHeight="false" outlineLevel="0" collapsed="false">
      <c r="B55" s="31" t="s">
        <v>73</v>
      </c>
      <c r="C55" s="62" t="n">
        <v>31.09</v>
      </c>
      <c r="D55" s="64" t="s">
        <v>744</v>
      </c>
      <c r="E55" s="65" t="s">
        <v>622</v>
      </c>
      <c r="F55" s="65" t="s">
        <v>745</v>
      </c>
      <c r="G55" s="191"/>
      <c r="H55" s="138" t="s">
        <v>73</v>
      </c>
      <c r="I55" s="270" t="str">
        <f aca="false">IF(E55="","",IF(C55="","",IF(ABS(E55-C55)&gt;$I$10,E55-C55,"")))</f>
        <v/>
      </c>
      <c r="J55" s="270" t="str">
        <f aca="false">IF(F55="","",IF(D55="","",IF(ABS(F55-D55)&gt;$I$10,F55-D55,"")))</f>
        <v/>
      </c>
      <c r="K55" s="210"/>
    </row>
    <row r="56" s="90" customFormat="true" ht="12.75" hidden="false" customHeight="false" outlineLevel="0" collapsed="false">
      <c r="A56" s="89"/>
      <c r="B56" s="38" t="s">
        <v>75</v>
      </c>
      <c r="C56" s="64" t="s">
        <v>623</v>
      </c>
      <c r="D56" s="64" t="s">
        <v>734</v>
      </c>
      <c r="E56" s="65" t="s">
        <v>623</v>
      </c>
      <c r="F56" s="65" t="s">
        <v>734</v>
      </c>
      <c r="G56" s="240" t="s">
        <v>751</v>
      </c>
      <c r="H56" s="140" t="s">
        <v>75</v>
      </c>
      <c r="I56" s="270" t="str">
        <f aca="false">IF(E56="","",IF(C56="","",IF(ABS(E56-C56)&gt;$I$10,E56-C56,"")))</f>
        <v/>
      </c>
      <c r="J56" s="270" t="str">
        <f aca="false">IF(F56="","",IF(D56="","",IF(ABS(F56-D56)&gt;$I$10,F56-D56,"")))</f>
        <v/>
      </c>
      <c r="K56" s="210"/>
    </row>
    <row r="57" customFormat="false" ht="12.75" hidden="false" customHeight="false" outlineLevel="0" collapsed="false">
      <c r="A57" s="10"/>
      <c r="B57" s="31" t="s">
        <v>77</v>
      </c>
      <c r="C57" s="64" t="s">
        <v>752</v>
      </c>
      <c r="D57" s="64" t="s">
        <v>753</v>
      </c>
      <c r="E57" s="65" t="n">
        <v>126.153</v>
      </c>
      <c r="F57" s="65" t="s">
        <v>753</v>
      </c>
      <c r="G57" s="240"/>
      <c r="H57" s="138" t="s">
        <v>77</v>
      </c>
      <c r="I57" s="270" t="str">
        <f aca="false">IF(E57="","",IF(C57="","",IF(ABS(E57-C57)&gt;$I$10,E57-C57,"")))</f>
        <v/>
      </c>
      <c r="J57" s="270" t="str">
        <f aca="false">IF(F57="","",IF(D57="","",IF(ABS(F57-D57)&gt;$I$10,F57-D57,"")))</f>
        <v/>
      </c>
      <c r="K57" s="210"/>
    </row>
    <row r="58" customFormat="false" ht="12.75" hidden="false" customHeight="false" outlineLevel="0" collapsed="false">
      <c r="B58" s="31" t="s">
        <v>78</v>
      </c>
      <c r="C58" s="62"/>
      <c r="D58" s="64"/>
      <c r="E58" s="65"/>
      <c r="F58" s="65"/>
      <c r="G58" s="240"/>
      <c r="H58" s="138" t="s">
        <v>78</v>
      </c>
      <c r="I58" s="270" t="str">
        <f aca="false">IF(E58="","",IF(C58="","",IF(ABS(E58-C58)&gt;$I$10,E58-C58,"")))</f>
        <v/>
      </c>
      <c r="J58" s="270" t="str">
        <f aca="false">IF(F58="","",IF(D58="","",IF(ABS(F58-D58)&gt;$I$10,F58-D58,"")))</f>
        <v/>
      </c>
      <c r="K58" s="210"/>
    </row>
    <row r="59" customFormat="false" ht="12.75" hidden="false" customHeight="false" outlineLevel="0" collapsed="false">
      <c r="A59" s="10"/>
      <c r="B59" s="31" t="s">
        <v>79</v>
      </c>
      <c r="C59" s="64" t="s">
        <v>544</v>
      </c>
      <c r="D59" s="64" t="s">
        <v>754</v>
      </c>
      <c r="E59" s="65" t="s">
        <v>629</v>
      </c>
      <c r="F59" s="65" t="s">
        <v>755</v>
      </c>
      <c r="G59" s="240"/>
      <c r="H59" s="138" t="s">
        <v>79</v>
      </c>
      <c r="I59" s="270" t="str">
        <f aca="false">IF(E59="","",IF(C59="","",IF(ABS(E59-C59)&gt;$I$10,E59-C59,"")))</f>
        <v/>
      </c>
      <c r="J59" s="270" t="str">
        <f aca="false">IF(F59="","",IF(D59="","",IF(ABS(F59-D59)&gt;$I$10,F59-D59,"")))</f>
        <v/>
      </c>
      <c r="K59" s="210"/>
    </row>
    <row r="60" customFormat="false" ht="12.75" hidden="false" customHeight="false" outlineLevel="0" collapsed="false">
      <c r="B60" s="31" t="s">
        <v>80</v>
      </c>
      <c r="C60" s="62"/>
      <c r="D60" s="64"/>
      <c r="E60" s="65"/>
      <c r="F60" s="65"/>
      <c r="G60" s="191"/>
      <c r="H60" s="138" t="s">
        <v>80</v>
      </c>
      <c r="I60" s="270" t="str">
        <f aca="false">IF(E60="","",IF(C60="","",IF(ABS(E60-C60)&gt;$I$10,E60-C60,"")))</f>
        <v/>
      </c>
      <c r="J60" s="270" t="str">
        <f aca="false">IF(F60="","",IF(D60="","",IF(ABS(F60-D60)&gt;$I$10,F60-D60,"")))</f>
        <v/>
      </c>
      <c r="K60" s="210"/>
    </row>
    <row r="61" s="90" customFormat="true" ht="12.75" hidden="false" customHeight="false" outlineLevel="0" collapsed="false">
      <c r="A61" s="89"/>
      <c r="B61" s="38" t="s">
        <v>82</v>
      </c>
      <c r="C61" s="64" t="s">
        <v>545</v>
      </c>
      <c r="D61" s="64" t="s">
        <v>740</v>
      </c>
      <c r="E61" s="65" t="s">
        <v>631</v>
      </c>
      <c r="F61" s="65" t="s">
        <v>741</v>
      </c>
      <c r="G61" s="191"/>
      <c r="H61" s="140" t="s">
        <v>82</v>
      </c>
      <c r="I61" s="270" t="str">
        <f aca="false">IF(E61="","",IF(C61="","",IF(ABS(E61-C61)&gt;$I$10,E61-C61,"")))</f>
        <v/>
      </c>
      <c r="J61" s="270" t="str">
        <f aca="false">IF(F61="","",IF(D61="","",IF(ABS(F61-D61)&gt;$I$10,F61-D61,"")))</f>
        <v/>
      </c>
      <c r="K61" s="210"/>
    </row>
    <row r="62" customFormat="false" ht="12.75" hidden="false" customHeight="false" outlineLevel="0" collapsed="false">
      <c r="B62" s="31" t="s">
        <v>84</v>
      </c>
      <c r="C62" s="62"/>
      <c r="D62" s="64"/>
      <c r="E62" s="65"/>
      <c r="F62" s="65"/>
      <c r="G62" s="191"/>
      <c r="H62" s="138" t="s">
        <v>84</v>
      </c>
      <c r="I62" s="270" t="str">
        <f aca="false">IF(E62="","",IF(C62="","",IF(ABS(E62-C62)&gt;$I$10,E62-C62,"")))</f>
        <v/>
      </c>
      <c r="J62" s="270" t="str">
        <f aca="false">IF(F62="","",IF(D62="","",IF(ABS(F62-D62)&gt;$I$10,F62-D62,"")))</f>
        <v/>
      </c>
      <c r="K62" s="210"/>
    </row>
    <row r="63" customFormat="false" ht="12.75" hidden="false" customHeight="false" outlineLevel="0" collapsed="false">
      <c r="B63" s="31" t="s">
        <v>85</v>
      </c>
      <c r="C63" s="62"/>
      <c r="D63" s="64"/>
      <c r="E63" s="65"/>
      <c r="F63" s="65"/>
      <c r="G63" s="191"/>
      <c r="H63" s="138" t="s">
        <v>85</v>
      </c>
      <c r="I63" s="270" t="str">
        <f aca="false">IF(E63="","",IF(C63="","",IF(ABS(E63-C63)&gt;$I$10,E63-C63,"")))</f>
        <v/>
      </c>
      <c r="J63" s="270" t="str">
        <f aca="false">IF(F63="","",IF(D63="","",IF(ABS(F63-D63)&gt;$I$10,F63-D63,"")))</f>
        <v/>
      </c>
      <c r="K63" s="210"/>
    </row>
    <row r="64" customFormat="false" ht="12.75" hidden="false" customHeight="false" outlineLevel="0" collapsed="false">
      <c r="A64" s="10"/>
      <c r="B64" s="38" t="s">
        <v>86</v>
      </c>
      <c r="C64" s="62" t="n">
        <v>64.68</v>
      </c>
      <c r="D64" s="64" t="s">
        <v>728</v>
      </c>
      <c r="E64" s="65" t="s">
        <v>635</v>
      </c>
      <c r="F64" s="65" t="s">
        <v>729</v>
      </c>
      <c r="G64" s="191"/>
      <c r="H64" s="140" t="s">
        <v>86</v>
      </c>
      <c r="I64" s="270" t="str">
        <f aca="false">IF(E64="","",IF(C64="","",IF(ABS(E64-C64)&gt;$I$10,E64-C64,"")))</f>
        <v/>
      </c>
      <c r="J64" s="270" t="str">
        <f aca="false">IF(F64="","",IF(D64="","",IF(ABS(F64-D64)&gt;$I$10,F64-D64,"")))</f>
        <v/>
      </c>
      <c r="K64" s="210"/>
    </row>
    <row r="65" customFormat="false" ht="12.75" hidden="false" customHeight="false" outlineLevel="0" collapsed="false">
      <c r="A65" s="10"/>
      <c r="B65" s="31" t="s">
        <v>87</v>
      </c>
      <c r="C65" s="64" t="s">
        <v>638</v>
      </c>
      <c r="D65" s="64" t="s">
        <v>734</v>
      </c>
      <c r="E65" s="65" t="n">
        <v>164.085</v>
      </c>
      <c r="F65" s="65" t="s">
        <v>734</v>
      </c>
      <c r="G65" s="191"/>
      <c r="H65" s="138" t="s">
        <v>87</v>
      </c>
      <c r="I65" s="270" t="str">
        <f aca="false">IF(E65="","",IF(C65="","",IF(ABS(E65-C65)&gt;$I$10,E65-C65,"")))</f>
        <v/>
      </c>
      <c r="J65" s="270" t="str">
        <f aca="false">IF(F65="","",IF(D65="","",IF(ABS(F65-D65)&gt;$I$10,F65-D65,"")))</f>
        <v/>
      </c>
      <c r="K65" s="210"/>
    </row>
    <row r="66" customFormat="false" ht="12.75" hidden="false" customHeight="false" outlineLevel="0" collapsed="false">
      <c r="B66" s="31" t="s">
        <v>88</v>
      </c>
      <c r="C66" s="62"/>
      <c r="D66" s="64"/>
      <c r="E66" s="65"/>
      <c r="F66" s="65"/>
      <c r="G66" s="191"/>
      <c r="H66" s="138" t="s">
        <v>88</v>
      </c>
      <c r="I66" s="270" t="str">
        <f aca="false">IF(E66="","",IF(C66="","",IF(ABS(E66-C66)&gt;$I$10,E66-C66,"")))</f>
        <v/>
      </c>
      <c r="J66" s="270" t="str">
        <f aca="false">IF(F66="","",IF(D66="","",IF(ABS(F66-D66)&gt;$I$10,F66-D66,"")))</f>
        <v/>
      </c>
      <c r="K66" s="210"/>
    </row>
    <row r="67" customFormat="false" ht="12.75" hidden="false" customHeight="false" outlineLevel="0" collapsed="false">
      <c r="A67" s="10"/>
      <c r="B67" s="38" t="s">
        <v>89</v>
      </c>
      <c r="C67" s="62" t="n">
        <v>29.12</v>
      </c>
      <c r="D67" s="64" t="s">
        <v>728</v>
      </c>
      <c r="E67" s="65" t="s">
        <v>640</v>
      </c>
      <c r="F67" s="65" t="s">
        <v>729</v>
      </c>
      <c r="G67" s="240"/>
      <c r="H67" s="140" t="s">
        <v>89</v>
      </c>
      <c r="I67" s="270" t="str">
        <f aca="false">IF(E67="","",IF(C67="","",IF(ABS(E67-C67)&gt;$I$10,E67-C67,"")))</f>
        <v/>
      </c>
      <c r="J67" s="270" t="str">
        <f aca="false">IF(F67="","",IF(D67="","",IF(ABS(F67-D67)&gt;$I$10,F67-D67,"")))</f>
        <v/>
      </c>
      <c r="K67" s="210"/>
    </row>
    <row r="68" customFormat="false" ht="12.75" hidden="false" customHeight="false" outlineLevel="0" collapsed="false">
      <c r="B68" s="31" t="s">
        <v>90</v>
      </c>
      <c r="C68" s="62"/>
      <c r="D68" s="64"/>
      <c r="E68" s="65"/>
      <c r="F68" s="65"/>
      <c r="G68" s="240"/>
      <c r="H68" s="138" t="s">
        <v>90</v>
      </c>
      <c r="I68" s="270" t="str">
        <f aca="false">IF(E68="","",IF(C68="","",IF(ABS(E68-C68)&gt;$I$10,E68-C68,"")))</f>
        <v/>
      </c>
      <c r="J68" s="270" t="str">
        <f aca="false">IF(F68="","",IF(D68="","",IF(ABS(F68-D68)&gt;$I$10,F68-D68,"")))</f>
        <v/>
      </c>
      <c r="K68" s="210"/>
    </row>
    <row r="69" customFormat="false" ht="12.75" hidden="false" customHeight="false" outlineLevel="0" collapsed="false">
      <c r="B69" s="31" t="s">
        <v>91</v>
      </c>
      <c r="C69" s="62"/>
      <c r="D69" s="64"/>
      <c r="E69" s="65"/>
      <c r="F69" s="65"/>
      <c r="G69" s="240"/>
      <c r="H69" s="138" t="s">
        <v>91</v>
      </c>
      <c r="I69" s="270" t="str">
        <f aca="false">IF(E69="","",IF(C69="","",IF(ABS(E69-C69)&gt;$I$10,E69-C69,"")))</f>
        <v/>
      </c>
      <c r="J69" s="270" t="str">
        <f aca="false">IF(F69="","",IF(D69="","",IF(ABS(F69-D69)&gt;$I$10,F69-D69,"")))</f>
        <v/>
      </c>
      <c r="K69" s="210"/>
    </row>
    <row r="70" customFormat="false" ht="12.75" hidden="false" customHeight="false" outlineLevel="0" collapsed="false">
      <c r="B70" s="31" t="s">
        <v>92</v>
      </c>
      <c r="C70" s="62"/>
      <c r="D70" s="64"/>
      <c r="E70" s="65"/>
      <c r="F70" s="65"/>
      <c r="G70" s="240"/>
      <c r="H70" s="138" t="s">
        <v>92</v>
      </c>
      <c r="I70" s="270" t="str">
        <f aca="false">IF(E70="","",IF(C70="","",IF(ABS(E70-C70)&gt;$I$10,E70-C70,"")))</f>
        <v/>
      </c>
      <c r="J70" s="270" t="str">
        <f aca="false">IF(F70="","",IF(D70="","",IF(ABS(F70-D70)&gt;$I$10,F70-D70,"")))</f>
        <v/>
      </c>
      <c r="K70" s="210"/>
    </row>
    <row r="71" customFormat="false" ht="12.75" hidden="false" customHeight="false" outlineLevel="0" collapsed="false">
      <c r="A71" s="10"/>
      <c r="B71" s="31" t="s">
        <v>93</v>
      </c>
      <c r="C71" s="62" t="n">
        <v>32.67</v>
      </c>
      <c r="D71" s="64" t="s">
        <v>730</v>
      </c>
      <c r="E71" s="65" t="s">
        <v>643</v>
      </c>
      <c r="F71" s="65" t="s">
        <v>731</v>
      </c>
      <c r="G71" s="191"/>
      <c r="H71" s="138" t="s">
        <v>93</v>
      </c>
      <c r="I71" s="270" t="str">
        <f aca="false">IF(E71="","",IF(C71="","",IF(ABS(E71-C71)&gt;$I$10,E71-C71,"")))</f>
        <v/>
      </c>
      <c r="J71" s="270" t="str">
        <f aca="false">IF(F71="","",IF(D71="","",IF(ABS(F71-D71)&gt;$I$10,F71-D71,"")))</f>
        <v/>
      </c>
      <c r="K71" s="210"/>
    </row>
    <row r="72" customFormat="false" ht="12.75" hidden="false" customHeight="false" outlineLevel="0" collapsed="false">
      <c r="B72" s="31" t="s">
        <v>94</v>
      </c>
      <c r="C72" s="62"/>
      <c r="D72" s="64"/>
      <c r="E72" s="65"/>
      <c r="F72" s="65"/>
      <c r="G72" s="191"/>
      <c r="H72" s="138" t="s">
        <v>94</v>
      </c>
      <c r="I72" s="270" t="str">
        <f aca="false">IF(E72="","",IF(C72="","",IF(ABS(E72-C72)&gt;$I$10,E72-C72,"")))</f>
        <v/>
      </c>
      <c r="J72" s="270" t="str">
        <f aca="false">IF(F72="","",IF(D72="","",IF(ABS(F72-D72)&gt;$I$10,F72-D72,"")))</f>
        <v/>
      </c>
      <c r="K72" s="210"/>
    </row>
    <row r="73" customFormat="false" ht="12.75" hidden="false" customHeight="false" outlineLevel="0" collapsed="false">
      <c r="B73" s="31" t="s">
        <v>95</v>
      </c>
      <c r="C73" s="62"/>
      <c r="D73" s="64"/>
      <c r="E73" s="65"/>
      <c r="F73" s="65"/>
      <c r="G73" s="191"/>
      <c r="H73" s="138" t="s">
        <v>95</v>
      </c>
      <c r="I73" s="270" t="str">
        <f aca="false">IF(E73="","",IF(C73="","",IF(ABS(E73-C73)&gt;$I$10,E73-C73,"")))</f>
        <v/>
      </c>
      <c r="J73" s="270" t="str">
        <f aca="false">IF(F73="","",IF(D73="","",IF(ABS(F73-D73)&gt;$I$10,F73-D73,"")))</f>
        <v/>
      </c>
      <c r="K73" s="210"/>
    </row>
    <row r="74" s="90" customFormat="true" ht="12.75" hidden="false" customHeight="false" outlineLevel="0" collapsed="false">
      <c r="A74" s="89"/>
      <c r="B74" s="38" t="s">
        <v>97</v>
      </c>
      <c r="C74" s="64" t="s">
        <v>756</v>
      </c>
      <c r="D74" s="64" t="s">
        <v>757</v>
      </c>
      <c r="E74" s="65" t="n">
        <v>191.609</v>
      </c>
      <c r="F74" s="65" t="s">
        <v>757</v>
      </c>
      <c r="G74" s="191"/>
      <c r="H74" s="140" t="s">
        <v>97</v>
      </c>
      <c r="I74" s="270" t="str">
        <f aca="false">IF(E74="","",IF(C74="","",IF(ABS(E74-C74)&gt;$I$10,E74-C74,"")))</f>
        <v/>
      </c>
      <c r="J74" s="270" t="str">
        <f aca="false">IF(F74="","",IF(D74="","",IF(ABS(F74-D74)&gt;$I$10,F74-D74,"")))</f>
        <v/>
      </c>
      <c r="K74" s="210"/>
    </row>
    <row r="75" customFormat="false" ht="12.75" hidden="false" customHeight="false" outlineLevel="0" collapsed="false">
      <c r="A75" s="10"/>
      <c r="B75" s="38" t="s">
        <v>99</v>
      </c>
      <c r="C75" s="64" t="s">
        <v>548</v>
      </c>
      <c r="D75" s="64" t="s">
        <v>728</v>
      </c>
      <c r="E75" s="65" t="s">
        <v>649</v>
      </c>
      <c r="F75" s="65" t="s">
        <v>729</v>
      </c>
      <c r="G75" s="191"/>
      <c r="H75" s="140" t="s">
        <v>99</v>
      </c>
      <c r="I75" s="270" t="str">
        <f aca="false">IF(E75="","",IF(C75="","",IF(ABS(E75-C75)&gt;$I$10,E75-C75,"")))</f>
        <v/>
      </c>
      <c r="J75" s="270" t="str">
        <f aca="false">IF(F75="","",IF(D75="","",IF(ABS(F75-D75)&gt;$I$10,F75-D75,"")))</f>
        <v/>
      </c>
      <c r="K75" s="210"/>
    </row>
    <row r="76" customFormat="false" ht="12.75" hidden="false" customHeight="false" outlineLevel="0" collapsed="false">
      <c r="B76" s="31" t="s">
        <v>100</v>
      </c>
      <c r="C76" s="62"/>
      <c r="D76" s="64"/>
      <c r="E76" s="65"/>
      <c r="F76" s="65"/>
      <c r="G76" s="191"/>
      <c r="H76" s="138" t="s">
        <v>100</v>
      </c>
      <c r="I76" s="270" t="str">
        <f aca="false">IF(E76="","",IF(C76="","",IF(ABS(E76-C76)&gt;$I$10,E76-C76,"")))</f>
        <v/>
      </c>
      <c r="J76" s="270" t="str">
        <f aca="false">IF(F76="","",IF(D76="","",IF(ABS(F76-D76)&gt;$I$10,F76-D76,"")))</f>
        <v/>
      </c>
      <c r="K76" s="210"/>
    </row>
    <row r="77" customFormat="false" ht="12.75" hidden="false" customHeight="false" outlineLevel="0" collapsed="false">
      <c r="B77" s="31" t="s">
        <v>101</v>
      </c>
      <c r="C77" s="62"/>
      <c r="D77" s="64"/>
      <c r="E77" s="65"/>
      <c r="F77" s="65"/>
      <c r="G77" s="191"/>
      <c r="H77" s="138" t="s">
        <v>101</v>
      </c>
      <c r="I77" s="270" t="str">
        <f aca="false">IF(E77="","",IF(C77="","",IF(ABS(E77-C77)&gt;$I$10,E77-C77,"")))</f>
        <v/>
      </c>
      <c r="J77" s="270" t="str">
        <f aca="false">IF(F77="","",IF(D77="","",IF(ABS(F77-D77)&gt;$I$10,F77-D77,"")))</f>
        <v/>
      </c>
      <c r="K77" s="210"/>
    </row>
    <row r="78" customFormat="false" ht="12.75" hidden="false" customHeight="false" outlineLevel="0" collapsed="false">
      <c r="A78" s="10"/>
      <c r="B78" s="31" t="s">
        <v>102</v>
      </c>
      <c r="C78" s="64" t="s">
        <v>758</v>
      </c>
      <c r="D78" s="64" t="s">
        <v>734</v>
      </c>
      <c r="E78" s="65" t="n">
        <v>146.328</v>
      </c>
      <c r="F78" s="65" t="s">
        <v>734</v>
      </c>
      <c r="G78" s="240"/>
      <c r="H78" s="138" t="s">
        <v>102</v>
      </c>
      <c r="I78" s="270" t="str">
        <f aca="false">IF(E78="","",IF(C78="","",IF(ABS(E78-C78)&gt;$I$10,E78-C78,"")))</f>
        <v/>
      </c>
      <c r="J78" s="270" t="str">
        <f aca="false">IF(F78="","",IF(D78="","",IF(ABS(F78-D78)&gt;$I$10,F78-D78,"")))</f>
        <v/>
      </c>
      <c r="K78" s="210"/>
    </row>
    <row r="79" customFormat="false" ht="12.75" hidden="false" customHeight="false" outlineLevel="0" collapsed="false">
      <c r="B79" s="31" t="s">
        <v>103</v>
      </c>
      <c r="C79" s="62"/>
      <c r="D79" s="64"/>
      <c r="E79" s="65" t="s">
        <v>655</v>
      </c>
      <c r="F79" s="65" t="s">
        <v>729</v>
      </c>
      <c r="G79" s="240"/>
      <c r="H79" s="138" t="s">
        <v>103</v>
      </c>
      <c r="I79" s="270" t="str">
        <f aca="false">IF(E79="","",IF(C79="","",IF(ABS(E79-C79)&gt;$I$10,E79-C79,"")))</f>
        <v/>
      </c>
      <c r="J79" s="270" t="str">
        <f aca="false">IF(F79="","",IF(D79="","",IF(ABS(F79-D79)&gt;$I$10,F79-D79,"")))</f>
        <v/>
      </c>
      <c r="K79" s="210"/>
    </row>
    <row r="80" customFormat="false" ht="12.75" hidden="false" customHeight="false" outlineLevel="0" collapsed="false">
      <c r="B80" s="31" t="s">
        <v>104</v>
      </c>
      <c r="C80" s="62"/>
      <c r="D80" s="64"/>
      <c r="E80" s="65"/>
      <c r="F80" s="65"/>
      <c r="G80" s="240"/>
      <c r="H80" s="138" t="s">
        <v>104</v>
      </c>
      <c r="I80" s="270" t="str">
        <f aca="false">IF(E80="","",IF(C80="","",IF(ABS(E80-C80)&gt;$I$10,E80-C80,"")))</f>
        <v/>
      </c>
      <c r="J80" s="270" t="str">
        <f aca="false">IF(F80="","",IF(D80="","",IF(ABS(F80-D80)&gt;$I$10,F80-D80,"")))</f>
        <v/>
      </c>
      <c r="K80" s="210"/>
    </row>
    <row r="81" customFormat="false" ht="12.75" hidden="false" customHeight="false" outlineLevel="0" collapsed="false">
      <c r="B81" s="31" t="s">
        <v>105</v>
      </c>
      <c r="C81" s="62"/>
      <c r="D81" s="64"/>
      <c r="E81" s="65" t="s">
        <v>656</v>
      </c>
      <c r="F81" s="65" t="s">
        <v>759</v>
      </c>
      <c r="G81" s="191"/>
      <c r="H81" s="138" t="s">
        <v>105</v>
      </c>
      <c r="I81" s="270" t="str">
        <f aca="false">IF(E81="","",IF(C81="","",IF(ABS(E81-C81)&gt;$I$10,E81-C81,"")))</f>
        <v/>
      </c>
      <c r="J81" s="270" t="str">
        <f aca="false">IF(F81="","",IF(D81="","",IF(ABS(F81-D81)&gt;$I$10,F81-D81,"")))</f>
        <v/>
      </c>
      <c r="K81" s="210"/>
    </row>
    <row r="82" s="90" customFormat="true" ht="12.75" hidden="false" customHeight="false" outlineLevel="0" collapsed="false">
      <c r="A82" s="89"/>
      <c r="B82" s="38" t="s">
        <v>107</v>
      </c>
      <c r="C82" s="64" t="s">
        <v>760</v>
      </c>
      <c r="D82" s="64" t="s">
        <v>749</v>
      </c>
      <c r="E82" s="65" t="n">
        <v>205.152</v>
      </c>
      <c r="F82" s="65" t="s">
        <v>749</v>
      </c>
      <c r="G82" s="240" t="s">
        <v>751</v>
      </c>
      <c r="H82" s="140" t="s">
        <v>107</v>
      </c>
      <c r="I82" s="270" t="str">
        <f aca="false">IF(E82="","",IF(C82="","",IF(ABS(E82-C82)&gt;$I$10,E82-C82,"")))</f>
        <v/>
      </c>
      <c r="J82" s="270" t="str">
        <f aca="false">IF(F82="","",IF(D82="","",IF(ABS(F82-D82)&gt;$I$10,F82-D82,"")))</f>
        <v/>
      </c>
      <c r="K82" s="210"/>
    </row>
    <row r="83" customFormat="false" ht="12.75" hidden="false" customHeight="false" outlineLevel="0" collapsed="false">
      <c r="B83" s="31" t="s">
        <v>109</v>
      </c>
      <c r="C83" s="62"/>
      <c r="D83" s="64"/>
      <c r="E83" s="65"/>
      <c r="F83" s="65"/>
      <c r="G83" s="191"/>
      <c r="H83" s="138" t="s">
        <v>109</v>
      </c>
      <c r="I83" s="270" t="str">
        <f aca="false">IF(E83="","",IF(C83="","",IF(ABS(E83-C83)&gt;$I$10,E83-C83,"")))</f>
        <v/>
      </c>
      <c r="J83" s="270" t="str">
        <f aca="false">IF(F83="","",IF(D83="","",IF(ABS(F83-D83)&gt;$I$10,F83-D83,"")))</f>
        <v/>
      </c>
      <c r="K83" s="210"/>
    </row>
    <row r="84" customFormat="false" ht="12.75" hidden="false" customHeight="false" outlineLevel="0" collapsed="false">
      <c r="A84" s="10"/>
      <c r="B84" s="31" t="s">
        <v>110</v>
      </c>
      <c r="C84" s="62" t="n">
        <v>41.09</v>
      </c>
      <c r="D84" s="64" t="s">
        <v>761</v>
      </c>
      <c r="E84" s="65" t="s">
        <v>660</v>
      </c>
      <c r="F84" s="65" t="s">
        <v>762</v>
      </c>
      <c r="G84" s="191"/>
      <c r="H84" s="138" t="s">
        <v>110</v>
      </c>
      <c r="I84" s="270" t="str">
        <f aca="false">IF(E84="","",IF(C84="","",IF(ABS(E84-C84)&gt;$I$10,E84-C84,"")))</f>
        <v/>
      </c>
      <c r="J84" s="270" t="str">
        <f aca="false">IF(F84="","",IF(D84="","",IF(ABS(F84-D84)&gt;$I$10,F84-D84,"")))</f>
        <v/>
      </c>
      <c r="K84" s="210"/>
    </row>
    <row r="85" customFormat="false" ht="12.75" hidden="false" customHeight="false" outlineLevel="0" collapsed="false">
      <c r="B85" s="31" t="s">
        <v>111</v>
      </c>
      <c r="C85" s="62"/>
      <c r="D85" s="64"/>
      <c r="E85" s="65"/>
      <c r="F85" s="65"/>
      <c r="G85" s="191"/>
      <c r="H85" s="138" t="s">
        <v>111</v>
      </c>
      <c r="I85" s="270" t="str">
        <f aca="false">IF(E85="","",IF(C85="","",IF(ABS(E85-C85)&gt;$I$10,E85-C85,"")))</f>
        <v/>
      </c>
      <c r="J85" s="270" t="str">
        <f aca="false">IF(F85="","",IF(D85="","",IF(ABS(F85-D85)&gt;$I$10,F85-D85,"")))</f>
        <v/>
      </c>
      <c r="K85" s="210"/>
    </row>
    <row r="86" customFormat="false" ht="12.75" hidden="false" customHeight="false" outlineLevel="0" collapsed="false">
      <c r="A86" s="10"/>
      <c r="B86" s="31" t="s">
        <v>112</v>
      </c>
      <c r="C86" s="64" t="s">
        <v>551</v>
      </c>
      <c r="D86" s="64" t="s">
        <v>740</v>
      </c>
      <c r="E86" s="65" t="s">
        <v>662</v>
      </c>
      <c r="F86" s="65" t="s">
        <v>741</v>
      </c>
      <c r="G86" s="191"/>
      <c r="H86" s="138" t="s">
        <v>112</v>
      </c>
      <c r="I86" s="270" t="str">
        <f aca="false">IF(E86="","",IF(C86="","",IF(ABS(E86-C86)&gt;$I$10,E86-C86,"")))</f>
        <v/>
      </c>
      <c r="J86" s="270" t="str">
        <f aca="false">IF(F86="","",IF(D86="","",IF(ABS(F86-D86)&gt;$I$10,F86-D86,"")))</f>
        <v/>
      </c>
      <c r="K86" s="210"/>
    </row>
    <row r="87" customFormat="false" ht="12.75" hidden="false" customHeight="false" outlineLevel="0" collapsed="false">
      <c r="B87" s="38" t="s">
        <v>113</v>
      </c>
      <c r="C87" s="62"/>
      <c r="D87" s="64"/>
      <c r="E87" s="65"/>
      <c r="F87" s="65"/>
      <c r="G87" s="191"/>
      <c r="H87" s="140" t="s">
        <v>113</v>
      </c>
      <c r="I87" s="270" t="str">
        <f aca="false">IF(E87="","",IF(C87="","",IF(ABS(E87-C87)&gt;$I$10,E87-C87,"")))</f>
        <v/>
      </c>
      <c r="J87" s="270" t="str">
        <f aca="false">IF(F87="","",IF(D87="","",IF(ABS(F87-D87)&gt;$I$10,F87-D87,"")))</f>
        <v/>
      </c>
      <c r="K87" s="210"/>
    </row>
    <row r="88" customFormat="false" ht="12.75" hidden="false" customHeight="false" outlineLevel="0" collapsed="false">
      <c r="B88" s="31" t="s">
        <v>114</v>
      </c>
      <c r="C88" s="62"/>
      <c r="D88" s="64"/>
      <c r="E88" s="65"/>
      <c r="F88" s="65"/>
      <c r="G88" s="240"/>
      <c r="H88" s="138" t="s">
        <v>114</v>
      </c>
      <c r="I88" s="270" t="str">
        <f aca="false">IF(E88="","",IF(C88="","",IF(ABS(E88-C88)&gt;$I$10,E88-C88,"")))</f>
        <v/>
      </c>
      <c r="J88" s="270" t="str">
        <f aca="false">IF(F88="","",IF(D88="","",IF(ABS(F88-D88)&gt;$I$10,F88-D88,"")))</f>
        <v/>
      </c>
      <c r="K88" s="210"/>
    </row>
    <row r="89" customFormat="false" ht="12.75" hidden="false" customHeight="false" outlineLevel="0" collapsed="false">
      <c r="B89" s="38" t="s">
        <v>115</v>
      </c>
      <c r="C89" s="62"/>
      <c r="D89" s="64"/>
      <c r="E89" s="65"/>
      <c r="F89" s="65"/>
      <c r="G89" s="240"/>
      <c r="H89" s="140" t="s">
        <v>115</v>
      </c>
      <c r="I89" s="270" t="str">
        <f aca="false">IF(E89="","",IF(C89="","",IF(ABS(E89-C89)&gt;$I$10,E89-C89,"")))</f>
        <v/>
      </c>
      <c r="J89" s="270" t="str">
        <f aca="false">IF(F89="","",IF(D89="","",IF(ABS(F89-D89)&gt;$I$10,F89-D89,"")))</f>
        <v/>
      </c>
      <c r="K89" s="210"/>
    </row>
    <row r="90" customFormat="false" ht="12.75" hidden="false" customHeight="false" outlineLevel="0" collapsed="false">
      <c r="B90" s="31" t="s">
        <v>116</v>
      </c>
      <c r="C90" s="62"/>
      <c r="D90" s="64"/>
      <c r="E90" s="65"/>
      <c r="F90" s="65"/>
      <c r="G90" s="240"/>
      <c r="H90" s="138" t="s">
        <v>116</v>
      </c>
      <c r="I90" s="270" t="str">
        <f aca="false">IF(E90="","",IF(C90="","",IF(ABS(E90-C90)&gt;$I$10,E90-C90,"")))</f>
        <v/>
      </c>
      <c r="J90" s="270" t="str">
        <f aca="false">IF(F90="","",IF(D90="","",IF(ABS(F90-D90)&gt;$I$10,F90-D90,"")))</f>
        <v/>
      </c>
      <c r="K90" s="210"/>
    </row>
    <row r="91" customFormat="false" ht="12.75" hidden="false" customHeight="false" outlineLevel="0" collapsed="false">
      <c r="B91" s="31" t="s">
        <v>117</v>
      </c>
      <c r="C91" s="62"/>
      <c r="D91" s="64"/>
      <c r="E91" s="65"/>
      <c r="F91" s="65"/>
      <c r="G91" s="240"/>
      <c r="H91" s="138" t="s">
        <v>117</v>
      </c>
      <c r="I91" s="270" t="str">
        <f aca="false">IF(E91="","",IF(C91="","",IF(ABS(E91-C91)&gt;$I$10,E91-C91,"")))</f>
        <v/>
      </c>
      <c r="J91" s="270" t="str">
        <f aca="false">IF(F91="","",IF(D91="","",IF(ABS(F91-D91)&gt;$I$10,F91-D91,"")))</f>
        <v/>
      </c>
      <c r="K91" s="210"/>
    </row>
    <row r="92" customFormat="false" ht="12.75" hidden="false" customHeight="false" outlineLevel="0" collapsed="false">
      <c r="B92" s="31" t="s">
        <v>118</v>
      </c>
      <c r="C92" s="62"/>
      <c r="D92" s="64"/>
      <c r="E92" s="65" t="s">
        <v>663</v>
      </c>
      <c r="F92" s="65" t="s">
        <v>759</v>
      </c>
      <c r="G92" s="191"/>
      <c r="H92" s="138" t="s">
        <v>118</v>
      </c>
      <c r="I92" s="270" t="str">
        <f aca="false">IF(E92="","",IF(C92="","",IF(ABS(E92-C92)&gt;$I$10,E92-C92,"")))</f>
        <v/>
      </c>
      <c r="J92" s="270" t="str">
        <f aca="false">IF(F92="","",IF(D92="","",IF(ABS(F92-D92)&gt;$I$10,F92-D92,"")))</f>
        <v/>
      </c>
      <c r="K92" s="210"/>
    </row>
    <row r="93" customFormat="false" ht="12.75" hidden="false" customHeight="false" outlineLevel="0" collapsed="false">
      <c r="B93" s="38" t="s">
        <v>119</v>
      </c>
      <c r="C93" s="62"/>
      <c r="D93" s="64"/>
      <c r="E93" s="65"/>
      <c r="F93" s="65"/>
      <c r="G93" s="191"/>
      <c r="H93" s="140" t="s">
        <v>119</v>
      </c>
      <c r="I93" s="270" t="str">
        <f aca="false">IF(E93="","",IF(C93="","",IF(ABS(E93-C93)&gt;$I$10,E93-C93,"")))</f>
        <v/>
      </c>
      <c r="J93" s="270" t="str">
        <f aca="false">IF(F93="","",IF(D93="","",IF(ABS(F93-D93)&gt;$I$10,F93-D93,"")))</f>
        <v/>
      </c>
      <c r="K93" s="210"/>
    </row>
    <row r="94" customFormat="false" ht="12.75" hidden="false" customHeight="false" outlineLevel="0" collapsed="false">
      <c r="A94" s="10"/>
      <c r="B94" s="38" t="s">
        <v>120</v>
      </c>
      <c r="C94" s="62" t="n">
        <v>76.78</v>
      </c>
      <c r="D94" s="64" t="s">
        <v>740</v>
      </c>
      <c r="E94" s="65" t="s">
        <v>665</v>
      </c>
      <c r="F94" s="65" t="s">
        <v>741</v>
      </c>
      <c r="G94" s="240"/>
      <c r="H94" s="140" t="s">
        <v>120</v>
      </c>
      <c r="I94" s="270" t="str">
        <f aca="false">IF(E94="","",IF(C94="","",IF(ABS(E94-C94)&gt;$I$10,E94-C94,"")))</f>
        <v/>
      </c>
      <c r="J94" s="270" t="str">
        <f aca="false">IF(F94="","",IF(D94="","",IF(ABS(F94-D94)&gt;$I$10,F94-D94,"")))</f>
        <v/>
      </c>
      <c r="K94" s="210"/>
    </row>
    <row r="95" customFormat="false" ht="12.75" hidden="false" customHeight="false" outlineLevel="0" collapsed="false">
      <c r="B95" s="31" t="s">
        <v>121</v>
      </c>
      <c r="C95" s="62"/>
      <c r="D95" s="64"/>
      <c r="E95" s="65"/>
      <c r="F95" s="65"/>
      <c r="G95" s="191"/>
      <c r="H95" s="138" t="s">
        <v>121</v>
      </c>
      <c r="I95" s="270" t="str">
        <f aca="false">IF(E95="","",IF(C95="","",IF(ABS(E95-C95)&gt;$I$10,E95-C95,"")))</f>
        <v/>
      </c>
      <c r="J95" s="270" t="str">
        <f aca="false">IF(F95="","",IF(D95="","",IF(ABS(F95-D95)&gt;$I$10,F95-D95,"")))</f>
        <v/>
      </c>
      <c r="K95" s="210"/>
    </row>
    <row r="96" customFormat="false" ht="12.75" hidden="false" customHeight="false" outlineLevel="0" collapsed="false">
      <c r="B96" s="38" t="s">
        <v>122</v>
      </c>
      <c r="C96" s="62"/>
      <c r="D96" s="64"/>
      <c r="E96" s="65"/>
      <c r="F96" s="65"/>
      <c r="G96" s="191"/>
      <c r="H96" s="140" t="s">
        <v>122</v>
      </c>
      <c r="I96" s="270" t="str">
        <f aca="false">IF(E96="","",IF(C96="","",IF(ABS(E96-C96)&gt;$I$10,E96-C96,"")))</f>
        <v/>
      </c>
      <c r="J96" s="270" t="str">
        <f aca="false">IF(F96="","",IF(D96="","",IF(ABS(F96-D96)&gt;$I$10,F96-D96,"")))</f>
        <v/>
      </c>
      <c r="K96" s="210"/>
    </row>
    <row r="97" customFormat="false" ht="12.75" hidden="false" customHeight="false" outlineLevel="0" collapsed="false">
      <c r="B97" s="31" t="s">
        <v>123</v>
      </c>
      <c r="C97" s="62"/>
      <c r="D97" s="64"/>
      <c r="E97" s="65"/>
      <c r="F97" s="65"/>
      <c r="G97" s="191"/>
      <c r="H97" s="138" t="s">
        <v>123</v>
      </c>
      <c r="I97" s="270" t="str">
        <f aca="false">IF(E97="","",IF(C97="","",IF(ABS(E97-C97)&gt;$I$10,E97-C97,"")))</f>
        <v/>
      </c>
      <c r="J97" s="270" t="str">
        <f aca="false">IF(F97="","",IF(D97="","",IF(ABS(F97-D97)&gt;$I$10,F97-D97,"")))</f>
        <v/>
      </c>
      <c r="K97" s="210"/>
    </row>
    <row r="98" customFormat="false" ht="12.75" hidden="false" customHeight="false" outlineLevel="0" collapsed="false">
      <c r="B98" s="38" t="s">
        <v>124</v>
      </c>
      <c r="C98" s="62"/>
      <c r="D98" s="64"/>
      <c r="E98" s="65"/>
      <c r="F98" s="65"/>
      <c r="G98" s="191"/>
      <c r="H98" s="140" t="s">
        <v>124</v>
      </c>
      <c r="I98" s="270" t="str">
        <f aca="false">IF(E98="","",IF(C98="","",IF(ABS(E98-C98)&gt;$I$10,E98-C98,"")))</f>
        <v/>
      </c>
      <c r="J98" s="270" t="str">
        <f aca="false">IF(F98="","",IF(D98="","",IF(ABS(F98-D98)&gt;$I$10,F98-D98,"")))</f>
        <v/>
      </c>
      <c r="K98" s="210"/>
    </row>
    <row r="99" customFormat="false" ht="12.75" hidden="false" customHeight="false" outlineLevel="0" collapsed="false">
      <c r="A99" s="10"/>
      <c r="B99" s="38" t="s">
        <v>125</v>
      </c>
      <c r="C99" s="62" t="n">
        <v>32.054</v>
      </c>
      <c r="D99" s="64" t="s">
        <v>763</v>
      </c>
      <c r="E99" s="65" t="n">
        <v>32.054</v>
      </c>
      <c r="F99" s="65" t="s">
        <v>763</v>
      </c>
      <c r="G99" s="240"/>
      <c r="H99" s="140" t="s">
        <v>125</v>
      </c>
      <c r="I99" s="270" t="str">
        <f aca="false">IF(E99="","",IF(C99="","",IF(ABS(E99-C99)&gt;$I$10,E99-C99,"")))</f>
        <v/>
      </c>
      <c r="J99" s="270" t="str">
        <f aca="false">IF(F99="","",IF(D99="","",IF(ABS(F99-D99)&gt;$I$10,F99-D99,"")))</f>
        <v/>
      </c>
      <c r="K99" s="210"/>
    </row>
    <row r="100" customFormat="false" ht="12.75" hidden="false" customHeight="false" outlineLevel="0" collapsed="false">
      <c r="B100" s="31" t="s">
        <v>126</v>
      </c>
      <c r="C100" s="62"/>
      <c r="D100" s="64"/>
      <c r="E100" s="65" t="s">
        <v>669</v>
      </c>
      <c r="F100" s="65" t="s">
        <v>764</v>
      </c>
      <c r="G100" s="240"/>
      <c r="H100" s="138" t="s">
        <v>126</v>
      </c>
      <c r="I100" s="270" t="str">
        <f aca="false">IF(E100="","",IF(C100="","",IF(ABS(E100-C100)&gt;$I$10,E100-C100,"")))</f>
        <v/>
      </c>
      <c r="J100" s="270" t="str">
        <f aca="false">IF(F100="","",IF(D100="","",IF(ABS(F100-D100)&gt;$I$10,F100-D100,"")))</f>
        <v/>
      </c>
      <c r="K100" s="210"/>
    </row>
    <row r="101" customFormat="false" ht="12.75" hidden="false" customHeight="false" outlineLevel="0" collapsed="false">
      <c r="B101" s="31" t="s">
        <v>127</v>
      </c>
      <c r="C101" s="62"/>
      <c r="D101" s="64"/>
      <c r="E101" s="65"/>
      <c r="F101" s="65"/>
      <c r="G101" s="240"/>
      <c r="H101" s="138" t="s">
        <v>127</v>
      </c>
      <c r="I101" s="270" t="str">
        <f aca="false">IF(E101="","",IF(C101="","",IF(ABS(E101-C101)&gt;$I$10,E101-C101,"")))</f>
        <v/>
      </c>
      <c r="J101" s="270" t="str">
        <f aca="false">IF(F101="","",IF(D101="","",IF(ABS(F101-D101)&gt;$I$10,F101-D101,"")))</f>
        <v/>
      </c>
      <c r="K101" s="210"/>
    </row>
    <row r="102" customFormat="false" ht="12.75" hidden="false" customHeight="false" outlineLevel="0" collapsed="false">
      <c r="B102" s="38" t="s">
        <v>128</v>
      </c>
      <c r="C102" s="62"/>
      <c r="D102" s="64"/>
      <c r="E102" s="65" t="s">
        <v>670</v>
      </c>
      <c r="F102" s="65" t="s">
        <v>765</v>
      </c>
      <c r="G102" s="240"/>
      <c r="H102" s="140" t="s">
        <v>128</v>
      </c>
      <c r="I102" s="270" t="str">
        <f aca="false">IF(E102="","",IF(C102="","",IF(ABS(E102-C102)&gt;$I$10,E102-C102,"")))</f>
        <v/>
      </c>
      <c r="J102" s="270" t="str">
        <f aca="false">IF(F102="","",IF(D102="","",IF(ABS(F102-D102)&gt;$I$10,F102-D102,"")))</f>
        <v/>
      </c>
      <c r="K102" s="210"/>
    </row>
    <row r="103" customFormat="false" ht="12.75" hidden="false" customHeight="false" outlineLevel="0" collapsed="false">
      <c r="A103" s="10"/>
      <c r="B103" s="31" t="s">
        <v>129</v>
      </c>
      <c r="C103" s="62" t="n">
        <v>18.81</v>
      </c>
      <c r="D103" s="64" t="s">
        <v>736</v>
      </c>
      <c r="E103" s="65" t="s">
        <v>672</v>
      </c>
      <c r="F103" s="65" t="s">
        <v>737</v>
      </c>
      <c r="G103" s="191"/>
      <c r="H103" s="138" t="s">
        <v>129</v>
      </c>
      <c r="I103" s="270" t="str">
        <f aca="false">IF(E103="","",IF(C103="","",IF(ABS(E103-C103)&gt;$I$10,E103-C103,"")))</f>
        <v/>
      </c>
      <c r="J103" s="270" t="str">
        <f aca="false">IF(F103="","",IF(D103="","",IF(ABS(F103-D103)&gt;$I$10,F103-D103,"")))</f>
        <v/>
      </c>
      <c r="K103" s="210"/>
    </row>
    <row r="104" customFormat="false" ht="12.75" hidden="false" customHeight="false" outlineLevel="0" collapsed="false">
      <c r="B104" s="31" t="s">
        <v>130</v>
      </c>
      <c r="C104" s="62"/>
      <c r="D104" s="64"/>
      <c r="E104" s="65"/>
      <c r="F104" s="65"/>
      <c r="G104" s="191"/>
      <c r="H104" s="138" t="s">
        <v>130</v>
      </c>
      <c r="I104" s="270" t="str">
        <f aca="false">IF(E104="","",IF(C104="","",IF(ABS(E104-C104)&gt;$I$10,E104-C104,"")))</f>
        <v/>
      </c>
      <c r="J104" s="270" t="str">
        <f aca="false">IF(F104="","",IF(D104="","",IF(ABS(F104-D104)&gt;$I$10,F104-D104,"")))</f>
        <v/>
      </c>
      <c r="K104" s="210"/>
    </row>
    <row r="105" customFormat="false" ht="12.75" hidden="false" customHeight="false" outlineLevel="0" collapsed="false">
      <c r="A105" s="10"/>
      <c r="B105" s="31" t="s">
        <v>131</v>
      </c>
      <c r="C105" s="62" t="n">
        <v>51.18</v>
      </c>
      <c r="D105" s="64" t="s">
        <v>736</v>
      </c>
      <c r="E105" s="65" t="s">
        <v>675</v>
      </c>
      <c r="F105" s="65" t="s">
        <v>737</v>
      </c>
      <c r="G105" s="191"/>
      <c r="H105" s="138" t="s">
        <v>131</v>
      </c>
      <c r="I105" s="270" t="str">
        <f aca="false">IF(E105="","",IF(C105="","",IF(ABS(E105-C105)&gt;$I$10,E105-C105,"")))</f>
        <v/>
      </c>
      <c r="J105" s="270" t="str">
        <f aca="false">IF(F105="","",IF(D105="","",IF(ABS(F105-D105)&gt;$I$10,F105-D105,"")))</f>
        <v/>
      </c>
      <c r="K105" s="210"/>
    </row>
    <row r="106" customFormat="false" ht="12.75" hidden="false" customHeight="false" outlineLevel="0" collapsed="false">
      <c r="B106" s="38" t="s">
        <v>132</v>
      </c>
      <c r="C106" s="62"/>
      <c r="D106" s="64"/>
      <c r="E106" s="65" t="s">
        <v>677</v>
      </c>
      <c r="F106" s="65" t="s">
        <v>764</v>
      </c>
      <c r="G106" s="191"/>
      <c r="H106" s="140" t="s">
        <v>132</v>
      </c>
      <c r="I106" s="270" t="str">
        <f aca="false">IF(E106="","",IF(C106="","",IF(ABS(E106-C106)&gt;$I$10,E106-C106,"")))</f>
        <v/>
      </c>
      <c r="J106" s="270" t="str">
        <f aca="false">IF(F106="","",IF(D106="","",IF(ABS(F106-D106)&gt;$I$10,F106-D106,"")))</f>
        <v/>
      </c>
      <c r="K106" s="210"/>
    </row>
    <row r="107" customFormat="false" ht="12.75" hidden="false" customHeight="false" outlineLevel="0" collapsed="false">
      <c r="B107" s="31" t="s">
        <v>133</v>
      </c>
      <c r="C107" s="62"/>
      <c r="D107" s="64"/>
      <c r="E107" s="65"/>
      <c r="F107" s="65"/>
      <c r="G107" s="191"/>
      <c r="H107" s="138" t="s">
        <v>133</v>
      </c>
      <c r="I107" s="270" t="str">
        <f aca="false">IF(E107="","",IF(C107="","",IF(ABS(E107-C107)&gt;$I$10,E107-C107,"")))</f>
        <v/>
      </c>
      <c r="J107" s="270" t="str">
        <f aca="false">IF(F107="","",IF(D107="","",IF(ABS(F107-D107)&gt;$I$10,F107-D107,"")))</f>
        <v/>
      </c>
      <c r="K107" s="210"/>
    </row>
    <row r="108" customFormat="false" ht="12.75" hidden="false" customHeight="false" outlineLevel="0" collapsed="false">
      <c r="B108" s="31" t="s">
        <v>134</v>
      </c>
      <c r="C108" s="62"/>
      <c r="D108" s="64"/>
      <c r="E108" s="65"/>
      <c r="F108" s="65"/>
      <c r="G108" s="191"/>
      <c r="H108" s="138" t="s">
        <v>134</v>
      </c>
      <c r="I108" s="270" t="str">
        <f aca="false">IF(E108="","",IF(C108="","",IF(ABS(E108-C108)&gt;$I$10,E108-C108,"")))</f>
        <v/>
      </c>
      <c r="J108" s="270" t="str">
        <f aca="false">IF(F108="","",IF(D108="","",IF(ABS(F108-D108)&gt;$I$10,F108-D108,"")))</f>
        <v/>
      </c>
      <c r="K108" s="210"/>
    </row>
    <row r="109" customFormat="false" ht="12.75" hidden="false" customHeight="false" outlineLevel="0" collapsed="false">
      <c r="B109" s="31" t="s">
        <v>135</v>
      </c>
      <c r="C109" s="62"/>
      <c r="D109" s="64"/>
      <c r="E109" s="65" t="s">
        <v>683</v>
      </c>
      <c r="F109" s="65" t="s">
        <v>766</v>
      </c>
      <c r="H109" s="138" t="s">
        <v>135</v>
      </c>
      <c r="I109" s="270" t="str">
        <f aca="false">IF(E109="","",IF(C109="","",IF(ABS(E109-C109)&gt;$I$10,E109-C109,"")))</f>
        <v/>
      </c>
      <c r="J109" s="270" t="str">
        <f aca="false">IF(F109="","",IF(D109="","",IF(ABS(F109-D109)&gt;$I$10,F109-D109,"")))</f>
        <v/>
      </c>
      <c r="K109" s="210"/>
    </row>
    <row r="110" customFormat="false" ht="12.75" hidden="false" customHeight="false" outlineLevel="0" collapsed="false">
      <c r="A110" s="10"/>
      <c r="B110" s="38" t="s">
        <v>136</v>
      </c>
      <c r="C110" s="62"/>
      <c r="D110" s="64"/>
      <c r="E110" s="65" t="n">
        <v>49.221</v>
      </c>
      <c r="F110" s="65" t="s">
        <v>763</v>
      </c>
      <c r="G110" s="240"/>
      <c r="H110" s="140" t="s">
        <v>136</v>
      </c>
      <c r="I110" s="270" t="str">
        <f aca="false">IF(E110="","",IF(C110="","",IF(ABS(E110-C110)&gt;$I$10,E110-C110,"")))</f>
        <v/>
      </c>
      <c r="J110" s="270" t="str">
        <f aca="false">IF(F110="","",IF(D110="","",IF(ABS(F110-D110)&gt;$I$10,F110-D110,"")))</f>
        <v/>
      </c>
      <c r="K110" s="210"/>
    </row>
    <row r="111" customFormat="false" ht="12.75" hidden="false" customHeight="false" outlineLevel="0" collapsed="false">
      <c r="B111" s="38" t="s">
        <v>137</v>
      </c>
      <c r="C111" s="62" t="n">
        <v>51.8</v>
      </c>
      <c r="D111" s="64" t="s">
        <v>767</v>
      </c>
      <c r="E111" s="65" t="s">
        <v>686</v>
      </c>
      <c r="F111" s="65" t="s">
        <v>768</v>
      </c>
      <c r="G111" s="240"/>
      <c r="H111" s="140" t="s">
        <v>137</v>
      </c>
      <c r="I111" s="270" t="n">
        <f aca="false">IF(E111="","",IF(C111="","",IF(ABS(E111-C111)&gt;$I$10,E111-C111,"")))</f>
        <v>0.840000000000003</v>
      </c>
      <c r="J111" s="270" t="str">
        <f aca="false">IF(F111="","",IF(D111="","",IF(ABS(F111-D111)&gt;$I$10,F111-D111,"")))</f>
        <v/>
      </c>
      <c r="K111" s="210"/>
    </row>
    <row r="112" customFormat="false" ht="12.75" hidden="false" customHeight="false" outlineLevel="0" collapsed="false">
      <c r="B112" s="31" t="s">
        <v>138</v>
      </c>
      <c r="C112" s="62" t="n">
        <v>30.72</v>
      </c>
      <c r="D112" s="64" t="s">
        <v>731</v>
      </c>
      <c r="E112" s="65" t="s">
        <v>688</v>
      </c>
      <c r="F112" s="65" t="s">
        <v>731</v>
      </c>
      <c r="G112" s="240"/>
      <c r="H112" s="138" t="s">
        <v>138</v>
      </c>
      <c r="I112" s="270" t="str">
        <f aca="false">IF(E112="","",IF(C112="","",IF(ABS(E112-C112)&gt;$I$10,E112-C112,"")))</f>
        <v/>
      </c>
      <c r="J112" s="270" t="str">
        <f aca="false">IF(F112="","",IF(D112="","",IF(ABS(F112-D112)&gt;$I$10,F112-D112,"")))</f>
        <v/>
      </c>
      <c r="K112" s="210"/>
    </row>
    <row r="113" customFormat="false" ht="12.75" hidden="false" customHeight="false" outlineLevel="0" collapsed="false">
      <c r="B113" s="31" t="s">
        <v>139</v>
      </c>
      <c r="C113" s="62"/>
      <c r="D113" s="64"/>
      <c r="E113" s="65"/>
      <c r="F113" s="65"/>
      <c r="G113" s="240"/>
      <c r="H113" s="138" t="s">
        <v>139</v>
      </c>
      <c r="I113" s="270" t="str">
        <f aca="false">IF(E113="","",IF(C113="","",IF(ABS(E113-C113)&gt;$I$10,E113-C113,"")))</f>
        <v/>
      </c>
      <c r="J113" s="270" t="str">
        <f aca="false">IF(F113="","",IF(D113="","",IF(ABS(F113-D113)&gt;$I$10,F113-D113,"")))</f>
        <v/>
      </c>
      <c r="K113" s="210"/>
    </row>
    <row r="114" customFormat="false" ht="12.75" hidden="false" customHeight="false" outlineLevel="0" collapsed="false">
      <c r="B114" s="31" t="s">
        <v>140</v>
      </c>
      <c r="C114" s="62"/>
      <c r="D114" s="64"/>
      <c r="E114" s="65"/>
      <c r="F114" s="65"/>
      <c r="G114" s="191"/>
      <c r="H114" s="138" t="s">
        <v>140</v>
      </c>
      <c r="I114" s="270" t="str">
        <f aca="false">IF(E114="","",IF(C114="","",IF(ABS(E114-C114)&gt;$I$10,E114-C114,"")))</f>
        <v/>
      </c>
      <c r="J114" s="270" t="str">
        <f aca="false">IF(F114="","",IF(D114="","",IF(ABS(F114-D114)&gt;$I$10,F114-D114,"")))</f>
        <v/>
      </c>
      <c r="K114" s="210"/>
    </row>
    <row r="115" customFormat="false" ht="12.75" hidden="false" customHeight="false" outlineLevel="0" collapsed="false">
      <c r="A115" s="10"/>
      <c r="B115" s="31" t="s">
        <v>141</v>
      </c>
      <c r="C115" s="64" t="s">
        <v>552</v>
      </c>
      <c r="D115" s="64" t="s">
        <v>728</v>
      </c>
      <c r="E115" s="65" t="s">
        <v>690</v>
      </c>
      <c r="F115" s="65" t="s">
        <v>729</v>
      </c>
      <c r="G115" s="191"/>
      <c r="H115" s="138" t="s">
        <v>141</v>
      </c>
      <c r="I115" s="270" t="str">
        <f aca="false">IF(E115="","",IF(C115="","",IF(ABS(E115-C115)&gt;$I$10,E115-C115,"")))</f>
        <v/>
      </c>
      <c r="J115" s="270" t="str">
        <f aca="false">IF(F115="","",IF(D115="","",IF(ABS(F115-D115)&gt;$I$10,F115-D115,"")))</f>
        <v/>
      </c>
      <c r="K115" s="210"/>
    </row>
    <row r="116" customFormat="false" ht="12.75" hidden="false" customHeight="false" outlineLevel="0" collapsed="false">
      <c r="B116" s="31" t="s">
        <v>142</v>
      </c>
      <c r="C116" s="62"/>
      <c r="D116" s="64"/>
      <c r="E116" s="65"/>
      <c r="F116" s="65"/>
      <c r="G116" s="191"/>
      <c r="H116" s="138" t="s">
        <v>142</v>
      </c>
      <c r="I116" s="270" t="str">
        <f aca="false">IF(E116="","",IF(C116="","",IF(ABS(E116-C116)&gt;$I$10,E116-C116,"")))</f>
        <v/>
      </c>
      <c r="J116" s="270" t="str">
        <f aca="false">IF(F116="","",IF(D116="","",IF(ABS(F116-D116)&gt;$I$10,F116-D116,"")))</f>
        <v/>
      </c>
      <c r="K116" s="210"/>
    </row>
    <row r="117" customFormat="false" ht="12.75" hidden="false" customHeight="false" outlineLevel="0" collapsed="false">
      <c r="A117" s="87"/>
      <c r="B117" s="31" t="s">
        <v>143</v>
      </c>
      <c r="C117" s="62"/>
      <c r="D117" s="64"/>
      <c r="E117" s="65"/>
      <c r="F117" s="65"/>
      <c r="G117" s="191"/>
      <c r="H117" s="138" t="s">
        <v>143</v>
      </c>
      <c r="I117" s="270" t="str">
        <f aca="false">IF(E117="","",IF(C117="","",IF(ABS(E117-C117)&gt;$I$10,E117-C117,"")))</f>
        <v/>
      </c>
      <c r="J117" s="270" t="str">
        <f aca="false">IF(F117="","",IF(D117="","",IF(ABS(F117-D117)&gt;$I$10,F117-D117,"")))</f>
        <v/>
      </c>
      <c r="K117" s="210"/>
    </row>
    <row r="118" customFormat="false" ht="12.75" hidden="false" customHeight="false" outlineLevel="0" collapsed="false">
      <c r="A118" s="10"/>
      <c r="B118" s="31" t="s">
        <v>144</v>
      </c>
      <c r="C118" s="64" t="s">
        <v>693</v>
      </c>
      <c r="D118" s="64" t="s">
        <v>734</v>
      </c>
      <c r="E118" s="65" t="n">
        <v>169.685</v>
      </c>
      <c r="F118" s="65" t="s">
        <v>734</v>
      </c>
      <c r="G118" s="191"/>
      <c r="H118" s="138" t="s">
        <v>144</v>
      </c>
      <c r="I118" s="270" t="str">
        <f aca="false">IF(E118="","",IF(C118="","",IF(ABS(E118-C118)&gt;$I$10,E118-C118,"")))</f>
        <v/>
      </c>
      <c r="J118" s="270" t="str">
        <f aca="false">IF(F118="","",IF(D118="","",IF(ABS(F118-D118)&gt;$I$10,F118-D118,"")))</f>
        <v/>
      </c>
      <c r="K118" s="210"/>
    </row>
    <row r="119" customFormat="false" ht="12.75" hidden="false" customHeight="false" outlineLevel="0" collapsed="false">
      <c r="B119" s="31" t="s">
        <v>145</v>
      </c>
      <c r="C119" s="62"/>
      <c r="D119" s="64"/>
      <c r="E119" s="65"/>
      <c r="F119" s="65"/>
      <c r="G119" s="191"/>
      <c r="H119" s="138" t="s">
        <v>145</v>
      </c>
      <c r="I119" s="270" t="str">
        <f aca="false">IF(E119="","",IF(C119="","",IF(ABS(E119-C119)&gt;$I$10,E119-C119,"")))</f>
        <v/>
      </c>
      <c r="J119" s="270" t="str">
        <f aca="false">IF(F119="","",IF(D119="","",IF(ABS(F119-D119)&gt;$I$10,F119-D119,"")))</f>
        <v/>
      </c>
      <c r="K119" s="210"/>
    </row>
    <row r="120" customFormat="false" ht="12.75" hidden="false" customHeight="false" outlineLevel="0" collapsed="false">
      <c r="B120" s="31" t="s">
        <v>146</v>
      </c>
      <c r="C120" s="62"/>
      <c r="D120" s="64"/>
      <c r="E120" s="65"/>
      <c r="F120" s="65"/>
      <c r="G120" s="191"/>
      <c r="H120" s="138" t="s">
        <v>146</v>
      </c>
      <c r="I120" s="270" t="str">
        <f aca="false">IF(E120="","",IF(C120="","",IF(ABS(E120-C120)&gt;$I$10,E120-C120,"")))</f>
        <v/>
      </c>
      <c r="J120" s="270" t="str">
        <f aca="false">IF(F120="","",IF(D120="","",IF(ABS(F120-D120)&gt;$I$10,F120-D120,"")))</f>
        <v/>
      </c>
      <c r="K120" s="210"/>
    </row>
    <row r="121" customFormat="false" ht="12.75" hidden="false" customHeight="false" outlineLevel="0" collapsed="false">
      <c r="B121" s="31" t="s">
        <v>147</v>
      </c>
      <c r="C121" s="62" t="n">
        <v>41.63</v>
      </c>
      <c r="D121" s="64" t="s">
        <v>744</v>
      </c>
      <c r="E121" s="65" t="s">
        <v>695</v>
      </c>
      <c r="F121" s="65" t="s">
        <v>745</v>
      </c>
      <c r="G121" s="240"/>
      <c r="H121" s="138" t="s">
        <v>147</v>
      </c>
      <c r="I121" s="270" t="str">
        <f aca="false">IF(E121="","",IF(C121="","",IF(ABS(E121-C121)&gt;$I$10,E121-C121,"")))</f>
        <v/>
      </c>
      <c r="J121" s="270" t="str">
        <f aca="false">IF(F121="","",IF(D121="","",IF(ABS(F121-D121)&gt;$I$10,F121-D121,"")))</f>
        <v/>
      </c>
      <c r="K121" s="210"/>
    </row>
    <row r="122" customFormat="false" ht="13.5" hidden="false" customHeight="false" outlineLevel="0" collapsed="false">
      <c r="B122" s="39" t="s">
        <v>148</v>
      </c>
      <c r="C122" s="153"/>
      <c r="D122" s="165"/>
      <c r="E122" s="110" t="s">
        <v>696</v>
      </c>
      <c r="F122" s="110" t="s">
        <v>731</v>
      </c>
      <c r="G122" s="240"/>
      <c r="H122" s="144" t="s">
        <v>148</v>
      </c>
      <c r="I122" s="271" t="str">
        <f aca="false">IF(E122="","",IF(C122="","",IF(ABS(E122-C122)&gt;$I$10,E122-C122,"")))</f>
        <v/>
      </c>
      <c r="J122" s="271" t="str">
        <f aca="false">IF(F122="","",IF(D122="","",IF(ABS(F122-D122)&gt;$I$10,F122-D122,"")))</f>
        <v/>
      </c>
      <c r="K122" s="210"/>
    </row>
    <row r="123" customFormat="false" ht="13.5" hidden="false" customHeight="false" outlineLevel="0" collapsed="false">
      <c r="B123" s="146" t="s">
        <v>185</v>
      </c>
      <c r="C123" s="70" t="n">
        <f aca="false">COUNTA(C20:C122)</f>
        <v>37</v>
      </c>
      <c r="D123" s="70" t="n">
        <f aca="false">COUNTA(D20:D122)</f>
        <v>37</v>
      </c>
      <c r="E123" s="70" t="n">
        <f aca="false">COUNTA(E20:E122)</f>
        <v>51</v>
      </c>
      <c r="F123" s="70" t="n">
        <f aca="false">COUNTA(F20:F122)</f>
        <v>51</v>
      </c>
      <c r="G123" s="10"/>
      <c r="H123" s="146" t="s">
        <v>185</v>
      </c>
      <c r="I123" s="272" t="n">
        <f aca="false">COUNT(I20:I122)</f>
        <v>1</v>
      </c>
      <c r="J123" s="272" t="n">
        <f aca="false">COUNT(J20:J122)</f>
        <v>0</v>
      </c>
      <c r="K123" s="273"/>
    </row>
    <row r="124" customFormat="false" ht="12.75" hidden="false" customHeight="false" outlineLevel="0" collapsed="false">
      <c r="B124" s="84" t="s">
        <v>769</v>
      </c>
      <c r="C124" s="274" t="s">
        <v>770</v>
      </c>
      <c r="D124" s="275" t="s">
        <v>766</v>
      </c>
      <c r="E124" s="10" t="s">
        <v>771</v>
      </c>
      <c r="G124" s="10"/>
      <c r="H124" s="84"/>
    </row>
    <row r="125" customFormat="false" ht="12.75" hidden="false" customHeight="false" outlineLevel="0" collapsed="false">
      <c r="B125" s="84" t="s">
        <v>772</v>
      </c>
      <c r="J125" s="10"/>
      <c r="K125" s="10"/>
    </row>
    <row r="126" customFormat="false" ht="13.5" hidden="false" customHeight="false" outlineLevel="0" collapsed="false">
      <c r="J126" s="10"/>
      <c r="K126" s="10"/>
    </row>
    <row r="127" customFormat="false" ht="13.5" hidden="false" customHeight="false" outlineLevel="0" collapsed="false">
      <c r="B127" s="120" t="s">
        <v>160</v>
      </c>
      <c r="C127" s="47" t="s">
        <v>722</v>
      </c>
      <c r="D127" s="268"/>
      <c r="E127" s="47" t="s">
        <v>723</v>
      </c>
      <c r="F127" s="268"/>
      <c r="H127" s="120" t="s">
        <v>160</v>
      </c>
      <c r="I127" s="47" t="s">
        <v>724</v>
      </c>
      <c r="J127" s="268"/>
      <c r="K127" s="2"/>
    </row>
    <row r="128" customFormat="false" ht="12.75" hidden="false" customHeight="false" outlineLevel="0" collapsed="false">
      <c r="B128" s="11"/>
      <c r="C128" s="168"/>
      <c r="D128" s="168"/>
      <c r="E128" s="168"/>
      <c r="F128" s="168"/>
      <c r="H128" s="11"/>
      <c r="I128" s="50"/>
      <c r="J128" s="167"/>
      <c r="K128" s="49"/>
    </row>
    <row r="129" customFormat="false" ht="12.75" hidden="false" customHeight="false" outlineLevel="0" collapsed="false">
      <c r="B129" s="16" t="s">
        <v>20</v>
      </c>
      <c r="C129" s="127"/>
      <c r="D129" s="168" t="s">
        <v>725</v>
      </c>
      <c r="E129" s="127"/>
      <c r="F129" s="168" t="s">
        <v>725</v>
      </c>
      <c r="G129" s="10"/>
      <c r="H129" s="16" t="s">
        <v>20</v>
      </c>
      <c r="I129" s="54"/>
      <c r="J129" s="168" t="s">
        <v>725</v>
      </c>
      <c r="K129" s="49"/>
    </row>
    <row r="130" customFormat="false" ht="12.75" hidden="false" customHeight="false" outlineLevel="0" collapsed="false">
      <c r="B130" s="16" t="s">
        <v>17</v>
      </c>
      <c r="C130" s="168" t="s">
        <v>726</v>
      </c>
      <c r="D130" s="168" t="s">
        <v>727</v>
      </c>
      <c r="E130" s="168" t="s">
        <v>726</v>
      </c>
      <c r="F130" s="168" t="s">
        <v>727</v>
      </c>
      <c r="G130" s="10"/>
      <c r="H130" s="16" t="s">
        <v>17</v>
      </c>
      <c r="I130" s="53" t="s">
        <v>726</v>
      </c>
      <c r="J130" s="168" t="s">
        <v>727</v>
      </c>
      <c r="K130" s="49"/>
    </row>
    <row r="131" customFormat="false" ht="15" hidden="false" customHeight="false" outlineLevel="0" collapsed="false">
      <c r="B131" s="21" t="s">
        <v>29</v>
      </c>
      <c r="C131" s="55" t="s">
        <v>167</v>
      </c>
      <c r="D131" s="55" t="s">
        <v>167</v>
      </c>
      <c r="E131" s="55" t="s">
        <v>167</v>
      </c>
      <c r="F131" s="55" t="s">
        <v>167</v>
      </c>
      <c r="H131" s="21" t="s">
        <v>29</v>
      </c>
      <c r="I131" s="55" t="s">
        <v>167</v>
      </c>
      <c r="J131" s="55" t="s">
        <v>167</v>
      </c>
      <c r="K131" s="49"/>
    </row>
    <row r="132" customFormat="false" ht="12.75" hidden="false" customHeight="false" outlineLevel="0" collapsed="false">
      <c r="B132" s="74" t="s">
        <v>187</v>
      </c>
      <c r="C132" s="226" t="s">
        <v>554</v>
      </c>
      <c r="D132" s="226" t="s">
        <v>761</v>
      </c>
      <c r="E132" s="171" t="s">
        <v>660</v>
      </c>
      <c r="F132" s="171" t="s">
        <v>762</v>
      </c>
      <c r="H132" s="74" t="s">
        <v>187</v>
      </c>
      <c r="I132" s="276" t="str">
        <f aca="false">IF(E132="","",IF(C132="","",IF(ABS(E132-C132)&gt;$I$10,E132-C132,"")))</f>
        <v/>
      </c>
      <c r="J132" s="276" t="str">
        <f aca="false">IF(F132="","",IF(D132="","",IF(ABS(F132-D132)&gt;$I$10,F132-D132,"")))</f>
        <v/>
      </c>
      <c r="K132" s="277"/>
    </row>
    <row r="133" customFormat="false" ht="13.5" hidden="false" customHeight="false" outlineLevel="0" collapsed="false">
      <c r="B133" s="39" t="s">
        <v>188</v>
      </c>
      <c r="C133" s="230"/>
      <c r="D133" s="230"/>
      <c r="E133" s="180"/>
      <c r="F133" s="180"/>
      <c r="H133" s="39" t="s">
        <v>188</v>
      </c>
      <c r="I133" s="271" t="str">
        <f aca="false">IF(E133="","",IF(C133="","",IF(ABS(E133-C133)&gt;$I$10,E133-C133,"")))</f>
        <v/>
      </c>
      <c r="J133" s="271" t="str">
        <f aca="false">IF(F133="","",IF(D133="","",IF(ABS(F133-D133)&gt;$I$10,F133-D133,"")))</f>
        <v/>
      </c>
      <c r="K133" s="277"/>
    </row>
    <row r="134" customFormat="false" ht="13.5" hidden="false" customHeight="false" outlineLevel="0" collapsed="false">
      <c r="B134" s="80" t="s">
        <v>16</v>
      </c>
      <c r="C134" s="278" t="s">
        <v>773</v>
      </c>
      <c r="D134" s="279"/>
      <c r="E134" s="278" t="s">
        <v>773</v>
      </c>
      <c r="F134" s="279"/>
      <c r="H134" s="80" t="s">
        <v>16</v>
      </c>
      <c r="I134" s="278" t="s">
        <v>773</v>
      </c>
      <c r="J134" s="279"/>
      <c r="K134" s="280"/>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sheetPr filterMode="false">
    <pageSetUpPr fitToPage="false"/>
  </sheetPr>
  <dimension ref="A1:AH158"/>
  <sheetViews>
    <sheetView showFormulas="false" showGridLines="true" showRowColHeaders="true" showZeros="true" rightToLeft="false" tabSelected="false" showOutlineSymbols="true" defaultGridColor="true" view="normal" topLeftCell="A3" colorId="64" zoomScale="100" zoomScaleNormal="100" zoomScalePageLayoutView="100" workbookViewId="0">
      <selection pane="topLeft" activeCell="D23" activeCellId="2" sqref="B16:B122 E16:F122 D23"/>
    </sheetView>
  </sheetViews>
  <sheetFormatPr defaultRowHeight="12.75" zeroHeight="false" outlineLevelRow="0" outlineLevelCol="0"/>
  <cols>
    <col collapsed="false" customWidth="true" hidden="false" outlineLevel="0" max="9" min="1" style="0" width="11.42"/>
    <col collapsed="false" customWidth="true" hidden="false" outlineLevel="0" max="10" min="10" style="44" width="11.42"/>
    <col collapsed="false" customWidth="true" hidden="false" outlineLevel="0" max="1025" min="11" style="0" width="11.42"/>
  </cols>
  <sheetData>
    <row r="1" customFormat="false" ht="12.75" hidden="false" customHeight="false" outlineLevel="0" collapsed="false">
      <c r="A1" s="9" t="str">
        <f aca="true">MID(CELL("filename",$A$1),   FIND("\[",CELL("filename",$A$1))+2,   FIND("]",CELL("filename",$A$1),FIND("\[",CELL("filename",$A$1))+2)-FIND("\[",CELL("filename",$A$1))-2)</f>
        <v>TDProperties_Rev0_v69.xlsx</v>
      </c>
    </row>
    <row r="2" customFormat="false" ht="12.75" hidden="false" customHeight="false" outlineLevel="0" collapsed="false">
      <c r="A2" s="0" t="str">
        <f aca="true">MID(CELL("filename",A1),FIND("]",CELL("filename",A1))+1,256)</f>
        <v>AGS Species C89&amp;NEA w Uncert</v>
      </c>
    </row>
    <row r="3" customFormat="false" ht="12.75" hidden="false" customHeight="false" outlineLevel="0" collapsed="false">
      <c r="A3" s="44"/>
    </row>
    <row r="4" customFormat="false" ht="12.75" hidden="false" customHeight="false" outlineLevel="0" collapsed="false">
      <c r="A4" s="281" t="s">
        <v>774</v>
      </c>
    </row>
    <row r="5" customFormat="false" ht="12.75" hidden="false" customHeight="false" outlineLevel="0" collapsed="false">
      <c r="A5" s="10" t="s">
        <v>150</v>
      </c>
    </row>
    <row r="6" customFormat="false" ht="12.75" hidden="false" customHeight="false" outlineLevel="0" collapsed="false">
      <c r="A6" s="10" t="s">
        <v>775</v>
      </c>
    </row>
    <row r="7" customFormat="false" ht="12.75" hidden="false" customHeight="false" outlineLevel="0" collapsed="false">
      <c r="A7" s="10"/>
    </row>
    <row r="8" customFormat="false" ht="13.5" hidden="false" customHeight="false" outlineLevel="0" collapsed="false">
      <c r="A8" s="44"/>
    </row>
    <row r="9" customFormat="false" ht="12.75" hidden="false" customHeight="false" outlineLevel="0" collapsed="false">
      <c r="E9" s="51" t="s">
        <v>530</v>
      </c>
      <c r="M9" s="50" t="s">
        <v>560</v>
      </c>
      <c r="V9" s="51" t="s">
        <v>530</v>
      </c>
      <c r="AA9" s="44"/>
      <c r="AD9" s="50" t="s">
        <v>560</v>
      </c>
    </row>
    <row r="10" customFormat="false" ht="12.75" hidden="false" customHeight="false" outlineLevel="0" collapsed="false">
      <c r="E10" s="54" t="s">
        <v>165</v>
      </c>
      <c r="F10" s="10"/>
      <c r="M10" s="54" t="s">
        <v>574</v>
      </c>
      <c r="V10" s="54" t="s">
        <v>165</v>
      </c>
      <c r="W10" s="10"/>
      <c r="AA10" s="44"/>
      <c r="AD10" s="54" t="s">
        <v>574</v>
      </c>
    </row>
    <row r="11" customFormat="false" ht="13.5" hidden="false" customHeight="false" outlineLevel="0" collapsed="false">
      <c r="E11" s="266" t="n">
        <v>1989</v>
      </c>
      <c r="M11" s="55" t="s">
        <v>579</v>
      </c>
      <c r="V11" s="266" t="n">
        <v>1989</v>
      </c>
      <c r="AA11" s="44"/>
      <c r="AD11" s="55" t="s">
        <v>579</v>
      </c>
    </row>
    <row r="12" customFormat="false" ht="12.75" hidden="false" customHeight="false" outlineLevel="0" collapsed="false">
      <c r="B12" s="10"/>
      <c r="C12" s="10"/>
      <c r="K12" s="10"/>
      <c r="S12" s="10"/>
      <c r="T12" s="10"/>
      <c r="AA12" s="44"/>
      <c r="AB12" s="10"/>
    </row>
    <row r="13" customFormat="false" ht="12.75" hidden="false" customHeight="false" outlineLevel="0" collapsed="false">
      <c r="C13" s="9" t="s">
        <v>711</v>
      </c>
      <c r="E13" s="9" t="s">
        <v>776</v>
      </c>
      <c r="K13" s="9" t="s">
        <v>152</v>
      </c>
      <c r="T13" s="9" t="s">
        <v>777</v>
      </c>
      <c r="AA13" s="44"/>
      <c r="AB13" s="9" t="s">
        <v>777</v>
      </c>
    </row>
    <row r="14" customFormat="false" ht="12.75" hidden="false" customHeight="false" outlineLevel="0" collapsed="false">
      <c r="C14" s="9" t="s">
        <v>157</v>
      </c>
      <c r="E14" s="282" t="s">
        <v>778</v>
      </c>
      <c r="K14" s="9" t="s">
        <v>157</v>
      </c>
      <c r="T14" s="9" t="s">
        <v>158</v>
      </c>
      <c r="AA14" s="44"/>
      <c r="AB14" s="9" t="s">
        <v>158</v>
      </c>
    </row>
    <row r="15" customFormat="false" ht="13.5" hidden="false" customHeight="false" outlineLevel="0" collapsed="false">
      <c r="B15" s="9"/>
      <c r="C15" s="9"/>
      <c r="K15" s="9"/>
      <c r="S15" s="9"/>
      <c r="T15" s="9"/>
      <c r="AA15" s="44"/>
      <c r="AB15" s="9"/>
    </row>
    <row r="16" customFormat="false" ht="15" hidden="false" customHeight="false" outlineLevel="0" collapsed="false">
      <c r="A16" s="10"/>
      <c r="B16" s="10"/>
      <c r="C16" s="15"/>
      <c r="D16" s="283" t="s">
        <v>779</v>
      </c>
      <c r="E16" s="284"/>
      <c r="F16" s="283" t="s">
        <v>780</v>
      </c>
      <c r="G16" s="284"/>
      <c r="H16" s="283" t="s">
        <v>781</v>
      </c>
      <c r="I16" s="284"/>
      <c r="K16" s="15"/>
      <c r="L16" s="283" t="s">
        <v>779</v>
      </c>
      <c r="M16" s="284"/>
      <c r="N16" s="283" t="s">
        <v>780</v>
      </c>
      <c r="O16" s="284"/>
      <c r="P16" s="283" t="s">
        <v>781</v>
      </c>
      <c r="Q16" s="284"/>
      <c r="S16" s="10"/>
      <c r="T16" s="15"/>
      <c r="U16" s="283" t="s">
        <v>779</v>
      </c>
      <c r="V16" s="284"/>
      <c r="W16" s="283" t="s">
        <v>780</v>
      </c>
      <c r="X16" s="284"/>
      <c r="Y16" s="283" t="s">
        <v>781</v>
      </c>
      <c r="Z16" s="284"/>
      <c r="AA16" s="44"/>
      <c r="AB16" s="15"/>
      <c r="AC16" s="283" t="s">
        <v>779</v>
      </c>
      <c r="AD16" s="284"/>
      <c r="AE16" s="283" t="s">
        <v>780</v>
      </c>
      <c r="AF16" s="284"/>
      <c r="AG16" s="283" t="s">
        <v>781</v>
      </c>
      <c r="AH16" s="284"/>
    </row>
    <row r="17" customFormat="false" ht="12.75" hidden="false" customHeight="false" outlineLevel="0" collapsed="false">
      <c r="A17" s="10"/>
      <c r="B17" s="10"/>
      <c r="C17" s="16"/>
      <c r="D17" s="50"/>
      <c r="E17" s="50" t="s">
        <v>725</v>
      </c>
      <c r="F17" s="50"/>
      <c r="G17" s="50" t="s">
        <v>725</v>
      </c>
      <c r="H17" s="50"/>
      <c r="I17" s="50" t="s">
        <v>725</v>
      </c>
      <c r="K17" s="16"/>
      <c r="L17" s="50"/>
      <c r="M17" s="50" t="s">
        <v>725</v>
      </c>
      <c r="N17" s="50"/>
      <c r="O17" s="50" t="s">
        <v>725</v>
      </c>
      <c r="P17" s="50"/>
      <c r="Q17" s="50" t="s">
        <v>725</v>
      </c>
      <c r="S17" s="10"/>
      <c r="T17" s="16"/>
      <c r="U17" s="50"/>
      <c r="V17" s="50" t="s">
        <v>725</v>
      </c>
      <c r="W17" s="50"/>
      <c r="X17" s="50" t="s">
        <v>725</v>
      </c>
      <c r="Y17" s="50"/>
      <c r="Z17" s="50" t="s">
        <v>725</v>
      </c>
      <c r="AA17" s="44"/>
      <c r="AB17" s="16"/>
      <c r="AC17" s="50"/>
      <c r="AD17" s="50" t="s">
        <v>725</v>
      </c>
      <c r="AE17" s="50"/>
      <c r="AF17" s="50" t="s">
        <v>725</v>
      </c>
      <c r="AG17" s="50"/>
      <c r="AH17" s="50" t="s">
        <v>725</v>
      </c>
    </row>
    <row r="18" customFormat="false" ht="12.75" hidden="false" customHeight="false" outlineLevel="0" collapsed="false">
      <c r="C18" s="16" t="s">
        <v>782</v>
      </c>
      <c r="D18" s="53" t="s">
        <v>726</v>
      </c>
      <c r="E18" s="53" t="s">
        <v>727</v>
      </c>
      <c r="F18" s="53" t="s">
        <v>726</v>
      </c>
      <c r="G18" s="53" t="s">
        <v>727</v>
      </c>
      <c r="H18" s="53" t="s">
        <v>726</v>
      </c>
      <c r="I18" s="53" t="s">
        <v>727</v>
      </c>
      <c r="K18" s="16" t="s">
        <v>782</v>
      </c>
      <c r="L18" s="53" t="s">
        <v>726</v>
      </c>
      <c r="M18" s="53" t="s">
        <v>727</v>
      </c>
      <c r="N18" s="53" t="s">
        <v>726</v>
      </c>
      <c r="O18" s="53" t="s">
        <v>727</v>
      </c>
      <c r="P18" s="53" t="s">
        <v>726</v>
      </c>
      <c r="Q18" s="53" t="s">
        <v>727</v>
      </c>
      <c r="T18" s="16" t="s">
        <v>782</v>
      </c>
      <c r="U18" s="53" t="s">
        <v>726</v>
      </c>
      <c r="V18" s="53" t="s">
        <v>727</v>
      </c>
      <c r="W18" s="53" t="s">
        <v>726</v>
      </c>
      <c r="X18" s="53" t="s">
        <v>727</v>
      </c>
      <c r="Y18" s="53" t="s">
        <v>726</v>
      </c>
      <c r="Z18" s="53" t="s">
        <v>727</v>
      </c>
      <c r="AA18" s="44"/>
      <c r="AB18" s="16" t="s">
        <v>782</v>
      </c>
      <c r="AC18" s="53" t="s">
        <v>726</v>
      </c>
      <c r="AD18" s="53" t="s">
        <v>727</v>
      </c>
      <c r="AE18" s="53" t="s">
        <v>726</v>
      </c>
      <c r="AF18" s="53" t="s">
        <v>727</v>
      </c>
      <c r="AG18" s="53" t="s">
        <v>726</v>
      </c>
      <c r="AH18" s="53" t="s">
        <v>727</v>
      </c>
    </row>
    <row r="19" customFormat="false" ht="15" hidden="false" customHeight="false" outlineLevel="0" collapsed="false">
      <c r="C19" s="21" t="s">
        <v>783</v>
      </c>
      <c r="D19" s="55" t="s">
        <v>784</v>
      </c>
      <c r="E19" s="55" t="s">
        <v>784</v>
      </c>
      <c r="F19" s="55" t="s">
        <v>784</v>
      </c>
      <c r="G19" s="55" t="s">
        <v>784</v>
      </c>
      <c r="H19" s="55" t="s">
        <v>167</v>
      </c>
      <c r="I19" s="55" t="s">
        <v>167</v>
      </c>
      <c r="K19" s="21" t="s">
        <v>783</v>
      </c>
      <c r="L19" s="55" t="s">
        <v>784</v>
      </c>
      <c r="M19" s="55" t="s">
        <v>784</v>
      </c>
      <c r="N19" s="55" t="s">
        <v>784</v>
      </c>
      <c r="O19" s="55" t="s">
        <v>784</v>
      </c>
      <c r="P19" s="55" t="s">
        <v>167</v>
      </c>
      <c r="Q19" s="55" t="s">
        <v>167</v>
      </c>
      <c r="T19" s="21" t="s">
        <v>783</v>
      </c>
      <c r="U19" s="55" t="s">
        <v>514</v>
      </c>
      <c r="V19" s="55" t="s">
        <v>514</v>
      </c>
      <c r="W19" s="55" t="s">
        <v>514</v>
      </c>
      <c r="X19" s="55" t="s">
        <v>514</v>
      </c>
      <c r="Y19" s="55" t="s">
        <v>166</v>
      </c>
      <c r="Z19" s="55" t="s">
        <v>166</v>
      </c>
      <c r="AA19" s="44"/>
      <c r="AB19" s="21" t="s">
        <v>783</v>
      </c>
      <c r="AC19" s="55" t="s">
        <v>514</v>
      </c>
      <c r="AD19" s="55" t="s">
        <v>514</v>
      </c>
      <c r="AE19" s="55" t="s">
        <v>514</v>
      </c>
      <c r="AF19" s="55" t="s">
        <v>514</v>
      </c>
      <c r="AG19" s="55" t="s">
        <v>166</v>
      </c>
      <c r="AH19" s="55" t="s">
        <v>166</v>
      </c>
    </row>
    <row r="20" customFormat="false" ht="12.75" hidden="false" customHeight="false" outlineLevel="0" collapsed="false">
      <c r="A20" s="87"/>
      <c r="C20" s="161" t="s">
        <v>785</v>
      </c>
      <c r="D20" s="285" t="n">
        <v>0</v>
      </c>
      <c r="E20" s="131" t="n">
        <v>0</v>
      </c>
      <c r="F20" s="286" t="s">
        <v>786</v>
      </c>
      <c r="G20" s="287"/>
      <c r="H20" s="286" t="s">
        <v>786</v>
      </c>
      <c r="I20" s="287"/>
      <c r="K20" s="161" t="s">
        <v>785</v>
      </c>
      <c r="L20" s="286" t="s">
        <v>521</v>
      </c>
      <c r="M20" s="287"/>
      <c r="N20" s="286" t="s">
        <v>521</v>
      </c>
      <c r="O20" s="287"/>
      <c r="P20" s="286" t="s">
        <v>521</v>
      </c>
      <c r="Q20" s="287"/>
      <c r="T20" s="161" t="s">
        <v>785</v>
      </c>
      <c r="U20" s="285" t="n">
        <f aca="false">IF(D20="","",ROUND(D20/4.184,3))</f>
        <v>0</v>
      </c>
      <c r="V20" s="131" t="n">
        <f aca="false">IF(E20="","",ROUND(E20/4.184,3))</f>
        <v>0</v>
      </c>
      <c r="W20" s="288" t="n">
        <f aca="false">IF(F20="","",ROUND(F20/4.184,3))</f>
        <v>0</v>
      </c>
      <c r="X20" s="289" t="str">
        <f aca="false">IF(G20="","",ROUND(G20/4.184,3))</f>
        <v/>
      </c>
      <c r="Y20" s="288" t="n">
        <f aca="false">IF(H20="","",ROUND(H20/4.184,3))</f>
        <v>0</v>
      </c>
      <c r="Z20" s="289" t="str">
        <f aca="false">IF(I20="","",ROUND(I20/4.184,3))</f>
        <v/>
      </c>
      <c r="AA20" s="44"/>
      <c r="AB20" s="161" t="s">
        <v>785</v>
      </c>
      <c r="AC20" s="288" t="n">
        <f aca="false">IF(L20="","",ROUND(L20/4.184,3))</f>
        <v>0</v>
      </c>
      <c r="AD20" s="289" t="str">
        <f aca="false">IF(M20="","",ROUND(M20/4.184,3))</f>
        <v/>
      </c>
      <c r="AE20" s="288" t="n">
        <f aca="false">IF(N20="","",ROUND(N20/4.184,3))</f>
        <v>0</v>
      </c>
      <c r="AF20" s="289" t="str">
        <f aca="false">IF(O20="","",ROUND(O20/4.184,3))</f>
        <v/>
      </c>
      <c r="AG20" s="288" t="n">
        <f aca="false">IF(P20="","",ROUND(P20/4.184,3))</f>
        <v>0</v>
      </c>
      <c r="AH20" s="289" t="str">
        <f aca="false">IF(Q20="","",ROUND(Q20/4.184,3))</f>
        <v/>
      </c>
    </row>
    <row r="21" customFormat="false" ht="12.75" hidden="false" customHeight="false" outlineLevel="0" collapsed="false">
      <c r="A21" s="87"/>
      <c r="C21" s="161" t="s">
        <v>787</v>
      </c>
      <c r="D21" s="290" t="n">
        <v>-157.22</v>
      </c>
      <c r="E21" s="137" t="n">
        <v>0.072</v>
      </c>
      <c r="F21" s="291" t="s">
        <v>788</v>
      </c>
      <c r="G21" s="292" t="s">
        <v>789</v>
      </c>
      <c r="H21" s="291" t="s">
        <v>790</v>
      </c>
      <c r="I21" s="292" t="s">
        <v>728</v>
      </c>
      <c r="K21" s="161" t="s">
        <v>787</v>
      </c>
      <c r="L21" s="291" t="s">
        <v>791</v>
      </c>
      <c r="M21" s="292" t="s">
        <v>792</v>
      </c>
      <c r="N21" s="291" t="s">
        <v>788</v>
      </c>
      <c r="O21" s="292" t="s">
        <v>789</v>
      </c>
      <c r="P21" s="291" t="s">
        <v>793</v>
      </c>
      <c r="Q21" s="292" t="s">
        <v>729</v>
      </c>
      <c r="T21" s="161" t="s">
        <v>787</v>
      </c>
      <c r="U21" s="290" t="n">
        <f aca="false">IF(D21="","",ROUND(D21/4.184,3))</f>
        <v>-37.576</v>
      </c>
      <c r="V21" s="137" t="n">
        <f aca="false">IF(E21="","",ROUND(E21/4.184,3))</f>
        <v>0.017</v>
      </c>
      <c r="W21" s="293" t="n">
        <f aca="false">IF(F21="","",ROUND(F21/4.184,3))</f>
        <v>-54.975</v>
      </c>
      <c r="X21" s="294" t="n">
        <f aca="false">IF(G21="","",ROUND(G21/4.184,3))</f>
        <v>0.01</v>
      </c>
      <c r="Y21" s="293" t="n">
        <f aca="false">IF(H21="","",ROUND(H21/4.184,3))</f>
        <v>-2.605</v>
      </c>
      <c r="Z21" s="294" t="n">
        <f aca="false">IF(I21="","",ROUND(I21/4.184,3))</f>
        <v>0.048</v>
      </c>
      <c r="AA21" s="44"/>
      <c r="AB21" s="161" t="s">
        <v>787</v>
      </c>
      <c r="AC21" s="293" t="n">
        <f aca="false">IF(L21="","",ROUND(L21/4.184,3))</f>
        <v>-37.576</v>
      </c>
      <c r="AD21" s="294" t="n">
        <f aca="false">IF(M21="","",ROUND(M21/4.184,3))</f>
        <v>0.017</v>
      </c>
      <c r="AE21" s="293" t="n">
        <f aca="false">IF(N21="","",ROUND(N21/4.184,3))</f>
        <v>-54.975</v>
      </c>
      <c r="AF21" s="294" t="n">
        <f aca="false">IF(O21="","",ROUND(O21/4.184,3))</f>
        <v>0.01</v>
      </c>
      <c r="AG21" s="293" t="n">
        <f aca="false">IF(P21="","",ROUND(P21/4.184,3))</f>
        <v>-2.605</v>
      </c>
      <c r="AH21" s="294" t="n">
        <f aca="false">IF(Q21="","",ROUND(Q21/4.184,3))</f>
        <v>0.048</v>
      </c>
    </row>
    <row r="22" customFormat="false" ht="12.75" hidden="false" customHeight="false" outlineLevel="0" collapsed="false">
      <c r="A22" s="87"/>
      <c r="C22" s="161" t="s">
        <v>794</v>
      </c>
      <c r="D22" s="290" t="n">
        <v>-237.14</v>
      </c>
      <c r="E22" s="137" t="n">
        <v>0.041</v>
      </c>
      <c r="F22" s="291" t="s">
        <v>795</v>
      </c>
      <c r="G22" s="292" t="s">
        <v>789</v>
      </c>
      <c r="H22" s="291" t="s">
        <v>796</v>
      </c>
      <c r="I22" s="292" t="s">
        <v>797</v>
      </c>
      <c r="K22" s="161" t="s">
        <v>794</v>
      </c>
      <c r="L22" s="291" t="s">
        <v>798</v>
      </c>
      <c r="M22" s="292" t="s">
        <v>799</v>
      </c>
      <c r="N22" s="291" t="s">
        <v>795</v>
      </c>
      <c r="O22" s="292" t="s">
        <v>789</v>
      </c>
      <c r="P22" s="291" t="s">
        <v>800</v>
      </c>
      <c r="Q22" s="292" t="s">
        <v>801</v>
      </c>
      <c r="T22" s="161" t="s">
        <v>794</v>
      </c>
      <c r="U22" s="290" t="n">
        <f aca="false">IF(D22="","",ROUND(D22/4.184,3))</f>
        <v>-56.678</v>
      </c>
      <c r="V22" s="137" t="n">
        <f aca="false">IF(E22="","",ROUND(E22/4.184,3))</f>
        <v>0.01</v>
      </c>
      <c r="W22" s="293" t="n">
        <f aca="false">IF(F22="","",ROUND(F22/4.184,3))</f>
        <v>-68.315</v>
      </c>
      <c r="X22" s="294" t="n">
        <f aca="false">IF(G22="","",ROUND(G22/4.184,3))</f>
        <v>0.01</v>
      </c>
      <c r="Y22" s="293" t="n">
        <f aca="false">IF(H22="","",ROUND(H22/4.184,3))</f>
        <v>16.718</v>
      </c>
      <c r="Z22" s="294" t="n">
        <f aca="false">IF(I22="","",ROUND(I22/4.184,3))</f>
        <v>0.007</v>
      </c>
      <c r="AA22" s="44"/>
      <c r="AB22" s="161" t="s">
        <v>794</v>
      </c>
      <c r="AC22" s="293" t="n">
        <f aca="false">IF(L22="","",ROUND(L22/4.184,3))</f>
        <v>-56.678</v>
      </c>
      <c r="AD22" s="294" t="n">
        <f aca="false">IF(M22="","",ROUND(M22/4.184,3))</f>
        <v>0.01</v>
      </c>
      <c r="AE22" s="293" t="n">
        <f aca="false">IF(N22="","",ROUND(N22/4.184,3))</f>
        <v>-68.315</v>
      </c>
      <c r="AF22" s="294" t="n">
        <f aca="false">IF(O22="","",ROUND(O22/4.184,3))</f>
        <v>0.01</v>
      </c>
      <c r="AG22" s="293" t="n">
        <f aca="false">IF(P22="","",ROUND(P22/4.184,3))</f>
        <v>16.718</v>
      </c>
      <c r="AH22" s="294" t="n">
        <f aca="false">IF(Q22="","",ROUND(Q22/4.184,3))</f>
        <v>0.007</v>
      </c>
    </row>
    <row r="23" customFormat="false" ht="12.75" hidden="false" customHeight="false" outlineLevel="0" collapsed="false">
      <c r="A23" s="87"/>
      <c r="C23" s="161" t="s">
        <v>802</v>
      </c>
      <c r="D23" s="290" t="n">
        <v>-281.523</v>
      </c>
      <c r="E23" s="137" t="n">
        <v>0.692</v>
      </c>
      <c r="F23" s="291" t="s">
        <v>803</v>
      </c>
      <c r="G23" s="292" t="s">
        <v>804</v>
      </c>
      <c r="H23" s="291" t="s">
        <v>805</v>
      </c>
      <c r="I23" s="292" t="s">
        <v>806</v>
      </c>
      <c r="K23" s="161" t="s">
        <v>802</v>
      </c>
      <c r="L23" s="291" t="s">
        <v>807</v>
      </c>
      <c r="M23" s="292" t="s">
        <v>808</v>
      </c>
      <c r="N23" s="291" t="s">
        <v>809</v>
      </c>
      <c r="O23" s="292" t="s">
        <v>810</v>
      </c>
      <c r="P23" s="291" t="s">
        <v>811</v>
      </c>
      <c r="Q23" s="292" t="s">
        <v>759</v>
      </c>
      <c r="T23" s="161" t="s">
        <v>802</v>
      </c>
      <c r="U23" s="290" t="n">
        <f aca="false">IF(D23="","",ROUND(D23/4.184,3))</f>
        <v>-67.286</v>
      </c>
      <c r="V23" s="137" t="n">
        <f aca="false">IF(E23="","",ROUND(E23/4.184,3))</f>
        <v>0.165</v>
      </c>
      <c r="W23" s="293" t="n">
        <f aca="false">IF(F23="","",ROUND(F23/4.184,3))</f>
        <v>-80.151</v>
      </c>
      <c r="X23" s="294" t="n">
        <f aca="false">IF(G23="","",ROUND(G23/4.184,3))</f>
        <v>0.155</v>
      </c>
      <c r="Y23" s="293" t="n">
        <f aca="false">IF(H23="","",ROUND(H23/4.184,3))</f>
        <v>-3.298</v>
      </c>
      <c r="Z23" s="294" t="n">
        <f aca="false">IF(I23="","",ROUND(I23/4.184,3))</f>
        <v>0.191</v>
      </c>
      <c r="AA23" s="44"/>
      <c r="AB23" s="161" t="s">
        <v>802</v>
      </c>
      <c r="AC23" s="293" t="n">
        <f aca="false">IF(L23="","",ROUND(L23/4.184,3))</f>
        <v>-67.286</v>
      </c>
      <c r="AD23" s="294" t="n">
        <f aca="false">IF(M23="","",ROUND(M23/4.184,3))</f>
        <v>0.165</v>
      </c>
      <c r="AE23" s="293" t="n">
        <f aca="false">IF(N23="","",ROUND(N23/4.184,3))</f>
        <v>-80.151</v>
      </c>
      <c r="AF23" s="294" t="n">
        <f aca="false">IF(O23="","",ROUND(O23/4.184,3))</f>
        <v>0.155</v>
      </c>
      <c r="AG23" s="293" t="n">
        <f aca="false">IF(P23="","",ROUND(P23/4.184,3))</f>
        <v>-3.298</v>
      </c>
      <c r="AH23" s="294" t="n">
        <f aca="false">IF(Q23="","",ROUND(Q23/4.184,3))</f>
        <v>0.191</v>
      </c>
    </row>
    <row r="24" customFormat="false" ht="12.75" hidden="false" customHeight="false" outlineLevel="0" collapsed="false">
      <c r="A24" s="87"/>
      <c r="C24" s="161" t="s">
        <v>812</v>
      </c>
      <c r="D24" s="290" t="n">
        <v>-131.218</v>
      </c>
      <c r="E24" s="137" t="n">
        <v>0.116</v>
      </c>
      <c r="F24" s="291" t="s">
        <v>813</v>
      </c>
      <c r="G24" s="292" t="s">
        <v>730</v>
      </c>
      <c r="H24" s="291" t="s">
        <v>814</v>
      </c>
      <c r="I24" s="292" t="s">
        <v>728</v>
      </c>
      <c r="K24" s="161" t="s">
        <v>812</v>
      </c>
      <c r="L24" s="295" t="s">
        <v>815</v>
      </c>
      <c r="M24" s="292" t="s">
        <v>816</v>
      </c>
      <c r="N24" s="291" t="s">
        <v>813</v>
      </c>
      <c r="O24" s="292" t="s">
        <v>731</v>
      </c>
      <c r="P24" s="291" t="s">
        <v>817</v>
      </c>
      <c r="Q24" s="292" t="s">
        <v>729</v>
      </c>
      <c r="T24" s="161" t="s">
        <v>812</v>
      </c>
      <c r="U24" s="290" t="n">
        <f aca="false">IF(D24="","",ROUND(D24/4.184,3))</f>
        <v>-31.362</v>
      </c>
      <c r="V24" s="137" t="n">
        <f aca="false">IF(E24="","",ROUND(E24/4.184,3))</f>
        <v>0.028</v>
      </c>
      <c r="W24" s="293" t="n">
        <f aca="false">IF(F24="","",ROUND(F24/4.184,3))</f>
        <v>-39.933</v>
      </c>
      <c r="X24" s="294" t="n">
        <f aca="false">IF(G24="","",ROUND(G24/4.184,3))</f>
        <v>0.024</v>
      </c>
      <c r="Y24" s="293" t="n">
        <f aca="false">IF(H24="","",ROUND(H24/4.184,3))</f>
        <v>13.528</v>
      </c>
      <c r="Z24" s="294" t="n">
        <f aca="false">IF(I24="","",ROUND(I24/4.184,3))</f>
        <v>0.048</v>
      </c>
      <c r="AA24" s="44"/>
      <c r="AB24" s="161" t="s">
        <v>812</v>
      </c>
      <c r="AC24" s="296" t="n">
        <f aca="false">IF(L24="","",ROUND(L24/4.184,3))</f>
        <v>-31.362</v>
      </c>
      <c r="AD24" s="294" t="n">
        <f aca="false">IF(M24="","",ROUND(M24/4.184,3))</f>
        <v>0.028</v>
      </c>
      <c r="AE24" s="293" t="n">
        <f aca="false">IF(N24="","",ROUND(N24/4.184,3))</f>
        <v>-39.933</v>
      </c>
      <c r="AF24" s="294" t="n">
        <f aca="false">IF(O24="","",ROUND(O24/4.184,3))</f>
        <v>0.024</v>
      </c>
      <c r="AG24" s="293" t="n">
        <f aca="false">IF(P24="","",ROUND(P24/4.184,3))</f>
        <v>13.528</v>
      </c>
      <c r="AH24" s="294" t="n">
        <f aca="false">IF(Q24="","",ROUND(Q24/4.184,3))</f>
        <v>0.048</v>
      </c>
    </row>
    <row r="25" customFormat="false" ht="12.75" hidden="false" customHeight="false" outlineLevel="0" collapsed="false">
      <c r="A25" s="87"/>
      <c r="C25" s="161" t="s">
        <v>818</v>
      </c>
      <c r="D25" s="290" t="n">
        <v>-103.85</v>
      </c>
      <c r="E25" s="137" t="n">
        <v>0.167</v>
      </c>
      <c r="F25" s="291" t="s">
        <v>819</v>
      </c>
      <c r="G25" s="292" t="s">
        <v>744</v>
      </c>
      <c r="H25" s="291" t="s">
        <v>820</v>
      </c>
      <c r="I25" s="292" t="s">
        <v>728</v>
      </c>
      <c r="K25" s="161" t="s">
        <v>818</v>
      </c>
      <c r="L25" s="291" t="s">
        <v>821</v>
      </c>
      <c r="M25" s="292" t="s">
        <v>822</v>
      </c>
      <c r="N25" s="291" t="s">
        <v>823</v>
      </c>
      <c r="O25" s="292" t="s">
        <v>745</v>
      </c>
      <c r="P25" s="291" t="s">
        <v>824</v>
      </c>
      <c r="Q25" s="292" t="s">
        <v>729</v>
      </c>
      <c r="T25" s="161" t="s">
        <v>818</v>
      </c>
      <c r="U25" s="290" t="n">
        <f aca="false">IF(D25="","",ROUND(D25/4.184,3))</f>
        <v>-24.821</v>
      </c>
      <c r="V25" s="137" t="n">
        <f aca="false">IF(E25="","",ROUND(E25/4.184,3))</f>
        <v>0.04</v>
      </c>
      <c r="W25" s="293" t="n">
        <f aca="false">IF(F25="","",ROUND(F25/4.184,3))</f>
        <v>-29.018</v>
      </c>
      <c r="X25" s="294" t="n">
        <f aca="false">IF(G25="","",ROUND(G25/4.184,3))</f>
        <v>0.036</v>
      </c>
      <c r="Y25" s="293" t="n">
        <f aca="false">IF(H25="","",ROUND(H25/4.184,3))</f>
        <v>19.73</v>
      </c>
      <c r="Z25" s="294" t="n">
        <f aca="false">IF(I25="","",ROUND(I25/4.184,3))</f>
        <v>0.048</v>
      </c>
      <c r="AA25" s="44"/>
      <c r="AB25" s="161" t="s">
        <v>818</v>
      </c>
      <c r="AC25" s="293" t="n">
        <f aca="false">IF(L25="","",ROUND(L25/4.184,3))</f>
        <v>-24.821</v>
      </c>
      <c r="AD25" s="294" t="n">
        <f aca="false">IF(M25="","",ROUND(M25/4.184,3))</f>
        <v>0.04</v>
      </c>
      <c r="AE25" s="293" t="n">
        <f aca="false">IF(N25="","",ROUND(N25/4.184,3))</f>
        <v>-29.018</v>
      </c>
      <c r="AF25" s="294" t="n">
        <f aca="false">IF(O25="","",ROUND(O25/4.184,3))</f>
        <v>0.036</v>
      </c>
      <c r="AG25" s="293" t="n">
        <f aca="false">IF(P25="","",ROUND(P25/4.184,3))</f>
        <v>19.73</v>
      </c>
      <c r="AH25" s="294" t="n">
        <f aca="false">IF(Q25="","",ROUND(Q25/4.184,3))</f>
        <v>0.048</v>
      </c>
    </row>
    <row r="26" customFormat="false" ht="12.75" hidden="false" customHeight="false" outlineLevel="0" collapsed="false">
      <c r="A26" s="87"/>
      <c r="C26" s="161" t="s">
        <v>825</v>
      </c>
      <c r="D26" s="290" t="n">
        <v>-51.723</v>
      </c>
      <c r="E26" s="137" t="n">
        <v>0.112</v>
      </c>
      <c r="F26" s="291" t="s">
        <v>826</v>
      </c>
      <c r="G26" s="292" t="s">
        <v>827</v>
      </c>
      <c r="H26" s="291" t="s">
        <v>828</v>
      </c>
      <c r="I26" s="292" t="s">
        <v>740</v>
      </c>
      <c r="K26" s="161" t="s">
        <v>825</v>
      </c>
      <c r="L26" s="291" t="s">
        <v>829</v>
      </c>
      <c r="M26" s="292" t="s">
        <v>830</v>
      </c>
      <c r="N26" s="291" t="s">
        <v>831</v>
      </c>
      <c r="O26" s="292" t="s">
        <v>763</v>
      </c>
      <c r="P26" s="291" t="s">
        <v>832</v>
      </c>
      <c r="Q26" s="292" t="s">
        <v>741</v>
      </c>
      <c r="T26" s="161" t="s">
        <v>825</v>
      </c>
      <c r="U26" s="290" t="n">
        <f aca="false">IF(D26="","",ROUND(D26/4.184,3))</f>
        <v>-12.362</v>
      </c>
      <c r="V26" s="137" t="n">
        <f aca="false">IF(E26="","",ROUND(E26/4.184,3))</f>
        <v>0.027</v>
      </c>
      <c r="W26" s="293" t="n">
        <f aca="false">IF(F26="","",ROUND(F26/4.184,3))</f>
        <v>-13.571</v>
      </c>
      <c r="X26" s="294" t="n">
        <f aca="false">IF(G26="","",ROUND(G26/4.184,3))</f>
        <v>0.012</v>
      </c>
      <c r="Y26" s="293" t="n">
        <f aca="false">IF(H26="","",ROUND(H26/4.184,3))</f>
        <v>25.442</v>
      </c>
      <c r="Z26" s="294" t="n">
        <f aca="false">IF(I26="","",ROUND(I26/4.184,3))</f>
        <v>0.072</v>
      </c>
      <c r="AA26" s="44"/>
      <c r="AB26" s="161" t="s">
        <v>825</v>
      </c>
      <c r="AC26" s="293" t="n">
        <f aca="false">IF(L26="","",ROUND(L26/4.184,3))</f>
        <v>-12.362</v>
      </c>
      <c r="AD26" s="294" t="n">
        <f aca="false">IF(M26="","",ROUND(M26/4.184,3))</f>
        <v>0.027</v>
      </c>
      <c r="AE26" s="293" t="n">
        <f aca="false">IF(N26="","",ROUND(N26/4.184,3))</f>
        <v>-13.571</v>
      </c>
      <c r="AF26" s="294" t="n">
        <f aca="false">IF(O26="","",ROUND(O26/4.184,3))</f>
        <v>0.012</v>
      </c>
      <c r="AG26" s="293" t="n">
        <f aca="false">IF(P26="","",ROUND(P26/4.184,3))</f>
        <v>25.442</v>
      </c>
      <c r="AH26" s="294" t="n">
        <f aca="false">IF(Q26="","",ROUND(Q26/4.184,3))</f>
        <v>0.072</v>
      </c>
    </row>
    <row r="27" customFormat="false" ht="12.75" hidden="false" customHeight="false" outlineLevel="0" collapsed="false">
      <c r="A27" s="87"/>
      <c r="C27" s="161" t="s">
        <v>833</v>
      </c>
      <c r="D27" s="290" t="n">
        <v>-744.004</v>
      </c>
      <c r="E27" s="137" t="n">
        <v>0.418</v>
      </c>
      <c r="F27" s="291" t="s">
        <v>834</v>
      </c>
      <c r="G27" s="292" t="s">
        <v>742</v>
      </c>
      <c r="H27" s="291" t="s">
        <v>835</v>
      </c>
      <c r="I27" s="292" t="s">
        <v>742</v>
      </c>
      <c r="K27" s="161" t="s">
        <v>833</v>
      </c>
      <c r="L27" s="291" t="s">
        <v>836</v>
      </c>
      <c r="M27" s="292" t="s">
        <v>837</v>
      </c>
      <c r="N27" s="291" t="s">
        <v>838</v>
      </c>
      <c r="O27" s="292" t="s">
        <v>743</v>
      </c>
      <c r="P27" s="291" t="s">
        <v>839</v>
      </c>
      <c r="Q27" s="292" t="s">
        <v>743</v>
      </c>
      <c r="T27" s="161" t="s">
        <v>833</v>
      </c>
      <c r="U27" s="290" t="n">
        <f aca="false">IF(D27="","",ROUND(D27/4.184,3))</f>
        <v>-177.821</v>
      </c>
      <c r="V27" s="137" t="n">
        <f aca="false">IF(E27="","",ROUND(E27/4.184,3))</f>
        <v>0.1</v>
      </c>
      <c r="W27" s="293" t="n">
        <f aca="false">IF(F27="","",ROUND(F27/4.184,3))</f>
        <v>-217.337</v>
      </c>
      <c r="X27" s="294" t="n">
        <f aca="false">IF(G27="","",ROUND(G27/4.184,3))</f>
        <v>0.096</v>
      </c>
      <c r="Y27" s="293" t="n">
        <f aca="false">IF(H27="","",ROUND(H27/4.184,3))</f>
        <v>4.422</v>
      </c>
      <c r="Z27" s="294" t="n">
        <f aca="false">IF(I27="","",ROUND(I27/4.184,3))</f>
        <v>0.096</v>
      </c>
      <c r="AA27" s="44"/>
      <c r="AB27" s="161" t="s">
        <v>833</v>
      </c>
      <c r="AC27" s="293" t="n">
        <f aca="false">IF(L27="","",ROUND(L27/4.184,3))</f>
        <v>-177.821</v>
      </c>
      <c r="AD27" s="294" t="n">
        <f aca="false">IF(M27="","",ROUND(M27/4.184,3))</f>
        <v>0.1</v>
      </c>
      <c r="AE27" s="293" t="n">
        <f aca="false">IF(N27="","",ROUND(N27/4.184,3))</f>
        <v>-217.337</v>
      </c>
      <c r="AF27" s="294" t="n">
        <f aca="false">IF(O27="","",ROUND(O27/4.184,3))</f>
        <v>0.096</v>
      </c>
      <c r="AG27" s="293" t="n">
        <f aca="false">IF(P27="","",ROUND(P27/4.184,3))</f>
        <v>4.422</v>
      </c>
      <c r="AH27" s="294" t="n">
        <f aca="false">IF(Q27="","",ROUND(Q27/4.184,3))</f>
        <v>0.096</v>
      </c>
    </row>
    <row r="28" customFormat="false" ht="12.75" hidden="false" customHeight="false" outlineLevel="0" collapsed="false">
      <c r="A28" s="87"/>
      <c r="C28" s="161" t="s">
        <v>840</v>
      </c>
      <c r="D28" s="290" t="n">
        <v>12.243</v>
      </c>
      <c r="E28" s="137" t="n">
        <v>2.115</v>
      </c>
      <c r="F28" s="291" t="s">
        <v>841</v>
      </c>
      <c r="G28" s="292" t="s">
        <v>842</v>
      </c>
      <c r="H28" s="291" t="s">
        <v>843</v>
      </c>
      <c r="I28" s="292" t="s">
        <v>844</v>
      </c>
      <c r="K28" s="161" t="s">
        <v>840</v>
      </c>
      <c r="L28" s="291" t="s">
        <v>845</v>
      </c>
      <c r="M28" s="292" t="s">
        <v>846</v>
      </c>
      <c r="N28" s="291" t="s">
        <v>847</v>
      </c>
      <c r="O28" s="292" t="s">
        <v>848</v>
      </c>
      <c r="P28" s="291" t="s">
        <v>849</v>
      </c>
      <c r="Q28" s="292" t="s">
        <v>850</v>
      </c>
      <c r="T28" s="161" t="s">
        <v>840</v>
      </c>
      <c r="U28" s="290" t="n">
        <f aca="false">IF(D28="","",ROUND(D28/4.184,3))</f>
        <v>2.926</v>
      </c>
      <c r="V28" s="137" t="n">
        <f aca="false">IF(E28="","",ROUND(E28/4.184,3))</f>
        <v>0.505</v>
      </c>
      <c r="W28" s="293" t="n">
        <f aca="false">IF(F28="","",ROUND(F28/4.184,3))</f>
        <v>-3.896</v>
      </c>
      <c r="X28" s="294" t="n">
        <f aca="false">IF(G28="","",ROUND(G28/4.184,3))</f>
        <v>0.359</v>
      </c>
      <c r="Y28" s="293" t="n">
        <f aca="false">IF(H28="","",ROUND(H28/4.184,3))</f>
        <v>16.013</v>
      </c>
      <c r="Z28" s="294" t="n">
        <f aca="false">IF(I28="","",ROUND(I28/4.184,3))</f>
        <v>1.195</v>
      </c>
      <c r="AA28" s="44"/>
      <c r="AB28" s="161" t="s">
        <v>840</v>
      </c>
      <c r="AC28" s="293" t="n">
        <f aca="false">IF(L28="","",ROUND(L28/4.184,3))</f>
        <v>2.926</v>
      </c>
      <c r="AD28" s="294" t="n">
        <f aca="false">IF(M28="","",ROUND(M28/4.184,3))</f>
        <v>0.505</v>
      </c>
      <c r="AE28" s="293" t="n">
        <f aca="false">IF(N28="","",ROUND(N28/4.184,3))</f>
        <v>-3.896</v>
      </c>
      <c r="AF28" s="294" t="n">
        <f aca="false">IF(O28="","",ROUND(O28/4.184,3))</f>
        <v>0.359</v>
      </c>
      <c r="AG28" s="293" t="n">
        <f aca="false">IF(P28="","",ROUND(P28/4.184,3))</f>
        <v>16.013</v>
      </c>
      <c r="AH28" s="294" t="n">
        <f aca="false">IF(Q28="","",ROUND(Q28/4.184,3))</f>
        <v>1.195</v>
      </c>
    </row>
    <row r="29" customFormat="false" ht="12.75" hidden="false" customHeight="false" outlineLevel="0" collapsed="false">
      <c r="A29" s="87"/>
      <c r="B29" s="10"/>
      <c r="C29" s="161" t="s">
        <v>851</v>
      </c>
      <c r="D29" s="290" t="n">
        <v>-110.794</v>
      </c>
      <c r="E29" s="137" t="n">
        <v>0.417</v>
      </c>
      <c r="F29" s="291" t="s">
        <v>852</v>
      </c>
      <c r="G29" s="292" t="s">
        <v>742</v>
      </c>
      <c r="H29" s="291" t="s">
        <v>853</v>
      </c>
      <c r="I29" s="292" t="s">
        <v>742</v>
      </c>
      <c r="K29" s="161" t="s">
        <v>851</v>
      </c>
      <c r="L29" s="291" t="s">
        <v>854</v>
      </c>
      <c r="M29" s="292" t="s">
        <v>855</v>
      </c>
      <c r="N29" s="291" t="s">
        <v>856</v>
      </c>
      <c r="O29" s="292" t="s">
        <v>743</v>
      </c>
      <c r="P29" s="291" t="s">
        <v>857</v>
      </c>
      <c r="Q29" s="292" t="s">
        <v>743</v>
      </c>
      <c r="S29" s="10"/>
      <c r="T29" s="161" t="s">
        <v>851</v>
      </c>
      <c r="U29" s="290" t="n">
        <f aca="false">IF(D29="","",ROUND(D29/4.184,3))</f>
        <v>-26.48</v>
      </c>
      <c r="V29" s="137" t="n">
        <f aca="false">IF(E29="","",ROUND(E29/4.184,3))</f>
        <v>0.1</v>
      </c>
      <c r="W29" s="293" t="n">
        <f aca="false">IF(F29="","",ROUND(F29/4.184,3))</f>
        <v>-49.438</v>
      </c>
      <c r="X29" s="294" t="n">
        <f aca="false">IF(G29="","",ROUND(G29/4.184,3))</f>
        <v>0.096</v>
      </c>
      <c r="Y29" s="293" t="n">
        <f aca="false">IF(H29="","",ROUND(H29/4.184,3))</f>
        <v>35.062</v>
      </c>
      <c r="Z29" s="294" t="n">
        <f aca="false">IF(I29="","",ROUND(I29/4.184,3))</f>
        <v>0.096</v>
      </c>
      <c r="AA29" s="44"/>
      <c r="AB29" s="161" t="s">
        <v>851</v>
      </c>
      <c r="AC29" s="293" t="n">
        <f aca="false">IF(L29="","",ROUND(L29/4.184,3))</f>
        <v>-26.48</v>
      </c>
      <c r="AD29" s="294" t="n">
        <f aca="false">IF(M29="","",ROUND(M29/4.184,3))</f>
        <v>0.1</v>
      </c>
      <c r="AE29" s="293" t="n">
        <f aca="false">IF(N29="","",ROUND(N29/4.184,3))</f>
        <v>-49.438</v>
      </c>
      <c r="AF29" s="294" t="n">
        <f aca="false">IF(O29="","",ROUND(O29/4.184,3))</f>
        <v>0.096</v>
      </c>
      <c r="AG29" s="293" t="n">
        <f aca="false">IF(P29="","",ROUND(P29/4.184,3))</f>
        <v>35.062</v>
      </c>
      <c r="AH29" s="294" t="n">
        <f aca="false">IF(Q29="","",ROUND(Q29/4.184,3))</f>
        <v>0.096</v>
      </c>
    </row>
    <row r="30" customFormat="false" ht="12.75" hidden="false" customHeight="false" outlineLevel="0" collapsed="false">
      <c r="A30" s="87"/>
      <c r="C30" s="161" t="s">
        <v>858</v>
      </c>
      <c r="D30" s="290"/>
      <c r="E30" s="137"/>
      <c r="F30" s="291"/>
      <c r="G30" s="292"/>
      <c r="H30" s="291"/>
      <c r="I30" s="292"/>
      <c r="K30" s="161" t="s">
        <v>858</v>
      </c>
      <c r="L30" s="291" t="s">
        <v>859</v>
      </c>
      <c r="M30" s="292" t="s">
        <v>860</v>
      </c>
      <c r="N30" s="291" t="s">
        <v>861</v>
      </c>
      <c r="O30" s="292" t="s">
        <v>862</v>
      </c>
      <c r="P30" s="291" t="s">
        <v>863</v>
      </c>
      <c r="Q30" s="292" t="s">
        <v>864</v>
      </c>
      <c r="T30" s="161" t="s">
        <v>858</v>
      </c>
      <c r="U30" s="290" t="str">
        <f aca="false">IF(D30="","",ROUND(D30/4.184,3))</f>
        <v/>
      </c>
      <c r="V30" s="137" t="str">
        <f aca="false">IF(E30="","",ROUND(E30/4.184,3))</f>
        <v/>
      </c>
      <c r="W30" s="293" t="str">
        <f aca="false">IF(F30="","",ROUND(F30/4.184,3))</f>
        <v/>
      </c>
      <c r="X30" s="294" t="str">
        <f aca="false">IF(G30="","",ROUND(G30/4.184,3))</f>
        <v/>
      </c>
      <c r="Y30" s="293" t="str">
        <f aca="false">IF(H30="","",ROUND(H30/4.184,3))</f>
        <v/>
      </c>
      <c r="Z30" s="294" t="str">
        <f aca="false">IF(I30="","",ROUND(I30/4.184,3))</f>
        <v/>
      </c>
      <c r="AA30" s="44"/>
      <c r="AB30" s="161" t="s">
        <v>858</v>
      </c>
      <c r="AC30" s="293" t="n">
        <f aca="false">IF(L30="","",ROUND(L30/4.184,3))</f>
        <v>-6.375</v>
      </c>
      <c r="AD30" s="294" t="n">
        <f aca="false">IF(M30="","",ROUND(M30/4.184,3))</f>
        <v>0.073</v>
      </c>
      <c r="AE30" s="293" t="n">
        <f aca="false">IF(N30="","",ROUND(N30/4.184,3))</f>
        <v>-19.4</v>
      </c>
      <c r="AF30" s="294" t="n">
        <f aca="false">IF(O30="","",ROUND(O30/4.184,3))</f>
        <v>0.078</v>
      </c>
      <c r="AG30" s="293" t="n">
        <f aca="false">IF(P30="","",ROUND(P30/4.184,3))</f>
        <v>26.061</v>
      </c>
      <c r="AH30" s="294" t="n">
        <f aca="false">IF(Q30="","",ROUND(Q30/4.184,3))</f>
        <v>0.218</v>
      </c>
    </row>
    <row r="31" customFormat="false" ht="12.75" hidden="false" customHeight="false" outlineLevel="0" collapsed="false">
      <c r="A31" s="87"/>
      <c r="C31" s="161" t="s">
        <v>865</v>
      </c>
      <c r="D31" s="290" t="n">
        <v>-79.398</v>
      </c>
      <c r="E31" s="137" t="n">
        <v>0.277</v>
      </c>
      <c r="F31" s="291" t="s">
        <v>866</v>
      </c>
      <c r="G31" s="292" t="s">
        <v>761</v>
      </c>
      <c r="H31" s="291" t="s">
        <v>867</v>
      </c>
      <c r="I31" s="292" t="s">
        <v>742</v>
      </c>
      <c r="K31" s="161" t="s">
        <v>865</v>
      </c>
      <c r="L31" s="291" t="s">
        <v>868</v>
      </c>
      <c r="M31" s="292" t="s">
        <v>869</v>
      </c>
      <c r="N31" s="291" t="s">
        <v>870</v>
      </c>
      <c r="O31" s="292" t="s">
        <v>762</v>
      </c>
      <c r="P31" s="291" t="s">
        <v>871</v>
      </c>
      <c r="Q31" s="292" t="s">
        <v>743</v>
      </c>
      <c r="T31" s="161" t="s">
        <v>865</v>
      </c>
      <c r="U31" s="290" t="n">
        <f aca="false">IF(D31="","",ROUND(D31/4.184,3))</f>
        <v>-18.977</v>
      </c>
      <c r="V31" s="137" t="n">
        <f aca="false">IF(E31="","",ROUND(E31/4.184,3))</f>
        <v>0.066</v>
      </c>
      <c r="W31" s="293" t="n">
        <f aca="false">IF(F31="","",ROUND(F31/4.184,3))</f>
        <v>-31.85</v>
      </c>
      <c r="X31" s="294" t="n">
        <f aca="false">IF(G31="","",ROUND(G31/4.184,3))</f>
        <v>0.06</v>
      </c>
      <c r="Y31" s="293" t="n">
        <f aca="false">IF(H31="","",ROUND(H31/4.184,3))</f>
        <v>26.57</v>
      </c>
      <c r="Z31" s="294" t="n">
        <f aca="false">IF(I31="","",ROUND(I31/4.184,3))</f>
        <v>0.096</v>
      </c>
      <c r="AA31" s="44"/>
      <c r="AB31" s="161" t="s">
        <v>865</v>
      </c>
      <c r="AC31" s="293" t="n">
        <f aca="false">IF(L31="","",ROUND(L31/4.184,3))</f>
        <v>-18.977</v>
      </c>
      <c r="AD31" s="294" t="n">
        <f aca="false">IF(M31="","",ROUND(M31/4.184,3))</f>
        <v>0.066</v>
      </c>
      <c r="AE31" s="293" t="n">
        <f aca="false">IF(N31="","",ROUND(N31/4.184,3))</f>
        <v>-31.85</v>
      </c>
      <c r="AF31" s="294" t="n">
        <f aca="false">IF(O31="","",ROUND(O31/4.184,3))</f>
        <v>0.06</v>
      </c>
      <c r="AG31" s="293" t="n">
        <f aca="false">IF(P31="","",ROUND(P31/4.184,3))</f>
        <v>26.57</v>
      </c>
      <c r="AH31" s="294" t="n">
        <f aca="false">IF(Q31="","",ROUND(Q31/4.184,3))</f>
        <v>0.096</v>
      </c>
    </row>
    <row r="32" customFormat="false" ht="12.75" hidden="false" customHeight="false" outlineLevel="0" collapsed="false">
      <c r="A32" s="87"/>
      <c r="B32" s="10"/>
      <c r="C32" s="161" t="s">
        <v>872</v>
      </c>
      <c r="D32" s="290" t="n">
        <v>-1095.985</v>
      </c>
      <c r="E32" s="137" t="n">
        <v>1.567</v>
      </c>
      <c r="F32" s="291" t="s">
        <v>873</v>
      </c>
      <c r="G32" s="292" t="s">
        <v>842</v>
      </c>
      <c r="H32" s="291" t="s">
        <v>874</v>
      </c>
      <c r="I32" s="292" t="s">
        <v>842</v>
      </c>
      <c r="K32" s="161" t="s">
        <v>872</v>
      </c>
      <c r="L32" s="291" t="s">
        <v>875</v>
      </c>
      <c r="M32" s="292" t="s">
        <v>876</v>
      </c>
      <c r="N32" s="291" t="s">
        <v>877</v>
      </c>
      <c r="O32" s="292" t="s">
        <v>848</v>
      </c>
      <c r="P32" s="291" t="s">
        <v>878</v>
      </c>
      <c r="Q32" s="292" t="s">
        <v>848</v>
      </c>
      <c r="S32" s="10"/>
      <c r="T32" s="161" t="s">
        <v>872</v>
      </c>
      <c r="U32" s="290" t="n">
        <f aca="false">IF(D32="","",ROUND(D32/4.184,3))</f>
        <v>-261.947</v>
      </c>
      <c r="V32" s="137" t="n">
        <f aca="false">IF(E32="","",ROUND(E32/4.184,3))</f>
        <v>0.375</v>
      </c>
      <c r="W32" s="293" t="n">
        <f aca="false">IF(F32="","",ROUND(F32/4.184,3))</f>
        <v>-310.468</v>
      </c>
      <c r="X32" s="294" t="n">
        <f aca="false">IF(G32="","",ROUND(G32/4.184,3))</f>
        <v>0.359</v>
      </c>
      <c r="Y32" s="293" t="n">
        <f aca="false">IF(H32="","",ROUND(H32/4.184,3))</f>
        <v>-8.007</v>
      </c>
      <c r="Z32" s="294" t="n">
        <f aca="false">IF(I32="","",ROUND(I32/4.184,3))</f>
        <v>0.359</v>
      </c>
      <c r="AA32" s="44"/>
      <c r="AB32" s="161" t="s">
        <v>872</v>
      </c>
      <c r="AC32" s="293" t="n">
        <f aca="false">IF(L32="","",ROUND(L32/4.184,3))</f>
        <v>-261.947</v>
      </c>
      <c r="AD32" s="294" t="n">
        <f aca="false">IF(M32="","",ROUND(M32/4.184,3))</f>
        <v>0.375</v>
      </c>
      <c r="AE32" s="293" t="n">
        <f aca="false">IF(N32="","",ROUND(N32/4.184,3))</f>
        <v>-310.468</v>
      </c>
      <c r="AF32" s="294" t="n">
        <f aca="false">IF(O32="","",ROUND(O32/4.184,3))</f>
        <v>0.359</v>
      </c>
      <c r="AG32" s="293" t="n">
        <f aca="false">IF(P32="","",ROUND(P32/4.184,3))</f>
        <v>-8.007</v>
      </c>
      <c r="AH32" s="294" t="n">
        <f aca="false">IF(Q32="","",ROUND(Q32/4.184,3))</f>
        <v>0.359</v>
      </c>
    </row>
    <row r="33" customFormat="false" ht="12.75" hidden="false" customHeight="false" outlineLevel="0" collapsed="false">
      <c r="A33" s="87"/>
      <c r="C33" s="161" t="s">
        <v>879</v>
      </c>
      <c r="D33" s="290" t="n">
        <v>-1137.152</v>
      </c>
      <c r="E33" s="137" t="n">
        <v>1.567</v>
      </c>
      <c r="F33" s="291" t="s">
        <v>880</v>
      </c>
      <c r="G33" s="292" t="s">
        <v>842</v>
      </c>
      <c r="H33" s="291" t="s">
        <v>881</v>
      </c>
      <c r="I33" s="292" t="s">
        <v>842</v>
      </c>
      <c r="J33" s="45"/>
      <c r="K33" s="161" t="s">
        <v>879</v>
      </c>
      <c r="L33" s="291" t="s">
        <v>882</v>
      </c>
      <c r="M33" s="292" t="s">
        <v>876</v>
      </c>
      <c r="N33" s="291" t="s">
        <v>883</v>
      </c>
      <c r="O33" s="292" t="s">
        <v>848</v>
      </c>
      <c r="P33" s="291" t="s">
        <v>884</v>
      </c>
      <c r="Q33" s="292" t="s">
        <v>848</v>
      </c>
      <c r="T33" s="161" t="s">
        <v>879</v>
      </c>
      <c r="U33" s="290" t="n">
        <f aca="false">IF(D33="","",ROUND(D33/4.184,3))</f>
        <v>-271.786</v>
      </c>
      <c r="V33" s="137" t="n">
        <f aca="false">IF(E33="","",ROUND(E33/4.184,3))</f>
        <v>0.375</v>
      </c>
      <c r="W33" s="293" t="n">
        <f aca="false">IF(F33="","",ROUND(F33/4.184,3))</f>
        <v>-311.329</v>
      </c>
      <c r="X33" s="294" t="n">
        <f aca="false">IF(G33="","",ROUND(G33/4.184,3))</f>
        <v>0.359</v>
      </c>
      <c r="Y33" s="293" t="n">
        <f aca="false">IF(H33="","",ROUND(H33/4.184,3))</f>
        <v>22.108</v>
      </c>
      <c r="Z33" s="294" t="n">
        <f aca="false">IF(I33="","",ROUND(I33/4.184,3))</f>
        <v>0.359</v>
      </c>
      <c r="AA33" s="45"/>
      <c r="AB33" s="161" t="s">
        <v>879</v>
      </c>
      <c r="AC33" s="293" t="n">
        <f aca="false">IF(L33="","",ROUND(L33/4.184,3))</f>
        <v>-271.786</v>
      </c>
      <c r="AD33" s="294" t="n">
        <f aca="false">IF(M33="","",ROUND(M33/4.184,3))</f>
        <v>0.375</v>
      </c>
      <c r="AE33" s="293" t="n">
        <f aca="false">IF(N33="","",ROUND(N33/4.184,3))</f>
        <v>-311.329</v>
      </c>
      <c r="AF33" s="294" t="n">
        <f aca="false">IF(O33="","",ROUND(O33/4.184,3))</f>
        <v>0.359</v>
      </c>
      <c r="AG33" s="293" t="n">
        <f aca="false">IF(P33="","",ROUND(P33/4.184,3))</f>
        <v>22.108</v>
      </c>
      <c r="AH33" s="294" t="n">
        <f aca="false">IF(Q33="","",ROUND(Q33/4.184,3))</f>
        <v>0.359</v>
      </c>
    </row>
    <row r="34" customFormat="false" ht="12.75" hidden="false" customHeight="false" outlineLevel="0" collapsed="false">
      <c r="A34" s="87"/>
      <c r="C34" s="161" t="s">
        <v>885</v>
      </c>
      <c r="D34" s="290" t="n">
        <v>-385.97</v>
      </c>
      <c r="E34" s="137" t="n">
        <v>0.27</v>
      </c>
      <c r="F34" s="291" t="s">
        <v>886</v>
      </c>
      <c r="G34" s="292" t="s">
        <v>728</v>
      </c>
      <c r="H34" s="291" t="s">
        <v>887</v>
      </c>
      <c r="I34" s="292" t="s">
        <v>888</v>
      </c>
      <c r="J34" s="45"/>
      <c r="K34" s="161" t="s">
        <v>885</v>
      </c>
      <c r="L34" s="291" t="s">
        <v>889</v>
      </c>
      <c r="M34" s="292" t="s">
        <v>890</v>
      </c>
      <c r="N34" s="291" t="s">
        <v>891</v>
      </c>
      <c r="O34" s="292" t="s">
        <v>729</v>
      </c>
      <c r="P34" s="291" t="s">
        <v>892</v>
      </c>
      <c r="Q34" s="292" t="s">
        <v>735</v>
      </c>
      <c r="T34" s="161" t="s">
        <v>885</v>
      </c>
      <c r="U34" s="290" t="n">
        <f aca="false">IF(D34="","",ROUND(D34/4.184,3))</f>
        <v>-92.249</v>
      </c>
      <c r="V34" s="137" t="n">
        <f aca="false">IF(E34="","",ROUND(E34/4.184,3))</f>
        <v>0.065</v>
      </c>
      <c r="W34" s="293" t="n">
        <f aca="false">IF(F34="","",ROUND(F34/4.184,3))</f>
        <v>-98.772</v>
      </c>
      <c r="X34" s="294" t="n">
        <f aca="false">IF(G34="","",ROUND(G34/4.184,3))</f>
        <v>0.048</v>
      </c>
      <c r="Y34" s="293" t="n">
        <f aca="false">IF(H34="","",ROUND(H34/4.184,3))</f>
        <v>28.528</v>
      </c>
      <c r="Z34" s="294" t="n">
        <f aca="false">IF(I34="","",ROUND(I34/4.184,3))</f>
        <v>0.143</v>
      </c>
      <c r="AA34" s="45"/>
      <c r="AB34" s="161" t="s">
        <v>885</v>
      </c>
      <c r="AC34" s="293" t="n">
        <f aca="false">IF(L34="","",ROUND(L34/4.184,3))</f>
        <v>-92.249</v>
      </c>
      <c r="AD34" s="294" t="n">
        <f aca="false">IF(M34="","",ROUND(M34/4.184,3))</f>
        <v>0.065</v>
      </c>
      <c r="AE34" s="293" t="n">
        <f aca="false">IF(N34="","",ROUND(N34/4.184,3))</f>
        <v>-98.772</v>
      </c>
      <c r="AF34" s="294" t="n">
        <f aca="false">IF(O34="","",ROUND(O34/4.184,3))</f>
        <v>0.048</v>
      </c>
      <c r="AG34" s="293" t="n">
        <f aca="false">IF(P34="","",ROUND(P34/4.184,3))</f>
        <v>28.528</v>
      </c>
      <c r="AH34" s="294" t="n">
        <f aca="false">IF(Q34="","",ROUND(Q34/4.184,3))</f>
        <v>0.143</v>
      </c>
    </row>
    <row r="35" customFormat="false" ht="12.75" hidden="false" customHeight="false" outlineLevel="0" collapsed="false">
      <c r="A35" s="87"/>
      <c r="B35" s="10"/>
      <c r="C35" s="161" t="s">
        <v>893</v>
      </c>
      <c r="D35" s="290" t="n">
        <v>-527.9</v>
      </c>
      <c r="E35" s="137" t="n">
        <v>0.39</v>
      </c>
      <c r="F35" s="291" t="s">
        <v>894</v>
      </c>
      <c r="G35" s="292" t="s">
        <v>761</v>
      </c>
      <c r="H35" s="291" t="s">
        <v>895</v>
      </c>
      <c r="I35" s="292" t="s">
        <v>896</v>
      </c>
      <c r="J35" s="45"/>
      <c r="K35" s="161" t="s">
        <v>893</v>
      </c>
      <c r="L35" s="291" t="s">
        <v>897</v>
      </c>
      <c r="M35" s="292" t="s">
        <v>898</v>
      </c>
      <c r="N35" s="291" t="s">
        <v>899</v>
      </c>
      <c r="O35" s="292" t="s">
        <v>762</v>
      </c>
      <c r="P35" s="291" t="s">
        <v>900</v>
      </c>
      <c r="Q35" s="292" t="s">
        <v>901</v>
      </c>
      <c r="S35" s="10"/>
      <c r="T35" s="161" t="s">
        <v>893</v>
      </c>
      <c r="U35" s="290" t="n">
        <f aca="false">IF(D35="","",ROUND(D35/4.184,3))</f>
        <v>-126.171</v>
      </c>
      <c r="V35" s="137" t="n">
        <f aca="false">IF(E35="","",ROUND(E35/4.184,3))</f>
        <v>0.093</v>
      </c>
      <c r="W35" s="293" t="n">
        <f aca="false">IF(F35="","",ROUND(F35/4.184,3))</f>
        <v>-161.384</v>
      </c>
      <c r="X35" s="294" t="n">
        <f aca="false">IF(G35="","",ROUND(G35/4.184,3))</f>
        <v>0.06</v>
      </c>
      <c r="Y35" s="293" t="n">
        <f aca="false">IF(H35="","",ROUND(H35/4.184,3))</f>
        <v>-11.95</v>
      </c>
      <c r="Z35" s="294" t="n">
        <f aca="false">IF(I35="","",ROUND(I35/4.184,3))</f>
        <v>0.239</v>
      </c>
      <c r="AA35" s="45"/>
      <c r="AB35" s="161" t="s">
        <v>893</v>
      </c>
      <c r="AC35" s="293" t="n">
        <f aca="false">IF(L35="","",ROUND(L35/4.184,3))</f>
        <v>-126.171</v>
      </c>
      <c r="AD35" s="294" t="n">
        <f aca="false">IF(M35="","",ROUND(M35/4.184,3))</f>
        <v>0.093</v>
      </c>
      <c r="AE35" s="293" t="n">
        <f aca="false">IF(N35="","",ROUND(N35/4.184,3))</f>
        <v>-161.384</v>
      </c>
      <c r="AF35" s="294" t="n">
        <f aca="false">IF(O35="","",ROUND(O35/4.184,3))</f>
        <v>0.06</v>
      </c>
      <c r="AG35" s="293" t="n">
        <f aca="false">IF(P35="","",ROUND(P35/4.184,3))</f>
        <v>-11.95</v>
      </c>
      <c r="AH35" s="294" t="n">
        <f aca="false">IF(Q35="","",ROUND(Q35/4.184,3))</f>
        <v>0.239</v>
      </c>
    </row>
    <row r="36" customFormat="false" ht="12.75" hidden="false" customHeight="false" outlineLevel="0" collapsed="false">
      <c r="A36" s="87"/>
      <c r="B36" s="10"/>
      <c r="C36" s="161" t="s">
        <v>902</v>
      </c>
      <c r="D36" s="290" t="n">
        <v>-586.845</v>
      </c>
      <c r="E36" s="137" t="n">
        <v>0.251</v>
      </c>
      <c r="F36" s="291" t="s">
        <v>903</v>
      </c>
      <c r="G36" s="292" t="s">
        <v>728</v>
      </c>
      <c r="H36" s="291" t="s">
        <v>904</v>
      </c>
      <c r="I36" s="292" t="s">
        <v>767</v>
      </c>
      <c r="K36" s="161" t="s">
        <v>902</v>
      </c>
      <c r="L36" s="291" t="s">
        <v>905</v>
      </c>
      <c r="M36" s="292" t="s">
        <v>906</v>
      </c>
      <c r="N36" s="291" t="s">
        <v>907</v>
      </c>
      <c r="O36" s="292" t="s">
        <v>729</v>
      </c>
      <c r="P36" s="291" t="s">
        <v>908</v>
      </c>
      <c r="Q36" s="292" t="s">
        <v>768</v>
      </c>
      <c r="S36" s="10"/>
      <c r="T36" s="161" t="s">
        <v>902</v>
      </c>
      <c r="U36" s="290" t="n">
        <f aca="false">IF(D36="","",ROUND(D36/4.184,3))</f>
        <v>-140.259</v>
      </c>
      <c r="V36" s="137" t="n">
        <f aca="false">IF(E36="","",ROUND(E36/4.184,3))</f>
        <v>0.06</v>
      </c>
      <c r="W36" s="293" t="n">
        <f aca="false">IF(F36="","",ROUND(F36/4.184,3))</f>
        <v>-164.897</v>
      </c>
      <c r="X36" s="294" t="n">
        <f aca="false">IF(G36="","",ROUND(G36/4.184,3))</f>
        <v>0.048</v>
      </c>
      <c r="Y36" s="293" t="n">
        <f aca="false">IF(H36="","",ROUND(H36/4.184,3))</f>
        <v>23.518</v>
      </c>
      <c r="Z36" s="294" t="n">
        <f aca="false">IF(I36="","",ROUND(I36/4.184,3))</f>
        <v>0.12</v>
      </c>
      <c r="AA36" s="44"/>
      <c r="AB36" s="161" t="s">
        <v>902</v>
      </c>
      <c r="AC36" s="293" t="n">
        <f aca="false">IF(L36="","",ROUND(L36/4.184,3))</f>
        <v>-140.259</v>
      </c>
      <c r="AD36" s="294" t="n">
        <f aca="false">IF(M36="","",ROUND(M36/4.184,3))</f>
        <v>0.06</v>
      </c>
      <c r="AE36" s="293" t="n">
        <f aca="false">IF(N36="","",ROUND(N36/4.184,3))</f>
        <v>-164.897</v>
      </c>
      <c r="AF36" s="294" t="n">
        <f aca="false">IF(O36="","",ROUND(O36/4.184,3))</f>
        <v>0.048</v>
      </c>
      <c r="AG36" s="293" t="n">
        <f aca="false">IF(P36="","",ROUND(P36/4.184,3))</f>
        <v>23.518</v>
      </c>
      <c r="AH36" s="294" t="n">
        <f aca="false">IF(Q36="","",ROUND(Q36/4.184,3))</f>
        <v>0.12</v>
      </c>
    </row>
    <row r="37" customFormat="false" ht="12.75" hidden="false" customHeight="false" outlineLevel="0" collapsed="false">
      <c r="A37" s="87"/>
      <c r="B37" s="10"/>
      <c r="C37" s="161" t="s">
        <v>909</v>
      </c>
      <c r="D37" s="290"/>
      <c r="E37" s="137"/>
      <c r="F37" s="291"/>
      <c r="G37" s="292"/>
      <c r="H37" s="291"/>
      <c r="I37" s="292"/>
      <c r="J37" s="45"/>
      <c r="K37" s="161" t="s">
        <v>909</v>
      </c>
      <c r="L37" s="291" t="s">
        <v>910</v>
      </c>
      <c r="M37" s="292" t="s">
        <v>911</v>
      </c>
      <c r="N37" s="291" t="s">
        <v>912</v>
      </c>
      <c r="O37" s="292" t="s">
        <v>913</v>
      </c>
      <c r="P37" s="291" t="s">
        <v>914</v>
      </c>
      <c r="Q37" s="292" t="s">
        <v>915</v>
      </c>
      <c r="S37" s="10"/>
      <c r="T37" s="161" t="s">
        <v>909</v>
      </c>
      <c r="U37" s="290" t="str">
        <f aca="false">IF(D37="","",ROUND(D37/4.184,3))</f>
        <v/>
      </c>
      <c r="V37" s="137" t="str">
        <f aca="false">IF(E37="","",ROUND(E37/4.184,3))</f>
        <v/>
      </c>
      <c r="W37" s="293" t="str">
        <f aca="false">IF(F37="","",ROUND(F37/4.184,3))</f>
        <v/>
      </c>
      <c r="X37" s="294" t="str">
        <f aca="false">IF(G37="","",ROUND(G37/4.184,3))</f>
        <v/>
      </c>
      <c r="Y37" s="293" t="str">
        <f aca="false">IF(H37="","",ROUND(H37/4.184,3))</f>
        <v/>
      </c>
      <c r="Z37" s="294" t="str">
        <f aca="false">IF(I37="","",ROUND(I37/4.184,3))</f>
        <v/>
      </c>
      <c r="AA37" s="45"/>
      <c r="AB37" s="161" t="s">
        <v>909</v>
      </c>
      <c r="AC37" s="293" t="n">
        <f aca="false">IF(L37="","",ROUND(L37/4.184,3))</f>
        <v>-312.556</v>
      </c>
      <c r="AD37" s="294" t="n">
        <f aca="false">IF(M37="","",ROUND(M37/4.184,3))</f>
        <v>0.276</v>
      </c>
      <c r="AE37" s="293" t="n">
        <f aca="false">IF(N37="","",ROUND(N37/4.184,3))</f>
        <v>-348.222</v>
      </c>
      <c r="AF37" s="294" t="n">
        <f aca="false">IF(O37="","",ROUND(O37/4.184,3))</f>
        <v>0.756</v>
      </c>
      <c r="AG37" s="293" t="n">
        <f aca="false">IF(P37="","",ROUND(P37/4.184,3))</f>
        <v>45.405</v>
      </c>
      <c r="AH37" s="294" t="n">
        <f aca="false">IF(Q37="","",ROUND(Q37/4.184,3))</f>
        <v>2.7</v>
      </c>
    </row>
    <row r="38" customFormat="false" ht="12.75" hidden="false" customHeight="false" outlineLevel="0" collapsed="false">
      <c r="A38" s="87"/>
      <c r="B38" s="10"/>
      <c r="C38" s="161" t="s">
        <v>916</v>
      </c>
      <c r="D38" s="290" t="n">
        <v>-969.268</v>
      </c>
      <c r="E38" s="137" t="n">
        <v>0.82</v>
      </c>
      <c r="F38" s="291" t="s">
        <v>917</v>
      </c>
      <c r="G38" s="292" t="s">
        <v>806</v>
      </c>
      <c r="H38" s="291" t="s">
        <v>918</v>
      </c>
      <c r="I38" s="292" t="s">
        <v>888</v>
      </c>
      <c r="J38" s="45"/>
      <c r="K38" s="161" t="s">
        <v>916</v>
      </c>
      <c r="L38" s="291" t="s">
        <v>919</v>
      </c>
      <c r="M38" s="292" t="s">
        <v>920</v>
      </c>
      <c r="N38" s="291" t="s">
        <v>921</v>
      </c>
      <c r="O38" s="292" t="s">
        <v>759</v>
      </c>
      <c r="P38" s="291" t="s">
        <v>922</v>
      </c>
      <c r="Q38" s="292" t="s">
        <v>735</v>
      </c>
      <c r="S38" s="10"/>
      <c r="T38" s="161" t="s">
        <v>916</v>
      </c>
      <c r="U38" s="290" t="n">
        <f aca="false">IF(D38="","",ROUND(D38/4.184,3))</f>
        <v>-231.661</v>
      </c>
      <c r="V38" s="137" t="n">
        <f aca="false">IF(E38="","",ROUND(E38/4.184,3))</f>
        <v>0.196</v>
      </c>
      <c r="W38" s="293" t="n">
        <f aca="false">IF(F38="","",ROUND(F38/4.184,3))</f>
        <v>-256.405</v>
      </c>
      <c r="X38" s="294" t="n">
        <f aca="false">IF(G38="","",ROUND(G38/4.184,3))</f>
        <v>0.191</v>
      </c>
      <c r="Y38" s="293" t="n">
        <f aca="false">IF(H38="","",ROUND(H38/4.184,3))</f>
        <v>38.815</v>
      </c>
      <c r="Z38" s="294" t="n">
        <f aca="false">IF(I38="","",ROUND(I38/4.184,3))</f>
        <v>0.143</v>
      </c>
      <c r="AA38" s="45"/>
      <c r="AB38" s="161" t="s">
        <v>916</v>
      </c>
      <c r="AC38" s="293" t="n">
        <f aca="false">IF(L38="","",ROUND(L38/4.184,3))</f>
        <v>-231.661</v>
      </c>
      <c r="AD38" s="294" t="n">
        <f aca="false">IF(M38="","",ROUND(M38/4.184,3))</f>
        <v>0.196</v>
      </c>
      <c r="AE38" s="293" t="n">
        <f aca="false">IF(N38="","",ROUND(N38/4.184,3))</f>
        <v>-256.405</v>
      </c>
      <c r="AF38" s="294" t="n">
        <f aca="false">IF(O38="","",ROUND(O38/4.184,3))</f>
        <v>0.191</v>
      </c>
      <c r="AG38" s="293" t="n">
        <f aca="false">IF(P38="","",ROUND(P38/4.184,3))</f>
        <v>38.815</v>
      </c>
      <c r="AH38" s="294" t="n">
        <f aca="false">IF(Q38="","",ROUND(Q38/4.184,3))</f>
        <v>0.143</v>
      </c>
    </row>
    <row r="39" customFormat="false" ht="12.75" hidden="false" customHeight="false" outlineLevel="0" collapsed="false">
      <c r="A39" s="87"/>
      <c r="B39" s="10"/>
      <c r="C39" s="161" t="s">
        <v>923</v>
      </c>
      <c r="D39" s="290"/>
      <c r="E39" s="137"/>
      <c r="F39" s="295"/>
      <c r="G39" s="297"/>
      <c r="H39" s="295"/>
      <c r="I39" s="297"/>
      <c r="J39" s="45"/>
      <c r="K39" s="161" t="s">
        <v>923</v>
      </c>
      <c r="L39" s="295"/>
      <c r="M39" s="297"/>
      <c r="N39" s="295"/>
      <c r="O39" s="297"/>
      <c r="P39" s="295"/>
      <c r="Q39" s="297"/>
      <c r="S39" s="10"/>
      <c r="T39" s="161" t="s">
        <v>923</v>
      </c>
      <c r="U39" s="290" t="str">
        <f aca="false">IF(D39="","",ROUND(D39/4.184,3))</f>
        <v/>
      </c>
      <c r="V39" s="137" t="str">
        <f aca="false">IF(E39="","",ROUND(E39/4.184,3))</f>
        <v/>
      </c>
      <c r="W39" s="296" t="str">
        <f aca="false">IF(F39="","",ROUND(F39/4.184,3))</f>
        <v/>
      </c>
      <c r="X39" s="298" t="str">
        <f aca="false">IF(G39="","",ROUND(G39/4.184,3))</f>
        <v/>
      </c>
      <c r="Y39" s="296" t="str">
        <f aca="false">IF(H39="","",ROUND(H39/4.184,3))</f>
        <v/>
      </c>
      <c r="Z39" s="298" t="str">
        <f aca="false">IF(I39="","",ROUND(I39/4.184,3))</f>
        <v/>
      </c>
      <c r="AA39" s="45"/>
      <c r="AB39" s="161" t="s">
        <v>923</v>
      </c>
      <c r="AC39" s="296" t="str">
        <f aca="false">IF(L39="","",ROUND(L39/4.184,3))</f>
        <v/>
      </c>
      <c r="AD39" s="298" t="str">
        <f aca="false">IF(M39="","",ROUND(M39/4.184,3))</f>
        <v/>
      </c>
      <c r="AE39" s="296" t="str">
        <f aca="false">IF(N39="","",ROUND(N39/4.184,3))</f>
        <v/>
      </c>
      <c r="AF39" s="298" t="str">
        <f aca="false">IF(O39="","",ROUND(O39/4.184,3))</f>
        <v/>
      </c>
      <c r="AG39" s="296" t="str">
        <f aca="false">IF(P39="","",ROUND(P39/4.184,3))</f>
        <v/>
      </c>
      <c r="AH39" s="298" t="str">
        <f aca="false">IF(Q39="","",ROUND(Q39/4.184,3))</f>
        <v/>
      </c>
    </row>
    <row r="40" customFormat="false" ht="12.75" hidden="false" customHeight="false" outlineLevel="0" collapsed="false">
      <c r="A40" s="87"/>
      <c r="C40" s="161" t="s">
        <v>924</v>
      </c>
      <c r="D40" s="290" t="n">
        <v>-491.507</v>
      </c>
      <c r="E40" s="137" t="n">
        <v>3.338</v>
      </c>
      <c r="F40" s="291" t="s">
        <v>925</v>
      </c>
      <c r="G40" s="292" t="s">
        <v>842</v>
      </c>
      <c r="H40" s="291" t="s">
        <v>926</v>
      </c>
      <c r="I40" s="292" t="s">
        <v>927</v>
      </c>
      <c r="K40" s="161" t="s">
        <v>924</v>
      </c>
      <c r="L40" s="291" t="s">
        <v>928</v>
      </c>
      <c r="M40" s="292" t="s">
        <v>929</v>
      </c>
      <c r="N40" s="291" t="s">
        <v>930</v>
      </c>
      <c r="O40" s="292" t="s">
        <v>848</v>
      </c>
      <c r="P40" s="291" t="s">
        <v>931</v>
      </c>
      <c r="Q40" s="292" t="s">
        <v>932</v>
      </c>
      <c r="T40" s="161" t="s">
        <v>924</v>
      </c>
      <c r="U40" s="290" t="n">
        <f aca="false">IF(D40="","",ROUND(D40/4.184,3))</f>
        <v>-117.473</v>
      </c>
      <c r="V40" s="137" t="n">
        <f aca="false">IF(E40="","",ROUND(E40/4.184,3))</f>
        <v>0.798</v>
      </c>
      <c r="W40" s="293" t="n">
        <f aca="false">IF(F40="","",ROUND(F40/4.184,3))</f>
        <v>-128.681</v>
      </c>
      <c r="X40" s="294" t="n">
        <f aca="false">IF(G40="","",ROUND(G40/4.184,3))</f>
        <v>0.359</v>
      </c>
      <c r="Y40" s="293" t="n">
        <f aca="false">IF(H40="","",ROUND(H40/4.184,3))</f>
        <v>-77.677</v>
      </c>
      <c r="Z40" s="294" t="n">
        <f aca="false">IF(I40="","",ROUND(I40/4.184,3))</f>
        <v>2.39</v>
      </c>
      <c r="AA40" s="44"/>
      <c r="AB40" s="161" t="s">
        <v>924</v>
      </c>
      <c r="AC40" s="293" t="n">
        <f aca="false">IF(L40="","",ROUND(L40/4.184,3))</f>
        <v>-117.473</v>
      </c>
      <c r="AD40" s="294" t="n">
        <f aca="false">IF(M40="","",ROUND(M40/4.184,3))</f>
        <v>0.798</v>
      </c>
      <c r="AE40" s="293" t="n">
        <f aca="false">IF(N40="","",ROUND(N40/4.184,3))</f>
        <v>-128.681</v>
      </c>
      <c r="AF40" s="294" t="n">
        <f aca="false">IF(O40="","",ROUND(O40/4.184,3))</f>
        <v>0.359</v>
      </c>
      <c r="AG40" s="293" t="n">
        <f aca="false">IF(P40="","",ROUND(P40/4.184,3))</f>
        <v>-77.677</v>
      </c>
      <c r="AH40" s="294" t="n">
        <f aca="false">IF(Q40="","",ROUND(Q40/4.184,3))</f>
        <v>2.39</v>
      </c>
    </row>
    <row r="41" customFormat="false" ht="12.75" hidden="false" customHeight="false" outlineLevel="0" collapsed="false">
      <c r="A41" s="87"/>
      <c r="B41" s="10"/>
      <c r="C41" s="161" t="s">
        <v>933</v>
      </c>
      <c r="D41" s="290"/>
      <c r="E41" s="137"/>
      <c r="F41" s="295"/>
      <c r="G41" s="297"/>
      <c r="H41" s="295"/>
      <c r="I41" s="297"/>
      <c r="K41" s="161" t="s">
        <v>933</v>
      </c>
      <c r="L41" s="295"/>
      <c r="M41" s="297"/>
      <c r="N41" s="295"/>
      <c r="O41" s="297"/>
      <c r="P41" s="295"/>
      <c r="Q41" s="297"/>
      <c r="S41" s="10"/>
      <c r="T41" s="161" t="s">
        <v>933</v>
      </c>
      <c r="U41" s="290" t="str">
        <f aca="false">IF(D41="","",ROUND(D41/4.184,3))</f>
        <v/>
      </c>
      <c r="V41" s="137" t="str">
        <f aca="false">IF(E41="","",ROUND(E41/4.184,3))</f>
        <v/>
      </c>
      <c r="W41" s="296" t="str">
        <f aca="false">IF(F41="","",ROUND(F41/4.184,3))</f>
        <v/>
      </c>
      <c r="X41" s="298" t="str">
        <f aca="false">IF(G41="","",ROUND(G41/4.184,3))</f>
        <v/>
      </c>
      <c r="Y41" s="296" t="str">
        <f aca="false">IF(H41="","",ROUND(H41/4.184,3))</f>
        <v/>
      </c>
      <c r="Z41" s="298" t="str">
        <f aca="false">IF(I41="","",ROUND(I41/4.184,3))</f>
        <v/>
      </c>
      <c r="AA41" s="44"/>
      <c r="AB41" s="161" t="s">
        <v>933</v>
      </c>
      <c r="AC41" s="296" t="str">
        <f aca="false">IF(L41="","",ROUND(L41/4.184,3))</f>
        <v/>
      </c>
      <c r="AD41" s="298" t="str">
        <f aca="false">IF(M41="","",ROUND(M41/4.184,3))</f>
        <v/>
      </c>
      <c r="AE41" s="296" t="str">
        <f aca="false">IF(N41="","",ROUND(N41/4.184,3))</f>
        <v/>
      </c>
      <c r="AF41" s="298" t="str">
        <f aca="false">IF(O41="","",ROUND(O41/4.184,3))</f>
        <v/>
      </c>
      <c r="AG41" s="296" t="str">
        <f aca="false">IF(P41="","",ROUND(P41/4.184,3))</f>
        <v/>
      </c>
      <c r="AH41" s="298" t="str">
        <f aca="false">IF(Q41="","",ROUND(Q41/4.184,3))</f>
        <v/>
      </c>
    </row>
    <row r="42" customFormat="false" ht="12.75" hidden="false" customHeight="false" outlineLevel="0" collapsed="false">
      <c r="A42" s="87"/>
      <c r="C42" s="38" t="s">
        <v>934</v>
      </c>
      <c r="D42" s="290"/>
      <c r="E42" s="137"/>
      <c r="F42" s="291"/>
      <c r="G42" s="292"/>
      <c r="H42" s="291"/>
      <c r="I42" s="292"/>
      <c r="K42" s="38" t="s">
        <v>934</v>
      </c>
      <c r="L42" s="291" t="s">
        <v>935</v>
      </c>
      <c r="M42" s="292" t="s">
        <v>936</v>
      </c>
      <c r="N42" s="291" t="s">
        <v>937</v>
      </c>
      <c r="O42" s="292" t="s">
        <v>938</v>
      </c>
      <c r="P42" s="291" t="s">
        <v>939</v>
      </c>
      <c r="Q42" s="292" t="s">
        <v>940</v>
      </c>
      <c r="T42" s="38" t="s">
        <v>934</v>
      </c>
      <c r="U42" s="290" t="str">
        <f aca="false">IF(D42="","",ROUND(D42/4.184,3))</f>
        <v/>
      </c>
      <c r="V42" s="137" t="str">
        <f aca="false">IF(E42="","",ROUND(E42/4.184,3))</f>
        <v/>
      </c>
      <c r="W42" s="293" t="str">
        <f aca="false">IF(F42="","",ROUND(F42/4.184,3))</f>
        <v/>
      </c>
      <c r="X42" s="294" t="str">
        <f aca="false">IF(G42="","",ROUND(G42/4.184,3))</f>
        <v/>
      </c>
      <c r="Y42" s="293" t="str">
        <f aca="false">IF(H42="","",ROUND(H42/4.184,3))</f>
        <v/>
      </c>
      <c r="Z42" s="294" t="str">
        <f aca="false">IF(I42="","",ROUND(I42/4.184,3))</f>
        <v/>
      </c>
      <c r="AA42" s="44"/>
      <c r="AB42" s="38" t="s">
        <v>934</v>
      </c>
      <c r="AC42" s="293" t="n">
        <f aca="false">IF(L42="","",ROUND(L42/4.184,3))</f>
        <v>-10.94</v>
      </c>
      <c r="AD42" s="294" t="n">
        <f aca="false">IF(M42="","",ROUND(M42/4.184,3))</f>
        <v>0.184</v>
      </c>
      <c r="AE42" s="293" t="n">
        <f aca="false">IF(N42="","",ROUND(N42/4.184,3))</f>
        <v>-13.148</v>
      </c>
      <c r="AF42" s="294" t="n">
        <f aca="false">IF(O42="","",ROUND(O42/4.184,3))</f>
        <v>0.21</v>
      </c>
      <c r="AG42" s="293" t="n">
        <f aca="false">IF(P42="","",ROUND(P42/4.184,3))</f>
        <v>-31.501</v>
      </c>
      <c r="AH42" s="294" t="n">
        <f aca="false">IF(Q42="","",ROUND(Q42/4.184,3))</f>
        <v>0.335</v>
      </c>
    </row>
    <row r="43" customFormat="false" ht="12.75" hidden="false" customHeight="false" outlineLevel="0" collapsed="false">
      <c r="A43" s="87"/>
      <c r="B43" s="10"/>
      <c r="C43" s="161" t="s">
        <v>941</v>
      </c>
      <c r="D43" s="290"/>
      <c r="E43" s="137"/>
      <c r="F43" s="291"/>
      <c r="G43" s="292"/>
      <c r="H43" s="291"/>
      <c r="I43" s="292"/>
      <c r="J43" s="45"/>
      <c r="K43" s="161" t="s">
        <v>941</v>
      </c>
      <c r="L43" s="291" t="s">
        <v>942</v>
      </c>
      <c r="M43" s="292" t="s">
        <v>943</v>
      </c>
      <c r="N43" s="291" t="s">
        <v>944</v>
      </c>
      <c r="O43" s="292" t="s">
        <v>945</v>
      </c>
      <c r="P43" s="291" t="s">
        <v>946</v>
      </c>
      <c r="Q43" s="292" t="s">
        <v>947</v>
      </c>
      <c r="S43" s="10"/>
      <c r="T43" s="161" t="s">
        <v>941</v>
      </c>
      <c r="U43" s="290" t="str">
        <f aca="false">IF(D43="","",ROUND(D43/4.184,3))</f>
        <v/>
      </c>
      <c r="V43" s="137" t="str">
        <f aca="false">IF(E43="","",ROUND(E43/4.184,3))</f>
        <v/>
      </c>
      <c r="W43" s="293" t="str">
        <f aca="false">IF(F43="","",ROUND(F43/4.184,3))</f>
        <v/>
      </c>
      <c r="X43" s="294" t="str">
        <f aca="false">IF(G43="","",ROUND(G43/4.184,3))</f>
        <v/>
      </c>
      <c r="Y43" s="293" t="str">
        <f aca="false">IF(H43="","",ROUND(H43/4.184,3))</f>
        <v/>
      </c>
      <c r="Z43" s="294" t="str">
        <f aca="false">IF(I43="","",ROUND(I43/4.184,3))</f>
        <v/>
      </c>
      <c r="AA43" s="45"/>
      <c r="AB43" s="161" t="s">
        <v>941</v>
      </c>
      <c r="AC43" s="293" t="n">
        <f aca="false">IF(L43="","",ROUND(L43/4.184,3))</f>
        <v>-21.682</v>
      </c>
      <c r="AD43" s="294" t="n">
        <f aca="false">IF(M43="","",ROUND(M43/4.184,3))</f>
        <v>0.153</v>
      </c>
      <c r="AE43" s="293" t="n">
        <f aca="false">IF(N43="","",ROUND(N43/4.184,3))</f>
        <v>-21.562</v>
      </c>
      <c r="AF43" s="294" t="n">
        <f aca="false">IF(O43="","",ROUND(O43/4.184,3))</f>
        <v>0.125</v>
      </c>
      <c r="AG43" s="293" t="n">
        <f aca="false">IF(P43="","",ROUND(P43/4.184,3))</f>
        <v>-24.419</v>
      </c>
      <c r="AH43" s="294" t="n">
        <f aca="false">IF(Q43="","",ROUND(Q43/4.184,3))</f>
        <v>0.664</v>
      </c>
    </row>
    <row r="44" customFormat="false" ht="12.75" hidden="false" customHeight="false" outlineLevel="0" collapsed="false">
      <c r="A44" s="87"/>
      <c r="B44" s="10"/>
      <c r="C44" s="161" t="s">
        <v>948</v>
      </c>
      <c r="D44" s="290"/>
      <c r="E44" s="137"/>
      <c r="F44" s="291"/>
      <c r="G44" s="292"/>
      <c r="H44" s="291"/>
      <c r="I44" s="292"/>
      <c r="J44" s="45"/>
      <c r="K44" s="161" t="s">
        <v>948</v>
      </c>
      <c r="L44" s="291" t="s">
        <v>949</v>
      </c>
      <c r="M44" s="292" t="s">
        <v>810</v>
      </c>
      <c r="N44" s="291" t="s">
        <v>950</v>
      </c>
      <c r="O44" s="292" t="s">
        <v>951</v>
      </c>
      <c r="P44" s="291" t="s">
        <v>952</v>
      </c>
      <c r="Q44" s="292" t="s">
        <v>953</v>
      </c>
      <c r="S44" s="10"/>
      <c r="T44" s="161" t="s">
        <v>948</v>
      </c>
      <c r="U44" s="290" t="str">
        <f aca="false">IF(D44="","",ROUND(D44/4.184,3))</f>
        <v/>
      </c>
      <c r="V44" s="137" t="str">
        <f aca="false">IF(E44="","",ROUND(E44/4.184,3))</f>
        <v/>
      </c>
      <c r="W44" s="293" t="str">
        <f aca="false">IF(F44="","",ROUND(F44/4.184,3))</f>
        <v/>
      </c>
      <c r="X44" s="294" t="str">
        <f aca="false">IF(G44="","",ROUND(G44/4.184,3))</f>
        <v/>
      </c>
      <c r="Y44" s="293" t="str">
        <f aca="false">IF(H44="","",ROUND(H44/4.184,3))</f>
        <v/>
      </c>
      <c r="Z44" s="294" t="str">
        <f aca="false">IF(I44="","",ROUND(I44/4.184,3))</f>
        <v/>
      </c>
      <c r="AA44" s="45"/>
      <c r="AB44" s="161" t="s">
        <v>948</v>
      </c>
      <c r="AC44" s="293" t="n">
        <f aca="false">IF(L44="","",ROUND(L44/4.184,3))</f>
        <v>-3.878</v>
      </c>
      <c r="AD44" s="294" t="n">
        <f aca="false">IF(M44="","",ROUND(M44/4.184,3))</f>
        <v>0.155</v>
      </c>
      <c r="AE44" s="293" t="n">
        <f aca="false">IF(N44="","",ROUND(N44/4.184,3))</f>
        <v>-11.964</v>
      </c>
      <c r="AF44" s="294" t="n">
        <f aca="false">IF(O44="","",ROUND(O44/4.184,3))</f>
        <v>0.233</v>
      </c>
      <c r="AG44" s="293" t="n">
        <f aca="false">IF(P44="","",ROUND(P44/4.184,3))</f>
        <v>-67.496</v>
      </c>
      <c r="AH44" s="294" t="n">
        <f aca="false">IF(Q44="","",ROUND(Q44/4.184,3))</f>
        <v>0.939</v>
      </c>
    </row>
    <row r="45" customFormat="false" ht="12.75" hidden="false" customHeight="false" outlineLevel="0" collapsed="false">
      <c r="A45" s="87"/>
      <c r="B45" s="10"/>
      <c r="C45" s="161" t="s">
        <v>954</v>
      </c>
      <c r="D45" s="290" t="n">
        <v>-455.375</v>
      </c>
      <c r="E45" s="137" t="n">
        <v>1.335</v>
      </c>
      <c r="F45" s="291" t="s">
        <v>955</v>
      </c>
      <c r="G45" s="292" t="s">
        <v>888</v>
      </c>
      <c r="H45" s="291" t="s">
        <v>956</v>
      </c>
      <c r="I45" s="292" t="s">
        <v>957</v>
      </c>
      <c r="K45" s="161" t="s">
        <v>954</v>
      </c>
      <c r="L45" s="291" t="s">
        <v>958</v>
      </c>
      <c r="M45" s="292" t="s">
        <v>959</v>
      </c>
      <c r="N45" s="291" t="s">
        <v>960</v>
      </c>
      <c r="O45" s="292" t="s">
        <v>735</v>
      </c>
      <c r="P45" s="291" t="s">
        <v>961</v>
      </c>
      <c r="Q45" s="292" t="s">
        <v>962</v>
      </c>
      <c r="S45" s="10"/>
      <c r="T45" s="161" t="s">
        <v>954</v>
      </c>
      <c r="U45" s="290" t="n">
        <f aca="false">IF(D45="","",ROUND(D45/4.184,3))</f>
        <v>-108.837</v>
      </c>
      <c r="V45" s="137" t="n">
        <f aca="false">IF(E45="","",ROUND(E45/4.184,3))</f>
        <v>0.319</v>
      </c>
      <c r="W45" s="293" t="n">
        <f aca="false">IF(F45="","",ROUND(F45/4.184,3))</f>
        <v>-111.616</v>
      </c>
      <c r="X45" s="294" t="n">
        <f aca="false">IF(G45="","",ROUND(G45/4.184,3))</f>
        <v>0.143</v>
      </c>
      <c r="Y45" s="293" t="n">
        <f aca="false">IF(H45="","",ROUND(H45/4.184,3))</f>
        <v>-32.744</v>
      </c>
      <c r="Z45" s="294" t="n">
        <f aca="false">IF(I45="","",ROUND(I45/4.184,3))</f>
        <v>0.956</v>
      </c>
      <c r="AA45" s="44"/>
      <c r="AB45" s="161" t="s">
        <v>954</v>
      </c>
      <c r="AC45" s="293" t="n">
        <f aca="false">IF(L45="","",ROUND(L45/4.184,3))</f>
        <v>-108.837</v>
      </c>
      <c r="AD45" s="294" t="n">
        <f aca="false">IF(M45="","",ROUND(M45/4.184,3))</f>
        <v>0.319</v>
      </c>
      <c r="AE45" s="293" t="n">
        <f aca="false">IF(N45="","",ROUND(N45/4.184,3))</f>
        <v>-111.616</v>
      </c>
      <c r="AF45" s="294" t="n">
        <f aca="false">IF(O45="","",ROUND(O45/4.184,3))</f>
        <v>0.143</v>
      </c>
      <c r="AG45" s="293" t="n">
        <f aca="false">IF(P45="","",ROUND(P45/4.184,3))</f>
        <v>-32.744</v>
      </c>
      <c r="AH45" s="294" t="n">
        <f aca="false">IF(Q45="","",ROUND(Q45/4.184,3))</f>
        <v>0.956</v>
      </c>
    </row>
    <row r="46" customFormat="false" ht="12.75" hidden="false" customHeight="false" outlineLevel="0" collapsed="false">
      <c r="A46" s="87"/>
      <c r="C46" s="161" t="s">
        <v>963</v>
      </c>
      <c r="D46" s="290" t="n">
        <v>-552.806</v>
      </c>
      <c r="E46" s="137" t="n">
        <v>1.05</v>
      </c>
      <c r="F46" s="291" t="s">
        <v>964</v>
      </c>
      <c r="G46" s="292" t="s">
        <v>896</v>
      </c>
      <c r="H46" s="291" t="s">
        <v>965</v>
      </c>
      <c r="I46" s="292" t="s">
        <v>896</v>
      </c>
      <c r="K46" s="161" t="s">
        <v>963</v>
      </c>
      <c r="L46" s="291" t="s">
        <v>966</v>
      </c>
      <c r="M46" s="292" t="s">
        <v>967</v>
      </c>
      <c r="N46" s="291" t="s">
        <v>968</v>
      </c>
      <c r="O46" s="292" t="s">
        <v>901</v>
      </c>
      <c r="P46" s="291" t="s">
        <v>969</v>
      </c>
      <c r="Q46" s="292" t="s">
        <v>901</v>
      </c>
      <c r="T46" s="161" t="s">
        <v>963</v>
      </c>
      <c r="U46" s="290" t="n">
        <f aca="false">IF(D46="","",ROUND(D46/4.184,3))</f>
        <v>-132.124</v>
      </c>
      <c r="V46" s="137" t="n">
        <f aca="false">IF(E46="","",ROUND(E46/4.184,3))</f>
        <v>0.251</v>
      </c>
      <c r="W46" s="293" t="n">
        <f aca="false">IF(F46="","",ROUND(F46/4.184,3))</f>
        <v>-129.78</v>
      </c>
      <c r="X46" s="294" t="n">
        <f aca="false">IF(G46="","",ROUND(G46/4.184,3))</f>
        <v>0.239</v>
      </c>
      <c r="Y46" s="293" t="n">
        <f aca="false">IF(H46="","",ROUND(H46/4.184,3))</f>
        <v>-13.432</v>
      </c>
      <c r="Z46" s="294" t="n">
        <f aca="false">IF(I46="","",ROUND(I46/4.184,3))</f>
        <v>0.239</v>
      </c>
      <c r="AA46" s="44"/>
      <c r="AB46" s="161" t="s">
        <v>963</v>
      </c>
      <c r="AC46" s="293" t="n">
        <f aca="false">IF(L46="","",ROUND(L46/4.184,3))</f>
        <v>-132.124</v>
      </c>
      <c r="AD46" s="294" t="n">
        <f aca="false">IF(M46="","",ROUND(M46/4.184,3))</f>
        <v>0.251</v>
      </c>
      <c r="AE46" s="293" t="n">
        <f aca="false">IF(N46="","",ROUND(N46/4.184,3))</f>
        <v>-129.78</v>
      </c>
      <c r="AF46" s="294" t="n">
        <f aca="false">IF(O46="","",ROUND(O46/4.184,3))</f>
        <v>0.239</v>
      </c>
      <c r="AG46" s="293" t="n">
        <f aca="false">IF(P46="","",ROUND(P46/4.184,3))</f>
        <v>-13.432</v>
      </c>
      <c r="AH46" s="294" t="n">
        <f aca="false">IF(Q46="","",ROUND(Q46/4.184,3))</f>
        <v>0.239</v>
      </c>
    </row>
    <row r="47" customFormat="false" ht="12.75" hidden="false" customHeight="false" outlineLevel="0" collapsed="false">
      <c r="A47" s="87"/>
      <c r="C47" s="161" t="s">
        <v>970</v>
      </c>
      <c r="D47" s="290"/>
      <c r="E47" s="137"/>
      <c r="F47" s="291"/>
      <c r="G47" s="292"/>
      <c r="H47" s="291"/>
      <c r="I47" s="292"/>
      <c r="J47" s="45"/>
      <c r="K47" s="161" t="s">
        <v>970</v>
      </c>
      <c r="L47" s="291" t="s">
        <v>971</v>
      </c>
      <c r="M47" s="292" t="s">
        <v>972</v>
      </c>
      <c r="N47" s="291" t="s">
        <v>973</v>
      </c>
      <c r="O47" s="292" t="s">
        <v>768</v>
      </c>
      <c r="P47" s="291" t="s">
        <v>974</v>
      </c>
      <c r="Q47" s="292" t="s">
        <v>732</v>
      </c>
      <c r="T47" s="161" t="s">
        <v>970</v>
      </c>
      <c r="U47" s="290" t="str">
        <f aca="false">IF(D47="","",ROUND(D47/4.184,3))</f>
        <v/>
      </c>
      <c r="V47" s="137" t="str">
        <f aca="false">IF(E47="","",ROUND(E47/4.184,3))</f>
        <v/>
      </c>
      <c r="W47" s="293" t="str">
        <f aca="false">IF(F47="","",ROUND(F47/4.184,3))</f>
        <v/>
      </c>
      <c r="X47" s="294" t="str">
        <f aca="false">IF(G47="","",ROUND(G47/4.184,3))</f>
        <v/>
      </c>
      <c r="Y47" s="293" t="str">
        <f aca="false">IF(H47="","",ROUND(H47/4.184,3))</f>
        <v/>
      </c>
      <c r="Z47" s="294" t="str">
        <f aca="false">IF(I47="","",ROUND(I47/4.184,3))</f>
        <v/>
      </c>
      <c r="AA47" s="45"/>
      <c r="AB47" s="161" t="s">
        <v>970</v>
      </c>
      <c r="AC47" s="293" t="n">
        <f aca="false">IF(L47="","",ROUND(L47/4.184,3))</f>
        <v>-134.767</v>
      </c>
      <c r="AD47" s="294" t="n">
        <f aca="false">IF(M47="","",ROUND(M47/4.184,3))</f>
        <v>0.187</v>
      </c>
      <c r="AE47" s="293" t="n">
        <f aca="false">IF(N47="","",ROUND(N47/4.184,3))</f>
        <v>-131.668</v>
      </c>
      <c r="AF47" s="294" t="n">
        <f aca="false">IF(O47="","",ROUND(O47/4.184,3))</f>
        <v>0.12</v>
      </c>
      <c r="AG47" s="293" t="n">
        <f aca="false">IF(P47="","",ROUND(P47/4.184,3))</f>
        <v>-7.529</v>
      </c>
      <c r="AH47" s="294" t="n">
        <f aca="false">IF(Q47="","",ROUND(Q47/4.184,3))</f>
        <v>0.478</v>
      </c>
    </row>
    <row r="48" customFormat="false" ht="12.75" hidden="false" customHeight="false" outlineLevel="0" collapsed="false">
      <c r="A48" s="87"/>
      <c r="B48" s="10"/>
      <c r="C48" s="161" t="s">
        <v>975</v>
      </c>
      <c r="D48" s="290"/>
      <c r="E48" s="137"/>
      <c r="F48" s="291"/>
      <c r="G48" s="292"/>
      <c r="H48" s="291"/>
      <c r="I48" s="292"/>
      <c r="J48" s="45"/>
      <c r="K48" s="161" t="s">
        <v>975</v>
      </c>
      <c r="L48" s="291" t="s">
        <v>976</v>
      </c>
      <c r="M48" s="292" t="s">
        <v>977</v>
      </c>
      <c r="N48" s="291" t="s">
        <v>978</v>
      </c>
      <c r="O48" s="292" t="s">
        <v>979</v>
      </c>
      <c r="P48" s="291" t="s">
        <v>980</v>
      </c>
      <c r="Q48" s="292" t="s">
        <v>732</v>
      </c>
      <c r="S48" s="10"/>
      <c r="T48" s="161" t="s">
        <v>975</v>
      </c>
      <c r="U48" s="290" t="str">
        <f aca="false">IF(D48="","",ROUND(D48/4.184,3))</f>
        <v/>
      </c>
      <c r="V48" s="137" t="str">
        <f aca="false">IF(E48="","",ROUND(E48/4.184,3))</f>
        <v/>
      </c>
      <c r="W48" s="293" t="str">
        <f aca="false">IF(F48="","",ROUND(F48/4.184,3))</f>
        <v/>
      </c>
      <c r="X48" s="294" t="str">
        <f aca="false">IF(G48="","",ROUND(G48/4.184,3))</f>
        <v/>
      </c>
      <c r="Y48" s="293" t="str">
        <f aca="false">IF(H48="","",ROUND(H48/4.184,3))</f>
        <v/>
      </c>
      <c r="Z48" s="294" t="str">
        <f aca="false">IF(I48="","",ROUND(I48/4.184,3))</f>
        <v/>
      </c>
      <c r="AA48" s="45"/>
      <c r="AB48" s="161" t="s">
        <v>975</v>
      </c>
      <c r="AC48" s="293" t="n">
        <f aca="false">IF(L48="","",ROUND(L48/4.184,3))</f>
        <v>-133.283</v>
      </c>
      <c r="AD48" s="294" t="n">
        <f aca="false">IF(M48="","",ROUND(M48/4.184,3))</f>
        <v>0.617</v>
      </c>
      <c r="AE48" s="293" t="n">
        <f aca="false">IF(N48="","",ROUND(N48/4.184,3))</f>
        <v>-127.82</v>
      </c>
      <c r="AF48" s="294" t="n">
        <f aca="false">IF(O48="","",ROUND(O48/4.184,3))</f>
        <v>0.598</v>
      </c>
      <c r="AG48" s="293" t="n">
        <f aca="false">IF(P48="","",ROUND(P48/4.184,3))</f>
        <v>2.008</v>
      </c>
      <c r="AH48" s="294" t="n">
        <f aca="false">IF(Q48="","",ROUND(Q48/4.184,3))</f>
        <v>0.478</v>
      </c>
    </row>
    <row r="49" customFormat="false" ht="12.75" hidden="false" customHeight="false" outlineLevel="0" collapsed="false">
      <c r="A49" s="87"/>
      <c r="B49" s="10"/>
      <c r="C49" s="161" t="s">
        <v>981</v>
      </c>
      <c r="D49" s="290"/>
      <c r="E49" s="137"/>
      <c r="F49" s="295"/>
      <c r="G49" s="297"/>
      <c r="H49" s="295"/>
      <c r="I49" s="297"/>
      <c r="J49" s="45"/>
      <c r="K49" s="161" t="s">
        <v>981</v>
      </c>
      <c r="L49" s="295"/>
      <c r="M49" s="297"/>
      <c r="N49" s="295"/>
      <c r="O49" s="297"/>
      <c r="P49" s="295"/>
      <c r="Q49" s="297"/>
      <c r="S49" s="10"/>
      <c r="T49" s="161" t="s">
        <v>981</v>
      </c>
      <c r="U49" s="290" t="str">
        <f aca="false">IF(D49="","",ROUND(D49/4.184,3))</f>
        <v/>
      </c>
      <c r="V49" s="137" t="str">
        <f aca="false">IF(E49="","",ROUND(E49/4.184,3))</f>
        <v/>
      </c>
      <c r="W49" s="296" t="str">
        <f aca="false">IF(F49="","",ROUND(F49/4.184,3))</f>
        <v/>
      </c>
      <c r="X49" s="298" t="str">
        <f aca="false">IF(G49="","",ROUND(G49/4.184,3))</f>
        <v/>
      </c>
      <c r="Y49" s="296" t="str">
        <f aca="false">IF(H49="","",ROUND(H49/4.184,3))</f>
        <v/>
      </c>
      <c r="Z49" s="298" t="str">
        <f aca="false">IF(I49="","",ROUND(I49/4.184,3))</f>
        <v/>
      </c>
      <c r="AA49" s="45"/>
      <c r="AB49" s="161" t="s">
        <v>981</v>
      </c>
      <c r="AC49" s="296" t="str">
        <f aca="false">IF(L49="","",ROUND(L49/4.184,3))</f>
        <v/>
      </c>
      <c r="AD49" s="298" t="str">
        <f aca="false">IF(M49="","",ROUND(M49/4.184,3))</f>
        <v/>
      </c>
      <c r="AE49" s="296" t="str">
        <f aca="false">IF(N49="","",ROUND(N49/4.184,3))</f>
        <v/>
      </c>
      <c r="AF49" s="298" t="str">
        <f aca="false">IF(O49="","",ROUND(O49/4.184,3))</f>
        <v/>
      </c>
      <c r="AG49" s="296" t="str">
        <f aca="false">IF(P49="","",ROUND(P49/4.184,3))</f>
        <v/>
      </c>
      <c r="AH49" s="298" t="str">
        <f aca="false">IF(Q49="","",ROUND(Q49/4.184,3))</f>
        <v/>
      </c>
    </row>
    <row r="50" customFormat="false" ht="12.75" hidden="false" customHeight="false" outlineLevel="0" collapsed="false">
      <c r="A50" s="87"/>
      <c r="C50" s="161" t="s">
        <v>982</v>
      </c>
      <c r="D50" s="290" t="n">
        <v>-292.918</v>
      </c>
      <c r="E50" s="137" t="n">
        <v>0.109</v>
      </c>
      <c r="F50" s="291" t="s">
        <v>983</v>
      </c>
      <c r="G50" s="292" t="s">
        <v>736</v>
      </c>
      <c r="H50" s="291" t="s">
        <v>984</v>
      </c>
      <c r="I50" s="292" t="s">
        <v>744</v>
      </c>
      <c r="J50" s="45"/>
      <c r="K50" s="161" t="s">
        <v>982</v>
      </c>
      <c r="L50" s="291" t="s">
        <v>985</v>
      </c>
      <c r="M50" s="292" t="s">
        <v>986</v>
      </c>
      <c r="N50" s="291" t="s">
        <v>987</v>
      </c>
      <c r="O50" s="292" t="s">
        <v>737</v>
      </c>
      <c r="P50" s="291" t="s">
        <v>988</v>
      </c>
      <c r="Q50" s="292" t="s">
        <v>745</v>
      </c>
      <c r="T50" s="161" t="s">
        <v>982</v>
      </c>
      <c r="U50" s="290" t="n">
        <f aca="false">IF(D50="","",ROUND(D50/4.184,3))</f>
        <v>-70.009</v>
      </c>
      <c r="V50" s="137" t="n">
        <f aca="false">IF(E50="","",ROUND(E50/4.184,3))</f>
        <v>0.026</v>
      </c>
      <c r="W50" s="293" t="n">
        <f aca="false">IF(F50="","",ROUND(F50/4.184,3))</f>
        <v>-66.556</v>
      </c>
      <c r="X50" s="294" t="n">
        <f aca="false">IF(G50="","",ROUND(G50/4.184,3))</f>
        <v>0.019</v>
      </c>
      <c r="Y50" s="293" t="n">
        <f aca="false">IF(H50="","",ROUND(H50/4.184,3))</f>
        <v>2.925</v>
      </c>
      <c r="Z50" s="294" t="n">
        <f aca="false">IF(I50="","",ROUND(I50/4.184,3))</f>
        <v>0.036</v>
      </c>
      <c r="AA50" s="45"/>
      <c r="AB50" s="161" t="s">
        <v>982</v>
      </c>
      <c r="AC50" s="293" t="n">
        <f aca="false">IF(L50="","",ROUND(L50/4.184,3))</f>
        <v>-70.009</v>
      </c>
      <c r="AD50" s="294" t="n">
        <f aca="false">IF(M50="","",ROUND(M50/4.184,3))</f>
        <v>0.026</v>
      </c>
      <c r="AE50" s="293" t="n">
        <f aca="false">IF(N50="","",ROUND(N50/4.184,3))</f>
        <v>-66.556</v>
      </c>
      <c r="AF50" s="294" t="n">
        <f aca="false">IF(O50="","",ROUND(O50/4.184,3))</f>
        <v>0.019</v>
      </c>
      <c r="AG50" s="293" t="n">
        <f aca="false">IF(P50="","",ROUND(P50/4.184,3))</f>
        <v>2.925</v>
      </c>
      <c r="AH50" s="294" t="n">
        <f aca="false">IF(Q50="","",ROUND(Q50/4.184,3))</f>
        <v>0.036</v>
      </c>
    </row>
    <row r="51" customFormat="false" ht="12.75" hidden="false" customHeight="false" outlineLevel="0" collapsed="false">
      <c r="A51" s="87"/>
      <c r="C51" s="161" t="s">
        <v>989</v>
      </c>
      <c r="D51" s="290" t="n">
        <v>-261.953</v>
      </c>
      <c r="E51" s="137" t="n">
        <v>0.096</v>
      </c>
      <c r="F51" s="291" t="s">
        <v>990</v>
      </c>
      <c r="G51" s="292" t="s">
        <v>991</v>
      </c>
      <c r="H51" s="291" t="s">
        <v>992</v>
      </c>
      <c r="I51" s="292" t="s">
        <v>744</v>
      </c>
      <c r="K51" s="161" t="s">
        <v>989</v>
      </c>
      <c r="L51" s="291" t="s">
        <v>993</v>
      </c>
      <c r="M51" s="292" t="s">
        <v>994</v>
      </c>
      <c r="N51" s="291" t="s">
        <v>995</v>
      </c>
      <c r="O51" s="292" t="s">
        <v>996</v>
      </c>
      <c r="P51" s="291" t="s">
        <v>997</v>
      </c>
      <c r="Q51" s="292" t="s">
        <v>745</v>
      </c>
      <c r="T51" s="161" t="s">
        <v>989</v>
      </c>
      <c r="U51" s="290" t="n">
        <f aca="false">IF(D51="","",ROUND(D51/4.184,3))</f>
        <v>-62.608</v>
      </c>
      <c r="V51" s="137" t="n">
        <f aca="false">IF(E51="","",ROUND(E51/4.184,3))</f>
        <v>0.023</v>
      </c>
      <c r="W51" s="293" t="n">
        <f aca="false">IF(F51="","",ROUND(F51/4.184,3))</f>
        <v>-57.443</v>
      </c>
      <c r="X51" s="294" t="n">
        <f aca="false">IF(G51="","",ROUND(G51/4.184,3))</f>
        <v>0.014</v>
      </c>
      <c r="Y51" s="293" t="n">
        <f aca="false">IF(H51="","",ROUND(H51/4.184,3))</f>
        <v>13.97</v>
      </c>
      <c r="Z51" s="294" t="n">
        <f aca="false">IF(I51="","",ROUND(I51/4.184,3))</f>
        <v>0.036</v>
      </c>
      <c r="AA51" s="44"/>
      <c r="AB51" s="161" t="s">
        <v>989</v>
      </c>
      <c r="AC51" s="293" t="n">
        <f aca="false">IF(L51="","",ROUND(L51/4.184,3))</f>
        <v>-62.608</v>
      </c>
      <c r="AD51" s="294" t="n">
        <f aca="false">IF(M51="","",ROUND(M51/4.184,3))</f>
        <v>0.023</v>
      </c>
      <c r="AE51" s="293" t="n">
        <f aca="false">IF(N51="","",ROUND(N51/4.184,3))</f>
        <v>-57.443</v>
      </c>
      <c r="AF51" s="294" t="n">
        <f aca="false">IF(O51="","",ROUND(O51/4.184,3))</f>
        <v>0.014</v>
      </c>
      <c r="AG51" s="293" t="n">
        <f aca="false">IF(P51="","",ROUND(P51/4.184,3))</f>
        <v>13.97</v>
      </c>
      <c r="AH51" s="294" t="n">
        <f aca="false">IF(Q51="","",ROUND(Q51/4.184,3))</f>
        <v>0.036</v>
      </c>
    </row>
    <row r="52" customFormat="false" ht="12.75" hidden="false" customHeight="false" outlineLevel="0" collapsed="false">
      <c r="A52" s="87"/>
      <c r="C52" s="299" t="s">
        <v>998</v>
      </c>
      <c r="D52" s="290" t="n">
        <v>-282.51</v>
      </c>
      <c r="E52" s="137" t="n">
        <v>0.116</v>
      </c>
      <c r="F52" s="300" t="s">
        <v>999</v>
      </c>
      <c r="G52" s="301" t="s">
        <v>736</v>
      </c>
      <c r="H52" s="300" t="s">
        <v>1000</v>
      </c>
      <c r="I52" s="301" t="s">
        <v>728</v>
      </c>
      <c r="K52" s="299" t="s">
        <v>998</v>
      </c>
      <c r="L52" s="300" t="s">
        <v>1001</v>
      </c>
      <c r="M52" s="301" t="s">
        <v>1002</v>
      </c>
      <c r="N52" s="300" t="s">
        <v>1003</v>
      </c>
      <c r="O52" s="301" t="s">
        <v>737</v>
      </c>
      <c r="P52" s="300" t="s">
        <v>1004</v>
      </c>
      <c r="Q52" s="301" t="s">
        <v>729</v>
      </c>
      <c r="T52" s="299" t="s">
        <v>998</v>
      </c>
      <c r="U52" s="290" t="n">
        <f aca="false">IF(D52="","",ROUND(D52/4.184,3))</f>
        <v>-67.522</v>
      </c>
      <c r="V52" s="137" t="n">
        <f aca="false">IF(E52="","",ROUND(E52/4.184,3))</f>
        <v>0.028</v>
      </c>
      <c r="W52" s="302" t="n">
        <f aca="false">IF(F52="","",ROUND(F52/4.184,3))</f>
        <v>-60.263</v>
      </c>
      <c r="X52" s="303" t="n">
        <f aca="false">IF(G52="","",ROUND(G52/4.184,3))</f>
        <v>0.019</v>
      </c>
      <c r="Y52" s="302" t="n">
        <f aca="false">IF(H52="","",ROUND(H52/4.184,3))</f>
        <v>24.187</v>
      </c>
      <c r="Z52" s="303" t="n">
        <f aca="false">IF(I52="","",ROUND(I52/4.184,3))</f>
        <v>0.048</v>
      </c>
      <c r="AA52" s="44"/>
      <c r="AB52" s="299" t="s">
        <v>998</v>
      </c>
      <c r="AC52" s="302" t="n">
        <f aca="false">IF(L52="","",ROUND(L52/4.184,3))</f>
        <v>-67.522</v>
      </c>
      <c r="AD52" s="303" t="n">
        <f aca="false">IF(M52="","",ROUND(M52/4.184,3))</f>
        <v>0.028</v>
      </c>
      <c r="AE52" s="302" t="n">
        <f aca="false">IF(N52="","",ROUND(N52/4.184,3))</f>
        <v>-60.263</v>
      </c>
      <c r="AF52" s="303" t="n">
        <f aca="false">IF(O52="","",ROUND(O52/4.184,3))</f>
        <v>0.019</v>
      </c>
      <c r="AG52" s="302" t="n">
        <f aca="false">IF(P52="","",ROUND(P52/4.184,3))</f>
        <v>24.187</v>
      </c>
      <c r="AH52" s="303" t="n">
        <f aca="false">IF(Q52="","",ROUND(Q52/4.184,3))</f>
        <v>0.048</v>
      </c>
    </row>
    <row r="53" customFormat="false" ht="12.75" hidden="false" customHeight="false" outlineLevel="0" collapsed="false">
      <c r="A53" s="87"/>
      <c r="C53" s="299" t="s">
        <v>1005</v>
      </c>
      <c r="D53" s="290" t="n">
        <v>-284.009</v>
      </c>
      <c r="E53" s="137" t="n">
        <v>0.153</v>
      </c>
      <c r="F53" s="291" t="s">
        <v>1006</v>
      </c>
      <c r="G53" s="292" t="s">
        <v>730</v>
      </c>
      <c r="H53" s="291" t="s">
        <v>1007</v>
      </c>
      <c r="I53" s="292" t="s">
        <v>761</v>
      </c>
      <c r="K53" s="299" t="s">
        <v>1005</v>
      </c>
      <c r="L53" s="291" t="s">
        <v>1008</v>
      </c>
      <c r="M53" s="292" t="s">
        <v>1009</v>
      </c>
      <c r="N53" s="291" t="s">
        <v>1010</v>
      </c>
      <c r="O53" s="292" t="s">
        <v>731</v>
      </c>
      <c r="P53" s="291" t="s">
        <v>1011</v>
      </c>
      <c r="Q53" s="292" t="s">
        <v>762</v>
      </c>
      <c r="T53" s="299" t="s">
        <v>1005</v>
      </c>
      <c r="U53" s="290" t="n">
        <f aca="false">IF(D53="","",ROUND(D53/4.184,3))</f>
        <v>-67.88</v>
      </c>
      <c r="V53" s="137" t="n">
        <f aca="false">IF(E53="","",ROUND(E53/4.184,3))</f>
        <v>0.037</v>
      </c>
      <c r="W53" s="293" t="n">
        <f aca="false">IF(F53="","",ROUND(F53/4.184,3))</f>
        <v>-60.019</v>
      </c>
      <c r="X53" s="294" t="n">
        <f aca="false">IF(G53="","",ROUND(G53/4.184,3))</f>
        <v>0.024</v>
      </c>
      <c r="Y53" s="293" t="n">
        <f aca="false">IF(H53="","",ROUND(H53/4.184,3))</f>
        <v>29.099</v>
      </c>
      <c r="Z53" s="294" t="n">
        <f aca="false">IF(I53="","",ROUND(I53/4.184,3))</f>
        <v>0.06</v>
      </c>
      <c r="AA53" s="44"/>
      <c r="AB53" s="299" t="s">
        <v>1005</v>
      </c>
      <c r="AC53" s="293" t="n">
        <f aca="false">IF(L53="","",ROUND(L53/4.184,3))</f>
        <v>-67.88</v>
      </c>
      <c r="AD53" s="294" t="n">
        <f aca="false">IF(M53="","",ROUND(M53/4.184,3))</f>
        <v>0.037</v>
      </c>
      <c r="AE53" s="293" t="n">
        <f aca="false">IF(N53="","",ROUND(N53/4.184,3))</f>
        <v>-60.019</v>
      </c>
      <c r="AF53" s="294" t="n">
        <f aca="false">IF(O53="","",ROUND(O53/4.184,3))</f>
        <v>0.024</v>
      </c>
      <c r="AG53" s="293" t="n">
        <f aca="false">IF(P53="","",ROUND(P53/4.184,3))</f>
        <v>29.099</v>
      </c>
      <c r="AH53" s="294" t="n">
        <f aca="false">IF(Q53="","",ROUND(Q53/4.184,3))</f>
        <v>0.06</v>
      </c>
    </row>
    <row r="54" customFormat="false" ht="13.5" hidden="false" customHeight="false" outlineLevel="0" collapsed="false">
      <c r="A54" s="87"/>
      <c r="C54" s="304" t="s">
        <v>1012</v>
      </c>
      <c r="D54" s="305" t="n">
        <v>-291.455</v>
      </c>
      <c r="E54" s="145" t="n">
        <v>0.535</v>
      </c>
      <c r="F54" s="306" t="s">
        <v>1013</v>
      </c>
      <c r="G54" s="307" t="s">
        <v>1014</v>
      </c>
      <c r="H54" s="306" t="s">
        <v>1015</v>
      </c>
      <c r="I54" s="307" t="s">
        <v>767</v>
      </c>
      <c r="K54" s="304" t="s">
        <v>1012</v>
      </c>
      <c r="L54" s="306" t="s">
        <v>1016</v>
      </c>
      <c r="M54" s="307" t="s">
        <v>1017</v>
      </c>
      <c r="N54" s="306" t="s">
        <v>1018</v>
      </c>
      <c r="O54" s="307" t="s">
        <v>768</v>
      </c>
      <c r="P54" s="306" t="s">
        <v>1019</v>
      </c>
      <c r="Q54" s="307" t="s">
        <v>768</v>
      </c>
      <c r="T54" s="304" t="s">
        <v>1012</v>
      </c>
      <c r="U54" s="305" t="n">
        <f aca="false">IF(D54="","",ROUND(D54/4.184,3))</f>
        <v>-69.659</v>
      </c>
      <c r="V54" s="145" t="n">
        <f aca="false">IF(E54="","",ROUND(E54/4.184,3))</f>
        <v>0.128</v>
      </c>
      <c r="W54" s="308" t="n">
        <f aca="false">IF(F54="","",ROUND(F54/4.184,3))</f>
        <v>-61.663</v>
      </c>
      <c r="X54" s="309" t="n">
        <f aca="false">IF(G54="","",ROUND(G54/4.184,3))</f>
        <v>0.12</v>
      </c>
      <c r="Y54" s="308" t="n">
        <f aca="false">IF(H54="","",ROUND(H54/4.184,3))</f>
        <v>31.573</v>
      </c>
      <c r="Z54" s="309" t="n">
        <f aca="false">IF(I54="","",ROUND(I54/4.184,3))</f>
        <v>0.12</v>
      </c>
      <c r="AA54" s="44"/>
      <c r="AB54" s="304" t="s">
        <v>1012</v>
      </c>
      <c r="AC54" s="308" t="n">
        <f aca="false">IF(L54="","",ROUND(L54/4.184,3))</f>
        <v>-69.66</v>
      </c>
      <c r="AD54" s="309" t="n">
        <f aca="false">IF(M54="","",ROUND(M54/4.184,3))</f>
        <v>0.128</v>
      </c>
      <c r="AE54" s="308" t="n">
        <f aca="false">IF(N54="","",ROUND(N54/4.184,3))</f>
        <v>-61.663</v>
      </c>
      <c r="AF54" s="309" t="n">
        <f aca="false">IF(O54="","",ROUND(O54/4.184,3))</f>
        <v>0.12</v>
      </c>
      <c r="AG54" s="308" t="n">
        <f aca="false">IF(P54="","",ROUND(P54/4.184,3))</f>
        <v>31.573</v>
      </c>
      <c r="AH54" s="309" t="n">
        <f aca="false">IF(Q54="","",ROUND(Q54/4.184,3))</f>
        <v>0.12</v>
      </c>
    </row>
    <row r="55" customFormat="false" ht="12.75" hidden="false" customHeight="false" outlineLevel="0" collapsed="false">
      <c r="A55" s="87"/>
      <c r="C55" s="112"/>
      <c r="D55" s="66"/>
      <c r="E55" s="66"/>
      <c r="F55" s="66"/>
      <c r="G55" s="66"/>
      <c r="H55" s="66"/>
      <c r="I55" s="66"/>
      <c r="K55" s="112"/>
      <c r="L55" s="66"/>
      <c r="M55" s="66"/>
      <c r="N55" s="66"/>
      <c r="O55" s="66"/>
      <c r="P55" s="66"/>
      <c r="Q55" s="66"/>
      <c r="T55" s="112"/>
      <c r="U55" s="66"/>
      <c r="V55" s="66"/>
      <c r="W55" s="66"/>
      <c r="X55" s="66"/>
      <c r="Y55" s="66"/>
      <c r="Z55" s="66"/>
      <c r="AA55" s="44"/>
      <c r="AB55" s="112"/>
      <c r="AC55" s="66"/>
      <c r="AD55" s="66"/>
      <c r="AE55" s="66"/>
      <c r="AF55" s="66"/>
      <c r="AG55" s="66"/>
      <c r="AH55" s="66"/>
    </row>
    <row r="56" customFormat="false" ht="12.75" hidden="false" customHeight="false" outlineLevel="0" collapsed="false">
      <c r="A56" s="87"/>
      <c r="C56" s="112"/>
      <c r="D56" s="66"/>
      <c r="E56" s="66"/>
      <c r="F56" s="66"/>
      <c r="G56" s="66"/>
      <c r="H56" s="66"/>
      <c r="I56" s="66"/>
      <c r="K56" s="112"/>
      <c r="L56" s="66"/>
      <c r="M56" s="66"/>
      <c r="N56" s="66"/>
      <c r="O56" s="66"/>
      <c r="P56" s="66"/>
      <c r="Q56" s="66"/>
      <c r="T56" s="112"/>
      <c r="U56" s="66"/>
      <c r="V56" s="66"/>
      <c r="W56" s="66"/>
      <c r="X56" s="66"/>
      <c r="Y56" s="66"/>
      <c r="Z56" s="66"/>
      <c r="AA56" s="44"/>
      <c r="AB56" s="112"/>
      <c r="AC56" s="66"/>
      <c r="AD56" s="66"/>
      <c r="AE56" s="66"/>
      <c r="AF56" s="66"/>
      <c r="AG56" s="66"/>
      <c r="AH56" s="66"/>
    </row>
    <row r="57" customFormat="false" ht="13.5" hidden="false" customHeight="false" outlineLevel="0" collapsed="false">
      <c r="A57" s="87"/>
      <c r="C57" s="112"/>
      <c r="D57" s="66"/>
      <c r="E57" s="66"/>
      <c r="F57" s="66"/>
      <c r="G57" s="66"/>
      <c r="H57" s="66"/>
      <c r="I57" s="66"/>
      <c r="K57" s="112"/>
      <c r="L57" s="66"/>
      <c r="M57" s="66"/>
      <c r="N57" s="66"/>
      <c r="O57" s="66"/>
      <c r="P57" s="66"/>
      <c r="Q57" s="66"/>
      <c r="T57" s="112"/>
      <c r="U57" s="66"/>
      <c r="V57" s="66"/>
      <c r="W57" s="66"/>
      <c r="X57" s="66"/>
      <c r="Y57" s="66"/>
      <c r="Z57" s="66"/>
      <c r="AA57" s="44"/>
      <c r="AB57" s="112"/>
      <c r="AC57" s="66"/>
      <c r="AD57" s="66"/>
      <c r="AE57" s="66"/>
      <c r="AF57" s="66"/>
      <c r="AG57" s="66"/>
      <c r="AH57" s="66"/>
    </row>
    <row r="58" customFormat="false" ht="15" hidden="false" customHeight="false" outlineLevel="0" collapsed="false">
      <c r="A58" s="87"/>
      <c r="C58" s="15"/>
      <c r="D58" s="283" t="s">
        <v>779</v>
      </c>
      <c r="E58" s="284"/>
      <c r="F58" s="283" t="s">
        <v>780</v>
      </c>
      <c r="G58" s="284"/>
      <c r="H58" s="283" t="s">
        <v>781</v>
      </c>
      <c r="I58" s="284"/>
      <c r="K58" s="15"/>
      <c r="L58" s="283" t="s">
        <v>779</v>
      </c>
      <c r="M58" s="284"/>
      <c r="N58" s="283" t="s">
        <v>780</v>
      </c>
      <c r="O58" s="284"/>
      <c r="P58" s="283" t="s">
        <v>781</v>
      </c>
      <c r="Q58" s="284"/>
      <c r="T58" s="15"/>
      <c r="U58" s="283" t="s">
        <v>779</v>
      </c>
      <c r="V58" s="284"/>
      <c r="W58" s="283" t="s">
        <v>780</v>
      </c>
      <c r="X58" s="284"/>
      <c r="Y58" s="283" t="s">
        <v>781</v>
      </c>
      <c r="Z58" s="284"/>
      <c r="AA58" s="44"/>
      <c r="AB58" s="15"/>
      <c r="AC58" s="283" t="s">
        <v>779</v>
      </c>
      <c r="AD58" s="284"/>
      <c r="AE58" s="283" t="s">
        <v>780</v>
      </c>
      <c r="AF58" s="284"/>
      <c r="AG58" s="283" t="s">
        <v>781</v>
      </c>
      <c r="AH58" s="284"/>
    </row>
    <row r="59" customFormat="false" ht="12.75" hidden="false" customHeight="false" outlineLevel="0" collapsed="false">
      <c r="A59" s="87"/>
      <c r="C59" s="16" t="s">
        <v>1020</v>
      </c>
      <c r="D59" s="50"/>
      <c r="E59" s="50" t="s">
        <v>725</v>
      </c>
      <c r="F59" s="50"/>
      <c r="G59" s="50" t="s">
        <v>725</v>
      </c>
      <c r="H59" s="50"/>
      <c r="I59" s="50" t="s">
        <v>725</v>
      </c>
      <c r="K59" s="16" t="s">
        <v>1020</v>
      </c>
      <c r="L59" s="50"/>
      <c r="M59" s="50" t="s">
        <v>725</v>
      </c>
      <c r="N59" s="50"/>
      <c r="O59" s="50" t="s">
        <v>725</v>
      </c>
      <c r="P59" s="50"/>
      <c r="Q59" s="50" t="s">
        <v>725</v>
      </c>
      <c r="T59" s="16" t="s">
        <v>1020</v>
      </c>
      <c r="U59" s="50"/>
      <c r="V59" s="50" t="s">
        <v>725</v>
      </c>
      <c r="W59" s="50"/>
      <c r="X59" s="50" t="s">
        <v>725</v>
      </c>
      <c r="Y59" s="50"/>
      <c r="Z59" s="50" t="s">
        <v>725</v>
      </c>
      <c r="AA59" s="44"/>
      <c r="AB59" s="16" t="s">
        <v>1020</v>
      </c>
      <c r="AC59" s="50"/>
      <c r="AD59" s="50" t="s">
        <v>725</v>
      </c>
      <c r="AE59" s="50"/>
      <c r="AF59" s="50" t="s">
        <v>725</v>
      </c>
      <c r="AG59" s="50"/>
      <c r="AH59" s="50" t="s">
        <v>725</v>
      </c>
    </row>
    <row r="60" customFormat="false" ht="12.75" hidden="false" customHeight="false" outlineLevel="0" collapsed="false">
      <c r="A60" s="87"/>
      <c r="C60" s="16" t="s">
        <v>782</v>
      </c>
      <c r="D60" s="53" t="s">
        <v>726</v>
      </c>
      <c r="E60" s="53" t="s">
        <v>727</v>
      </c>
      <c r="F60" s="53" t="s">
        <v>726</v>
      </c>
      <c r="G60" s="53" t="s">
        <v>727</v>
      </c>
      <c r="H60" s="53" t="s">
        <v>726</v>
      </c>
      <c r="I60" s="53" t="s">
        <v>727</v>
      </c>
      <c r="K60" s="16" t="s">
        <v>782</v>
      </c>
      <c r="L60" s="53" t="s">
        <v>726</v>
      </c>
      <c r="M60" s="53" t="s">
        <v>727</v>
      </c>
      <c r="N60" s="53" t="s">
        <v>726</v>
      </c>
      <c r="O60" s="53" t="s">
        <v>727</v>
      </c>
      <c r="P60" s="53" t="s">
        <v>726</v>
      </c>
      <c r="Q60" s="53" t="s">
        <v>727</v>
      </c>
      <c r="T60" s="16" t="s">
        <v>782</v>
      </c>
      <c r="U60" s="53" t="s">
        <v>726</v>
      </c>
      <c r="V60" s="53" t="s">
        <v>727</v>
      </c>
      <c r="W60" s="53" t="s">
        <v>726</v>
      </c>
      <c r="X60" s="53" t="s">
        <v>727</v>
      </c>
      <c r="Y60" s="53" t="s">
        <v>726</v>
      </c>
      <c r="Z60" s="53" t="s">
        <v>727</v>
      </c>
      <c r="AA60" s="44"/>
      <c r="AB60" s="16" t="s">
        <v>782</v>
      </c>
      <c r="AC60" s="53" t="s">
        <v>726</v>
      </c>
      <c r="AD60" s="53" t="s">
        <v>727</v>
      </c>
      <c r="AE60" s="53" t="s">
        <v>726</v>
      </c>
      <c r="AF60" s="53" t="s">
        <v>727</v>
      </c>
      <c r="AG60" s="53" t="s">
        <v>726</v>
      </c>
      <c r="AH60" s="53" t="s">
        <v>727</v>
      </c>
    </row>
    <row r="61" customFormat="false" ht="15" hidden="false" customHeight="false" outlineLevel="0" collapsed="false">
      <c r="A61" s="87"/>
      <c r="C61" s="21" t="s">
        <v>783</v>
      </c>
      <c r="D61" s="55" t="s">
        <v>784</v>
      </c>
      <c r="E61" s="55" t="s">
        <v>784</v>
      </c>
      <c r="F61" s="55" t="s">
        <v>784</v>
      </c>
      <c r="G61" s="55" t="s">
        <v>784</v>
      </c>
      <c r="H61" s="55" t="s">
        <v>167</v>
      </c>
      <c r="I61" s="55" t="s">
        <v>167</v>
      </c>
      <c r="K61" s="21" t="s">
        <v>783</v>
      </c>
      <c r="L61" s="55" t="s">
        <v>784</v>
      </c>
      <c r="M61" s="55" t="s">
        <v>784</v>
      </c>
      <c r="N61" s="55" t="s">
        <v>784</v>
      </c>
      <c r="O61" s="55" t="s">
        <v>784</v>
      </c>
      <c r="P61" s="55" t="s">
        <v>167</v>
      </c>
      <c r="Q61" s="55" t="s">
        <v>167</v>
      </c>
      <c r="T61" s="21" t="s">
        <v>783</v>
      </c>
      <c r="U61" s="55" t="s">
        <v>514</v>
      </c>
      <c r="V61" s="55" t="s">
        <v>514</v>
      </c>
      <c r="W61" s="55" t="s">
        <v>514</v>
      </c>
      <c r="X61" s="55" t="s">
        <v>514</v>
      </c>
      <c r="Y61" s="55" t="s">
        <v>166</v>
      </c>
      <c r="Z61" s="55" t="s">
        <v>166</v>
      </c>
      <c r="AA61" s="44"/>
      <c r="AB61" s="21" t="s">
        <v>783</v>
      </c>
      <c r="AC61" s="55" t="s">
        <v>514</v>
      </c>
      <c r="AD61" s="55" t="s">
        <v>514</v>
      </c>
      <c r="AE61" s="55" t="s">
        <v>514</v>
      </c>
      <c r="AF61" s="55" t="s">
        <v>514</v>
      </c>
      <c r="AG61" s="55" t="s">
        <v>166</v>
      </c>
      <c r="AH61" s="55" t="s">
        <v>166</v>
      </c>
    </row>
    <row r="62" customFormat="false" ht="12.75" hidden="false" customHeight="false" outlineLevel="0" collapsed="false">
      <c r="A62" s="87"/>
      <c r="C62" s="310" t="s">
        <v>1021</v>
      </c>
      <c r="D62" s="285"/>
      <c r="E62" s="131"/>
      <c r="F62" s="311"/>
      <c r="G62" s="312"/>
      <c r="H62" s="311"/>
      <c r="I62" s="312"/>
      <c r="K62" s="310" t="s">
        <v>1021</v>
      </c>
      <c r="L62" s="311" t="n">
        <f aca="false">ROUND(L37-2*L22,3)</f>
        <v>-833.455</v>
      </c>
      <c r="M62" s="312" t="n">
        <f aca="false">ROUND(2*SQRT((M37/2)^2-(M22)^2),3)</f>
        <v>1.153</v>
      </c>
      <c r="N62" s="311" t="n">
        <f aca="false">ROUND(N37-2*N22,3)</f>
        <v>-885.3</v>
      </c>
      <c r="O62" s="312" t="n">
        <f aca="false">ROUND(2*SQRT((O37/2)^2-(O22)^2),3)</f>
        <v>3.162</v>
      </c>
      <c r="P62" s="311" t="n">
        <f aca="false">ROUND(P37-2*P22,3)</f>
        <v>50.073</v>
      </c>
      <c r="Q62" s="312" t="n">
        <f aca="false">ROUND(2*SQRT((Q37/2)^2-(Q22)^2),3)</f>
        <v>11.296</v>
      </c>
      <c r="T62" s="310" t="s">
        <v>1021</v>
      </c>
      <c r="U62" s="285"/>
      <c r="V62" s="131"/>
      <c r="W62" s="311"/>
      <c r="X62" s="312"/>
      <c r="Y62" s="311"/>
      <c r="Z62" s="312"/>
      <c r="AA62" s="44"/>
      <c r="AB62" s="310" t="s">
        <v>1021</v>
      </c>
      <c r="AC62" s="311" t="n">
        <f aca="false">ROUND(AC37-2*AC22,3)</f>
        <v>-199.2</v>
      </c>
      <c r="AD62" s="312" t="n">
        <f aca="false">ROUND(2*SQRT((AD37/2)^2-(AD22)^2),3)</f>
        <v>0.275</v>
      </c>
      <c r="AE62" s="311" t="n">
        <f aca="false">ROUND(AE37-2*AE22,3)</f>
        <v>-211.592</v>
      </c>
      <c r="AF62" s="312" t="n">
        <f aca="false">ROUND(2*SQRT((AF37/2)^2-(AF22)^2),3)</f>
        <v>0.756</v>
      </c>
      <c r="AG62" s="311" t="n">
        <f aca="false">ROUND(AG37-2*AG22,3)</f>
        <v>11.969</v>
      </c>
      <c r="AH62" s="312" t="n">
        <f aca="false">ROUND(2*SQRT((AH37/2)^2-(AH22)^2),3)</f>
        <v>2.7</v>
      </c>
    </row>
    <row r="63" customFormat="false" ht="12.75" hidden="false" customHeight="false" outlineLevel="0" collapsed="false">
      <c r="A63" s="87"/>
      <c r="C63" s="313" t="s">
        <v>1022</v>
      </c>
      <c r="D63" s="290"/>
      <c r="E63" s="137"/>
      <c r="F63" s="314"/>
      <c r="G63" s="315"/>
      <c r="H63" s="314"/>
      <c r="I63" s="315"/>
      <c r="K63" s="316" t="s">
        <v>1022</v>
      </c>
      <c r="L63" s="314"/>
      <c r="M63" s="315"/>
      <c r="N63" s="314"/>
      <c r="O63" s="315"/>
      <c r="P63" s="314"/>
      <c r="Q63" s="315"/>
      <c r="T63" s="313" t="s">
        <v>1022</v>
      </c>
      <c r="U63" s="290"/>
      <c r="V63" s="137"/>
      <c r="W63" s="314"/>
      <c r="X63" s="315"/>
      <c r="Y63" s="314"/>
      <c r="Z63" s="315"/>
      <c r="AA63" s="44"/>
      <c r="AB63" s="316" t="s">
        <v>1022</v>
      </c>
      <c r="AC63" s="314"/>
      <c r="AD63" s="315"/>
      <c r="AE63" s="314"/>
      <c r="AF63" s="315"/>
      <c r="AG63" s="314"/>
      <c r="AH63" s="315"/>
    </row>
    <row r="64" customFormat="false" ht="13.5" hidden="false" customHeight="false" outlineLevel="0" collapsed="false">
      <c r="A64" s="87"/>
      <c r="C64" s="317" t="s">
        <v>1023</v>
      </c>
      <c r="D64" s="305"/>
      <c r="E64" s="145"/>
      <c r="F64" s="318"/>
      <c r="G64" s="319"/>
      <c r="H64" s="318"/>
      <c r="I64" s="319"/>
      <c r="K64" s="320" t="s">
        <v>1023</v>
      </c>
      <c r="L64" s="318"/>
      <c r="M64" s="319"/>
      <c r="N64" s="318"/>
      <c r="O64" s="319"/>
      <c r="P64" s="318"/>
      <c r="Q64" s="319"/>
      <c r="T64" s="317" t="s">
        <v>1023</v>
      </c>
      <c r="U64" s="305"/>
      <c r="V64" s="145"/>
      <c r="W64" s="318"/>
      <c r="X64" s="319"/>
      <c r="Y64" s="318"/>
      <c r="Z64" s="319"/>
      <c r="AA64" s="44"/>
      <c r="AB64" s="320" t="s">
        <v>1023</v>
      </c>
      <c r="AC64" s="318"/>
      <c r="AD64" s="319"/>
      <c r="AE64" s="318"/>
      <c r="AF64" s="319"/>
      <c r="AG64" s="318"/>
      <c r="AH64" s="319"/>
    </row>
    <row r="65" customFormat="false" ht="12.75" hidden="false" customHeight="false" outlineLevel="0" collapsed="false">
      <c r="A65" s="87"/>
      <c r="C65" s="192"/>
      <c r="D65" s="214"/>
      <c r="E65" s="214"/>
      <c r="F65" s="214"/>
      <c r="G65" s="214"/>
      <c r="H65" s="214"/>
      <c r="I65" s="214"/>
      <c r="K65" s="192"/>
      <c r="L65" s="214"/>
      <c r="M65" s="214"/>
      <c r="N65" s="214"/>
      <c r="O65" s="214"/>
      <c r="P65" s="214"/>
      <c r="Q65" s="214"/>
      <c r="T65" s="192"/>
      <c r="U65" s="214"/>
      <c r="V65" s="214"/>
      <c r="W65" s="214"/>
      <c r="X65" s="214"/>
      <c r="Y65" s="214"/>
      <c r="Z65" s="214"/>
      <c r="AA65" s="44"/>
      <c r="AB65" s="192"/>
      <c r="AC65" s="214"/>
      <c r="AD65" s="214"/>
      <c r="AE65" s="214"/>
      <c r="AF65" s="214"/>
      <c r="AG65" s="214"/>
      <c r="AH65" s="214"/>
    </row>
    <row r="66" customFormat="false" ht="12.75" hidden="false" customHeight="false" outlineLevel="0" collapsed="false">
      <c r="A66" s="87"/>
      <c r="C66" s="112"/>
      <c r="D66" s="66"/>
      <c r="E66" s="66"/>
      <c r="F66" s="66"/>
      <c r="G66" s="66"/>
      <c r="H66" s="66"/>
      <c r="I66" s="66"/>
      <c r="K66" s="112"/>
      <c r="L66" s="66"/>
      <c r="M66" s="66"/>
      <c r="N66" s="66"/>
      <c r="O66" s="66"/>
      <c r="P66" s="66"/>
      <c r="Q66" s="66"/>
      <c r="T66" s="112"/>
      <c r="U66" s="66"/>
      <c r="V66" s="66"/>
      <c r="W66" s="66"/>
      <c r="X66" s="66"/>
      <c r="Y66" s="66"/>
      <c r="Z66" s="66"/>
      <c r="AA66" s="44"/>
      <c r="AB66" s="112"/>
      <c r="AC66" s="66"/>
      <c r="AD66" s="66"/>
      <c r="AE66" s="66"/>
      <c r="AF66" s="66"/>
      <c r="AG66" s="66"/>
      <c r="AH66" s="66"/>
    </row>
    <row r="67" customFormat="false" ht="13.5" hidden="false" customHeight="false" outlineLevel="0" collapsed="false">
      <c r="A67" s="87"/>
      <c r="C67" s="112"/>
      <c r="D67" s="66"/>
      <c r="E67" s="66"/>
      <c r="F67" s="66"/>
      <c r="G67" s="66"/>
      <c r="H67" s="66"/>
      <c r="I67" s="66"/>
      <c r="K67" s="112"/>
      <c r="L67" s="66"/>
      <c r="M67" s="66"/>
      <c r="N67" s="66"/>
      <c r="O67" s="66"/>
      <c r="P67" s="66"/>
      <c r="Q67" s="66"/>
      <c r="T67" s="112"/>
      <c r="U67" s="66"/>
      <c r="V67" s="66"/>
      <c r="W67" s="66"/>
      <c r="X67" s="66"/>
      <c r="Y67" s="66"/>
      <c r="Z67" s="66"/>
      <c r="AA67" s="44"/>
      <c r="AB67" s="112"/>
      <c r="AC67" s="66"/>
      <c r="AD67" s="66"/>
      <c r="AE67" s="66"/>
      <c r="AF67" s="66"/>
      <c r="AG67" s="66"/>
      <c r="AH67" s="66"/>
    </row>
    <row r="68" customFormat="false" ht="15" hidden="false" customHeight="false" outlineLevel="0" collapsed="false">
      <c r="A68" s="87"/>
      <c r="C68" s="15"/>
      <c r="D68" s="283" t="s">
        <v>779</v>
      </c>
      <c r="E68" s="284"/>
      <c r="F68" s="283" t="s">
        <v>780</v>
      </c>
      <c r="G68" s="284"/>
      <c r="H68" s="283" t="s">
        <v>781</v>
      </c>
      <c r="I68" s="284"/>
      <c r="K68" s="15"/>
      <c r="L68" s="283" t="s">
        <v>779</v>
      </c>
      <c r="M68" s="284"/>
      <c r="N68" s="283" t="s">
        <v>780</v>
      </c>
      <c r="O68" s="284"/>
      <c r="P68" s="283" t="s">
        <v>781</v>
      </c>
      <c r="Q68" s="284"/>
      <c r="T68" s="15"/>
      <c r="U68" s="283" t="s">
        <v>779</v>
      </c>
      <c r="V68" s="284"/>
      <c r="W68" s="283" t="s">
        <v>780</v>
      </c>
      <c r="X68" s="284"/>
      <c r="Y68" s="283" t="s">
        <v>781</v>
      </c>
      <c r="Z68" s="284"/>
      <c r="AA68" s="44"/>
      <c r="AB68" s="15"/>
      <c r="AC68" s="283" t="s">
        <v>779</v>
      </c>
      <c r="AD68" s="284"/>
      <c r="AE68" s="283" t="s">
        <v>780</v>
      </c>
      <c r="AF68" s="284"/>
      <c r="AG68" s="283" t="s">
        <v>781</v>
      </c>
      <c r="AH68" s="284"/>
    </row>
    <row r="69" customFormat="false" ht="12.75" hidden="false" customHeight="false" outlineLevel="0" collapsed="false">
      <c r="A69" s="87"/>
      <c r="C69" s="16"/>
      <c r="D69" s="50"/>
      <c r="E69" s="50" t="s">
        <v>725</v>
      </c>
      <c r="F69" s="50"/>
      <c r="G69" s="50" t="s">
        <v>725</v>
      </c>
      <c r="H69" s="50"/>
      <c r="I69" s="50" t="s">
        <v>725</v>
      </c>
      <c r="K69" s="16"/>
      <c r="L69" s="50"/>
      <c r="M69" s="50" t="s">
        <v>725</v>
      </c>
      <c r="N69" s="50"/>
      <c r="O69" s="50" t="s">
        <v>725</v>
      </c>
      <c r="P69" s="50"/>
      <c r="Q69" s="50" t="s">
        <v>725</v>
      </c>
      <c r="T69" s="16"/>
      <c r="U69" s="50"/>
      <c r="V69" s="50" t="s">
        <v>725</v>
      </c>
      <c r="W69" s="50"/>
      <c r="X69" s="50" t="s">
        <v>725</v>
      </c>
      <c r="Y69" s="50"/>
      <c r="Z69" s="50" t="s">
        <v>725</v>
      </c>
      <c r="AA69" s="44"/>
      <c r="AB69" s="16"/>
      <c r="AC69" s="50"/>
      <c r="AD69" s="50" t="s">
        <v>725</v>
      </c>
      <c r="AE69" s="50"/>
      <c r="AF69" s="50" t="s">
        <v>725</v>
      </c>
      <c r="AG69" s="50"/>
      <c r="AH69" s="50" t="s">
        <v>725</v>
      </c>
    </row>
    <row r="70" customFormat="false" ht="12.75" hidden="false" customHeight="false" outlineLevel="0" collapsed="false">
      <c r="A70" s="87"/>
      <c r="C70" s="16" t="s">
        <v>1024</v>
      </c>
      <c r="D70" s="53" t="s">
        <v>726</v>
      </c>
      <c r="E70" s="53" t="s">
        <v>727</v>
      </c>
      <c r="F70" s="53" t="s">
        <v>726</v>
      </c>
      <c r="G70" s="53" t="s">
        <v>727</v>
      </c>
      <c r="H70" s="53" t="s">
        <v>726</v>
      </c>
      <c r="I70" s="53" t="s">
        <v>727</v>
      </c>
      <c r="K70" s="16" t="s">
        <v>1024</v>
      </c>
      <c r="L70" s="53" t="s">
        <v>726</v>
      </c>
      <c r="M70" s="53" t="s">
        <v>727</v>
      </c>
      <c r="N70" s="53" t="s">
        <v>726</v>
      </c>
      <c r="O70" s="53" t="s">
        <v>727</v>
      </c>
      <c r="P70" s="53" t="s">
        <v>726</v>
      </c>
      <c r="Q70" s="53" t="s">
        <v>727</v>
      </c>
      <c r="T70" s="16" t="s">
        <v>1024</v>
      </c>
      <c r="U70" s="53" t="s">
        <v>726</v>
      </c>
      <c r="V70" s="53" t="s">
        <v>727</v>
      </c>
      <c r="W70" s="53" t="s">
        <v>726</v>
      </c>
      <c r="X70" s="53" t="s">
        <v>727</v>
      </c>
      <c r="Y70" s="53" t="s">
        <v>726</v>
      </c>
      <c r="Z70" s="53" t="s">
        <v>727</v>
      </c>
      <c r="AA70" s="44"/>
      <c r="AB70" s="16" t="s">
        <v>1024</v>
      </c>
      <c r="AC70" s="53" t="s">
        <v>726</v>
      </c>
      <c r="AD70" s="53" t="s">
        <v>727</v>
      </c>
      <c r="AE70" s="53" t="s">
        <v>726</v>
      </c>
      <c r="AF70" s="53" t="s">
        <v>727</v>
      </c>
      <c r="AG70" s="53" t="s">
        <v>726</v>
      </c>
      <c r="AH70" s="53" t="s">
        <v>727</v>
      </c>
    </row>
    <row r="71" customFormat="false" ht="15" hidden="false" customHeight="false" outlineLevel="0" collapsed="false">
      <c r="A71" s="87"/>
      <c r="C71" s="21" t="s">
        <v>783</v>
      </c>
      <c r="D71" s="55" t="s">
        <v>784</v>
      </c>
      <c r="E71" s="55" t="s">
        <v>784</v>
      </c>
      <c r="F71" s="55" t="s">
        <v>784</v>
      </c>
      <c r="G71" s="55" t="s">
        <v>784</v>
      </c>
      <c r="H71" s="55" t="s">
        <v>167</v>
      </c>
      <c r="I71" s="55" t="s">
        <v>167</v>
      </c>
      <c r="K71" s="21" t="s">
        <v>783</v>
      </c>
      <c r="L71" s="55" t="s">
        <v>784</v>
      </c>
      <c r="M71" s="55" t="s">
        <v>784</v>
      </c>
      <c r="N71" s="55" t="s">
        <v>784</v>
      </c>
      <c r="O71" s="55" t="s">
        <v>784</v>
      </c>
      <c r="P71" s="55" t="s">
        <v>167</v>
      </c>
      <c r="Q71" s="55" t="s">
        <v>167</v>
      </c>
      <c r="T71" s="21" t="s">
        <v>783</v>
      </c>
      <c r="U71" s="55" t="s">
        <v>514</v>
      </c>
      <c r="V71" s="55" t="s">
        <v>514</v>
      </c>
      <c r="W71" s="55" t="s">
        <v>514</v>
      </c>
      <c r="X71" s="55" t="s">
        <v>514</v>
      </c>
      <c r="Y71" s="55" t="s">
        <v>166</v>
      </c>
      <c r="Z71" s="55" t="s">
        <v>166</v>
      </c>
      <c r="AA71" s="44"/>
      <c r="AB71" s="21" t="s">
        <v>783</v>
      </c>
      <c r="AC71" s="55" t="s">
        <v>514</v>
      </c>
      <c r="AD71" s="55" t="s">
        <v>514</v>
      </c>
      <c r="AE71" s="55" t="s">
        <v>514</v>
      </c>
      <c r="AF71" s="55" t="s">
        <v>514</v>
      </c>
      <c r="AG71" s="55" t="s">
        <v>166</v>
      </c>
      <c r="AH71" s="55" t="s">
        <v>166</v>
      </c>
    </row>
    <row r="72" customFormat="false" ht="12.75" hidden="false" customHeight="false" outlineLevel="0" collapsed="false">
      <c r="A72" s="87"/>
      <c r="C72" s="321" t="s">
        <v>1025</v>
      </c>
      <c r="D72" s="285" t="n">
        <v>0</v>
      </c>
      <c r="E72" s="131"/>
      <c r="F72" s="322" t="s">
        <v>786</v>
      </c>
      <c r="G72" s="323"/>
      <c r="H72" s="322" t="s">
        <v>760</v>
      </c>
      <c r="I72" s="323" t="s">
        <v>749</v>
      </c>
      <c r="K72" s="321" t="s">
        <v>1025</v>
      </c>
      <c r="L72" s="324" t="s">
        <v>521</v>
      </c>
      <c r="M72" s="323"/>
      <c r="N72" s="322" t="s">
        <v>521</v>
      </c>
      <c r="O72" s="323"/>
      <c r="P72" s="322" t="s">
        <v>760</v>
      </c>
      <c r="Q72" s="323" t="s">
        <v>749</v>
      </c>
      <c r="T72" s="321" t="s">
        <v>1025</v>
      </c>
      <c r="U72" s="285" t="n">
        <f aca="false">IF(D72="","",ROUND(D72/4.184,3))</f>
        <v>0</v>
      </c>
      <c r="V72" s="131" t="str">
        <f aca="false">IF(E72="","",ROUND(E72/4.184,3))</f>
        <v/>
      </c>
      <c r="W72" s="325" t="n">
        <f aca="false">IF(F72="","",ROUND(F72/4.184,3))</f>
        <v>0</v>
      </c>
      <c r="X72" s="326" t="str">
        <f aca="false">IF(G72="","",ROUND(G72/4.184,3))</f>
        <v/>
      </c>
      <c r="Y72" s="325" t="n">
        <f aca="false">IF(H72="","",ROUND(H72/4.184,3))</f>
        <v>49.033</v>
      </c>
      <c r="Z72" s="326" t="n">
        <f aca="false">IF(I72="","",ROUND(I72/4.184,3))</f>
        <v>0.001</v>
      </c>
      <c r="AA72" s="44"/>
      <c r="AB72" s="321" t="s">
        <v>1025</v>
      </c>
      <c r="AC72" s="327" t="n">
        <f aca="false">IF(L72="","",ROUND(L72/4.184,3))</f>
        <v>0</v>
      </c>
      <c r="AD72" s="326" t="str">
        <f aca="false">IF(M72="","",ROUND(M72/4.184,3))</f>
        <v/>
      </c>
      <c r="AE72" s="325" t="n">
        <f aca="false">IF(N72="","",ROUND(N72/4.184,3))</f>
        <v>0</v>
      </c>
      <c r="AF72" s="326" t="str">
        <f aca="false">IF(O72="","",ROUND(O72/4.184,3))</f>
        <v/>
      </c>
      <c r="AG72" s="325" t="n">
        <f aca="false">IF(P72="","",ROUND(P72/4.184,3))</f>
        <v>49.033</v>
      </c>
      <c r="AH72" s="326" t="n">
        <f aca="false">IF(Q72="","",ROUND(Q72/4.184,3))</f>
        <v>0.001</v>
      </c>
    </row>
    <row r="73" customFormat="false" ht="12.75" hidden="false" customHeight="false" outlineLevel="0" collapsed="false">
      <c r="A73" s="87"/>
      <c r="C73" s="328" t="s">
        <v>1026</v>
      </c>
      <c r="D73" s="290" t="n">
        <v>0</v>
      </c>
      <c r="E73" s="137"/>
      <c r="F73" s="300" t="s">
        <v>786</v>
      </c>
      <c r="G73" s="301"/>
      <c r="H73" s="300" t="s">
        <v>623</v>
      </c>
      <c r="I73" s="301" t="s">
        <v>734</v>
      </c>
      <c r="K73" s="328" t="s">
        <v>1026</v>
      </c>
      <c r="L73" s="329" t="s">
        <v>521</v>
      </c>
      <c r="M73" s="301"/>
      <c r="N73" s="300" t="s">
        <v>521</v>
      </c>
      <c r="O73" s="301"/>
      <c r="P73" s="300" t="s">
        <v>623</v>
      </c>
      <c r="Q73" s="301" t="s">
        <v>734</v>
      </c>
      <c r="T73" s="328" t="s">
        <v>1026</v>
      </c>
      <c r="U73" s="290" t="n">
        <f aca="false">IF(D73="","",ROUND(D73/4.184,3))</f>
        <v>0</v>
      </c>
      <c r="V73" s="137" t="str">
        <f aca="false">IF(E73="","",ROUND(E73/4.184,3))</f>
        <v/>
      </c>
      <c r="W73" s="302" t="n">
        <f aca="false">IF(F73="","",ROUND(F73/4.184,3))</f>
        <v>0</v>
      </c>
      <c r="X73" s="303" t="str">
        <f aca="false">IF(G73="","",ROUND(G73/4.184,3))</f>
        <v/>
      </c>
      <c r="Y73" s="302" t="n">
        <f aca="false">IF(H73="","",ROUND(H73/4.184,3))</f>
        <v>31.233</v>
      </c>
      <c r="Z73" s="303" t="n">
        <f aca="false">IF(I73="","",ROUND(I73/4.184,3))</f>
        <v>0.001</v>
      </c>
      <c r="AA73" s="44"/>
      <c r="AB73" s="328" t="s">
        <v>1026</v>
      </c>
      <c r="AC73" s="330" t="n">
        <f aca="false">IF(L73="","",ROUND(L73/4.184,3))</f>
        <v>0</v>
      </c>
      <c r="AD73" s="303" t="str">
        <f aca="false">IF(M73="","",ROUND(M73/4.184,3))</f>
        <v/>
      </c>
      <c r="AE73" s="302" t="n">
        <f aca="false">IF(N73="","",ROUND(N73/4.184,3))</f>
        <v>0</v>
      </c>
      <c r="AF73" s="303" t="str">
        <f aca="false">IF(O73="","",ROUND(O73/4.184,3))</f>
        <v/>
      </c>
      <c r="AG73" s="302" t="n">
        <f aca="false">IF(P73="","",ROUND(P73/4.184,3))</f>
        <v>31.233</v>
      </c>
      <c r="AH73" s="303" t="n">
        <f aca="false">IF(Q73="","",ROUND(Q73/4.184,3))</f>
        <v>0.001</v>
      </c>
    </row>
    <row r="74" customFormat="false" ht="12.75" hidden="false" customHeight="false" outlineLevel="0" collapsed="false">
      <c r="A74" s="87"/>
      <c r="C74" s="160" t="s">
        <v>1027</v>
      </c>
      <c r="D74" s="290" t="n">
        <v>-228.582</v>
      </c>
      <c r="E74" s="137" t="n">
        <v>0.04</v>
      </c>
      <c r="F74" s="291" t="s">
        <v>1028</v>
      </c>
      <c r="G74" s="292" t="s">
        <v>789</v>
      </c>
      <c r="H74" s="291" t="s">
        <v>1029</v>
      </c>
      <c r="I74" s="292" t="s">
        <v>747</v>
      </c>
      <c r="K74" s="160" t="s">
        <v>1027</v>
      </c>
      <c r="L74" s="331" t="s">
        <v>1030</v>
      </c>
      <c r="M74" s="292" t="s">
        <v>789</v>
      </c>
      <c r="N74" s="291" t="s">
        <v>1028</v>
      </c>
      <c r="O74" s="292" t="s">
        <v>789</v>
      </c>
      <c r="P74" s="291" t="s">
        <v>1029</v>
      </c>
      <c r="Q74" s="292" t="s">
        <v>747</v>
      </c>
      <c r="T74" s="160" t="s">
        <v>1027</v>
      </c>
      <c r="U74" s="290" t="n">
        <f aca="false">IF(D74="","",ROUND(D74/4.184,3))</f>
        <v>-54.632</v>
      </c>
      <c r="V74" s="137" t="n">
        <f aca="false">IF(E74="","",ROUND(E74/4.184,3))</f>
        <v>0.01</v>
      </c>
      <c r="W74" s="293" t="n">
        <f aca="false">IF(F74="","",ROUND(F74/4.184,3))</f>
        <v>-57.798</v>
      </c>
      <c r="X74" s="294" t="n">
        <f aca="false">IF(G74="","",ROUND(G74/4.184,3))</f>
        <v>0.01</v>
      </c>
      <c r="Y74" s="293" t="n">
        <f aca="false">IF(H74="","",ROUND(H74/4.184,3))</f>
        <v>45.133</v>
      </c>
      <c r="Z74" s="294" t="n">
        <f aca="false">IF(I74="","",ROUND(I74/4.184,3))</f>
        <v>0.002</v>
      </c>
      <c r="AA74" s="44"/>
      <c r="AB74" s="160" t="s">
        <v>1027</v>
      </c>
      <c r="AC74" s="332" t="n">
        <f aca="false">IF(L74="","",ROUND(L74/4.184,3))</f>
        <v>-54.632</v>
      </c>
      <c r="AD74" s="294" t="n">
        <f aca="false">IF(M74="","",ROUND(M74/4.184,3))</f>
        <v>0.01</v>
      </c>
      <c r="AE74" s="293" t="n">
        <f aca="false">IF(N74="","",ROUND(N74/4.184,3))</f>
        <v>-57.798</v>
      </c>
      <c r="AF74" s="294" t="n">
        <f aca="false">IF(O74="","",ROUND(O74/4.184,3))</f>
        <v>0.01</v>
      </c>
      <c r="AG74" s="293" t="n">
        <f aca="false">IF(P74="","",ROUND(P74/4.184,3))</f>
        <v>45.133</v>
      </c>
      <c r="AH74" s="294" t="n">
        <f aca="false">IF(Q74="","",ROUND(Q74/4.184,3))</f>
        <v>0.002</v>
      </c>
    </row>
    <row r="75" customFormat="false" ht="13.5" hidden="false" customHeight="false" outlineLevel="0" collapsed="false">
      <c r="A75" s="87"/>
      <c r="C75" s="162" t="s">
        <v>1031</v>
      </c>
      <c r="D75" s="305" t="n">
        <v>-394.373</v>
      </c>
      <c r="E75" s="145" t="n">
        <v>0.133</v>
      </c>
      <c r="F75" s="306" t="s">
        <v>1032</v>
      </c>
      <c r="G75" s="307" t="s">
        <v>1033</v>
      </c>
      <c r="H75" s="306" t="s">
        <v>1034</v>
      </c>
      <c r="I75" s="307" t="s">
        <v>747</v>
      </c>
      <c r="K75" s="162" t="s">
        <v>1031</v>
      </c>
      <c r="L75" s="333" t="s">
        <v>1035</v>
      </c>
      <c r="M75" s="307" t="s">
        <v>1036</v>
      </c>
      <c r="N75" s="306" t="s">
        <v>1037</v>
      </c>
      <c r="O75" s="307" t="s">
        <v>1038</v>
      </c>
      <c r="P75" s="306" t="s">
        <v>1034</v>
      </c>
      <c r="Q75" s="307" t="s">
        <v>747</v>
      </c>
      <c r="T75" s="162" t="s">
        <v>1031</v>
      </c>
      <c r="U75" s="305" t="n">
        <f aca="false">IF(D75="","",ROUND(D75/4.184,3))</f>
        <v>-94.257</v>
      </c>
      <c r="V75" s="145" t="n">
        <f aca="false">IF(E75="","",ROUND(E75/4.184,3))</f>
        <v>0.032</v>
      </c>
      <c r="W75" s="308" t="n">
        <f aca="false">IF(F75="","",ROUND(F75/4.184,3))</f>
        <v>-94.051</v>
      </c>
      <c r="X75" s="309" t="n">
        <f aca="false">IF(G75="","",ROUND(G75/4.184,3))</f>
        <v>0.031</v>
      </c>
      <c r="Y75" s="308" t="n">
        <f aca="false">IF(H75="","",ROUND(H75/4.184,3))</f>
        <v>51.096</v>
      </c>
      <c r="Z75" s="309" t="n">
        <f aca="false">IF(I75="","",ROUND(I75/4.184,3))</f>
        <v>0.002</v>
      </c>
      <c r="AA75" s="44"/>
      <c r="AB75" s="162" t="s">
        <v>1031</v>
      </c>
      <c r="AC75" s="334" t="n">
        <f aca="false">IF(L75="","",ROUND(L75/4.184,3))</f>
        <v>-94.257</v>
      </c>
      <c r="AD75" s="309" t="n">
        <f aca="false">IF(M75="","",ROUND(M75/4.184,3))</f>
        <v>0.032</v>
      </c>
      <c r="AE75" s="308" t="n">
        <f aca="false">IF(N75="","",ROUND(N75/4.184,3))</f>
        <v>-94.051</v>
      </c>
      <c r="AF75" s="309" t="n">
        <f aca="false">IF(O75="","",ROUND(O75/4.184,3))</f>
        <v>0.031</v>
      </c>
      <c r="AG75" s="308" t="n">
        <f aca="false">IF(P75="","",ROUND(P75/4.184,3))</f>
        <v>51.096</v>
      </c>
      <c r="AH75" s="309" t="n">
        <f aca="false">IF(Q75="","",ROUND(Q75/4.184,3))</f>
        <v>0.002</v>
      </c>
    </row>
    <row r="76" customFormat="false" ht="12.75" hidden="false" customHeight="false" outlineLevel="0" collapsed="false">
      <c r="A76" s="87"/>
      <c r="C76" s="112"/>
      <c r="D76" s="66"/>
      <c r="E76" s="66"/>
      <c r="F76" s="66"/>
      <c r="G76" s="66"/>
      <c r="H76" s="66"/>
      <c r="I76" s="66"/>
      <c r="K76" s="112"/>
      <c r="L76" s="66"/>
      <c r="M76" s="66"/>
      <c r="N76" s="66"/>
      <c r="O76" s="66"/>
      <c r="P76" s="66"/>
      <c r="Q76" s="66"/>
      <c r="T76" s="112"/>
      <c r="U76" s="66"/>
      <c r="V76" s="66"/>
      <c r="W76" s="66"/>
      <c r="X76" s="66"/>
      <c r="Y76" s="66"/>
      <c r="Z76" s="66"/>
      <c r="AA76" s="44"/>
      <c r="AB76" s="112"/>
      <c r="AC76" s="66"/>
      <c r="AD76" s="66"/>
      <c r="AE76" s="66"/>
      <c r="AF76" s="66"/>
      <c r="AG76" s="66"/>
      <c r="AH76" s="66"/>
    </row>
    <row r="77" customFormat="false" ht="12.75" hidden="false" customHeight="false" outlineLevel="0" collapsed="false">
      <c r="A77" s="87"/>
      <c r="C77" s="112"/>
      <c r="D77" s="66"/>
      <c r="E77" s="66"/>
      <c r="F77" s="66"/>
      <c r="G77" s="66"/>
      <c r="H77" s="66"/>
      <c r="I77" s="66"/>
      <c r="K77" s="112"/>
      <c r="L77" s="66"/>
      <c r="M77" s="66"/>
      <c r="N77" s="66"/>
      <c r="O77" s="66"/>
      <c r="P77" s="66"/>
      <c r="Q77" s="66"/>
      <c r="T77" s="112"/>
      <c r="U77" s="66"/>
      <c r="V77" s="66"/>
      <c r="W77" s="66"/>
      <c r="X77" s="66"/>
      <c r="Y77" s="66"/>
      <c r="Z77" s="66"/>
      <c r="AA77" s="44"/>
      <c r="AB77" s="112"/>
      <c r="AC77" s="66"/>
      <c r="AD77" s="66"/>
      <c r="AE77" s="66"/>
      <c r="AF77" s="66"/>
      <c r="AG77" s="66"/>
      <c r="AH77" s="66"/>
    </row>
    <row r="78" customFormat="false" ht="14.25" hidden="false" customHeight="true" outlineLevel="0" collapsed="false">
      <c r="A78" s="87"/>
      <c r="C78" s="112"/>
      <c r="D78" s="66"/>
      <c r="E78" s="66"/>
      <c r="F78" s="66"/>
      <c r="G78" s="66"/>
      <c r="H78" s="66"/>
      <c r="I78" s="66"/>
      <c r="K78" s="112"/>
      <c r="L78" s="66"/>
      <c r="M78" s="66"/>
      <c r="N78" s="66"/>
      <c r="O78" s="66"/>
      <c r="P78" s="66"/>
      <c r="Q78" s="66"/>
      <c r="T78" s="112"/>
      <c r="U78" s="66"/>
      <c r="V78" s="66"/>
      <c r="W78" s="66"/>
      <c r="X78" s="66"/>
      <c r="Y78" s="66"/>
      <c r="Z78" s="66"/>
      <c r="AA78" s="44"/>
      <c r="AB78" s="112"/>
      <c r="AC78" s="66"/>
      <c r="AD78" s="66"/>
      <c r="AE78" s="66"/>
      <c r="AF78" s="66"/>
      <c r="AG78" s="66"/>
      <c r="AH78" s="66"/>
    </row>
    <row r="79" customFormat="false" ht="15" hidden="false" customHeight="false" outlineLevel="0" collapsed="false">
      <c r="A79" s="87"/>
      <c r="B79" s="15"/>
      <c r="C79" s="15"/>
      <c r="D79" s="283" t="s">
        <v>779</v>
      </c>
      <c r="E79" s="284"/>
      <c r="F79" s="283" t="s">
        <v>780</v>
      </c>
      <c r="G79" s="284"/>
      <c r="H79" s="283" t="s">
        <v>781</v>
      </c>
      <c r="I79" s="284"/>
      <c r="K79" s="15"/>
      <c r="L79" s="283" t="s">
        <v>779</v>
      </c>
      <c r="M79" s="284"/>
      <c r="N79" s="283" t="s">
        <v>780</v>
      </c>
      <c r="O79" s="284"/>
      <c r="P79" s="283" t="s">
        <v>781</v>
      </c>
      <c r="Q79" s="284"/>
      <c r="S79" s="15"/>
      <c r="T79" s="15"/>
      <c r="U79" s="283" t="s">
        <v>779</v>
      </c>
      <c r="V79" s="284"/>
      <c r="W79" s="283" t="s">
        <v>780</v>
      </c>
      <c r="X79" s="284"/>
      <c r="Y79" s="283" t="s">
        <v>781</v>
      </c>
      <c r="Z79" s="284"/>
      <c r="AA79" s="44"/>
      <c r="AB79" s="15"/>
      <c r="AC79" s="283" t="s">
        <v>779</v>
      </c>
      <c r="AD79" s="284"/>
      <c r="AE79" s="283" t="s">
        <v>780</v>
      </c>
      <c r="AF79" s="284"/>
      <c r="AG79" s="283" t="s">
        <v>781</v>
      </c>
      <c r="AH79" s="284"/>
    </row>
    <row r="80" customFormat="false" ht="12.75" hidden="false" customHeight="false" outlineLevel="0" collapsed="false">
      <c r="A80" s="87"/>
      <c r="B80" s="16"/>
      <c r="C80" s="16"/>
      <c r="D80" s="50"/>
      <c r="E80" s="50" t="s">
        <v>725</v>
      </c>
      <c r="F80" s="50"/>
      <c r="G80" s="50" t="s">
        <v>725</v>
      </c>
      <c r="H80" s="50"/>
      <c r="I80" s="50" t="s">
        <v>725</v>
      </c>
      <c r="K80" s="16"/>
      <c r="L80" s="50"/>
      <c r="M80" s="50" t="s">
        <v>725</v>
      </c>
      <c r="N80" s="50"/>
      <c r="O80" s="50" t="s">
        <v>725</v>
      </c>
      <c r="P80" s="50"/>
      <c r="Q80" s="50" t="s">
        <v>725</v>
      </c>
      <c r="S80" s="16"/>
      <c r="T80" s="16"/>
      <c r="U80" s="50"/>
      <c r="V80" s="50" t="s">
        <v>725</v>
      </c>
      <c r="W80" s="50"/>
      <c r="X80" s="50" t="s">
        <v>725</v>
      </c>
      <c r="Y80" s="50"/>
      <c r="Z80" s="50" t="s">
        <v>725</v>
      </c>
      <c r="AA80" s="44"/>
      <c r="AB80" s="16"/>
      <c r="AC80" s="50"/>
      <c r="AD80" s="50" t="s">
        <v>725</v>
      </c>
      <c r="AE80" s="50"/>
      <c r="AF80" s="50" t="s">
        <v>725</v>
      </c>
      <c r="AG80" s="50"/>
      <c r="AH80" s="50" t="s">
        <v>725</v>
      </c>
    </row>
    <row r="81" customFormat="false" ht="12.75" hidden="false" customHeight="false" outlineLevel="0" collapsed="false">
      <c r="A81" s="87"/>
      <c r="B81" s="16" t="s">
        <v>1039</v>
      </c>
      <c r="C81" s="16" t="s">
        <v>1039</v>
      </c>
      <c r="D81" s="53" t="s">
        <v>726</v>
      </c>
      <c r="E81" s="53" t="s">
        <v>727</v>
      </c>
      <c r="F81" s="53" t="s">
        <v>726</v>
      </c>
      <c r="G81" s="53" t="s">
        <v>727</v>
      </c>
      <c r="H81" s="53" t="s">
        <v>726</v>
      </c>
      <c r="I81" s="53" t="s">
        <v>727</v>
      </c>
      <c r="K81" s="16" t="s">
        <v>1039</v>
      </c>
      <c r="L81" s="53" t="s">
        <v>726</v>
      </c>
      <c r="M81" s="53" t="s">
        <v>727</v>
      </c>
      <c r="N81" s="53" t="s">
        <v>726</v>
      </c>
      <c r="O81" s="53" t="s">
        <v>727</v>
      </c>
      <c r="P81" s="53" t="s">
        <v>726</v>
      </c>
      <c r="Q81" s="53" t="s">
        <v>727</v>
      </c>
      <c r="S81" s="16" t="s">
        <v>1039</v>
      </c>
      <c r="T81" s="16" t="s">
        <v>1039</v>
      </c>
      <c r="U81" s="53" t="s">
        <v>726</v>
      </c>
      <c r="V81" s="53" t="s">
        <v>727</v>
      </c>
      <c r="W81" s="53" t="s">
        <v>726</v>
      </c>
      <c r="X81" s="53" t="s">
        <v>727</v>
      </c>
      <c r="Y81" s="53" t="s">
        <v>726</v>
      </c>
      <c r="Z81" s="53" t="s">
        <v>727</v>
      </c>
      <c r="AA81" s="44"/>
      <c r="AB81" s="16" t="s">
        <v>1039</v>
      </c>
      <c r="AC81" s="53" t="s">
        <v>726</v>
      </c>
      <c r="AD81" s="53" t="s">
        <v>727</v>
      </c>
      <c r="AE81" s="53" t="s">
        <v>726</v>
      </c>
      <c r="AF81" s="53" t="s">
        <v>727</v>
      </c>
      <c r="AG81" s="53" t="s">
        <v>726</v>
      </c>
      <c r="AH81" s="53" t="s">
        <v>727</v>
      </c>
    </row>
    <row r="82" customFormat="false" ht="15" hidden="false" customHeight="false" outlineLevel="0" collapsed="false">
      <c r="A82" s="87"/>
      <c r="B82" s="21" t="s">
        <v>1040</v>
      </c>
      <c r="C82" s="21" t="s">
        <v>783</v>
      </c>
      <c r="D82" s="55" t="s">
        <v>784</v>
      </c>
      <c r="E82" s="55" t="s">
        <v>784</v>
      </c>
      <c r="F82" s="55" t="s">
        <v>784</v>
      </c>
      <c r="G82" s="55" t="s">
        <v>784</v>
      </c>
      <c r="H82" s="55" t="s">
        <v>167</v>
      </c>
      <c r="I82" s="55" t="s">
        <v>167</v>
      </c>
      <c r="K82" s="21" t="s">
        <v>783</v>
      </c>
      <c r="L82" s="55" t="s">
        <v>784</v>
      </c>
      <c r="M82" s="55" t="s">
        <v>784</v>
      </c>
      <c r="N82" s="55" t="s">
        <v>784</v>
      </c>
      <c r="O82" s="55" t="s">
        <v>784</v>
      </c>
      <c r="P82" s="55" t="s">
        <v>167</v>
      </c>
      <c r="Q82" s="55" t="s">
        <v>167</v>
      </c>
      <c r="S82" s="21" t="s">
        <v>1040</v>
      </c>
      <c r="T82" s="21" t="s">
        <v>783</v>
      </c>
      <c r="U82" s="55" t="s">
        <v>514</v>
      </c>
      <c r="V82" s="55" t="s">
        <v>514</v>
      </c>
      <c r="W82" s="55" t="s">
        <v>514</v>
      </c>
      <c r="X82" s="55" t="s">
        <v>514</v>
      </c>
      <c r="Y82" s="55" t="s">
        <v>166</v>
      </c>
      <c r="Z82" s="55" t="s">
        <v>166</v>
      </c>
      <c r="AA82" s="44"/>
      <c r="AB82" s="21" t="s">
        <v>783</v>
      </c>
      <c r="AC82" s="55" t="s">
        <v>514</v>
      </c>
      <c r="AD82" s="55" t="s">
        <v>514</v>
      </c>
      <c r="AE82" s="55" t="s">
        <v>514</v>
      </c>
      <c r="AF82" s="55" t="s">
        <v>514</v>
      </c>
      <c r="AG82" s="55" t="s">
        <v>166</v>
      </c>
      <c r="AH82" s="55" t="s">
        <v>166</v>
      </c>
    </row>
    <row r="83" customFormat="false" ht="12.75" hidden="false" customHeight="false" outlineLevel="0" collapsed="false">
      <c r="A83" s="87"/>
      <c r="B83" s="335" t="s">
        <v>187</v>
      </c>
      <c r="C83" s="335" t="s">
        <v>187</v>
      </c>
      <c r="D83" s="285" t="n">
        <v>0</v>
      </c>
      <c r="E83" s="131"/>
      <c r="F83" s="336" t="s">
        <v>786</v>
      </c>
      <c r="G83" s="337"/>
      <c r="H83" s="336" t="s">
        <v>554</v>
      </c>
      <c r="I83" s="337" t="s">
        <v>761</v>
      </c>
      <c r="J83" s="338"/>
      <c r="K83" s="335" t="s">
        <v>187</v>
      </c>
      <c r="L83" s="339" t="s">
        <v>521</v>
      </c>
      <c r="M83" s="337"/>
      <c r="N83" s="336" t="s">
        <v>521</v>
      </c>
      <c r="O83" s="337"/>
      <c r="P83" s="336" t="s">
        <v>660</v>
      </c>
      <c r="Q83" s="337" t="s">
        <v>762</v>
      </c>
      <c r="S83" s="335" t="s">
        <v>187</v>
      </c>
      <c r="T83" s="335" t="s">
        <v>187</v>
      </c>
      <c r="U83" s="285" t="n">
        <f aca="false">IF(D83="","",ROUND(D83/4.184,3))</f>
        <v>0</v>
      </c>
      <c r="V83" s="131" t="str">
        <f aca="false">IF(E83="","",ROUND(E83/4.184,3))</f>
        <v/>
      </c>
      <c r="W83" s="340" t="n">
        <f aca="false">IF(F83="","",ROUND(F83/4.184,3))</f>
        <v>0</v>
      </c>
      <c r="X83" s="312" t="str">
        <f aca="false">IF(G83="","",ROUND(G83/4.184,3))</f>
        <v/>
      </c>
      <c r="Y83" s="340" t="n">
        <f aca="false">IF(H83="","",ROUND(H83/4.184,3))</f>
        <v>9.821</v>
      </c>
      <c r="Z83" s="312" t="n">
        <f aca="false">IF(I83="","",ROUND(I83/4.184,3))</f>
        <v>0.06</v>
      </c>
      <c r="AA83" s="338"/>
      <c r="AB83" s="335" t="s">
        <v>187</v>
      </c>
      <c r="AC83" s="341" t="n">
        <f aca="false">IF(L83="","",ROUND(L83/4.184,3))</f>
        <v>0</v>
      </c>
      <c r="AD83" s="312" t="str">
        <f aca="false">IF(M83="","",ROUND(M83/4.184,3))</f>
        <v/>
      </c>
      <c r="AE83" s="340" t="n">
        <f aca="false">IF(N83="","",ROUND(N83/4.184,3))</f>
        <v>0</v>
      </c>
      <c r="AF83" s="312" t="str">
        <f aca="false">IF(O83="","",ROUND(O83/4.184,3))</f>
        <v/>
      </c>
      <c r="AG83" s="340" t="n">
        <f aca="false">IF(P83="","",ROUND(P83/4.184,3))</f>
        <v>9.821</v>
      </c>
      <c r="AH83" s="312" t="n">
        <f aca="false">IF(Q83="","",ROUND(Q83/4.184,3))</f>
        <v>0.06</v>
      </c>
    </row>
    <row r="84" customFormat="false" ht="12.75" hidden="false" customHeight="false" outlineLevel="0" collapsed="false">
      <c r="A84" s="87"/>
      <c r="B84" s="342" t="s">
        <v>188</v>
      </c>
      <c r="C84" s="342" t="s">
        <v>188</v>
      </c>
      <c r="D84" s="290"/>
      <c r="E84" s="137"/>
      <c r="F84" s="291"/>
      <c r="G84" s="292"/>
      <c r="H84" s="295"/>
      <c r="I84" s="297"/>
      <c r="J84" s="338"/>
      <c r="K84" s="342" t="s">
        <v>188</v>
      </c>
      <c r="L84" s="343"/>
      <c r="M84" s="297"/>
      <c r="N84" s="291"/>
      <c r="O84" s="292"/>
      <c r="P84" s="295"/>
      <c r="Q84" s="297"/>
      <c r="S84" s="342" t="s">
        <v>188</v>
      </c>
      <c r="T84" s="342" t="s">
        <v>188</v>
      </c>
      <c r="U84" s="290" t="str">
        <f aca="false">IF(D84="","",ROUND(D84/4.184,3))</f>
        <v/>
      </c>
      <c r="V84" s="137" t="str">
        <f aca="false">IF(E84="","",ROUND(E84/4.184,3))</f>
        <v/>
      </c>
      <c r="W84" s="293" t="str">
        <f aca="false">IF(F84="","",ROUND(F84/4.184,3))</f>
        <v/>
      </c>
      <c r="X84" s="294" t="str">
        <f aca="false">IF(G84="","",ROUND(G84/4.184,3))</f>
        <v/>
      </c>
      <c r="Y84" s="296" t="str">
        <f aca="false">IF(H84="","",ROUND(H84/4.184,3))</f>
        <v/>
      </c>
      <c r="Z84" s="298" t="str">
        <f aca="false">IF(I84="","",ROUND(I84/4.184,3))</f>
        <v/>
      </c>
      <c r="AA84" s="338"/>
      <c r="AB84" s="342" t="s">
        <v>188</v>
      </c>
      <c r="AC84" s="344" t="str">
        <f aca="false">IF(L84="","",ROUND(L84/4.184,3))</f>
        <v/>
      </c>
      <c r="AD84" s="298" t="str">
        <f aca="false">IF(M84="","",ROUND(M84/4.184,3))</f>
        <v/>
      </c>
      <c r="AE84" s="293" t="str">
        <f aca="false">IF(N84="","",ROUND(N84/4.184,3))</f>
        <v/>
      </c>
      <c r="AF84" s="294" t="str">
        <f aca="false">IF(O84="","",ROUND(O84/4.184,3))</f>
        <v/>
      </c>
      <c r="AG84" s="296" t="str">
        <f aca="false">IF(P84="","",ROUND(P84/4.184,3))</f>
        <v/>
      </c>
      <c r="AH84" s="298" t="str">
        <f aca="false">IF(Q84="","",ROUND(Q84/4.184,3))</f>
        <v/>
      </c>
    </row>
    <row r="85" customFormat="false" ht="12.75" hidden="false" customHeight="false" outlineLevel="0" collapsed="false">
      <c r="A85" s="87"/>
      <c r="B85" s="345" t="s">
        <v>1041</v>
      </c>
      <c r="C85" s="345" t="s">
        <v>1041</v>
      </c>
      <c r="D85" s="290"/>
      <c r="E85" s="137"/>
      <c r="F85" s="291"/>
      <c r="G85" s="292"/>
      <c r="H85" s="291"/>
      <c r="I85" s="292"/>
      <c r="J85" s="338"/>
      <c r="K85" s="345" t="s">
        <v>1041</v>
      </c>
      <c r="L85" s="331"/>
      <c r="M85" s="292"/>
      <c r="N85" s="291"/>
      <c r="O85" s="292"/>
      <c r="P85" s="291"/>
      <c r="Q85" s="292"/>
      <c r="S85" s="345" t="s">
        <v>1041</v>
      </c>
      <c r="T85" s="345" t="s">
        <v>1041</v>
      </c>
      <c r="U85" s="290" t="str">
        <f aca="false">IF(D85="","",ROUND(D85/4.184,3))</f>
        <v/>
      </c>
      <c r="V85" s="137" t="str">
        <f aca="false">IF(E85="","",ROUND(E85/4.184,3))</f>
        <v/>
      </c>
      <c r="W85" s="293" t="str">
        <f aca="false">IF(F85="","",ROUND(F85/4.184,3))</f>
        <v/>
      </c>
      <c r="X85" s="294" t="str">
        <f aca="false">IF(G85="","",ROUND(G85/4.184,3))</f>
        <v/>
      </c>
      <c r="Y85" s="293" t="str">
        <f aca="false">IF(H85="","",ROUND(H85/4.184,3))</f>
        <v/>
      </c>
      <c r="Z85" s="294" t="str">
        <f aca="false">IF(I85="","",ROUND(I85/4.184,3))</f>
        <v/>
      </c>
      <c r="AA85" s="338"/>
      <c r="AB85" s="345" t="s">
        <v>1041</v>
      </c>
      <c r="AC85" s="332" t="str">
        <f aca="false">IF(L85="","",ROUND(L85/4.184,3))</f>
        <v/>
      </c>
      <c r="AD85" s="294" t="str">
        <f aca="false">IF(M85="","",ROUND(M85/4.184,3))</f>
        <v/>
      </c>
      <c r="AE85" s="293" t="str">
        <f aca="false">IF(N85="","",ROUND(N85/4.184,3))</f>
        <v/>
      </c>
      <c r="AF85" s="294" t="str">
        <f aca="false">IF(O85="","",ROUND(O85/4.184,3))</f>
        <v/>
      </c>
      <c r="AG85" s="293" t="str">
        <f aca="false">IF(P85="","",ROUND(P85/4.184,3))</f>
        <v/>
      </c>
      <c r="AH85" s="294" t="str">
        <f aca="false">IF(Q85="","",ROUND(Q85/4.184,3))</f>
        <v/>
      </c>
    </row>
    <row r="86" customFormat="false" ht="12.75" hidden="false" customHeight="false" outlineLevel="0" collapsed="false">
      <c r="A86" s="87"/>
      <c r="B86" s="342" t="s">
        <v>1042</v>
      </c>
      <c r="C86" s="345" t="s">
        <v>1043</v>
      </c>
      <c r="D86" s="290" t="n">
        <v>-856.287</v>
      </c>
      <c r="E86" s="137" t="n">
        <v>1.002</v>
      </c>
      <c r="F86" s="291" t="s">
        <v>1044</v>
      </c>
      <c r="G86" s="292" t="s">
        <v>896</v>
      </c>
      <c r="H86" s="291" t="s">
        <v>1045</v>
      </c>
      <c r="I86" s="292" t="s">
        <v>728</v>
      </c>
      <c r="J86" s="346"/>
      <c r="K86" s="345" t="s">
        <v>1043</v>
      </c>
      <c r="L86" s="331" t="s">
        <v>1046</v>
      </c>
      <c r="M86" s="292" t="s">
        <v>1047</v>
      </c>
      <c r="N86" s="291" t="s">
        <v>1048</v>
      </c>
      <c r="O86" s="292" t="s">
        <v>901</v>
      </c>
      <c r="P86" s="291" t="s">
        <v>1049</v>
      </c>
      <c r="Q86" s="292" t="s">
        <v>729</v>
      </c>
      <c r="S86" s="342" t="s">
        <v>1042</v>
      </c>
      <c r="T86" s="345" t="s">
        <v>1043</v>
      </c>
      <c r="U86" s="290" t="n">
        <f aca="false">IF(D86="","",ROUND(D86/4.184,3))</f>
        <v>-204.658</v>
      </c>
      <c r="V86" s="137" t="n">
        <f aca="false">IF(E86="","",ROUND(E86/4.184,3))</f>
        <v>0.239</v>
      </c>
      <c r="W86" s="293" t="n">
        <f aca="false">IF(F86="","",ROUND(F86/4.184,3))</f>
        <v>-217.663</v>
      </c>
      <c r="X86" s="294" t="n">
        <f aca="false">IF(G86="","",ROUND(G86/4.184,3))</f>
        <v>0.239</v>
      </c>
      <c r="Y86" s="293" t="n">
        <f aca="false">IF(H86="","",ROUND(H86/4.184,3))</f>
        <v>9.909</v>
      </c>
      <c r="Z86" s="294" t="n">
        <f aca="false">IF(I86="","",ROUND(I86/4.184,3))</f>
        <v>0.048</v>
      </c>
      <c r="AA86" s="346"/>
      <c r="AB86" s="345" t="s">
        <v>1043</v>
      </c>
      <c r="AC86" s="332" t="n">
        <f aca="false">IF(L86="","",ROUND(L86/4.184,3))</f>
        <v>-204.658</v>
      </c>
      <c r="AD86" s="294" t="n">
        <f aca="false">IF(M86="","",ROUND(M86/4.184,3))</f>
        <v>0.239</v>
      </c>
      <c r="AE86" s="293" t="n">
        <f aca="false">IF(N86="","",ROUND(N86/4.184,3))</f>
        <v>-217.663</v>
      </c>
      <c r="AF86" s="294" t="n">
        <f aca="false">IF(O86="","",ROUND(O86/4.184,3))</f>
        <v>0.239</v>
      </c>
      <c r="AG86" s="293" t="n">
        <f aca="false">IF(P86="","",ROUND(P86/4.184,3))</f>
        <v>9.909</v>
      </c>
      <c r="AH86" s="294" t="n">
        <f aca="false">IF(Q86="","",ROUND(Q86/4.184,3))</f>
        <v>0.048</v>
      </c>
    </row>
    <row r="87" customFormat="false" ht="12.75" hidden="false" customHeight="false" outlineLevel="0" collapsed="false">
      <c r="A87" s="87"/>
      <c r="B87" s="345" t="s">
        <v>1050</v>
      </c>
      <c r="C87" s="345" t="s">
        <v>1050</v>
      </c>
      <c r="D87" s="290" t="n">
        <v>-1194.324</v>
      </c>
      <c r="E87" s="137" t="n">
        <v>1.404</v>
      </c>
      <c r="F87" s="291" t="s">
        <v>1051</v>
      </c>
      <c r="G87" s="292" t="s">
        <v>1052</v>
      </c>
      <c r="H87" s="291" t="s">
        <v>1053</v>
      </c>
      <c r="I87" s="292" t="s">
        <v>740</v>
      </c>
      <c r="J87" s="346"/>
      <c r="K87" s="345" t="s">
        <v>1050</v>
      </c>
      <c r="L87" s="331" t="s">
        <v>1054</v>
      </c>
      <c r="M87" s="292" t="s">
        <v>1055</v>
      </c>
      <c r="N87" s="291" t="s">
        <v>1056</v>
      </c>
      <c r="O87" s="292" t="s">
        <v>940</v>
      </c>
      <c r="P87" s="291" t="s">
        <v>1057</v>
      </c>
      <c r="Q87" s="292" t="s">
        <v>741</v>
      </c>
      <c r="S87" s="345" t="s">
        <v>1050</v>
      </c>
      <c r="T87" s="345" t="s">
        <v>1050</v>
      </c>
      <c r="U87" s="290" t="n">
        <f aca="false">IF(D87="","",ROUND(D87/4.184,3))</f>
        <v>-285.45</v>
      </c>
      <c r="V87" s="137" t="n">
        <f aca="false">IF(E87="","",ROUND(E87/4.184,3))</f>
        <v>0.336</v>
      </c>
      <c r="W87" s="293" t="n">
        <f aca="false">IF(F87="","",ROUND(F87/4.184,3))</f>
        <v>-304.374</v>
      </c>
      <c r="X87" s="294" t="n">
        <f aca="false">IF(G87="","",ROUND(G87/4.184,3))</f>
        <v>0.335</v>
      </c>
      <c r="Y87" s="293" t="n">
        <f aca="false">IF(H87="","",ROUND(H87/4.184,3))</f>
        <v>12.899</v>
      </c>
      <c r="Z87" s="294" t="n">
        <f aca="false">IF(I87="","",ROUND(I87/4.184,3))</f>
        <v>0.072</v>
      </c>
      <c r="AA87" s="346"/>
      <c r="AB87" s="345" t="s">
        <v>1050</v>
      </c>
      <c r="AC87" s="332" t="n">
        <f aca="false">IF(L87="","",ROUND(L87/4.184,3))</f>
        <v>-285.45</v>
      </c>
      <c r="AD87" s="294" t="n">
        <f aca="false">IF(M87="","",ROUND(M87/4.184,3))</f>
        <v>0.336</v>
      </c>
      <c r="AE87" s="293" t="n">
        <f aca="false">IF(N87="","",ROUND(N87/4.184,3))</f>
        <v>-304.374</v>
      </c>
      <c r="AF87" s="294" t="n">
        <f aca="false">IF(O87="","",ROUND(O87/4.184,3))</f>
        <v>0.335</v>
      </c>
      <c r="AG87" s="293" t="n">
        <f aca="false">IF(P87="","",ROUND(P87/4.184,3))</f>
        <v>12.899</v>
      </c>
      <c r="AH87" s="294" t="n">
        <f aca="false">IF(Q87="","",ROUND(Q87/4.184,3))</f>
        <v>0.072</v>
      </c>
    </row>
    <row r="88" customFormat="false" ht="12.75" hidden="false" customHeight="false" outlineLevel="0" collapsed="false">
      <c r="A88" s="87"/>
      <c r="B88" s="345" t="s">
        <v>1058</v>
      </c>
      <c r="C88" s="345" t="s">
        <v>1059</v>
      </c>
      <c r="D88" s="290" t="n">
        <v>-969.667</v>
      </c>
      <c r="E88" s="137" t="n">
        <v>0.82</v>
      </c>
      <c r="F88" s="291" t="s">
        <v>1060</v>
      </c>
      <c r="G88" s="292" t="s">
        <v>806</v>
      </c>
      <c r="H88" s="291" t="s">
        <v>1061</v>
      </c>
      <c r="I88" s="292" t="s">
        <v>1062</v>
      </c>
      <c r="J88" s="346"/>
      <c r="K88" s="345" t="s">
        <v>1059</v>
      </c>
      <c r="L88" s="331" t="s">
        <v>1063</v>
      </c>
      <c r="M88" s="292" t="s">
        <v>920</v>
      </c>
      <c r="N88" s="291" t="s">
        <v>1064</v>
      </c>
      <c r="O88" s="292" t="s">
        <v>759</v>
      </c>
      <c r="P88" s="291" t="s">
        <v>1065</v>
      </c>
      <c r="Q88" s="292" t="s">
        <v>735</v>
      </c>
      <c r="S88" s="345" t="s">
        <v>1058</v>
      </c>
      <c r="T88" s="345" t="s">
        <v>1059</v>
      </c>
      <c r="U88" s="290" t="n">
        <f aca="false">IF(D88="","",ROUND(D88/4.184,3))</f>
        <v>-231.756</v>
      </c>
      <c r="V88" s="137" t="n">
        <f aca="false">IF(E88="","",ROUND(E88/4.184,3))</f>
        <v>0.196</v>
      </c>
      <c r="W88" s="293" t="n">
        <f aca="false">IF(F88="","",ROUND(F88/4.184,3))</f>
        <v>-261.663</v>
      </c>
      <c r="X88" s="294" t="n">
        <f aca="false">IF(G88="","",ROUND(G88/4.184,3))</f>
        <v>0.191</v>
      </c>
      <c r="Y88" s="293" t="n">
        <f aca="false">IF(H88="","",ROUND(H88/4.184,3))</f>
        <v>21.499</v>
      </c>
      <c r="Z88" s="294" t="n">
        <f aca="false">IF(I88="","",ROUND(I88/4.184,3))</f>
        <v>0.143</v>
      </c>
      <c r="AA88" s="346"/>
      <c r="AB88" s="345" t="s">
        <v>1059</v>
      </c>
      <c r="AC88" s="332" t="n">
        <f aca="false">IF(L88="","",ROUND(L88/4.184,3))</f>
        <v>-231.756</v>
      </c>
      <c r="AD88" s="294" t="n">
        <f aca="false">IF(M88="","",ROUND(M88/4.184,3))</f>
        <v>0.196</v>
      </c>
      <c r="AE88" s="293" t="n">
        <f aca="false">IF(N88="","",ROUND(N88/4.184,3))</f>
        <v>-261.663</v>
      </c>
      <c r="AF88" s="294" t="n">
        <f aca="false">IF(O88="","",ROUND(O88/4.184,3))</f>
        <v>0.191</v>
      </c>
      <c r="AG88" s="293" t="n">
        <f aca="false">IF(P88="","",ROUND(P88/4.184,3))</f>
        <v>21.499</v>
      </c>
      <c r="AH88" s="294" t="n">
        <f aca="false">IF(Q88="","",ROUND(Q88/4.184,3))</f>
        <v>0.143</v>
      </c>
    </row>
    <row r="89" customFormat="false" ht="12.75" hidden="false" customHeight="false" outlineLevel="0" collapsed="false">
      <c r="A89" s="87"/>
      <c r="B89" s="342" t="s">
        <v>1066</v>
      </c>
      <c r="C89" s="345" t="s">
        <v>1067</v>
      </c>
      <c r="D89" s="290" t="n">
        <v>-1582.257</v>
      </c>
      <c r="E89" s="137" t="n">
        <v>1.302</v>
      </c>
      <c r="F89" s="291" t="s">
        <v>1068</v>
      </c>
      <c r="G89" s="292" t="s">
        <v>265</v>
      </c>
      <c r="H89" s="291" t="s">
        <v>1069</v>
      </c>
      <c r="I89" s="292" t="s">
        <v>730</v>
      </c>
      <c r="J89" s="346"/>
      <c r="K89" s="345" t="s">
        <v>1067</v>
      </c>
      <c r="L89" s="331" t="s">
        <v>1070</v>
      </c>
      <c r="M89" s="292" t="s">
        <v>1071</v>
      </c>
      <c r="N89" s="291" t="s">
        <v>1072</v>
      </c>
      <c r="O89" s="292" t="s">
        <v>1073</v>
      </c>
      <c r="P89" s="291" t="s">
        <v>1074</v>
      </c>
      <c r="Q89" s="292" t="s">
        <v>731</v>
      </c>
      <c r="R89" s="66"/>
      <c r="S89" s="342" t="s">
        <v>1066</v>
      </c>
      <c r="T89" s="345" t="s">
        <v>1067</v>
      </c>
      <c r="U89" s="290" t="n">
        <f aca="false">IF(D89="","",ROUND(D89/4.184,3))</f>
        <v>-378.168</v>
      </c>
      <c r="V89" s="137" t="n">
        <f aca="false">IF(E89="","",ROUND(E89/4.184,3))</f>
        <v>0.311</v>
      </c>
      <c r="W89" s="293" t="n">
        <f aca="false">IF(F89="","",ROUND(F89/4.184,3))</f>
        <v>-400.502</v>
      </c>
      <c r="X89" s="294" t="n">
        <f aca="false">IF(G89="","",ROUND(G89/4.184,3))</f>
        <v>0.311</v>
      </c>
      <c r="Y89" s="293" t="n">
        <f aca="false">IF(H89="","",ROUND(H89/4.184,3))</f>
        <v>12.17</v>
      </c>
      <c r="Z89" s="294" t="n">
        <f aca="false">IF(I89="","",ROUND(I89/4.184,3))</f>
        <v>0.024</v>
      </c>
      <c r="AA89" s="346"/>
      <c r="AB89" s="345" t="s">
        <v>1067</v>
      </c>
      <c r="AC89" s="332" t="n">
        <f aca="false">IF(L89="","",ROUND(L89/4.184,3))</f>
        <v>-378.168</v>
      </c>
      <c r="AD89" s="294" t="n">
        <f aca="false">IF(M89="","",ROUND(M89/4.184,3))</f>
        <v>0.311</v>
      </c>
      <c r="AE89" s="293" t="n">
        <f aca="false">IF(N89="","",ROUND(N89/4.184,3))</f>
        <v>-400.502</v>
      </c>
      <c r="AF89" s="294" t="n">
        <f aca="false">IF(O89="","",ROUND(O89/4.184,3))</f>
        <v>0.311</v>
      </c>
      <c r="AG89" s="293" t="n">
        <f aca="false">IF(P89="","",ROUND(P89/4.184,3))</f>
        <v>12.17</v>
      </c>
      <c r="AH89" s="294" t="n">
        <f aca="false">IF(Q89="","",ROUND(Q89/4.184,3))</f>
        <v>0.024</v>
      </c>
    </row>
    <row r="90" customFormat="false" ht="12.75" hidden="false" customHeight="false" outlineLevel="0" collapsed="false">
      <c r="A90" s="87"/>
      <c r="B90" s="342" t="s">
        <v>1075</v>
      </c>
      <c r="C90" s="345" t="s">
        <v>1076</v>
      </c>
      <c r="D90" s="290" t="n">
        <v>-1155.075</v>
      </c>
      <c r="E90" s="137" t="n">
        <v>1.002</v>
      </c>
      <c r="F90" s="141" t="s">
        <v>1077</v>
      </c>
      <c r="G90" s="64" t="s">
        <v>896</v>
      </c>
      <c r="H90" s="141" t="s">
        <v>1078</v>
      </c>
      <c r="I90" s="64" t="s">
        <v>1079</v>
      </c>
      <c r="J90" s="346"/>
      <c r="K90" s="345" t="s">
        <v>1076</v>
      </c>
      <c r="L90" s="343"/>
      <c r="M90" s="297"/>
      <c r="N90" s="295"/>
      <c r="O90" s="297"/>
      <c r="P90" s="295"/>
      <c r="Q90" s="297"/>
      <c r="R90" s="10"/>
      <c r="S90" s="342" t="s">
        <v>1075</v>
      </c>
      <c r="T90" s="345" t="s">
        <v>1076</v>
      </c>
      <c r="U90" s="290" t="n">
        <f aca="false">IF(D90="","",ROUND(D90/4.184,3))</f>
        <v>-276.07</v>
      </c>
      <c r="V90" s="137" t="n">
        <f aca="false">IF(E90="","",ROUND(E90/4.184,3))</f>
        <v>0.239</v>
      </c>
      <c r="W90" s="132" t="n">
        <f aca="false">IF(F90="","",ROUND(F90/4.184,3))</f>
        <v>-309.106</v>
      </c>
      <c r="X90" s="93" t="n">
        <f aca="false">IF(G90="","",ROUND(G90/4.184,3))</f>
        <v>0.239</v>
      </c>
      <c r="Y90" s="132" t="n">
        <f aca="false">IF(H90="","",ROUND(H90/4.184,3))</f>
        <v>16.358</v>
      </c>
      <c r="Z90" s="93" t="n">
        <f aca="false">IF(I90="","",ROUND(I90/4.184,3))</f>
        <v>0.041</v>
      </c>
      <c r="AA90" s="346"/>
      <c r="AB90" s="345" t="s">
        <v>1076</v>
      </c>
      <c r="AC90" s="344" t="str">
        <f aca="false">IF(L90="","",ROUND(L90/4.184,3))</f>
        <v/>
      </c>
      <c r="AD90" s="298" t="str">
        <f aca="false">IF(M90="","",ROUND(M90/4.184,3))</f>
        <v/>
      </c>
      <c r="AE90" s="296" t="str">
        <f aca="false">IF(N90="","",ROUND(N90/4.184,3))</f>
        <v/>
      </c>
      <c r="AF90" s="298" t="str">
        <f aca="false">IF(O90="","",ROUND(O90/4.184,3))</f>
        <v/>
      </c>
      <c r="AG90" s="296" t="str">
        <f aca="false">IF(P90="","",ROUND(P90/4.184,3))</f>
        <v/>
      </c>
      <c r="AH90" s="298" t="str">
        <f aca="false">IF(Q90="","",ROUND(Q90/4.184,3))</f>
        <v/>
      </c>
    </row>
    <row r="91" customFormat="false" ht="12.75" hidden="false" customHeight="false" outlineLevel="0" collapsed="false">
      <c r="A91" s="87"/>
      <c r="B91" s="342" t="s">
        <v>1080</v>
      </c>
      <c r="C91" s="345" t="s">
        <v>1080</v>
      </c>
      <c r="D91" s="290" t="n">
        <v>-2262.465</v>
      </c>
      <c r="E91" s="137" t="n">
        <v>1.675</v>
      </c>
      <c r="F91" s="141" t="s">
        <v>1081</v>
      </c>
      <c r="G91" s="64" t="s">
        <v>842</v>
      </c>
      <c r="H91" s="141" t="s">
        <v>1082</v>
      </c>
      <c r="I91" s="64" t="s">
        <v>1083</v>
      </c>
      <c r="J91" s="346"/>
      <c r="K91" s="345" t="s">
        <v>1080</v>
      </c>
      <c r="L91" s="343"/>
      <c r="M91" s="297"/>
      <c r="N91" s="295"/>
      <c r="O91" s="297"/>
      <c r="P91" s="295"/>
      <c r="Q91" s="297"/>
      <c r="R91" s="10"/>
      <c r="S91" s="342" t="s">
        <v>1080</v>
      </c>
      <c r="T91" s="345" t="s">
        <v>1080</v>
      </c>
      <c r="U91" s="290" t="n">
        <f aca="false">IF(D91="","",ROUND(D91/4.184,3))</f>
        <v>-540.742</v>
      </c>
      <c r="V91" s="137" t="n">
        <f aca="false">IF(E91="","",ROUND(E91/4.184,3))</f>
        <v>0.4</v>
      </c>
      <c r="W91" s="132" t="n">
        <f aca="false">IF(F91="","",ROUND(F91/4.184,3))</f>
        <v>-643.666</v>
      </c>
      <c r="X91" s="93" t="n">
        <f aca="false">IF(G91="","",ROUND(G91/4.184,3))</f>
        <v>0.359</v>
      </c>
      <c r="Y91" s="132" t="n">
        <f aca="false">IF(H91="","",ROUND(H91/4.184,3))</f>
        <v>76.028</v>
      </c>
      <c r="Z91" s="93" t="n">
        <f aca="false">IF(I91="","",ROUND(I91/4.184,3))</f>
        <v>0.598</v>
      </c>
      <c r="AA91" s="346"/>
      <c r="AB91" s="345" t="s">
        <v>1080</v>
      </c>
      <c r="AC91" s="344" t="str">
        <f aca="false">IF(L91="","",ROUND(L91/4.184,3))</f>
        <v/>
      </c>
      <c r="AD91" s="298" t="str">
        <f aca="false">IF(M91="","",ROUND(M91/4.184,3))</f>
        <v/>
      </c>
      <c r="AE91" s="296" t="str">
        <f aca="false">IF(N91="","",ROUND(N91/4.184,3))</f>
        <v/>
      </c>
      <c r="AF91" s="298" t="str">
        <f aca="false">IF(O91="","",ROUND(O91/4.184,3))</f>
        <v/>
      </c>
      <c r="AG91" s="296" t="str">
        <f aca="false">IF(P91="","",ROUND(P91/4.184,3))</f>
        <v/>
      </c>
      <c r="AH91" s="298" t="str">
        <f aca="false">IF(Q91="","",ROUND(Q91/4.184,3))</f>
        <v/>
      </c>
    </row>
    <row r="92" customFormat="false" ht="12.75" hidden="false" customHeight="false" outlineLevel="0" collapsed="false">
      <c r="A92" s="87"/>
      <c r="B92" s="342" t="s">
        <v>1084</v>
      </c>
      <c r="C92" s="345" t="s">
        <v>1085</v>
      </c>
      <c r="D92" s="290"/>
      <c r="E92" s="137"/>
      <c r="F92" s="347"/>
      <c r="G92" s="348"/>
      <c r="H92" s="347"/>
      <c r="I92" s="348"/>
      <c r="J92" s="346"/>
      <c r="K92" s="345" t="s">
        <v>1085</v>
      </c>
      <c r="L92" s="349"/>
      <c r="M92" s="348"/>
      <c r="N92" s="347"/>
      <c r="O92" s="348"/>
      <c r="P92" s="347"/>
      <c r="Q92" s="348"/>
      <c r="S92" s="342" t="s">
        <v>1084</v>
      </c>
      <c r="T92" s="345" t="s">
        <v>1085</v>
      </c>
      <c r="U92" s="290" t="str">
        <f aca="false">IF(D92="","",ROUND(D92/4.184,3))</f>
        <v/>
      </c>
      <c r="V92" s="137" t="str">
        <f aca="false">IF(E92="","",ROUND(E92/4.184,3))</f>
        <v/>
      </c>
      <c r="W92" s="350" t="str">
        <f aca="false">IF(F92="","",ROUND(F92/4.184,3))</f>
        <v/>
      </c>
      <c r="X92" s="351" t="str">
        <f aca="false">IF(G92="","",ROUND(G92/4.184,3))</f>
        <v/>
      </c>
      <c r="Y92" s="350" t="str">
        <f aca="false">IF(H92="","",ROUND(H92/4.184,3))</f>
        <v/>
      </c>
      <c r="Z92" s="351" t="str">
        <f aca="false">IF(I92="","",ROUND(I92/4.184,3))</f>
        <v/>
      </c>
      <c r="AA92" s="346"/>
      <c r="AB92" s="345" t="s">
        <v>1085</v>
      </c>
      <c r="AC92" s="352" t="str">
        <f aca="false">IF(L92="","",ROUND(L92/4.184,3))</f>
        <v/>
      </c>
      <c r="AD92" s="351" t="str">
        <f aca="false">IF(M92="","",ROUND(M92/4.184,3))</f>
        <v/>
      </c>
      <c r="AE92" s="350" t="str">
        <f aca="false">IF(N92="","",ROUND(N92/4.184,3))</f>
        <v/>
      </c>
      <c r="AF92" s="351" t="str">
        <f aca="false">IF(O92="","",ROUND(O92/4.184,3))</f>
        <v/>
      </c>
      <c r="AG92" s="350" t="str">
        <f aca="false">IF(P92="","",ROUND(P92/4.184,3))</f>
        <v/>
      </c>
      <c r="AH92" s="351" t="str">
        <f aca="false">IF(Q92="","",ROUND(Q92/4.184,3))</f>
        <v/>
      </c>
    </row>
    <row r="93" customFormat="false" ht="12.75" hidden="false" customHeight="false" outlineLevel="0" collapsed="false">
      <c r="A93" s="87"/>
      <c r="B93" s="353" t="s">
        <v>1086</v>
      </c>
      <c r="C93" s="354" t="s">
        <v>1087</v>
      </c>
      <c r="D93" s="290"/>
      <c r="E93" s="137"/>
      <c r="F93" s="300"/>
      <c r="G93" s="301"/>
      <c r="H93" s="300"/>
      <c r="I93" s="301"/>
      <c r="J93" s="346"/>
      <c r="K93" s="354" t="s">
        <v>1087</v>
      </c>
      <c r="L93" s="329" t="s">
        <v>1088</v>
      </c>
      <c r="M93" s="301" t="s">
        <v>1089</v>
      </c>
      <c r="N93" s="300" t="s">
        <v>1090</v>
      </c>
      <c r="O93" s="301" t="s">
        <v>1091</v>
      </c>
      <c r="P93" s="300" t="s">
        <v>1092</v>
      </c>
      <c r="Q93" s="301" t="s">
        <v>750</v>
      </c>
      <c r="S93" s="353" t="s">
        <v>1086</v>
      </c>
      <c r="T93" s="354" t="s">
        <v>1087</v>
      </c>
      <c r="U93" s="290" t="str">
        <f aca="false">IF(D93="","",ROUND(D93/4.184,3))</f>
        <v/>
      </c>
      <c r="V93" s="137" t="str">
        <f aca="false">IF(E93="","",ROUND(E93/4.184,3))</f>
        <v/>
      </c>
      <c r="W93" s="302" t="str">
        <f aca="false">IF(F93="","",ROUND(F93/4.184,3))</f>
        <v/>
      </c>
      <c r="X93" s="303" t="str">
        <f aca="false">IF(G93="","",ROUND(G93/4.184,3))</f>
        <v/>
      </c>
      <c r="Y93" s="302" t="str">
        <f aca="false">IF(H93="","",ROUND(H93/4.184,3))</f>
        <v/>
      </c>
      <c r="Z93" s="303" t="str">
        <f aca="false">IF(I93="","",ROUND(I93/4.184,3))</f>
        <v/>
      </c>
      <c r="AA93" s="346"/>
      <c r="AB93" s="354" t="s">
        <v>1087</v>
      </c>
      <c r="AC93" s="330" t="n">
        <f aca="false">IF(L93="","",ROUND(L93/4.184,3))</f>
        <v>-177.927</v>
      </c>
      <c r="AD93" s="303" t="n">
        <f aca="false">IF(M93="","",ROUND(M93/4.184,3))</f>
        <v>0.629</v>
      </c>
      <c r="AE93" s="302" t="n">
        <f aca="false">IF(N93="","",ROUND(N93/4.184,3))</f>
        <v>-197.488</v>
      </c>
      <c r="AF93" s="303" t="n">
        <f aca="false">IF(O93="","",ROUND(O93/4.184,3))</f>
        <v>0.629</v>
      </c>
      <c r="AG93" s="302" t="n">
        <f aca="false">IF(P93="","",ROUND(P93/4.184,3))</f>
        <v>20.889</v>
      </c>
      <c r="AH93" s="303" t="n">
        <f aca="false">IF(Q93="","",ROUND(Q93/4.184,3))</f>
        <v>0.038</v>
      </c>
    </row>
    <row r="94" customFormat="false" ht="12.75" hidden="false" customHeight="false" outlineLevel="0" collapsed="false">
      <c r="A94" s="87"/>
      <c r="B94" s="353" t="s">
        <v>1093</v>
      </c>
      <c r="C94" s="354" t="s">
        <v>1094</v>
      </c>
      <c r="D94" s="290"/>
      <c r="E94" s="137"/>
      <c r="F94" s="300"/>
      <c r="G94" s="301"/>
      <c r="H94" s="300"/>
      <c r="I94" s="301"/>
      <c r="J94" s="346"/>
      <c r="K94" s="354" t="s">
        <v>1094</v>
      </c>
      <c r="L94" s="329" t="s">
        <v>1095</v>
      </c>
      <c r="M94" s="301" t="s">
        <v>1096</v>
      </c>
      <c r="N94" s="300" t="s">
        <v>1097</v>
      </c>
      <c r="O94" s="301" t="s">
        <v>1098</v>
      </c>
      <c r="P94" s="300" t="s">
        <v>1099</v>
      </c>
      <c r="Q94" s="301" t="s">
        <v>741</v>
      </c>
      <c r="S94" s="353" t="s">
        <v>1093</v>
      </c>
      <c r="T94" s="354" t="s">
        <v>1094</v>
      </c>
      <c r="U94" s="290" t="str">
        <f aca="false">IF(D94="","",ROUND(D94/4.184,3))</f>
        <v/>
      </c>
      <c r="V94" s="137" t="str">
        <f aca="false">IF(E94="","",ROUND(E94/4.184,3))</f>
        <v/>
      </c>
      <c r="W94" s="302" t="str">
        <f aca="false">IF(F94="","",ROUND(F94/4.184,3))</f>
        <v/>
      </c>
      <c r="X94" s="303" t="str">
        <f aca="false">IF(G94="","",ROUND(G94/4.184,3))</f>
        <v/>
      </c>
      <c r="Y94" s="302" t="str">
        <f aca="false">IF(H94="","",ROUND(H94/4.184,3))</f>
        <v/>
      </c>
      <c r="Z94" s="303" t="str">
        <f aca="false">IF(I94="","",ROUND(I94/4.184,3))</f>
        <v/>
      </c>
      <c r="AA94" s="346"/>
      <c r="AB94" s="354" t="s">
        <v>1094</v>
      </c>
      <c r="AC94" s="330" t="n">
        <f aca="false">IF(L94="","",ROUND(L94/4.184,3))</f>
        <v>-242.046</v>
      </c>
      <c r="AD94" s="303" t="n">
        <f aca="false">IF(M94="","",ROUND(M94/4.184,3))</f>
        <v>0.385</v>
      </c>
      <c r="AE94" s="302" t="n">
        <f aca="false">IF(N94="","",ROUND(N94/4.184,3))</f>
        <v>-266.678</v>
      </c>
      <c r="AF94" s="303" t="n">
        <f aca="false">IF(O94="","",ROUND(O94/4.184,3))</f>
        <v>0.382</v>
      </c>
      <c r="AG94" s="302" t="n">
        <f aca="false">IF(P94="","",ROUND(P94/4.184,3))</f>
        <v>34.869</v>
      </c>
      <c r="AH94" s="303" t="n">
        <f aca="false">IF(Q94="","",ROUND(Q94/4.184,3))</f>
        <v>0.072</v>
      </c>
    </row>
    <row r="95" customFormat="false" ht="12.75" hidden="false" customHeight="false" outlineLevel="0" collapsed="false">
      <c r="A95" s="87"/>
      <c r="B95" s="353" t="s">
        <v>1100</v>
      </c>
      <c r="C95" s="354" t="s">
        <v>1101</v>
      </c>
      <c r="D95" s="290"/>
      <c r="E95" s="137"/>
      <c r="F95" s="300"/>
      <c r="G95" s="301"/>
      <c r="H95" s="300"/>
      <c r="I95" s="301"/>
      <c r="J95" s="346"/>
      <c r="K95" s="354" t="s">
        <v>1101</v>
      </c>
      <c r="L95" s="329" t="s">
        <v>1102</v>
      </c>
      <c r="M95" s="301" t="s">
        <v>1103</v>
      </c>
      <c r="N95" s="300" t="s">
        <v>1104</v>
      </c>
      <c r="O95" s="301" t="s">
        <v>1105</v>
      </c>
      <c r="P95" s="300" t="s">
        <v>1106</v>
      </c>
      <c r="Q95" s="301" t="s">
        <v>729</v>
      </c>
      <c r="S95" s="353" t="s">
        <v>1100</v>
      </c>
      <c r="T95" s="354" t="s">
        <v>1101</v>
      </c>
      <c r="U95" s="290" t="str">
        <f aca="false">IF(D95="","",ROUND(D95/4.184,3))</f>
        <v/>
      </c>
      <c r="V95" s="137" t="str">
        <f aca="false">IF(E95="","",ROUND(E95/4.184,3))</f>
        <v/>
      </c>
      <c r="W95" s="302" t="str">
        <f aca="false">IF(F95="","",ROUND(F95/4.184,3))</f>
        <v/>
      </c>
      <c r="X95" s="303" t="str">
        <f aca="false">IF(G95="","",ROUND(G95/4.184,3))</f>
        <v/>
      </c>
      <c r="Y95" s="302" t="str">
        <f aca="false">IF(H95="","",ROUND(H95/4.184,3))</f>
        <v/>
      </c>
      <c r="Z95" s="303" t="str">
        <f aca="false">IF(I95="","",ROUND(I95/4.184,3))</f>
        <v/>
      </c>
      <c r="AA95" s="346"/>
      <c r="AB95" s="354" t="s">
        <v>1101</v>
      </c>
      <c r="AC95" s="330" t="n">
        <f aca="false">IF(L95="","",ROUND(L95/4.184,3))</f>
        <v>-329.283</v>
      </c>
      <c r="AD95" s="303" t="n">
        <f aca="false">IF(M95="","",ROUND(M95/4.184,3))</f>
        <v>0.257</v>
      </c>
      <c r="AE95" s="302" t="n">
        <f aca="false">IF(N95="","",ROUND(N95/4.184,3))</f>
        <v>-352.961</v>
      </c>
      <c r="AF95" s="303" t="n">
        <f aca="false">IF(O95="","",ROUND(O95/4.184,3))</f>
        <v>0.256</v>
      </c>
      <c r="AG95" s="302" t="n">
        <f aca="false">IF(P95="","",ROUND(P95/4.184,3))</f>
        <v>36.09</v>
      </c>
      <c r="AH95" s="303" t="n">
        <f aca="false">IF(Q95="","",ROUND(Q95/4.184,3))</f>
        <v>0.048</v>
      </c>
    </row>
    <row r="96" customFormat="false" ht="12.75" hidden="false" customHeight="false" outlineLevel="0" collapsed="false">
      <c r="A96" s="87"/>
      <c r="B96" s="353" t="s">
        <v>1107</v>
      </c>
      <c r="C96" s="354" t="s">
        <v>1108</v>
      </c>
      <c r="D96" s="290" t="n">
        <v>-569.312</v>
      </c>
      <c r="E96" s="137" t="n">
        <v>0.305</v>
      </c>
      <c r="F96" s="291" t="s">
        <v>1109</v>
      </c>
      <c r="G96" s="292" t="s">
        <v>740</v>
      </c>
      <c r="H96" s="291" t="s">
        <v>1110</v>
      </c>
      <c r="I96" s="292" t="s">
        <v>744</v>
      </c>
      <c r="J96" s="346"/>
      <c r="K96" s="354" t="s">
        <v>1108</v>
      </c>
      <c r="L96" s="331" t="s">
        <v>1111</v>
      </c>
      <c r="M96" s="292" t="s">
        <v>860</v>
      </c>
      <c r="N96" s="291" t="s">
        <v>1112</v>
      </c>
      <c r="O96" s="292" t="s">
        <v>741</v>
      </c>
      <c r="P96" s="291" t="s">
        <v>1113</v>
      </c>
      <c r="Q96" s="292" t="s">
        <v>745</v>
      </c>
      <c r="S96" s="353" t="s">
        <v>1107</v>
      </c>
      <c r="T96" s="354" t="s">
        <v>1108</v>
      </c>
      <c r="U96" s="290" t="n">
        <f aca="false">IF(D96="","",ROUND(D96/4.184,3))</f>
        <v>-136.069</v>
      </c>
      <c r="V96" s="137" t="n">
        <f aca="false">IF(E96="","",ROUND(E96/4.184,3))</f>
        <v>0.073</v>
      </c>
      <c r="W96" s="293" t="n">
        <f aca="false">IF(F96="","",ROUND(F96/4.184,3))</f>
        <v>-143.786</v>
      </c>
      <c r="X96" s="294" t="n">
        <f aca="false">IF(G96="","",ROUND(G96/4.184,3))</f>
        <v>0.072</v>
      </c>
      <c r="Y96" s="293" t="n">
        <f aca="false">IF(H96="","",ROUND(H96/4.184,3))</f>
        <v>6.441</v>
      </c>
      <c r="Z96" s="294" t="n">
        <f aca="false">IF(I96="","",ROUND(I96/4.184,3))</f>
        <v>0.036</v>
      </c>
      <c r="AA96" s="346"/>
      <c r="AB96" s="354" t="s">
        <v>1108</v>
      </c>
      <c r="AC96" s="332" t="n">
        <f aca="false">IF(L96="","",ROUND(L96/4.184,3))</f>
        <v>-136.069</v>
      </c>
      <c r="AD96" s="294" t="n">
        <f aca="false">IF(M96="","",ROUND(M96/4.184,3))</f>
        <v>0.073</v>
      </c>
      <c r="AE96" s="293" t="n">
        <f aca="false">IF(N96="","",ROUND(N96/4.184,3))</f>
        <v>-143.786</v>
      </c>
      <c r="AF96" s="294" t="n">
        <f aca="false">IF(O96="","",ROUND(O96/4.184,3))</f>
        <v>0.072</v>
      </c>
      <c r="AG96" s="293" t="n">
        <f aca="false">IF(P96="","",ROUND(P96/4.184,3))</f>
        <v>6.441</v>
      </c>
      <c r="AH96" s="294" t="n">
        <f aca="false">IF(Q96="","",ROUND(Q96/4.184,3))</f>
        <v>0.036</v>
      </c>
    </row>
    <row r="97" customFormat="false" ht="12.75" hidden="false" customHeight="false" outlineLevel="0" collapsed="false">
      <c r="A97" s="87"/>
      <c r="B97" s="353" t="s">
        <v>1114</v>
      </c>
      <c r="C97" s="354" t="s">
        <v>1115</v>
      </c>
      <c r="D97" s="290" t="n">
        <v>-833.418</v>
      </c>
      <c r="E97" s="137" t="n">
        <v>0.373</v>
      </c>
      <c r="F97" s="355" t="s">
        <v>1116</v>
      </c>
      <c r="G97" s="356" t="s">
        <v>1117</v>
      </c>
      <c r="H97" s="357" t="s">
        <v>1118</v>
      </c>
      <c r="I97" s="358" t="s">
        <v>742</v>
      </c>
      <c r="J97" s="346"/>
      <c r="K97" s="354" t="s">
        <v>1115</v>
      </c>
      <c r="L97" s="359"/>
      <c r="M97" s="360"/>
      <c r="N97" s="361"/>
      <c r="O97" s="360"/>
      <c r="P97" s="361"/>
      <c r="Q97" s="360"/>
      <c r="R97" s="10"/>
      <c r="S97" s="353" t="s">
        <v>1114</v>
      </c>
      <c r="T97" s="354" t="s">
        <v>1115</v>
      </c>
      <c r="U97" s="290" t="n">
        <f aca="false">IF(D97="","",ROUND(D97/4.184,3))</f>
        <v>-199.192</v>
      </c>
      <c r="V97" s="137" t="n">
        <f aca="false">IF(E97="","",ROUND(E97/4.184,3))</f>
        <v>0.089</v>
      </c>
      <c r="W97" s="362" t="n">
        <f aca="false">IF(F97="","",ROUND(F97/4.184,3))</f>
        <v>-220.949</v>
      </c>
      <c r="X97" s="363" t="n">
        <f aca="false">IF(G97="","",ROUND(G97/4.184,3))</f>
        <v>0.084</v>
      </c>
      <c r="Y97" s="364" t="n">
        <f aca="false">IF(H97="","",ROUND(H97/4.184,3))</f>
        <v>15.1</v>
      </c>
      <c r="Z97" s="365" t="n">
        <f aca="false">IF(I97="","",ROUND(I97/4.184,3))</f>
        <v>0.096</v>
      </c>
      <c r="AA97" s="346"/>
      <c r="AB97" s="354" t="s">
        <v>1115</v>
      </c>
      <c r="AC97" s="366" t="str">
        <f aca="false">IF(L97="","",ROUND(L97/4.184,3))</f>
        <v/>
      </c>
      <c r="AD97" s="315" t="str">
        <f aca="false">IF(M97="","",ROUND(M97/4.184,3))</f>
        <v/>
      </c>
      <c r="AE97" s="367" t="str">
        <f aca="false">IF(N97="","",ROUND(N97/4.184,3))</f>
        <v/>
      </c>
      <c r="AF97" s="315" t="str">
        <f aca="false">IF(O97="","",ROUND(O97/4.184,3))</f>
        <v/>
      </c>
      <c r="AG97" s="367" t="str">
        <f aca="false">IF(P97="","",ROUND(P97/4.184,3))</f>
        <v/>
      </c>
      <c r="AH97" s="315" t="str">
        <f aca="false">IF(Q97="","",ROUND(Q97/4.184,3))</f>
        <v/>
      </c>
    </row>
    <row r="98" customFormat="false" ht="12.75" hidden="false" customHeight="false" outlineLevel="0" collapsed="false">
      <c r="A98" s="87"/>
      <c r="B98" s="353" t="s">
        <v>1119</v>
      </c>
      <c r="C98" s="354" t="s">
        <v>1120</v>
      </c>
      <c r="D98" s="290"/>
      <c r="E98" s="137"/>
      <c r="F98" s="300"/>
      <c r="G98" s="301"/>
      <c r="H98" s="300"/>
      <c r="I98" s="301"/>
      <c r="J98" s="346"/>
      <c r="K98" s="354" t="s">
        <v>1120</v>
      </c>
      <c r="L98" s="329"/>
      <c r="M98" s="301"/>
      <c r="N98" s="300"/>
      <c r="O98" s="301"/>
      <c r="P98" s="300"/>
      <c r="Q98" s="301"/>
      <c r="S98" s="353" t="s">
        <v>1119</v>
      </c>
      <c r="T98" s="354" t="s">
        <v>1120</v>
      </c>
      <c r="U98" s="290" t="str">
        <f aca="false">IF(D98="","",ROUND(D98/4.184,3))</f>
        <v/>
      </c>
      <c r="V98" s="137" t="str">
        <f aca="false">IF(E98="","",ROUND(E98/4.184,3))</f>
        <v/>
      </c>
      <c r="W98" s="302" t="str">
        <f aca="false">IF(F98="","",ROUND(F98/4.184,3))</f>
        <v/>
      </c>
      <c r="X98" s="303" t="str">
        <f aca="false">IF(G98="","",ROUND(G98/4.184,3))</f>
        <v/>
      </c>
      <c r="Y98" s="302" t="str">
        <f aca="false">IF(H98="","",ROUND(H98/4.184,3))</f>
        <v/>
      </c>
      <c r="Z98" s="303" t="str">
        <f aca="false">IF(I98="","",ROUND(I98/4.184,3))</f>
        <v/>
      </c>
      <c r="AA98" s="346"/>
      <c r="AB98" s="354" t="s">
        <v>1120</v>
      </c>
      <c r="AC98" s="330" t="str">
        <f aca="false">IF(L98="","",ROUND(L98/4.184,3))</f>
        <v/>
      </c>
      <c r="AD98" s="303" t="str">
        <f aca="false">IF(M98="","",ROUND(M98/4.184,3))</f>
        <v/>
      </c>
      <c r="AE98" s="302" t="str">
        <f aca="false">IF(N98="","",ROUND(N98/4.184,3))</f>
        <v/>
      </c>
      <c r="AF98" s="303" t="str">
        <f aca="false">IF(O98="","",ROUND(O98/4.184,3))</f>
        <v/>
      </c>
      <c r="AG98" s="302" t="str">
        <f aca="false">IF(P98="","",ROUND(P98/4.184,3))</f>
        <v/>
      </c>
      <c r="AH98" s="303" t="str">
        <f aca="false">IF(Q98="","",ROUND(Q98/4.184,3))</f>
        <v/>
      </c>
    </row>
    <row r="99" customFormat="false" ht="12.75" hidden="false" customHeight="false" outlineLevel="0" collapsed="false">
      <c r="A99" s="87"/>
      <c r="B99" s="353" t="s">
        <v>1121</v>
      </c>
      <c r="C99" s="354" t="s">
        <v>1122</v>
      </c>
      <c r="D99" s="290"/>
      <c r="E99" s="137"/>
      <c r="F99" s="300"/>
      <c r="G99" s="301"/>
      <c r="H99" s="300"/>
      <c r="I99" s="301"/>
      <c r="J99" s="346"/>
      <c r="K99" s="354" t="s">
        <v>1122</v>
      </c>
      <c r="L99" s="329"/>
      <c r="M99" s="301"/>
      <c r="N99" s="300"/>
      <c r="O99" s="301"/>
      <c r="P99" s="300"/>
      <c r="Q99" s="301"/>
      <c r="S99" s="353" t="s">
        <v>1121</v>
      </c>
      <c r="T99" s="354" t="s">
        <v>1122</v>
      </c>
      <c r="U99" s="290" t="str">
        <f aca="false">IF(D99="","",ROUND(D99/4.184,3))</f>
        <v/>
      </c>
      <c r="V99" s="137" t="str">
        <f aca="false">IF(E99="","",ROUND(E99/4.184,3))</f>
        <v/>
      </c>
      <c r="W99" s="302" t="str">
        <f aca="false">IF(F99="","",ROUND(F99/4.184,3))</f>
        <v/>
      </c>
      <c r="X99" s="303" t="str">
        <f aca="false">IF(G99="","",ROUND(G99/4.184,3))</f>
        <v/>
      </c>
      <c r="Y99" s="302" t="str">
        <f aca="false">IF(H99="","",ROUND(H99/4.184,3))</f>
        <v/>
      </c>
      <c r="Z99" s="303" t="str">
        <f aca="false">IF(I99="","",ROUND(I99/4.184,3))</f>
        <v/>
      </c>
      <c r="AA99" s="346"/>
      <c r="AB99" s="354" t="s">
        <v>1122</v>
      </c>
      <c r="AC99" s="330" t="str">
        <f aca="false">IF(L99="","",ROUND(L99/4.184,3))</f>
        <v/>
      </c>
      <c r="AD99" s="303" t="str">
        <f aca="false">IF(M99="","",ROUND(M99/4.184,3))</f>
        <v/>
      </c>
      <c r="AE99" s="302" t="str">
        <f aca="false">IF(N99="","",ROUND(N99/4.184,3))</f>
        <v/>
      </c>
      <c r="AF99" s="303" t="str">
        <f aca="false">IF(O99="","",ROUND(O99/4.184,3))</f>
        <v/>
      </c>
      <c r="AG99" s="302" t="str">
        <f aca="false">IF(P99="","",ROUND(P99/4.184,3))</f>
        <v/>
      </c>
      <c r="AH99" s="303" t="str">
        <f aca="false">IF(Q99="","",ROUND(Q99/4.184,3))</f>
        <v/>
      </c>
    </row>
    <row r="100" customFormat="false" ht="14.25" hidden="false" customHeight="true" outlineLevel="0" collapsed="false">
      <c r="A100" s="87"/>
      <c r="B100" s="353" t="s">
        <v>1123</v>
      </c>
      <c r="C100" s="354" t="s">
        <v>1124</v>
      </c>
      <c r="D100" s="290" t="n">
        <v>-603.296</v>
      </c>
      <c r="E100" s="137" t="n">
        <v>0.916</v>
      </c>
      <c r="F100" s="300" t="s">
        <v>1125</v>
      </c>
      <c r="G100" s="301" t="s">
        <v>1126</v>
      </c>
      <c r="H100" s="300" t="s">
        <v>1127</v>
      </c>
      <c r="I100" s="301" t="s">
        <v>1128</v>
      </c>
      <c r="J100" s="346"/>
      <c r="K100" s="354" t="s">
        <v>1124</v>
      </c>
      <c r="L100" s="329" t="s">
        <v>1129</v>
      </c>
      <c r="M100" s="301" t="s">
        <v>1130</v>
      </c>
      <c r="N100" s="300" t="s">
        <v>1131</v>
      </c>
      <c r="O100" s="301" t="s">
        <v>1132</v>
      </c>
      <c r="P100" s="300" t="s">
        <v>1133</v>
      </c>
      <c r="Q100" s="301" t="s">
        <v>743</v>
      </c>
      <c r="S100" s="353" t="s">
        <v>1123</v>
      </c>
      <c r="T100" s="354" t="s">
        <v>1124</v>
      </c>
      <c r="U100" s="290" t="n">
        <f aca="false">IF(D100="","",ROUND(D100/4.184,3))</f>
        <v>-144.191</v>
      </c>
      <c r="V100" s="137" t="n">
        <f aca="false">IF(E100="","",ROUND(E100/4.184,3))</f>
        <v>0.219</v>
      </c>
      <c r="W100" s="302" t="n">
        <f aca="false">IF(F100="","",ROUND(F100/4.184,3))</f>
        <v>-151.75</v>
      </c>
      <c r="X100" s="303" t="n">
        <f aca="false">IF(G100="","",ROUND(G100/4.184,3))</f>
        <v>0.215</v>
      </c>
      <c r="Y100" s="302" t="n">
        <f aca="false">IF(H100="","",ROUND(H100/4.184,3))</f>
        <v>9.106</v>
      </c>
      <c r="Z100" s="303" t="n">
        <f aca="false">IF(I100="","",ROUND(I100/4.184,3))</f>
        <v>0.096</v>
      </c>
      <c r="AA100" s="346"/>
      <c r="AB100" s="354" t="s">
        <v>1124</v>
      </c>
      <c r="AC100" s="330" t="n">
        <f aca="false">IF(L100="","",ROUND(L100/4.184,3))</f>
        <v>-144.191</v>
      </c>
      <c r="AD100" s="303" t="n">
        <f aca="false">IF(M100="","",ROUND(M100/4.184,3))</f>
        <v>0.219</v>
      </c>
      <c r="AE100" s="302" t="n">
        <f aca="false">IF(N100="","",ROUND(N100/4.184,3))</f>
        <v>-151.75</v>
      </c>
      <c r="AF100" s="303" t="n">
        <f aca="false">IF(O100="","",ROUND(O100/4.184,3))</f>
        <v>0.215</v>
      </c>
      <c r="AG100" s="302" t="n">
        <f aca="false">IF(P100="","",ROUND(P100/4.184,3))</f>
        <v>9.106</v>
      </c>
      <c r="AH100" s="303" t="n">
        <f aca="false">IF(Q100="","",ROUND(Q100/4.184,3))</f>
        <v>0.096</v>
      </c>
    </row>
    <row r="101" customFormat="false" ht="12.75" hidden="false" customHeight="false" outlineLevel="0" collapsed="false">
      <c r="A101" s="87"/>
      <c r="B101" s="353" t="s">
        <v>1134</v>
      </c>
      <c r="C101" s="354" t="s">
        <v>1135</v>
      </c>
      <c r="D101" s="290" t="n">
        <v>-898.334</v>
      </c>
      <c r="E101" s="137" t="n">
        <v>0.965</v>
      </c>
      <c r="F101" s="368" t="s">
        <v>1136</v>
      </c>
      <c r="G101" s="369" t="s">
        <v>1137</v>
      </c>
      <c r="H101" s="181" t="s">
        <v>1138</v>
      </c>
      <c r="I101" s="165" t="s">
        <v>742</v>
      </c>
      <c r="J101" s="346"/>
      <c r="K101" s="354" t="s">
        <v>1135</v>
      </c>
      <c r="L101" s="329"/>
      <c r="M101" s="301"/>
      <c r="N101" s="300"/>
      <c r="O101" s="301"/>
      <c r="P101" s="300"/>
      <c r="Q101" s="301"/>
      <c r="R101" s="10"/>
      <c r="S101" s="353" t="s">
        <v>1134</v>
      </c>
      <c r="T101" s="354" t="s">
        <v>1135</v>
      </c>
      <c r="U101" s="290" t="n">
        <f aca="false">IF(D101="","",ROUND(D101/4.184,3))</f>
        <v>-214.707</v>
      </c>
      <c r="V101" s="137" t="n">
        <f aca="false">IF(E101="","",ROUND(E101/4.184,3))</f>
        <v>0.231</v>
      </c>
      <c r="W101" s="370" t="n">
        <f aca="false">IF(F101="","",ROUND(F101/4.184,3))</f>
        <v>-235.66</v>
      </c>
      <c r="X101" s="371" t="n">
        <f aca="false">IF(G101="","",ROUND(G101/4.184,3))</f>
        <v>0.227</v>
      </c>
      <c r="Y101" s="372" t="n">
        <f aca="false">IF(H101="","",ROUND(H101/4.184,3))</f>
        <v>19.931</v>
      </c>
      <c r="Z101" s="373" t="n">
        <f aca="false">IF(I101="","",ROUND(I101/4.184,3))</f>
        <v>0.096</v>
      </c>
      <c r="AA101" s="346"/>
      <c r="AB101" s="354" t="s">
        <v>1135</v>
      </c>
      <c r="AC101" s="330" t="str">
        <f aca="false">IF(L101="","",ROUND(L101/4.184,3))</f>
        <v/>
      </c>
      <c r="AD101" s="303" t="str">
        <f aca="false">IF(M101="","",ROUND(M101/4.184,3))</f>
        <v/>
      </c>
      <c r="AE101" s="302" t="str">
        <f aca="false">IF(N101="","",ROUND(N101/4.184,3))</f>
        <v/>
      </c>
      <c r="AF101" s="303" t="str">
        <f aca="false">IF(O101="","",ROUND(O101/4.184,3))</f>
        <v/>
      </c>
      <c r="AG101" s="302" t="str">
        <f aca="false">IF(P101="","",ROUND(P101/4.184,3))</f>
        <v/>
      </c>
      <c r="AH101" s="303" t="str">
        <f aca="false">IF(Q101="","",ROUND(Q101/4.184,3))</f>
        <v/>
      </c>
    </row>
    <row r="102" customFormat="false" ht="12.75" hidden="false" customHeight="false" outlineLevel="0" collapsed="false">
      <c r="A102" s="87"/>
      <c r="B102" s="353" t="s">
        <v>1139</v>
      </c>
      <c r="C102" s="354" t="s">
        <v>1140</v>
      </c>
      <c r="D102" s="290" t="n">
        <v>-1129.463</v>
      </c>
      <c r="E102" s="137" t="n">
        <v>1.203</v>
      </c>
      <c r="F102" s="368" t="s">
        <v>1141</v>
      </c>
      <c r="G102" s="369" t="s">
        <v>1142</v>
      </c>
      <c r="H102" s="181" t="s">
        <v>1143</v>
      </c>
      <c r="I102" s="165" t="s">
        <v>740</v>
      </c>
      <c r="J102" s="346"/>
      <c r="K102" s="354" t="s">
        <v>1140</v>
      </c>
      <c r="L102" s="329"/>
      <c r="M102" s="301"/>
      <c r="N102" s="300"/>
      <c r="O102" s="301"/>
      <c r="P102" s="300"/>
      <c r="Q102" s="301"/>
      <c r="R102" s="10"/>
      <c r="S102" s="353" t="s">
        <v>1139</v>
      </c>
      <c r="T102" s="354" t="s">
        <v>1140</v>
      </c>
      <c r="U102" s="290" t="n">
        <f aca="false">IF(D102="","",ROUND(D102/4.184,3))</f>
        <v>-269.948</v>
      </c>
      <c r="V102" s="137" t="n">
        <f aca="false">IF(E102="","",ROUND(E102/4.184,3))</f>
        <v>0.288</v>
      </c>
      <c r="W102" s="370" t="n">
        <f aca="false">IF(F102="","",ROUND(F102/4.184,3))</f>
        <v>-288.714</v>
      </c>
      <c r="X102" s="371" t="n">
        <f aca="false">IF(G102="","",ROUND(G102/4.184,3))</f>
        <v>0.285</v>
      </c>
      <c r="Y102" s="372" t="n">
        <f aca="false">IF(H102="","",ROUND(H102/4.184,3))</f>
        <v>21.919</v>
      </c>
      <c r="Z102" s="373" t="n">
        <f aca="false">IF(I102="","",ROUND(I102/4.184,3))</f>
        <v>0.072</v>
      </c>
      <c r="AA102" s="346"/>
      <c r="AB102" s="354" t="s">
        <v>1140</v>
      </c>
      <c r="AC102" s="330" t="str">
        <f aca="false">IF(L102="","",ROUND(L102/4.184,3))</f>
        <v/>
      </c>
      <c r="AD102" s="303" t="str">
        <f aca="false">IF(M102="","",ROUND(M102/4.184,3))</f>
        <v/>
      </c>
      <c r="AE102" s="302" t="str">
        <f aca="false">IF(N102="","",ROUND(N102/4.184,3))</f>
        <v/>
      </c>
      <c r="AF102" s="303" t="str">
        <f aca="false">IF(O102="","",ROUND(O102/4.184,3))</f>
        <v/>
      </c>
      <c r="AG102" s="302" t="str">
        <f aca="false">IF(P102="","",ROUND(P102/4.184,3))</f>
        <v/>
      </c>
      <c r="AH102" s="303" t="str">
        <f aca="false">IF(Q102="","",ROUND(Q102/4.184,3))</f>
        <v/>
      </c>
    </row>
    <row r="103" customFormat="false" ht="12.75" hidden="false" customHeight="false" outlineLevel="0" collapsed="false">
      <c r="A103" s="87"/>
      <c r="B103" s="353" t="s">
        <v>1144</v>
      </c>
      <c r="C103" s="354" t="s">
        <v>1145</v>
      </c>
      <c r="D103" s="290"/>
      <c r="E103" s="137"/>
      <c r="F103" s="300"/>
      <c r="G103" s="301"/>
      <c r="H103" s="300"/>
      <c r="I103" s="301"/>
      <c r="J103" s="346"/>
      <c r="K103" s="354" t="s">
        <v>1145</v>
      </c>
      <c r="L103" s="329"/>
      <c r="M103" s="301"/>
      <c r="N103" s="300"/>
      <c r="O103" s="301"/>
      <c r="P103" s="300"/>
      <c r="Q103" s="301"/>
      <c r="S103" s="353" t="s">
        <v>1144</v>
      </c>
      <c r="T103" s="354" t="s">
        <v>1145</v>
      </c>
      <c r="U103" s="290" t="str">
        <f aca="false">IF(D103="","",ROUND(D103/4.184,3))</f>
        <v/>
      </c>
      <c r="V103" s="137" t="str">
        <f aca="false">IF(E103="","",ROUND(E103/4.184,3))</f>
        <v/>
      </c>
      <c r="W103" s="302" t="str">
        <f aca="false">IF(F103="","",ROUND(F103/4.184,3))</f>
        <v/>
      </c>
      <c r="X103" s="303" t="str">
        <f aca="false">IF(G103="","",ROUND(G103/4.184,3))</f>
        <v/>
      </c>
      <c r="Y103" s="302" t="str">
        <f aca="false">IF(H103="","",ROUND(H103/4.184,3))</f>
        <v/>
      </c>
      <c r="Z103" s="303" t="str">
        <f aca="false">IF(I103="","",ROUND(I103/4.184,3))</f>
        <v/>
      </c>
      <c r="AA103" s="346"/>
      <c r="AB103" s="354" t="s">
        <v>1145</v>
      </c>
      <c r="AC103" s="330" t="str">
        <f aca="false">IF(L103="","",ROUND(L103/4.184,3))</f>
        <v/>
      </c>
      <c r="AD103" s="303" t="str">
        <f aca="false">IF(M103="","",ROUND(M103/4.184,3))</f>
        <v/>
      </c>
      <c r="AE103" s="302" t="str">
        <f aca="false">IF(N103="","",ROUND(N103/4.184,3))</f>
        <v/>
      </c>
      <c r="AF103" s="303" t="str">
        <f aca="false">IF(O103="","",ROUND(O103/4.184,3))</f>
        <v/>
      </c>
      <c r="AG103" s="302" t="str">
        <f aca="false">IF(P103="","",ROUND(P103/4.184,3))</f>
        <v/>
      </c>
      <c r="AH103" s="303" t="str">
        <f aca="false">IF(Q103="","",ROUND(Q103/4.184,3))</f>
        <v/>
      </c>
    </row>
    <row r="104" customFormat="false" ht="12.75" hidden="false" customHeight="false" outlineLevel="0" collapsed="false">
      <c r="A104" s="87"/>
      <c r="B104" s="354" t="s">
        <v>1146</v>
      </c>
      <c r="C104" s="354" t="s">
        <v>1146</v>
      </c>
      <c r="D104" s="290"/>
      <c r="E104" s="137"/>
      <c r="F104" s="300"/>
      <c r="G104" s="301"/>
      <c r="H104" s="300"/>
      <c r="I104" s="301"/>
      <c r="J104" s="346"/>
      <c r="K104" s="354" t="s">
        <v>1146</v>
      </c>
      <c r="L104" s="329"/>
      <c r="M104" s="301"/>
      <c r="N104" s="300"/>
      <c r="O104" s="301"/>
      <c r="P104" s="300"/>
      <c r="Q104" s="301"/>
      <c r="S104" s="354" t="s">
        <v>1146</v>
      </c>
      <c r="T104" s="354" t="s">
        <v>1146</v>
      </c>
      <c r="U104" s="290" t="str">
        <f aca="false">IF(D104="","",ROUND(D104/4.184,3))</f>
        <v/>
      </c>
      <c r="V104" s="137" t="str">
        <f aca="false">IF(E104="","",ROUND(E104/4.184,3))</f>
        <v/>
      </c>
      <c r="W104" s="302" t="str">
        <f aca="false">IF(F104="","",ROUND(F104/4.184,3))</f>
        <v/>
      </c>
      <c r="X104" s="303" t="str">
        <f aca="false">IF(G104="","",ROUND(G104/4.184,3))</f>
        <v/>
      </c>
      <c r="Y104" s="302" t="str">
        <f aca="false">IF(H104="","",ROUND(H104/4.184,3))</f>
        <v/>
      </c>
      <c r="Z104" s="303" t="str">
        <f aca="false">IF(I104="","",ROUND(I104/4.184,3))</f>
        <v/>
      </c>
      <c r="AA104" s="346"/>
      <c r="AB104" s="354" t="s">
        <v>1146</v>
      </c>
      <c r="AC104" s="330" t="str">
        <f aca="false">IF(L104="","",ROUND(L104/4.184,3))</f>
        <v/>
      </c>
      <c r="AD104" s="303" t="str">
        <f aca="false">IF(M104="","",ROUND(M104/4.184,3))</f>
        <v/>
      </c>
      <c r="AE104" s="302" t="str">
        <f aca="false">IF(N104="","",ROUND(N104/4.184,3))</f>
        <v/>
      </c>
      <c r="AF104" s="303" t="str">
        <f aca="false">IF(O104="","",ROUND(O104/4.184,3))</f>
        <v/>
      </c>
      <c r="AG104" s="302" t="str">
        <f aca="false">IF(P104="","",ROUND(P104/4.184,3))</f>
        <v/>
      </c>
      <c r="AH104" s="303" t="str">
        <f aca="false">IF(Q104="","",ROUND(Q104/4.184,3))</f>
        <v/>
      </c>
    </row>
    <row r="105" customFormat="false" ht="12.75" hidden="false" customHeight="false" outlineLevel="0" collapsed="false">
      <c r="A105" s="87"/>
      <c r="B105" s="353" t="s">
        <v>1147</v>
      </c>
      <c r="C105" s="354" t="s">
        <v>1148</v>
      </c>
      <c r="D105" s="290"/>
      <c r="E105" s="137"/>
      <c r="F105" s="300"/>
      <c r="G105" s="301"/>
      <c r="H105" s="181" t="s">
        <v>1149</v>
      </c>
      <c r="I105" s="165" t="s">
        <v>728</v>
      </c>
      <c r="J105" s="346"/>
      <c r="K105" s="354" t="s">
        <v>1148</v>
      </c>
      <c r="L105" s="329" t="s">
        <v>1150</v>
      </c>
      <c r="M105" s="301" t="s">
        <v>1151</v>
      </c>
      <c r="N105" s="300" t="s">
        <v>1152</v>
      </c>
      <c r="O105" s="301" t="s">
        <v>755</v>
      </c>
      <c r="P105" s="300" t="s">
        <v>1153</v>
      </c>
      <c r="Q105" s="301" t="s">
        <v>729</v>
      </c>
      <c r="S105" s="353" t="s">
        <v>1147</v>
      </c>
      <c r="T105" s="354" t="s">
        <v>1148</v>
      </c>
      <c r="U105" s="290" t="str">
        <f aca="false">IF(D105="","",ROUND(D105/4.184,3))</f>
        <v/>
      </c>
      <c r="V105" s="137" t="str">
        <f aca="false">IF(E105="","",ROUND(E105/4.184,3))</f>
        <v/>
      </c>
      <c r="W105" s="302" t="str">
        <f aca="false">IF(F105="","",ROUND(F105/4.184,3))</f>
        <v/>
      </c>
      <c r="X105" s="303" t="str">
        <f aca="false">IF(G105="","",ROUND(G105/4.184,3))</f>
        <v/>
      </c>
      <c r="Y105" s="372" t="n">
        <f aca="false">IF(H105="","",ROUND(H105/4.184,3))</f>
        <v>17.239</v>
      </c>
      <c r="Z105" s="373" t="n">
        <f aca="false">IF(I105="","",ROUND(I105/4.184,3))</f>
        <v>0.048</v>
      </c>
      <c r="AA105" s="346"/>
      <c r="AB105" s="354" t="s">
        <v>1148</v>
      </c>
      <c r="AC105" s="330" t="n">
        <f aca="false">IF(L105="","",ROUND(L105/4.184,3))</f>
        <v>-91.831</v>
      </c>
      <c r="AD105" s="303" t="n">
        <f aca="false">IF(M105="","",ROUND(M105/4.184,3))</f>
        <v>0.035</v>
      </c>
      <c r="AE105" s="302" t="n">
        <f aca="false">IF(N105="","",ROUND(N105/4.184,3))</f>
        <v>-98.293</v>
      </c>
      <c r="AF105" s="303" t="n">
        <f aca="false">IF(O105="","",ROUND(O105/4.184,3))</f>
        <v>0.029</v>
      </c>
      <c r="AG105" s="302" t="n">
        <f aca="false">IF(P105="","",ROUND(P105/4.184,3))</f>
        <v>17.244</v>
      </c>
      <c r="AH105" s="303" t="n">
        <f aca="false">IF(Q105="","",ROUND(Q105/4.184,3))</f>
        <v>0.048</v>
      </c>
    </row>
    <row r="106" customFormat="false" ht="12.75" hidden="false" customHeight="false" outlineLevel="0" collapsed="false">
      <c r="A106" s="87"/>
      <c r="B106" s="354" t="s">
        <v>1154</v>
      </c>
      <c r="C106" s="354" t="s">
        <v>1154</v>
      </c>
      <c r="D106" s="290"/>
      <c r="E106" s="137"/>
      <c r="F106" s="300"/>
      <c r="G106" s="301"/>
      <c r="H106" s="291"/>
      <c r="I106" s="292"/>
      <c r="J106" s="346"/>
      <c r="K106" s="354" t="s">
        <v>1154</v>
      </c>
      <c r="L106" s="331"/>
      <c r="M106" s="301"/>
      <c r="N106" s="300"/>
      <c r="O106" s="301"/>
      <c r="P106" s="291"/>
      <c r="Q106" s="292"/>
      <c r="S106" s="354" t="s">
        <v>1154</v>
      </c>
      <c r="T106" s="354" t="s">
        <v>1154</v>
      </c>
      <c r="U106" s="290" t="str">
        <f aca="false">IF(D106="","",ROUND(D106/4.184,3))</f>
        <v/>
      </c>
      <c r="V106" s="137" t="str">
        <f aca="false">IF(E106="","",ROUND(E106/4.184,3))</f>
        <v/>
      </c>
      <c r="W106" s="302" t="str">
        <f aca="false">IF(F106="","",ROUND(F106/4.184,3))</f>
        <v/>
      </c>
      <c r="X106" s="303" t="str">
        <f aca="false">IF(G106="","",ROUND(G106/4.184,3))</f>
        <v/>
      </c>
      <c r="Y106" s="293" t="str">
        <f aca="false">IF(H106="","",ROUND(H106/4.184,3))</f>
        <v/>
      </c>
      <c r="Z106" s="294" t="str">
        <f aca="false">IF(I106="","",ROUND(I106/4.184,3))</f>
        <v/>
      </c>
      <c r="AA106" s="346"/>
      <c r="AB106" s="354" t="s">
        <v>1154</v>
      </c>
      <c r="AC106" s="332" t="str">
        <f aca="false">IF(L106="","",ROUND(L106/4.184,3))</f>
        <v/>
      </c>
      <c r="AD106" s="303" t="str">
        <f aca="false">IF(M106="","",ROUND(M106/4.184,3))</f>
        <v/>
      </c>
      <c r="AE106" s="302" t="str">
        <f aca="false">IF(N106="","",ROUND(N106/4.184,3))</f>
        <v/>
      </c>
      <c r="AF106" s="303" t="str">
        <f aca="false">IF(O106="","",ROUND(O106/4.184,3))</f>
        <v/>
      </c>
      <c r="AG106" s="293" t="str">
        <f aca="false">IF(P106="","",ROUND(P106/4.184,3))</f>
        <v/>
      </c>
      <c r="AH106" s="294" t="str">
        <f aca="false">IF(Q106="","",ROUND(Q106/4.184,3))</f>
        <v/>
      </c>
    </row>
    <row r="107" customFormat="false" ht="13.5" hidden="false" customHeight="false" outlineLevel="0" collapsed="false">
      <c r="A107" s="87"/>
      <c r="B107" s="374" t="s">
        <v>1155</v>
      </c>
      <c r="C107" s="375" t="s">
        <v>1156</v>
      </c>
      <c r="D107" s="305"/>
      <c r="E107" s="145"/>
      <c r="F107" s="306"/>
      <c r="G107" s="307"/>
      <c r="H107" s="376" t="s">
        <v>1157</v>
      </c>
      <c r="I107" s="92" t="s">
        <v>728</v>
      </c>
      <c r="J107" s="346"/>
      <c r="K107" s="375" t="s">
        <v>1156</v>
      </c>
      <c r="L107" s="333"/>
      <c r="M107" s="307"/>
      <c r="N107" s="306" t="s">
        <v>1158</v>
      </c>
      <c r="O107" s="307" t="s">
        <v>1159</v>
      </c>
      <c r="P107" s="306"/>
      <c r="Q107" s="307"/>
      <c r="S107" s="374" t="s">
        <v>1155</v>
      </c>
      <c r="T107" s="375" t="s">
        <v>1156</v>
      </c>
      <c r="U107" s="305" t="str">
        <f aca="false">IF(D107="","",ROUND(D107/4.184,3))</f>
        <v/>
      </c>
      <c r="V107" s="145" t="str">
        <f aca="false">IF(E107="","",ROUND(E107/4.184,3))</f>
        <v/>
      </c>
      <c r="W107" s="308" t="str">
        <f aca="false">IF(F107="","",ROUND(F107/4.184,3))</f>
        <v/>
      </c>
      <c r="X107" s="309" t="str">
        <f aca="false">IF(G107="","",ROUND(G107/4.184,3))</f>
        <v/>
      </c>
      <c r="Y107" s="377" t="n">
        <f aca="false">IF(H107="","",ROUND(H107/4.184,3))</f>
        <v>19.735</v>
      </c>
      <c r="Z107" s="154" t="n">
        <f aca="false">IF(I107="","",ROUND(I107/4.184,3))</f>
        <v>0.048</v>
      </c>
      <c r="AA107" s="346"/>
      <c r="AB107" s="375" t="s">
        <v>1156</v>
      </c>
      <c r="AC107" s="334" t="str">
        <f aca="false">IF(L107="","",ROUND(L107/4.184,3))</f>
        <v/>
      </c>
      <c r="AD107" s="309" t="str">
        <f aca="false">IF(M107="","",ROUND(M107/4.184,3))</f>
        <v/>
      </c>
      <c r="AE107" s="308" t="n">
        <f aca="false">IF(N107="","",ROUND(N107/4.184,3))</f>
        <v>-104.317</v>
      </c>
      <c r="AF107" s="309" t="n">
        <f aca="false">IF(O107="","",ROUND(O107/4.184,3))</f>
        <v>0.031</v>
      </c>
      <c r="AG107" s="308" t="str">
        <f aca="false">IF(P107="","",ROUND(P107/4.184,3))</f>
        <v/>
      </c>
      <c r="AH107" s="309" t="str">
        <f aca="false">IF(Q107="","",ROUND(Q107/4.184,3))</f>
        <v/>
      </c>
    </row>
    <row r="108" customFormat="false" ht="12.75" hidden="false" customHeight="false" outlineLevel="0" collapsed="false">
      <c r="C108" s="112"/>
      <c r="D108" s="66"/>
      <c r="E108" s="66"/>
      <c r="F108" s="66"/>
      <c r="G108" s="66"/>
      <c r="H108" s="66"/>
      <c r="I108" s="66"/>
      <c r="J108" s="45"/>
      <c r="K108" s="112"/>
      <c r="L108" s="66"/>
      <c r="M108" s="66"/>
      <c r="N108" s="66"/>
      <c r="O108" s="66"/>
      <c r="P108" s="66"/>
      <c r="Q108" s="66"/>
      <c r="S108" s="280"/>
      <c r="T108" s="112"/>
      <c r="U108" s="66"/>
      <c r="V108" s="66"/>
      <c r="W108" s="66"/>
      <c r="X108" s="66"/>
      <c r="Y108" s="66"/>
      <c r="Z108" s="66"/>
      <c r="AA108" s="45"/>
      <c r="AB108" s="112"/>
      <c r="AC108" s="66"/>
      <c r="AD108" s="66"/>
      <c r="AE108" s="66"/>
      <c r="AF108" s="66"/>
      <c r="AG108" s="66"/>
      <c r="AH108" s="66"/>
    </row>
    <row r="109" customFormat="false" ht="12.75" hidden="false" customHeight="false" outlineLevel="0" collapsed="false">
      <c r="C109" s="112"/>
      <c r="D109" s="66"/>
      <c r="E109" s="66"/>
      <c r="F109" s="66"/>
      <c r="G109" s="66"/>
      <c r="H109" s="66"/>
      <c r="I109" s="66"/>
      <c r="J109" s="45"/>
      <c r="K109" s="112"/>
      <c r="L109" s="66"/>
      <c r="M109" s="66"/>
      <c r="N109" s="66"/>
      <c r="O109" s="66"/>
      <c r="P109" s="66"/>
      <c r="Q109" s="66"/>
    </row>
    <row r="110" customFormat="false" ht="12.75" hidden="false" customHeight="false" outlineLevel="0" collapsed="false">
      <c r="C110" s="112"/>
      <c r="D110" s="66"/>
      <c r="E110" s="66"/>
      <c r="F110" s="66"/>
      <c r="G110" s="66"/>
      <c r="H110" s="66"/>
      <c r="I110" s="66"/>
      <c r="J110" s="45"/>
      <c r="K110" s="112"/>
      <c r="L110" s="66"/>
      <c r="M110" s="66"/>
      <c r="N110" s="66"/>
      <c r="O110" s="66"/>
      <c r="P110" s="66"/>
      <c r="Q110" s="66"/>
    </row>
    <row r="111" customFormat="false" ht="12.75" hidden="false" customHeight="false" outlineLevel="0" collapsed="false">
      <c r="B111" s="378"/>
      <c r="C111" s="10" t="s">
        <v>1160</v>
      </c>
      <c r="D111" s="66"/>
      <c r="E111" s="66"/>
      <c r="F111" s="66"/>
      <c r="G111" s="66"/>
      <c r="H111" s="66"/>
      <c r="I111" s="66"/>
      <c r="J111" s="45"/>
      <c r="K111" s="112"/>
      <c r="L111" s="66"/>
      <c r="M111" s="66"/>
      <c r="N111" s="66"/>
      <c r="O111" s="66"/>
      <c r="P111" s="66"/>
      <c r="Q111" s="66"/>
    </row>
    <row r="112" customFormat="false" ht="12.75" hidden="false" customHeight="false" outlineLevel="0" collapsed="false">
      <c r="B112" s="379"/>
      <c r="C112" s="112" t="s">
        <v>1161</v>
      </c>
      <c r="D112" s="66"/>
      <c r="E112" s="66"/>
      <c r="F112" s="66"/>
      <c r="G112" s="66"/>
      <c r="H112" s="66"/>
      <c r="I112" s="66"/>
      <c r="J112" s="45"/>
      <c r="K112" s="112"/>
      <c r="L112" s="66"/>
      <c r="M112" s="66"/>
      <c r="N112" s="66"/>
      <c r="O112" s="66"/>
      <c r="P112" s="66"/>
      <c r="Q112" s="66"/>
    </row>
    <row r="113" customFormat="false" ht="12.75" hidden="false" customHeight="false" outlineLevel="0" collapsed="false">
      <c r="B113" s="10"/>
      <c r="C113" s="89"/>
      <c r="D113" s="380"/>
      <c r="E113" s="380"/>
      <c r="F113" s="380"/>
      <c r="G113" s="380"/>
      <c r="H113" s="381"/>
      <c r="I113" s="380"/>
      <c r="J113" s="45"/>
      <c r="K113" s="89"/>
      <c r="L113" s="380"/>
      <c r="M113" s="380"/>
      <c r="N113" s="380"/>
      <c r="O113" s="380"/>
      <c r="P113" s="380"/>
      <c r="Q113" s="380"/>
    </row>
    <row r="114" customFormat="false" ht="12.75" hidden="false" customHeight="false" outlineLevel="0" collapsed="false">
      <c r="B114" s="10"/>
      <c r="C114" s="89"/>
      <c r="D114" s="380"/>
      <c r="E114" s="380"/>
      <c r="F114" s="380"/>
      <c r="G114" s="380"/>
      <c r="H114" s="381"/>
      <c r="I114" s="380"/>
      <c r="J114" s="45"/>
      <c r="K114" s="89"/>
      <c r="L114" s="380"/>
      <c r="M114" s="380"/>
      <c r="N114" s="380"/>
      <c r="O114" s="380"/>
      <c r="P114" s="380"/>
      <c r="Q114" s="380"/>
    </row>
    <row r="115" customFormat="false" ht="12.75" hidden="false" customHeight="false" outlineLevel="0" collapsed="false">
      <c r="B115" s="10"/>
      <c r="C115" s="89"/>
      <c r="D115" s="380"/>
      <c r="E115" s="380"/>
      <c r="F115" s="380"/>
      <c r="G115" s="380"/>
      <c r="H115" s="381"/>
      <c r="I115" s="380"/>
      <c r="J115" s="45"/>
      <c r="K115" s="89"/>
      <c r="L115" s="380"/>
      <c r="M115" s="380"/>
      <c r="N115" s="380"/>
      <c r="O115" s="380"/>
      <c r="P115" s="380"/>
      <c r="Q115" s="380"/>
    </row>
    <row r="116" customFormat="false" ht="12.75" hidden="false" customHeight="false" outlineLevel="0" collapsed="false">
      <c r="C116" s="112" t="s">
        <v>1162</v>
      </c>
      <c r="D116" s="10"/>
      <c r="J116" s="45"/>
    </row>
    <row r="117" customFormat="false" ht="12.75" hidden="false" customHeight="false" outlineLevel="0" collapsed="false">
      <c r="A117" s="10"/>
      <c r="C117" s="112" t="s">
        <v>1163</v>
      </c>
      <c r="J117" s="45"/>
    </row>
    <row r="118" customFormat="false" ht="12.75" hidden="false" customHeight="false" outlineLevel="0" collapsed="false">
      <c r="A118" s="10"/>
      <c r="C118" s="112" t="s">
        <v>1164</v>
      </c>
      <c r="J118" s="45"/>
    </row>
    <row r="119" customFormat="false" ht="15.75" hidden="false" customHeight="false" outlineLevel="0" collapsed="false">
      <c r="C119" s="382" t="s">
        <v>1165</v>
      </c>
      <c r="D119" s="383" t="n">
        <v>-2.58</v>
      </c>
      <c r="E119" s="384" t="s">
        <v>1166</v>
      </c>
      <c r="F119" s="10" t="s">
        <v>1167</v>
      </c>
      <c r="G119" s="90"/>
      <c r="H119" s="90"/>
      <c r="I119" s="90"/>
    </row>
    <row r="120" s="44" customFormat="true" ht="12.75" hidden="false" customHeight="false" outlineLevel="0" collapsed="false">
      <c r="C120" s="112" t="s">
        <v>1168</v>
      </c>
    </row>
    <row r="121" s="44" customFormat="true" ht="15.75" hidden="false" customHeight="false" outlineLevel="0" collapsed="false">
      <c r="C121" s="382" t="s">
        <v>1169</v>
      </c>
    </row>
    <row r="122" s="44" customFormat="true" ht="12.75" hidden="false" customHeight="false" outlineLevel="0" collapsed="false">
      <c r="C122" s="112" t="s">
        <v>954</v>
      </c>
      <c r="D122" s="385" t="s">
        <v>955</v>
      </c>
      <c r="E122" s="384" t="s">
        <v>888</v>
      </c>
    </row>
    <row r="123" customFormat="false" ht="12.75" hidden="false" customHeight="false" outlineLevel="0" collapsed="false">
      <c r="C123" s="112" t="s">
        <v>787</v>
      </c>
      <c r="D123" s="385" t="s">
        <v>788</v>
      </c>
      <c r="E123" s="384" t="s">
        <v>789</v>
      </c>
    </row>
    <row r="124" customFormat="false" ht="12.75" hidden="false" customHeight="false" outlineLevel="0" collapsed="false">
      <c r="C124" s="112" t="s">
        <v>1114</v>
      </c>
      <c r="D124" s="386" t="n">
        <f aca="false">-D119+D122+2*D123</f>
        <v>-924.45</v>
      </c>
      <c r="E124" s="386" t="n">
        <f aca="false">2*SQRT((E119/2)^2-(E122/2)^2-(E123)^2)</f>
        <v>0.351567916624939</v>
      </c>
    </row>
    <row r="125" customFormat="false" ht="15.75" hidden="false" customHeight="false" outlineLevel="0" collapsed="false">
      <c r="B125" s="10" t="s">
        <v>1170</v>
      </c>
      <c r="C125" s="382" t="s">
        <v>1165</v>
      </c>
      <c r="D125" s="387" t="n">
        <f aca="false">D122+2*D123-D124</f>
        <v>-2.57999999999993</v>
      </c>
      <c r="E125" s="387" t="n">
        <f aca="false">2*SQRT((E124/2)^2+(E122/2)^2+(E123)^2)</f>
        <v>0.7</v>
      </c>
      <c r="F125" s="10" t="s">
        <v>1167</v>
      </c>
    </row>
    <row r="127" customFormat="false" ht="14.25" hidden="false" customHeight="false" outlineLevel="0" collapsed="false">
      <c r="C127" s="10" t="s">
        <v>208</v>
      </c>
      <c r="D127" s="388" t="s">
        <v>1171</v>
      </c>
      <c r="E127" s="10" t="s">
        <v>1172</v>
      </c>
    </row>
    <row r="128" customFormat="false" ht="14.25" hidden="false" customHeight="false" outlineLevel="0" collapsed="false">
      <c r="D128" s="389" t="n">
        <f aca="false">D127*4.184</f>
        <v>-924.664</v>
      </c>
      <c r="E128" s="10" t="s">
        <v>1167</v>
      </c>
    </row>
    <row r="130" customFormat="false" ht="12.75" hidden="false" customHeight="false" outlineLevel="0" collapsed="false">
      <c r="C130" s="10" t="s">
        <v>1134</v>
      </c>
    </row>
    <row r="131" customFormat="false" ht="12.75" hidden="false" customHeight="false" outlineLevel="0" collapsed="false">
      <c r="C131" s="10" t="s">
        <v>1173</v>
      </c>
    </row>
    <row r="132" customFormat="false" ht="12.75" hidden="false" customHeight="false" outlineLevel="0" collapsed="false">
      <c r="C132" s="112" t="s">
        <v>1164</v>
      </c>
    </row>
    <row r="133" customFormat="false" ht="15.75" hidden="false" customHeight="false" outlineLevel="0" collapsed="false">
      <c r="C133" s="382" t="s">
        <v>1174</v>
      </c>
      <c r="D133" s="384" t="s">
        <v>1175</v>
      </c>
      <c r="E133" s="384" t="s">
        <v>740</v>
      </c>
      <c r="F133" s="10" t="s">
        <v>1167</v>
      </c>
    </row>
    <row r="134" customFormat="false" ht="12.75" hidden="false" customHeight="false" outlineLevel="0" collapsed="false">
      <c r="C134" s="112" t="s">
        <v>1176</v>
      </c>
    </row>
    <row r="135" customFormat="false" ht="15.75" hidden="false" customHeight="false" outlineLevel="0" collapsed="false">
      <c r="C135" s="382" t="s">
        <v>1177</v>
      </c>
    </row>
    <row r="136" customFormat="false" ht="12.75" hidden="false" customHeight="false" outlineLevel="0" collapsed="false">
      <c r="C136" s="112" t="s">
        <v>1124</v>
      </c>
      <c r="D136" s="385" t="s">
        <v>1125</v>
      </c>
      <c r="E136" s="390" t="s">
        <v>1126</v>
      </c>
    </row>
    <row r="137" customFormat="false" ht="12.75" hidden="false" customHeight="false" outlineLevel="0" collapsed="false">
      <c r="C137" s="112" t="s">
        <v>1178</v>
      </c>
      <c r="D137" s="385" t="s">
        <v>795</v>
      </c>
      <c r="E137" s="384" t="s">
        <v>789</v>
      </c>
    </row>
    <row r="138" customFormat="false" ht="12.75" hidden="false" customHeight="false" outlineLevel="0" collapsed="false">
      <c r="C138" s="112" t="s">
        <v>1134</v>
      </c>
      <c r="D138" s="386" t="n">
        <f aca="false">D133+D136+D137</f>
        <v>-986</v>
      </c>
      <c r="E138" s="386" t="n">
        <f aca="false">2*SQRT((E133/2)^2+(E136/2)^2+(E137/2)^2)</f>
        <v>0.949526197637538</v>
      </c>
    </row>
    <row r="139" customFormat="false" ht="15.75" hidden="false" customHeight="false" outlineLevel="0" collapsed="false">
      <c r="B139" s="10" t="s">
        <v>1170</v>
      </c>
      <c r="C139" s="382" t="s">
        <v>1174</v>
      </c>
      <c r="D139" s="387" t="n">
        <f aca="false">D138-D136-D137</f>
        <v>-65.2500000000001</v>
      </c>
      <c r="E139" s="387" t="n">
        <f aca="false">2*SQRT((E138/2)^2-(E136/2)^2-(E137/2)^2)</f>
        <v>0.3</v>
      </c>
      <c r="F139" s="10" t="s">
        <v>1167</v>
      </c>
    </row>
    <row r="140" customFormat="false" ht="12.75" hidden="false" customHeight="false" outlineLevel="0" collapsed="false">
      <c r="C140" s="112"/>
    </row>
    <row r="141" customFormat="false" ht="14.25" hidden="false" customHeight="false" outlineLevel="0" collapsed="false">
      <c r="C141" s="112" t="s">
        <v>208</v>
      </c>
      <c r="D141" s="388" t="s">
        <v>1179</v>
      </c>
      <c r="E141" s="10" t="s">
        <v>1172</v>
      </c>
    </row>
    <row r="142" customFormat="false" ht="14.25" hidden="false" customHeight="false" outlineLevel="0" collapsed="false">
      <c r="C142" s="382"/>
      <c r="D142" s="391" t="n">
        <f aca="false">D141*4.184</f>
        <v>-986.5872</v>
      </c>
      <c r="E142" s="10" t="s">
        <v>1167</v>
      </c>
    </row>
    <row r="144" customFormat="false" ht="12.75" hidden="false" customHeight="false" outlineLevel="0" collapsed="false">
      <c r="C144" s="10" t="s">
        <v>1139</v>
      </c>
    </row>
    <row r="145" customFormat="false" ht="12.75" hidden="false" customHeight="false" outlineLevel="0" collapsed="false">
      <c r="C145" s="10" t="s">
        <v>1180</v>
      </c>
    </row>
    <row r="146" customFormat="false" ht="12.75" hidden="false" customHeight="false" outlineLevel="0" collapsed="false">
      <c r="C146" s="112" t="s">
        <v>1164</v>
      </c>
    </row>
    <row r="147" customFormat="false" ht="15.75" hidden="false" customHeight="false" outlineLevel="0" collapsed="false">
      <c r="C147" s="382" t="s">
        <v>1165</v>
      </c>
      <c r="D147" s="384" t="s">
        <v>1181</v>
      </c>
      <c r="E147" s="384" t="s">
        <v>1062</v>
      </c>
      <c r="F147" s="10" t="s">
        <v>1167</v>
      </c>
    </row>
    <row r="148" customFormat="false" ht="12.75" hidden="false" customHeight="false" outlineLevel="0" collapsed="false">
      <c r="C148" s="112" t="s">
        <v>1182</v>
      </c>
    </row>
    <row r="149" customFormat="false" ht="15.75" hidden="false" customHeight="false" outlineLevel="0" collapsed="false">
      <c r="C149" s="382" t="s">
        <v>1183</v>
      </c>
    </row>
    <row r="150" customFormat="false" ht="12.75" hidden="false" customHeight="false" outlineLevel="0" collapsed="false">
      <c r="C150" s="112" t="s">
        <v>963</v>
      </c>
      <c r="D150" s="385" t="s">
        <v>964</v>
      </c>
      <c r="E150" s="390" t="s">
        <v>896</v>
      </c>
    </row>
    <row r="151" customFormat="false" ht="12.75" hidden="false" customHeight="false" outlineLevel="0" collapsed="false">
      <c r="C151" s="112" t="s">
        <v>893</v>
      </c>
      <c r="D151" s="385" t="s">
        <v>894</v>
      </c>
      <c r="E151" s="384" t="s">
        <v>761</v>
      </c>
    </row>
    <row r="152" customFormat="false" ht="12.75" hidden="false" customHeight="false" outlineLevel="0" collapsed="false">
      <c r="C152" s="112" t="s">
        <v>1139</v>
      </c>
      <c r="D152" s="386" t="n">
        <f aca="false">-D147+D150+D151</f>
        <v>-1207.98</v>
      </c>
      <c r="E152" s="386" t="n">
        <f aca="false">2*SQRT((E147/2)^2+(E150/2)^2+(E151/2)^2)</f>
        <v>1.19268604418766</v>
      </c>
    </row>
    <row r="153" customFormat="false" ht="15.75" hidden="false" customHeight="false" outlineLevel="0" collapsed="false">
      <c r="B153" s="10" t="s">
        <v>1170</v>
      </c>
      <c r="C153" s="382" t="s">
        <v>1165</v>
      </c>
      <c r="D153" s="387" t="n">
        <f aca="false">-D152+D150+D151</f>
        <v>-10.25</v>
      </c>
      <c r="E153" s="387" t="n">
        <f aca="false">2*SQRT((E152/2)^2-(E150/2)^2-(E151/2)^2)</f>
        <v>0.6</v>
      </c>
      <c r="F153" s="10" t="s">
        <v>1167</v>
      </c>
    </row>
    <row r="154" customFormat="false" ht="12.75" hidden="false" customHeight="false" outlineLevel="0" collapsed="false">
      <c r="C154" s="112"/>
    </row>
    <row r="155" customFormat="false" ht="14.25" hidden="false" customHeight="false" outlineLevel="0" collapsed="false">
      <c r="C155" s="112" t="s">
        <v>208</v>
      </c>
      <c r="D155" s="388" t="n">
        <v>-288.45</v>
      </c>
      <c r="E155" s="10" t="s">
        <v>1172</v>
      </c>
    </row>
    <row r="156" customFormat="false" ht="14.25" hidden="false" customHeight="false" outlineLevel="0" collapsed="false">
      <c r="C156" s="382"/>
      <c r="D156" s="391" t="n">
        <f aca="false">D155*4.184</f>
        <v>-1206.8748</v>
      </c>
      <c r="E156" s="10" t="s">
        <v>1167</v>
      </c>
    </row>
    <row r="158" customFormat="false" ht="14.25" hidden="false" customHeight="false" outlineLevel="0" collapsed="false">
      <c r="C158" s="112" t="s">
        <v>557</v>
      </c>
      <c r="D158" s="388" t="n">
        <v>-1206.92</v>
      </c>
      <c r="E158" s="10" t="s">
        <v>1167</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sheetPr filterMode="false">
    <pageSetUpPr fitToPage="false"/>
  </sheetPr>
  <dimension ref="A1:BQ11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40" activeCellId="1" sqref="B16:B122 E16:F122"/>
    </sheetView>
  </sheetViews>
  <sheetFormatPr defaultRowHeight="12.75" zeroHeight="false" outlineLevelRow="0" outlineLevelCol="0"/>
  <cols>
    <col collapsed="false" customWidth="true" hidden="false" outlineLevel="0" max="1" min="1" style="0" width="13.14"/>
    <col collapsed="false" customWidth="true" hidden="false" outlineLevel="0" max="9" min="2" style="0" width="11.42"/>
    <col collapsed="false" customWidth="true" hidden="false" outlineLevel="0" max="10" min="10" style="44" width="11.42"/>
    <col collapsed="false" customWidth="true" hidden="false" outlineLevel="0" max="11" min="11" style="73" width="11.42"/>
    <col collapsed="false" customWidth="true" hidden="false" outlineLevel="0" max="15" min="12" style="73" width="6.15"/>
    <col collapsed="false" customWidth="true" hidden="false" outlineLevel="0" max="37" min="16" style="0" width="6.15"/>
    <col collapsed="false" customWidth="true" hidden="false" outlineLevel="0" max="43" min="38" style="0" width="11.42"/>
    <col collapsed="false" customWidth="true" hidden="false" outlineLevel="0" max="69" min="44" style="0" width="6.15"/>
    <col collapsed="false" customWidth="true" hidden="false" outlineLevel="0" max="1025" min="70" style="0" width="11.42"/>
  </cols>
  <sheetData>
    <row r="1" customFormat="false" ht="12.75" hidden="false" customHeight="false" outlineLevel="0" collapsed="false">
      <c r="A1" s="9" t="str">
        <f aca="true">MID(CELL("filename",$A$1),   FIND("\[",CELL("filename",$A$1))+2,   FIND("]",CELL("filename",$A$1),FIND("\[",CELL("filename",$A$1))+2)-FIND("\[",CELL("filename",$A$1))-2)</f>
        <v>TDProperties_Rev0_v69.xlsx</v>
      </c>
    </row>
    <row r="2" customFormat="false" ht="12.75" hidden="false" customHeight="false" outlineLevel="0" collapsed="false">
      <c r="A2" s="0" t="str">
        <f aca="true">MID(CELL("filename",A1),FIND("]",CELL("filename",A1))+1,256)</f>
        <v>AGS Species C89 w Gibbs</v>
      </c>
    </row>
    <row r="3" customFormat="false" ht="12.75" hidden="false" customHeight="false" outlineLevel="0" collapsed="false">
      <c r="A3" s="44"/>
    </row>
    <row r="4" customFormat="false" ht="12.75" hidden="false" customHeight="false" outlineLevel="0" collapsed="false">
      <c r="A4" s="281" t="s">
        <v>1184</v>
      </c>
    </row>
    <row r="5" customFormat="false" ht="12.75" hidden="false" customHeight="false" outlineLevel="0" collapsed="false">
      <c r="A5" s="10" t="s">
        <v>150</v>
      </c>
    </row>
    <row r="6" customFormat="false" ht="12.75" hidden="false" customHeight="false" outlineLevel="0" collapsed="false">
      <c r="A6" s="10" t="s">
        <v>775</v>
      </c>
    </row>
    <row r="7" customFormat="false" ht="12.75" hidden="false" customHeight="false" outlineLevel="0" collapsed="false">
      <c r="A7" s="10"/>
    </row>
    <row r="8" customFormat="false" ht="13.5" hidden="false" customHeight="false" outlineLevel="0" collapsed="false">
      <c r="A8" s="44"/>
    </row>
    <row r="9" customFormat="false" ht="12.75" hidden="false" customHeight="false" outlineLevel="0" collapsed="false">
      <c r="E9" s="51" t="s">
        <v>530</v>
      </c>
      <c r="K9" s="52"/>
    </row>
    <row r="10" customFormat="false" ht="12.75" hidden="false" customHeight="false" outlineLevel="0" collapsed="false">
      <c r="E10" s="54" t="s">
        <v>165</v>
      </c>
      <c r="F10" s="10"/>
      <c r="K10" s="52"/>
    </row>
    <row r="11" customFormat="false" ht="13.5" hidden="false" customHeight="false" outlineLevel="0" collapsed="false">
      <c r="E11" s="266" t="n">
        <v>1989</v>
      </c>
      <c r="AQ11" s="392" t="s">
        <v>1185</v>
      </c>
      <c r="AR11" s="73"/>
      <c r="AS11" s="73"/>
      <c r="AT11" s="73"/>
      <c r="AU11" s="73"/>
    </row>
    <row r="12" customFormat="false" ht="13.5" hidden="false" customHeight="false" outlineLevel="0" collapsed="false">
      <c r="B12" s="10"/>
      <c r="C12" s="10"/>
      <c r="AQ12" s="393" t="s">
        <v>1186</v>
      </c>
      <c r="AR12" s="394" t="s">
        <v>32</v>
      </c>
      <c r="AS12" s="395" t="s">
        <v>40</v>
      </c>
      <c r="AT12" s="396" t="s">
        <v>41</v>
      </c>
      <c r="AU12" s="396" t="s">
        <v>46</v>
      </c>
      <c r="AV12" s="395" t="s">
        <v>48</v>
      </c>
      <c r="AW12" s="395" t="s">
        <v>49</v>
      </c>
      <c r="AX12" s="396" t="s">
        <v>54</v>
      </c>
      <c r="AY12" s="396" t="s">
        <v>59</v>
      </c>
      <c r="AZ12" s="396" t="s">
        <v>66</v>
      </c>
      <c r="BA12" s="396" t="s">
        <v>68</v>
      </c>
      <c r="BB12" s="396" t="s">
        <v>75</v>
      </c>
      <c r="BC12" s="396" t="s">
        <v>82</v>
      </c>
      <c r="BD12" s="396" t="s">
        <v>86</v>
      </c>
      <c r="BE12" s="396" t="s">
        <v>89</v>
      </c>
      <c r="BF12" s="395" t="s">
        <v>93</v>
      </c>
      <c r="BG12" s="396" t="s">
        <v>97</v>
      </c>
      <c r="BH12" s="396" t="s">
        <v>99</v>
      </c>
      <c r="BI12" s="395" t="s">
        <v>103</v>
      </c>
      <c r="BJ12" s="396" t="s">
        <v>107</v>
      </c>
      <c r="BK12" s="395" t="s">
        <v>110</v>
      </c>
      <c r="BL12" s="396" t="s">
        <v>119</v>
      </c>
      <c r="BM12" s="396" t="s">
        <v>120</v>
      </c>
      <c r="BN12" s="396" t="s">
        <v>125</v>
      </c>
      <c r="BO12" s="395" t="s">
        <v>129</v>
      </c>
      <c r="BP12" s="396" t="s">
        <v>132</v>
      </c>
      <c r="BQ12" s="397" t="s">
        <v>1187</v>
      </c>
    </row>
    <row r="13" customFormat="false" ht="13.5" hidden="false" customHeight="false" outlineLevel="0" collapsed="false">
      <c r="C13" s="9" t="s">
        <v>711</v>
      </c>
      <c r="E13" s="9" t="s">
        <v>1188</v>
      </c>
      <c r="AQ13" s="398" t="s">
        <v>1189</v>
      </c>
      <c r="AR13" s="399" t="n">
        <v>28.3</v>
      </c>
      <c r="AS13" s="400" t="n">
        <v>5.9</v>
      </c>
      <c r="AT13" s="400"/>
      <c r="AU13" s="400" t="n">
        <v>152.21</v>
      </c>
      <c r="AV13" s="401" t="n">
        <v>5.74</v>
      </c>
      <c r="AW13" s="401" t="n">
        <v>41.59</v>
      </c>
      <c r="AX13" s="400" t="n">
        <v>223.081</v>
      </c>
      <c r="AY13" s="401" t="n">
        <v>85.23</v>
      </c>
      <c r="AZ13" s="400" t="n">
        <v>202.791</v>
      </c>
      <c r="BA13" s="401"/>
      <c r="BB13" s="400" t="n">
        <v>130.68</v>
      </c>
      <c r="BC13" s="400" t="n">
        <v>116.14</v>
      </c>
      <c r="BD13" s="401" t="n">
        <v>64.68</v>
      </c>
      <c r="BE13" s="401" t="n">
        <v>29.12</v>
      </c>
      <c r="BF13" s="401" t="n">
        <v>32.67</v>
      </c>
      <c r="BG13" s="400" t="n">
        <v>191.609</v>
      </c>
      <c r="BH13" s="400" t="n">
        <v>51.3</v>
      </c>
      <c r="BI13" s="401"/>
      <c r="BJ13" s="400" t="n">
        <v>205.152</v>
      </c>
      <c r="BK13" s="401" t="n">
        <v>41.09</v>
      </c>
      <c r="BL13" s="401"/>
      <c r="BM13" s="401" t="n">
        <v>76.78</v>
      </c>
      <c r="BN13" s="401" t="n">
        <v>32.054</v>
      </c>
      <c r="BO13" s="401" t="n">
        <v>18.81</v>
      </c>
      <c r="BP13" s="402"/>
      <c r="BQ13" s="403" t="n">
        <f aca="false">-0.5*BB13</f>
        <v>-65.34</v>
      </c>
    </row>
    <row r="14" customFormat="false" ht="12.75" hidden="false" customHeight="false" outlineLevel="0" collapsed="false">
      <c r="C14" s="9" t="s">
        <v>157</v>
      </c>
      <c r="E14" s="282" t="s">
        <v>1190</v>
      </c>
      <c r="AQ14" s="404" t="s">
        <v>1191</v>
      </c>
      <c r="AR14" s="405" t="n">
        <v>0.1</v>
      </c>
      <c r="AS14" s="406" t="n">
        <v>0.08</v>
      </c>
      <c r="AT14" s="406"/>
      <c r="AU14" s="406" t="n">
        <v>0.3</v>
      </c>
      <c r="AV14" s="406" t="n">
        <v>0.1</v>
      </c>
      <c r="AW14" s="406" t="n">
        <v>0.4</v>
      </c>
      <c r="AX14" s="406" t="n">
        <v>0.01</v>
      </c>
      <c r="AY14" s="406" t="n">
        <v>0.4</v>
      </c>
      <c r="AZ14" s="406" t="n">
        <v>0.005</v>
      </c>
      <c r="BA14" s="406"/>
      <c r="BB14" s="406" t="n">
        <v>0.003</v>
      </c>
      <c r="BC14" s="406" t="n">
        <v>0.3</v>
      </c>
      <c r="BD14" s="406" t="n">
        <v>0.2</v>
      </c>
      <c r="BE14" s="406" t="n">
        <v>0.2</v>
      </c>
      <c r="BF14" s="406" t="n">
        <v>0.1</v>
      </c>
      <c r="BG14" s="406" t="n">
        <v>0.004</v>
      </c>
      <c r="BH14" s="406" t="n">
        <v>0.2</v>
      </c>
      <c r="BI14" s="406"/>
      <c r="BJ14" s="406" t="n">
        <v>0.005</v>
      </c>
      <c r="BK14" s="406" t="n">
        <v>0.25</v>
      </c>
      <c r="BL14" s="406"/>
      <c r="BM14" s="406" t="n">
        <v>0.3</v>
      </c>
      <c r="BN14" s="406" t="n">
        <v>0.05</v>
      </c>
      <c r="BO14" s="406" t="n">
        <v>0.08</v>
      </c>
      <c r="BP14" s="407"/>
      <c r="BQ14" s="403" t="n">
        <f aca="false">0.5*BB14</f>
        <v>0.0015</v>
      </c>
    </row>
    <row r="15" customFormat="false" ht="13.5" hidden="false" customHeight="false" outlineLevel="0" collapsed="false">
      <c r="B15" s="9"/>
      <c r="C15" s="9"/>
      <c r="AN15" s="191"/>
      <c r="AQ15" s="408" t="s">
        <v>1192</v>
      </c>
      <c r="AR15" s="409" t="n">
        <f aca="false">(0.5*AR14)^2</f>
        <v>0.0025</v>
      </c>
      <c r="AS15" s="410" t="n">
        <f aca="false">(0.5*AS14)^2</f>
        <v>0.0016</v>
      </c>
      <c r="AT15" s="410" t="n">
        <f aca="false">(0.5*AT14)^2</f>
        <v>0</v>
      </c>
      <c r="AU15" s="410" t="n">
        <f aca="false">(0.5*AU14)^2</f>
        <v>0.0225</v>
      </c>
      <c r="AV15" s="410" t="n">
        <f aca="false">(0.5*AV14)^2</f>
        <v>0.0025</v>
      </c>
      <c r="AW15" s="410" t="n">
        <f aca="false">(0.5*AW14)^2</f>
        <v>0.04</v>
      </c>
      <c r="AX15" s="410" t="n">
        <f aca="false">(0.5*AX14)^2</f>
        <v>2.5E-005</v>
      </c>
      <c r="AY15" s="410" t="n">
        <f aca="false">(0.5*AY14)^2</f>
        <v>0.04</v>
      </c>
      <c r="AZ15" s="410" t="n">
        <f aca="false">(0.5*AZ14)^2</f>
        <v>6.25E-006</v>
      </c>
      <c r="BA15" s="410" t="n">
        <f aca="false">(0.5*BA14)^2</f>
        <v>0</v>
      </c>
      <c r="BB15" s="410" t="n">
        <f aca="false">(0.5*BB14)^2</f>
        <v>2.25E-006</v>
      </c>
      <c r="BC15" s="410" t="n">
        <f aca="false">(0.5*BC14)^2</f>
        <v>0.0225</v>
      </c>
      <c r="BD15" s="410" t="n">
        <f aca="false">(0.5*BD14)^2</f>
        <v>0.01</v>
      </c>
      <c r="BE15" s="410" t="n">
        <f aca="false">(0.5*BE14)^2</f>
        <v>0.01</v>
      </c>
      <c r="BF15" s="410" t="n">
        <f aca="false">(0.5*BF14)^2</f>
        <v>0.0025</v>
      </c>
      <c r="BG15" s="410" t="n">
        <f aca="false">(0.5*BG14)^2</f>
        <v>4E-006</v>
      </c>
      <c r="BH15" s="410" t="n">
        <f aca="false">(0.5*BH14)^2</f>
        <v>0.01</v>
      </c>
      <c r="BI15" s="410" t="n">
        <f aca="false">(0.5*BI14)^2</f>
        <v>0</v>
      </c>
      <c r="BJ15" s="410" t="n">
        <f aca="false">(0.5*BJ14)^2</f>
        <v>6.25E-006</v>
      </c>
      <c r="BK15" s="410" t="n">
        <f aca="false">(0.5*BK14)^2</f>
        <v>0.015625</v>
      </c>
      <c r="BL15" s="410" t="n">
        <f aca="false">(0.5*BL14)^2</f>
        <v>0</v>
      </c>
      <c r="BM15" s="410" t="n">
        <f aca="false">(0.5*BM14)^2</f>
        <v>0.0225</v>
      </c>
      <c r="BN15" s="410" t="n">
        <f aca="false">(0.5*BN14)^2</f>
        <v>0.000625</v>
      </c>
      <c r="BO15" s="410" t="n">
        <f aca="false">(0.5*BO14)^2</f>
        <v>0.0016</v>
      </c>
      <c r="BP15" s="410" t="n">
        <f aca="false">(0.5*BP14)^2</f>
        <v>0</v>
      </c>
      <c r="BQ15" s="410" t="n">
        <f aca="false">(0.5*BQ14)^2</f>
        <v>5.625E-007</v>
      </c>
    </row>
    <row r="16" customFormat="false" ht="15" hidden="false" customHeight="false" outlineLevel="0" collapsed="false">
      <c r="A16" s="10"/>
      <c r="B16" s="10"/>
      <c r="C16" s="15"/>
      <c r="D16" s="283" t="s">
        <v>779</v>
      </c>
      <c r="E16" s="284"/>
      <c r="F16" s="283" t="s">
        <v>780</v>
      </c>
      <c r="G16" s="284"/>
      <c r="H16" s="283" t="s">
        <v>781</v>
      </c>
      <c r="I16" s="284"/>
    </row>
    <row r="17" customFormat="false" ht="13.5" hidden="false" customHeight="false" outlineLevel="0" collapsed="false">
      <c r="A17" s="10"/>
      <c r="B17" s="10"/>
      <c r="C17" s="16"/>
      <c r="D17" s="50"/>
      <c r="E17" s="50" t="s">
        <v>725</v>
      </c>
      <c r="F17" s="50"/>
      <c r="G17" s="50" t="s">
        <v>725</v>
      </c>
      <c r="H17" s="50"/>
      <c r="I17" s="50" t="s">
        <v>725</v>
      </c>
      <c r="AQ17" s="411" t="s">
        <v>1185</v>
      </c>
    </row>
    <row r="18" customFormat="false" ht="13.5" hidden="false" customHeight="false" outlineLevel="0" collapsed="false">
      <c r="C18" s="16" t="s">
        <v>782</v>
      </c>
      <c r="D18" s="53" t="s">
        <v>726</v>
      </c>
      <c r="E18" s="53" t="s">
        <v>727</v>
      </c>
      <c r="F18" s="53" t="s">
        <v>726</v>
      </c>
      <c r="G18" s="53" t="s">
        <v>727</v>
      </c>
      <c r="H18" s="53" t="s">
        <v>726</v>
      </c>
      <c r="I18" s="53" t="s">
        <v>727</v>
      </c>
      <c r="K18" s="11"/>
      <c r="L18" s="412" t="s">
        <v>1193</v>
      </c>
      <c r="M18" s="413"/>
      <c r="N18" s="413"/>
      <c r="O18" s="413"/>
      <c r="P18" s="414"/>
      <c r="Q18" s="414"/>
      <c r="R18" s="414"/>
      <c r="S18" s="414"/>
      <c r="T18" s="414"/>
      <c r="U18" s="414"/>
      <c r="V18" s="414"/>
      <c r="W18" s="414"/>
      <c r="X18" s="414"/>
      <c r="Y18" s="414"/>
      <c r="Z18" s="414"/>
      <c r="AA18" s="414"/>
      <c r="AB18" s="414"/>
      <c r="AC18" s="414"/>
      <c r="AD18" s="414"/>
      <c r="AE18" s="414"/>
      <c r="AF18" s="414"/>
      <c r="AG18" s="414"/>
      <c r="AH18" s="414"/>
      <c r="AI18" s="414"/>
      <c r="AJ18" s="414"/>
      <c r="AK18" s="279"/>
      <c r="AM18" s="9" t="s">
        <v>1194</v>
      </c>
      <c r="AN18" s="9"/>
      <c r="AO18" s="9"/>
      <c r="AQ18" s="11"/>
      <c r="AR18" s="412"/>
      <c r="AS18" s="413"/>
      <c r="AT18" s="413"/>
      <c r="AU18" s="413"/>
      <c r="AV18" s="414"/>
      <c r="AW18" s="414"/>
      <c r="AX18" s="414" t="s">
        <v>1195</v>
      </c>
      <c r="AY18" s="414"/>
      <c r="AZ18" s="414"/>
      <c r="BA18" s="414"/>
      <c r="BB18" s="414"/>
      <c r="BC18" s="414"/>
      <c r="BD18" s="414"/>
      <c r="BE18" s="414"/>
      <c r="BF18" s="414"/>
      <c r="BG18" s="414" t="s">
        <v>1196</v>
      </c>
      <c r="BH18" s="414"/>
      <c r="BI18" s="414"/>
      <c r="BJ18" s="414"/>
      <c r="BK18" s="414"/>
      <c r="BL18" s="414"/>
      <c r="BM18" s="414"/>
      <c r="BN18" s="414"/>
      <c r="BO18" s="414"/>
      <c r="BP18" s="414"/>
      <c r="BQ18" s="279"/>
    </row>
    <row r="19" customFormat="false" ht="15" hidden="false" customHeight="false" outlineLevel="0" collapsed="false">
      <c r="C19" s="21" t="s">
        <v>783</v>
      </c>
      <c r="D19" s="55" t="s">
        <v>784</v>
      </c>
      <c r="E19" s="55" t="s">
        <v>784</v>
      </c>
      <c r="F19" s="55" t="s">
        <v>784</v>
      </c>
      <c r="G19" s="55" t="s">
        <v>784</v>
      </c>
      <c r="H19" s="55" t="s">
        <v>167</v>
      </c>
      <c r="I19" s="55" t="s">
        <v>167</v>
      </c>
      <c r="K19" s="415" t="s">
        <v>783</v>
      </c>
      <c r="L19" s="416" t="s">
        <v>32</v>
      </c>
      <c r="M19" s="417" t="s">
        <v>40</v>
      </c>
      <c r="N19" s="418" t="s">
        <v>41</v>
      </c>
      <c r="O19" s="418" t="s">
        <v>46</v>
      </c>
      <c r="P19" s="417" t="s">
        <v>48</v>
      </c>
      <c r="Q19" s="417" t="s">
        <v>49</v>
      </c>
      <c r="R19" s="418" t="s">
        <v>54</v>
      </c>
      <c r="S19" s="418" t="s">
        <v>59</v>
      </c>
      <c r="T19" s="418" t="s">
        <v>66</v>
      </c>
      <c r="U19" s="418" t="s">
        <v>68</v>
      </c>
      <c r="V19" s="418" t="s">
        <v>75</v>
      </c>
      <c r="W19" s="418" t="s">
        <v>82</v>
      </c>
      <c r="X19" s="418" t="s">
        <v>86</v>
      </c>
      <c r="Y19" s="418" t="s">
        <v>89</v>
      </c>
      <c r="Z19" s="417" t="s">
        <v>93</v>
      </c>
      <c r="AA19" s="418" t="s">
        <v>97</v>
      </c>
      <c r="AB19" s="418" t="s">
        <v>99</v>
      </c>
      <c r="AC19" s="417" t="s">
        <v>103</v>
      </c>
      <c r="AD19" s="418" t="s">
        <v>107</v>
      </c>
      <c r="AE19" s="417" t="s">
        <v>110</v>
      </c>
      <c r="AF19" s="418" t="s">
        <v>119</v>
      </c>
      <c r="AG19" s="418" t="s">
        <v>120</v>
      </c>
      <c r="AH19" s="418" t="s">
        <v>125</v>
      </c>
      <c r="AI19" s="417" t="s">
        <v>129</v>
      </c>
      <c r="AJ19" s="418" t="s">
        <v>132</v>
      </c>
      <c r="AK19" s="419" t="s">
        <v>1187</v>
      </c>
      <c r="AM19" s="9" t="s">
        <v>157</v>
      </c>
      <c r="AN19" s="10"/>
      <c r="AO19" s="10"/>
      <c r="AQ19" s="415" t="s">
        <v>783</v>
      </c>
      <c r="AR19" s="420" t="s">
        <v>32</v>
      </c>
      <c r="AS19" s="421" t="s">
        <v>40</v>
      </c>
      <c r="AT19" s="422" t="s">
        <v>41</v>
      </c>
      <c r="AU19" s="422" t="s">
        <v>46</v>
      </c>
      <c r="AV19" s="421" t="s">
        <v>48</v>
      </c>
      <c r="AW19" s="421" t="s">
        <v>49</v>
      </c>
      <c r="AX19" s="422" t="s">
        <v>54</v>
      </c>
      <c r="AY19" s="422" t="s">
        <v>59</v>
      </c>
      <c r="AZ19" s="422" t="s">
        <v>66</v>
      </c>
      <c r="BA19" s="422" t="s">
        <v>68</v>
      </c>
      <c r="BB19" s="422" t="s">
        <v>75</v>
      </c>
      <c r="BC19" s="422" t="s">
        <v>82</v>
      </c>
      <c r="BD19" s="422" t="s">
        <v>86</v>
      </c>
      <c r="BE19" s="422" t="s">
        <v>89</v>
      </c>
      <c r="BF19" s="421" t="s">
        <v>93</v>
      </c>
      <c r="BG19" s="422" t="s">
        <v>97</v>
      </c>
      <c r="BH19" s="422" t="s">
        <v>99</v>
      </c>
      <c r="BI19" s="421" t="s">
        <v>103</v>
      </c>
      <c r="BJ19" s="422" t="s">
        <v>107</v>
      </c>
      <c r="BK19" s="421" t="s">
        <v>110</v>
      </c>
      <c r="BL19" s="422" t="s">
        <v>119</v>
      </c>
      <c r="BM19" s="422" t="s">
        <v>120</v>
      </c>
      <c r="BN19" s="422" t="s">
        <v>125</v>
      </c>
      <c r="BO19" s="421" t="s">
        <v>129</v>
      </c>
      <c r="BP19" s="422" t="s">
        <v>132</v>
      </c>
      <c r="BQ19" s="423" t="s">
        <v>1187</v>
      </c>
    </row>
    <row r="20" customFormat="false" ht="13.5" hidden="false" customHeight="false" outlineLevel="0" collapsed="false">
      <c r="A20" s="45"/>
      <c r="B20" s="44"/>
      <c r="C20" s="424" t="s">
        <v>785</v>
      </c>
      <c r="D20" s="285" t="n">
        <f aca="false">IF(F20="","",IF(H20="","",ROUND(F20-0.001*298.15*(H20-SUMPRODUCT(L20:AK20*AR$13:BQ$13)),3)))</f>
        <v>0</v>
      </c>
      <c r="E20" s="131" t="n">
        <f aca="false">IF(G20="","",IF(I20="","",ROUND(2*SQRT((0.5*G20)^2+(0.001*298.15)^2*((0.5*I20)^2+SUMPRODUCT(AR20:BQ20*AR$15:BQ$15))),3)))</f>
        <v>0</v>
      </c>
      <c r="F20" s="286" t="s">
        <v>786</v>
      </c>
      <c r="G20" s="287" t="s">
        <v>786</v>
      </c>
      <c r="H20" s="286" t="s">
        <v>786</v>
      </c>
      <c r="I20" s="337" t="s">
        <v>786</v>
      </c>
      <c r="K20" s="425" t="s">
        <v>785</v>
      </c>
      <c r="L20" s="426"/>
      <c r="M20" s="427"/>
      <c r="N20" s="427"/>
      <c r="O20" s="427"/>
      <c r="P20" s="428"/>
      <c r="Q20" s="428"/>
      <c r="R20" s="428"/>
      <c r="S20" s="428"/>
      <c r="T20" s="428"/>
      <c r="U20" s="428"/>
      <c r="V20" s="428" t="n">
        <v>0.5</v>
      </c>
      <c r="W20" s="428"/>
      <c r="X20" s="428"/>
      <c r="Y20" s="428"/>
      <c r="Z20" s="428"/>
      <c r="AA20" s="428"/>
      <c r="AB20" s="428"/>
      <c r="AC20" s="428"/>
      <c r="AD20" s="428"/>
      <c r="AE20" s="428"/>
      <c r="AF20" s="428"/>
      <c r="AG20" s="428"/>
      <c r="AH20" s="428"/>
      <c r="AI20" s="429"/>
      <c r="AJ20" s="428"/>
      <c r="AK20" s="430" t="n">
        <v>1</v>
      </c>
      <c r="AM20" s="73"/>
      <c r="AN20" s="73"/>
      <c r="AO20" s="73"/>
      <c r="AQ20" s="425" t="s">
        <v>785</v>
      </c>
      <c r="AR20" s="431" t="n">
        <f aca="false">L20^2</f>
        <v>0</v>
      </c>
      <c r="AS20" s="432" t="n">
        <f aca="false">M20^2</f>
        <v>0</v>
      </c>
      <c r="AT20" s="432" t="n">
        <f aca="false">N20^2</f>
        <v>0</v>
      </c>
      <c r="AU20" s="432" t="n">
        <f aca="false">O20^2</f>
        <v>0</v>
      </c>
      <c r="AV20" s="432" t="n">
        <f aca="false">P20^2</f>
        <v>0</v>
      </c>
      <c r="AW20" s="432" t="n">
        <f aca="false">Q20^2</f>
        <v>0</v>
      </c>
      <c r="AX20" s="432" t="n">
        <f aca="false">R20^2</f>
        <v>0</v>
      </c>
      <c r="AY20" s="432" t="n">
        <f aca="false">S20^2</f>
        <v>0</v>
      </c>
      <c r="AZ20" s="432" t="n">
        <f aca="false">T20^2</f>
        <v>0</v>
      </c>
      <c r="BA20" s="432" t="n">
        <f aca="false">U20^2</f>
        <v>0</v>
      </c>
      <c r="BB20" s="432" t="n">
        <f aca="false">V20^2</f>
        <v>0.25</v>
      </c>
      <c r="BC20" s="432" t="n">
        <f aca="false">W20^2</f>
        <v>0</v>
      </c>
      <c r="BD20" s="432" t="n">
        <f aca="false">X20^2</f>
        <v>0</v>
      </c>
      <c r="BE20" s="432" t="n">
        <f aca="false">Y20^2</f>
        <v>0</v>
      </c>
      <c r="BF20" s="432" t="n">
        <f aca="false">Z20^2</f>
        <v>0</v>
      </c>
      <c r="BG20" s="432" t="n">
        <f aca="false">AA20^2</f>
        <v>0</v>
      </c>
      <c r="BH20" s="432" t="n">
        <f aca="false">AB20^2</f>
        <v>0</v>
      </c>
      <c r="BI20" s="432" t="n">
        <f aca="false">AC20^2</f>
        <v>0</v>
      </c>
      <c r="BJ20" s="432" t="n">
        <f aca="false">AD20^2</f>
        <v>0</v>
      </c>
      <c r="BK20" s="432" t="n">
        <f aca="false">AE20^2</f>
        <v>0</v>
      </c>
      <c r="BL20" s="432" t="n">
        <f aca="false">AF20^2</f>
        <v>0</v>
      </c>
      <c r="BM20" s="432" t="n">
        <f aca="false">AG20^2</f>
        <v>0</v>
      </c>
      <c r="BN20" s="432" t="n">
        <f aca="false">AH20^2</f>
        <v>0</v>
      </c>
      <c r="BO20" s="432" t="n">
        <f aca="false">AI20^2</f>
        <v>0</v>
      </c>
      <c r="BP20" s="432" t="n">
        <f aca="false">AJ20^2</f>
        <v>0</v>
      </c>
      <c r="BQ20" s="433" t="n">
        <f aca="false">-SIGN(AK20)*AK20^2</f>
        <v>-1</v>
      </c>
    </row>
    <row r="21" customFormat="false" ht="12.75" hidden="false" customHeight="false" outlineLevel="0" collapsed="false">
      <c r="A21" s="45"/>
      <c r="B21" s="44"/>
      <c r="C21" s="161" t="s">
        <v>787</v>
      </c>
      <c r="D21" s="290" t="n">
        <f aca="false">IF(F21="","",IF(H21="","",ROUND(F21-0.001*298.15*(H21-SUMPRODUCT(L21:AK21*AR$13:BQ$13)),3)))</f>
        <v>-157.22</v>
      </c>
      <c r="E21" s="137" t="n">
        <f aca="false">IF(G21="","",IF(I21="","",ROUND(2*SQRT((0.5*G21)^2+(0.001*298.15)^2*((0.5*I21)^2+SUMPRODUCT(AR21:BQ21*AR$15:BQ$15))),3)))</f>
        <v>0.072</v>
      </c>
      <c r="F21" s="291" t="s">
        <v>788</v>
      </c>
      <c r="G21" s="292" t="s">
        <v>789</v>
      </c>
      <c r="H21" s="291" t="s">
        <v>790</v>
      </c>
      <c r="I21" s="292" t="s">
        <v>728</v>
      </c>
      <c r="K21" s="342" t="s">
        <v>787</v>
      </c>
      <c r="L21" s="434"/>
      <c r="M21" s="435"/>
      <c r="N21" s="435"/>
      <c r="O21" s="435"/>
      <c r="P21" s="436"/>
      <c r="Q21" s="436"/>
      <c r="R21" s="436"/>
      <c r="S21" s="436"/>
      <c r="T21" s="436"/>
      <c r="U21" s="436"/>
      <c r="V21" s="436" t="n">
        <v>0.5</v>
      </c>
      <c r="W21" s="436"/>
      <c r="X21" s="436"/>
      <c r="Y21" s="436"/>
      <c r="Z21" s="436"/>
      <c r="AA21" s="436"/>
      <c r="AB21" s="436"/>
      <c r="AC21" s="436"/>
      <c r="AD21" s="436" t="n">
        <v>0.5</v>
      </c>
      <c r="AE21" s="436"/>
      <c r="AF21" s="436"/>
      <c r="AG21" s="436"/>
      <c r="AH21" s="436"/>
      <c r="AI21" s="437"/>
      <c r="AJ21" s="436"/>
      <c r="AK21" s="438" t="n">
        <v>-1</v>
      </c>
      <c r="AM21" s="11"/>
      <c r="AN21" s="167"/>
      <c r="AO21" s="167"/>
      <c r="AQ21" s="342" t="s">
        <v>787</v>
      </c>
      <c r="AR21" s="439" t="n">
        <f aca="false">L21^2</f>
        <v>0</v>
      </c>
      <c r="AS21" s="440" t="n">
        <f aca="false">M21^2</f>
        <v>0</v>
      </c>
      <c r="AT21" s="440" t="n">
        <f aca="false">N21^2</f>
        <v>0</v>
      </c>
      <c r="AU21" s="440" t="n">
        <f aca="false">O21^2</f>
        <v>0</v>
      </c>
      <c r="AV21" s="440" t="n">
        <f aca="false">P21^2</f>
        <v>0</v>
      </c>
      <c r="AW21" s="440" t="n">
        <f aca="false">Q21^2</f>
        <v>0</v>
      </c>
      <c r="AX21" s="440" t="n">
        <f aca="false">R21^2</f>
        <v>0</v>
      </c>
      <c r="AY21" s="440" t="n">
        <f aca="false">S21^2</f>
        <v>0</v>
      </c>
      <c r="AZ21" s="440" t="n">
        <f aca="false">T21^2</f>
        <v>0</v>
      </c>
      <c r="BA21" s="440" t="n">
        <f aca="false">U21^2</f>
        <v>0</v>
      </c>
      <c r="BB21" s="440" t="n">
        <f aca="false">V21^2</f>
        <v>0.25</v>
      </c>
      <c r="BC21" s="440" t="n">
        <f aca="false">W21^2</f>
        <v>0</v>
      </c>
      <c r="BD21" s="440" t="n">
        <f aca="false">X21^2</f>
        <v>0</v>
      </c>
      <c r="BE21" s="440" t="n">
        <f aca="false">Y21^2</f>
        <v>0</v>
      </c>
      <c r="BF21" s="440" t="n">
        <f aca="false">Z21^2</f>
        <v>0</v>
      </c>
      <c r="BG21" s="440" t="n">
        <f aca="false">AA21^2</f>
        <v>0</v>
      </c>
      <c r="BH21" s="440" t="n">
        <f aca="false">AB21^2</f>
        <v>0</v>
      </c>
      <c r="BI21" s="440" t="n">
        <f aca="false">AC21^2</f>
        <v>0</v>
      </c>
      <c r="BJ21" s="440" t="n">
        <f aca="false">AD21^2</f>
        <v>0.25</v>
      </c>
      <c r="BK21" s="440" t="n">
        <f aca="false">AE21^2</f>
        <v>0</v>
      </c>
      <c r="BL21" s="440" t="n">
        <f aca="false">AF21^2</f>
        <v>0</v>
      </c>
      <c r="BM21" s="440" t="n">
        <f aca="false">AG21^2</f>
        <v>0</v>
      </c>
      <c r="BN21" s="440" t="n">
        <f aca="false">AH21^2</f>
        <v>0</v>
      </c>
      <c r="BO21" s="440" t="n">
        <f aca="false">AI21^2</f>
        <v>0</v>
      </c>
      <c r="BP21" s="440" t="n">
        <f aca="false">AJ21^2</f>
        <v>0</v>
      </c>
      <c r="BQ21" s="441" t="n">
        <f aca="false">-SIGN(AK21)*AK21^2</f>
        <v>1</v>
      </c>
    </row>
    <row r="22" customFormat="false" ht="12.75" hidden="false" customHeight="false" outlineLevel="0" collapsed="false">
      <c r="A22" s="45"/>
      <c r="B22" s="44"/>
      <c r="C22" s="161" t="s">
        <v>794</v>
      </c>
      <c r="D22" s="290" t="n">
        <f aca="false">IF(F22="","",IF(H22="","",ROUND(F22-0.001*298.15*(H22-SUMPRODUCT(L22:AK22*AR$13:BQ$13)),3)))</f>
        <v>-237.14</v>
      </c>
      <c r="E22" s="137" t="n">
        <f aca="false">IF(G22="","",IF(I22="","",ROUND(2*SQRT((0.5*G22)^2+(0.001*298.15)^2*((0.5*I22)^2+SUMPRODUCT(AR22:BQ22*AR$15:BQ$15))),3)))</f>
        <v>0.041</v>
      </c>
      <c r="F22" s="291" t="s">
        <v>795</v>
      </c>
      <c r="G22" s="292" t="s">
        <v>789</v>
      </c>
      <c r="H22" s="291" t="s">
        <v>796</v>
      </c>
      <c r="I22" s="292" t="s">
        <v>797</v>
      </c>
      <c r="K22" s="342" t="s">
        <v>794</v>
      </c>
      <c r="L22" s="434"/>
      <c r="M22" s="435"/>
      <c r="N22" s="435"/>
      <c r="O22" s="435"/>
      <c r="P22" s="436"/>
      <c r="Q22" s="436"/>
      <c r="R22" s="436"/>
      <c r="S22" s="436"/>
      <c r="T22" s="436"/>
      <c r="U22" s="436"/>
      <c r="V22" s="436" t="n">
        <v>1</v>
      </c>
      <c r="W22" s="436"/>
      <c r="X22" s="436"/>
      <c r="Y22" s="436"/>
      <c r="Z22" s="436"/>
      <c r="AA22" s="436"/>
      <c r="AB22" s="436"/>
      <c r="AC22" s="436"/>
      <c r="AD22" s="436" t="n">
        <v>0.5</v>
      </c>
      <c r="AE22" s="436"/>
      <c r="AF22" s="436"/>
      <c r="AG22" s="436"/>
      <c r="AH22" s="436"/>
      <c r="AI22" s="437"/>
      <c r="AJ22" s="436"/>
      <c r="AK22" s="438"/>
      <c r="AM22" s="16" t="s">
        <v>20</v>
      </c>
      <c r="AN22" s="127"/>
      <c r="AO22" s="168" t="s">
        <v>725</v>
      </c>
      <c r="AQ22" s="342" t="s">
        <v>794</v>
      </c>
      <c r="AR22" s="439" t="n">
        <f aca="false">L22^2</f>
        <v>0</v>
      </c>
      <c r="AS22" s="440" t="n">
        <f aca="false">M22^2</f>
        <v>0</v>
      </c>
      <c r="AT22" s="440" t="n">
        <f aca="false">N22^2</f>
        <v>0</v>
      </c>
      <c r="AU22" s="440" t="n">
        <f aca="false">O22^2</f>
        <v>0</v>
      </c>
      <c r="AV22" s="440" t="n">
        <f aca="false">P22^2</f>
        <v>0</v>
      </c>
      <c r="AW22" s="440" t="n">
        <f aca="false">Q22^2</f>
        <v>0</v>
      </c>
      <c r="AX22" s="440" t="n">
        <f aca="false">R22^2</f>
        <v>0</v>
      </c>
      <c r="AY22" s="440" t="n">
        <f aca="false">S22^2</f>
        <v>0</v>
      </c>
      <c r="AZ22" s="440" t="n">
        <f aca="false">T22^2</f>
        <v>0</v>
      </c>
      <c r="BA22" s="440" t="n">
        <f aca="false">U22^2</f>
        <v>0</v>
      </c>
      <c r="BB22" s="440" t="n">
        <f aca="false">V22^2</f>
        <v>1</v>
      </c>
      <c r="BC22" s="440" t="n">
        <f aca="false">W22^2</f>
        <v>0</v>
      </c>
      <c r="BD22" s="440" t="n">
        <f aca="false">X22^2</f>
        <v>0</v>
      </c>
      <c r="BE22" s="440" t="n">
        <f aca="false">Y22^2</f>
        <v>0</v>
      </c>
      <c r="BF22" s="440" t="n">
        <f aca="false">Z22^2</f>
        <v>0</v>
      </c>
      <c r="BG22" s="440" t="n">
        <f aca="false">AA22^2</f>
        <v>0</v>
      </c>
      <c r="BH22" s="440" t="n">
        <f aca="false">AB22^2</f>
        <v>0</v>
      </c>
      <c r="BI22" s="440" t="n">
        <f aca="false">AC22^2</f>
        <v>0</v>
      </c>
      <c r="BJ22" s="440" t="n">
        <f aca="false">AD22^2</f>
        <v>0.25</v>
      </c>
      <c r="BK22" s="440" t="n">
        <f aca="false">AE22^2</f>
        <v>0</v>
      </c>
      <c r="BL22" s="440" t="n">
        <f aca="false">AF22^2</f>
        <v>0</v>
      </c>
      <c r="BM22" s="440" t="n">
        <f aca="false">AG22^2</f>
        <v>0</v>
      </c>
      <c r="BN22" s="440" t="n">
        <f aca="false">AH22^2</f>
        <v>0</v>
      </c>
      <c r="BO22" s="440" t="n">
        <f aca="false">AI22^2</f>
        <v>0</v>
      </c>
      <c r="BP22" s="440" t="n">
        <f aca="false">AJ22^2</f>
        <v>0</v>
      </c>
      <c r="BQ22" s="441" t="n">
        <f aca="false">-SIGN(AK22)*AK22^2</f>
        <v>-0</v>
      </c>
    </row>
    <row r="23" customFormat="false" ht="12.75" hidden="false" customHeight="false" outlineLevel="0" collapsed="false">
      <c r="A23" s="45"/>
      <c r="B23" s="44"/>
      <c r="C23" s="161" t="s">
        <v>802</v>
      </c>
      <c r="D23" s="290" t="n">
        <f aca="false">IF(F23="","",IF(H23="","",ROUND(F23-0.001*298.15*(H23-SUMPRODUCT(L23:AK23*AR$13:BQ$13)),3)))</f>
        <v>-281.523</v>
      </c>
      <c r="E23" s="137" t="n">
        <f aca="false">IF(G23="","",IF(I23="","",ROUND(2*SQRT((0.5*G23)^2+(0.001*298.15)^2*((0.5*I23)^2+SUMPRODUCT(AR23:BQ23*AR$15:BQ$15))),3)))</f>
        <v>0.692</v>
      </c>
      <c r="F23" s="291" t="s">
        <v>803</v>
      </c>
      <c r="G23" s="292" t="s">
        <v>804</v>
      </c>
      <c r="H23" s="291" t="s">
        <v>805</v>
      </c>
      <c r="I23" s="292" t="s">
        <v>806</v>
      </c>
      <c r="K23" s="342" t="s">
        <v>802</v>
      </c>
      <c r="L23" s="434"/>
      <c r="M23" s="435"/>
      <c r="N23" s="435"/>
      <c r="O23" s="435"/>
      <c r="P23" s="436"/>
      <c r="Q23" s="436"/>
      <c r="R23" s="436"/>
      <c r="S23" s="436"/>
      <c r="T23" s="436" t="n">
        <v>0.5</v>
      </c>
      <c r="U23" s="436"/>
      <c r="V23" s="436"/>
      <c r="W23" s="436"/>
      <c r="X23" s="436"/>
      <c r="Y23" s="436"/>
      <c r="Z23" s="436"/>
      <c r="AA23" s="436"/>
      <c r="AB23" s="436"/>
      <c r="AC23" s="436"/>
      <c r="AD23" s="436"/>
      <c r="AE23" s="436"/>
      <c r="AF23" s="436"/>
      <c r="AG23" s="436"/>
      <c r="AH23" s="436"/>
      <c r="AI23" s="437"/>
      <c r="AJ23" s="436"/>
      <c r="AK23" s="438" t="n">
        <v>-1</v>
      </c>
      <c r="AM23" s="16" t="s">
        <v>17</v>
      </c>
      <c r="AN23" s="168" t="s">
        <v>726</v>
      </c>
      <c r="AO23" s="168" t="s">
        <v>727</v>
      </c>
      <c r="AQ23" s="342" t="s">
        <v>802</v>
      </c>
      <c r="AR23" s="439" t="n">
        <f aca="false">L23^2</f>
        <v>0</v>
      </c>
      <c r="AS23" s="440" t="n">
        <f aca="false">M23^2</f>
        <v>0</v>
      </c>
      <c r="AT23" s="440" t="n">
        <f aca="false">N23^2</f>
        <v>0</v>
      </c>
      <c r="AU23" s="440" t="n">
        <f aca="false">O23^2</f>
        <v>0</v>
      </c>
      <c r="AV23" s="440" t="n">
        <f aca="false">P23^2</f>
        <v>0</v>
      </c>
      <c r="AW23" s="440" t="n">
        <f aca="false">Q23^2</f>
        <v>0</v>
      </c>
      <c r="AX23" s="440" t="n">
        <f aca="false">R23^2</f>
        <v>0</v>
      </c>
      <c r="AY23" s="440" t="n">
        <f aca="false">S23^2</f>
        <v>0</v>
      </c>
      <c r="AZ23" s="440" t="n">
        <f aca="false">T23^2</f>
        <v>0.25</v>
      </c>
      <c r="BA23" s="440" t="n">
        <f aca="false">U23^2</f>
        <v>0</v>
      </c>
      <c r="BB23" s="440" t="n">
        <f aca="false">V23^2</f>
        <v>0</v>
      </c>
      <c r="BC23" s="440" t="n">
        <f aca="false">W23^2</f>
        <v>0</v>
      </c>
      <c r="BD23" s="440" t="n">
        <f aca="false">X23^2</f>
        <v>0</v>
      </c>
      <c r="BE23" s="440" t="n">
        <f aca="false">Y23^2</f>
        <v>0</v>
      </c>
      <c r="BF23" s="440" t="n">
        <f aca="false">Z23^2</f>
        <v>0</v>
      </c>
      <c r="BG23" s="440" t="n">
        <f aca="false">AA23^2</f>
        <v>0</v>
      </c>
      <c r="BH23" s="440" t="n">
        <f aca="false">AB23^2</f>
        <v>0</v>
      </c>
      <c r="BI23" s="440" t="n">
        <f aca="false">AC23^2</f>
        <v>0</v>
      </c>
      <c r="BJ23" s="440" t="n">
        <f aca="false">AD23^2</f>
        <v>0</v>
      </c>
      <c r="BK23" s="440" t="n">
        <f aca="false">AE23^2</f>
        <v>0</v>
      </c>
      <c r="BL23" s="440" t="n">
        <f aca="false">AF23^2</f>
        <v>0</v>
      </c>
      <c r="BM23" s="440" t="n">
        <f aca="false">AG23^2</f>
        <v>0</v>
      </c>
      <c r="BN23" s="440" t="n">
        <f aca="false">AH23^2</f>
        <v>0</v>
      </c>
      <c r="BO23" s="440" t="n">
        <f aca="false">AI23^2</f>
        <v>0</v>
      </c>
      <c r="BP23" s="440" t="n">
        <f aca="false">AJ23^2</f>
        <v>0</v>
      </c>
      <c r="BQ23" s="441" t="n">
        <f aca="false">-SIGN(AK23)*AK23^2</f>
        <v>1</v>
      </c>
    </row>
    <row r="24" customFormat="false" ht="13.5" hidden="false" customHeight="false" outlineLevel="0" collapsed="false">
      <c r="A24" s="45"/>
      <c r="B24" s="44"/>
      <c r="C24" s="161" t="s">
        <v>812</v>
      </c>
      <c r="D24" s="290" t="n">
        <f aca="false">IF(F24="","",IF(H24="","",ROUND(F24-0.001*298.15*(H24-SUMPRODUCT(L24:AK24*AR$13:BQ$13)),3)))</f>
        <v>-131.218</v>
      </c>
      <c r="E24" s="137" t="n">
        <f aca="false">IF(G24="","",IF(I24="","",ROUND(2*SQRT((0.5*G24)^2+(0.001*298.15)^2*((0.5*I24)^2+SUMPRODUCT(AR24:BQ24*AR$15:BQ$15))),3)))</f>
        <v>0.116</v>
      </c>
      <c r="F24" s="291" t="s">
        <v>813</v>
      </c>
      <c r="G24" s="292" t="s">
        <v>730</v>
      </c>
      <c r="H24" s="291" t="s">
        <v>814</v>
      </c>
      <c r="I24" s="292" t="s">
        <v>728</v>
      </c>
      <c r="K24" s="342" t="s">
        <v>812</v>
      </c>
      <c r="L24" s="434"/>
      <c r="M24" s="435"/>
      <c r="N24" s="435"/>
      <c r="O24" s="435"/>
      <c r="P24" s="436"/>
      <c r="Q24" s="436"/>
      <c r="R24" s="436" t="n">
        <v>0.5</v>
      </c>
      <c r="S24" s="436"/>
      <c r="T24" s="436"/>
      <c r="U24" s="436"/>
      <c r="V24" s="436"/>
      <c r="W24" s="436"/>
      <c r="X24" s="436"/>
      <c r="Y24" s="436"/>
      <c r="Z24" s="436"/>
      <c r="AA24" s="436"/>
      <c r="AB24" s="436"/>
      <c r="AC24" s="436"/>
      <c r="AD24" s="436"/>
      <c r="AE24" s="436"/>
      <c r="AF24" s="436"/>
      <c r="AG24" s="436"/>
      <c r="AH24" s="436"/>
      <c r="AI24" s="437"/>
      <c r="AJ24" s="436"/>
      <c r="AK24" s="438" t="n">
        <v>-1</v>
      </c>
      <c r="AM24" s="21" t="s">
        <v>29</v>
      </c>
      <c r="AN24" s="442" t="s">
        <v>710</v>
      </c>
      <c r="AO24" s="442" t="s">
        <v>710</v>
      </c>
      <c r="AQ24" s="342" t="s">
        <v>812</v>
      </c>
      <c r="AR24" s="439" t="n">
        <f aca="false">L24^2</f>
        <v>0</v>
      </c>
      <c r="AS24" s="440" t="n">
        <f aca="false">M24^2</f>
        <v>0</v>
      </c>
      <c r="AT24" s="440" t="n">
        <f aca="false">N24^2</f>
        <v>0</v>
      </c>
      <c r="AU24" s="440" t="n">
        <f aca="false">O24^2</f>
        <v>0</v>
      </c>
      <c r="AV24" s="440" t="n">
        <f aca="false">P24^2</f>
        <v>0</v>
      </c>
      <c r="AW24" s="440" t="n">
        <f aca="false">Q24^2</f>
        <v>0</v>
      </c>
      <c r="AX24" s="440" t="n">
        <f aca="false">R24^2</f>
        <v>0.25</v>
      </c>
      <c r="AY24" s="440" t="n">
        <f aca="false">S24^2</f>
        <v>0</v>
      </c>
      <c r="AZ24" s="440" t="n">
        <f aca="false">T24^2</f>
        <v>0</v>
      </c>
      <c r="BA24" s="440" t="n">
        <f aca="false">U24^2</f>
        <v>0</v>
      </c>
      <c r="BB24" s="440" t="n">
        <f aca="false">V24^2</f>
        <v>0</v>
      </c>
      <c r="BC24" s="440" t="n">
        <f aca="false">W24^2</f>
        <v>0</v>
      </c>
      <c r="BD24" s="440" t="n">
        <f aca="false">X24^2</f>
        <v>0</v>
      </c>
      <c r="BE24" s="440" t="n">
        <f aca="false">Y24^2</f>
        <v>0</v>
      </c>
      <c r="BF24" s="440" t="n">
        <f aca="false">Z24^2</f>
        <v>0</v>
      </c>
      <c r="BG24" s="440" t="n">
        <f aca="false">AA24^2</f>
        <v>0</v>
      </c>
      <c r="BH24" s="440" t="n">
        <f aca="false">AB24^2</f>
        <v>0</v>
      </c>
      <c r="BI24" s="440" t="n">
        <f aca="false">AC24^2</f>
        <v>0</v>
      </c>
      <c r="BJ24" s="440" t="n">
        <f aca="false">AD24^2</f>
        <v>0</v>
      </c>
      <c r="BK24" s="440" t="n">
        <f aca="false">AE24^2</f>
        <v>0</v>
      </c>
      <c r="BL24" s="440" t="n">
        <f aca="false">AF24^2</f>
        <v>0</v>
      </c>
      <c r="BM24" s="440" t="n">
        <f aca="false">AG24^2</f>
        <v>0</v>
      </c>
      <c r="BN24" s="440" t="n">
        <f aca="false">AH24^2</f>
        <v>0</v>
      </c>
      <c r="BO24" s="440" t="n">
        <f aca="false">AI24^2</f>
        <v>0</v>
      </c>
      <c r="BP24" s="440" t="n">
        <f aca="false">AJ24^2</f>
        <v>0</v>
      </c>
      <c r="BQ24" s="441" t="n">
        <f aca="false">-SIGN(AK24)*AK24^2</f>
        <v>1</v>
      </c>
    </row>
    <row r="25" customFormat="false" ht="12.75" hidden="false" customHeight="false" outlineLevel="0" collapsed="false">
      <c r="A25" s="45"/>
      <c r="B25" s="44"/>
      <c r="C25" s="161" t="s">
        <v>818</v>
      </c>
      <c r="D25" s="290" t="n">
        <f aca="false">IF(F25="","",IF(H25="","",ROUND(F25-0.001*298.15*(H25-SUMPRODUCT(L25:AK25*AR$13:BQ$13)),3)))</f>
        <v>-103.85</v>
      </c>
      <c r="E25" s="137" t="n">
        <f aca="false">IF(G25="","",IF(I25="","",ROUND(2*SQRT((0.5*G25)^2+(0.001*298.15)^2*((0.5*I25)^2+SUMPRODUCT(AR25:BQ25*AR$15:BQ$15))),3)))</f>
        <v>0.167</v>
      </c>
      <c r="F25" s="291" t="s">
        <v>819</v>
      </c>
      <c r="G25" s="292" t="s">
        <v>744</v>
      </c>
      <c r="H25" s="291" t="s">
        <v>820</v>
      </c>
      <c r="I25" s="292" t="s">
        <v>728</v>
      </c>
      <c r="K25" s="342" t="s">
        <v>818</v>
      </c>
      <c r="L25" s="434"/>
      <c r="M25" s="435"/>
      <c r="N25" s="435"/>
      <c r="O25" s="435" t="n">
        <v>0.5</v>
      </c>
      <c r="P25" s="436"/>
      <c r="Q25" s="436"/>
      <c r="R25" s="436"/>
      <c r="S25" s="436"/>
      <c r="T25" s="436"/>
      <c r="U25" s="436"/>
      <c r="V25" s="436"/>
      <c r="W25" s="436"/>
      <c r="X25" s="436"/>
      <c r="Y25" s="436"/>
      <c r="Z25" s="436"/>
      <c r="AA25" s="436"/>
      <c r="AB25" s="436"/>
      <c r="AC25" s="436"/>
      <c r="AD25" s="436"/>
      <c r="AE25" s="436"/>
      <c r="AF25" s="436"/>
      <c r="AG25" s="436"/>
      <c r="AH25" s="436"/>
      <c r="AI25" s="437"/>
      <c r="AJ25" s="436"/>
      <c r="AK25" s="438" t="n">
        <v>-1</v>
      </c>
      <c r="AM25" s="31" t="s">
        <v>32</v>
      </c>
      <c r="AN25" s="443" t="n">
        <v>28.3</v>
      </c>
      <c r="AO25" s="443" t="n">
        <v>0.1</v>
      </c>
      <c r="AQ25" s="342" t="s">
        <v>818</v>
      </c>
      <c r="AR25" s="439" t="n">
        <f aca="false">L25^2</f>
        <v>0</v>
      </c>
      <c r="AS25" s="440" t="n">
        <f aca="false">M25^2</f>
        <v>0</v>
      </c>
      <c r="AT25" s="440" t="n">
        <f aca="false">N25^2</f>
        <v>0</v>
      </c>
      <c r="AU25" s="440" t="n">
        <f aca="false">O25^2</f>
        <v>0.25</v>
      </c>
      <c r="AV25" s="440" t="n">
        <f aca="false">P25^2</f>
        <v>0</v>
      </c>
      <c r="AW25" s="440" t="n">
        <f aca="false">Q25^2</f>
        <v>0</v>
      </c>
      <c r="AX25" s="440" t="n">
        <f aca="false">R25^2</f>
        <v>0</v>
      </c>
      <c r="AY25" s="440" t="n">
        <f aca="false">S25^2</f>
        <v>0</v>
      </c>
      <c r="AZ25" s="440" t="n">
        <f aca="false">T25^2</f>
        <v>0</v>
      </c>
      <c r="BA25" s="440" t="n">
        <f aca="false">U25^2</f>
        <v>0</v>
      </c>
      <c r="BB25" s="440" t="n">
        <f aca="false">V25^2</f>
        <v>0</v>
      </c>
      <c r="BC25" s="440" t="n">
        <f aca="false">W25^2</f>
        <v>0</v>
      </c>
      <c r="BD25" s="440" t="n">
        <f aca="false">X25^2</f>
        <v>0</v>
      </c>
      <c r="BE25" s="440" t="n">
        <f aca="false">Y25^2</f>
        <v>0</v>
      </c>
      <c r="BF25" s="440" t="n">
        <f aca="false">Z25^2</f>
        <v>0</v>
      </c>
      <c r="BG25" s="440" t="n">
        <f aca="false">AA25^2</f>
        <v>0</v>
      </c>
      <c r="BH25" s="440" t="n">
        <f aca="false">AB25^2</f>
        <v>0</v>
      </c>
      <c r="BI25" s="440" t="n">
        <f aca="false">AC25^2</f>
        <v>0</v>
      </c>
      <c r="BJ25" s="440" t="n">
        <f aca="false">AD25^2</f>
        <v>0</v>
      </c>
      <c r="BK25" s="440" t="n">
        <f aca="false">AE25^2</f>
        <v>0</v>
      </c>
      <c r="BL25" s="440" t="n">
        <f aca="false">AF25^2</f>
        <v>0</v>
      </c>
      <c r="BM25" s="440" t="n">
        <f aca="false">AG25^2</f>
        <v>0</v>
      </c>
      <c r="BN25" s="440" t="n">
        <f aca="false">AH25^2</f>
        <v>0</v>
      </c>
      <c r="BO25" s="440" t="n">
        <f aca="false">AI25^2</f>
        <v>0</v>
      </c>
      <c r="BP25" s="440" t="n">
        <f aca="false">AJ25^2</f>
        <v>0</v>
      </c>
      <c r="BQ25" s="441" t="n">
        <f aca="false">-SIGN(AK25)*AK25^2</f>
        <v>1</v>
      </c>
    </row>
    <row r="26" customFormat="false" ht="12.75" hidden="false" customHeight="false" outlineLevel="0" collapsed="false">
      <c r="A26" s="45"/>
      <c r="B26" s="44"/>
      <c r="C26" s="161" t="s">
        <v>825</v>
      </c>
      <c r="D26" s="290" t="n">
        <f aca="false">IF(F26="","",IF(H26="","",ROUND(F26-0.001*298.15*(H26-SUMPRODUCT(L26:AK26*AR$13:BQ$13)),3)))</f>
        <v>-51.723</v>
      </c>
      <c r="E26" s="137" t="n">
        <f aca="false">IF(G26="","",IF(I26="","",ROUND(2*SQRT((0.5*G26)^2+(0.001*298.15)^2*((0.5*I26)^2+SUMPRODUCT(AR26:BQ26*AR$15:BQ$15))),3)))</f>
        <v>0.112</v>
      </c>
      <c r="F26" s="291" t="s">
        <v>826</v>
      </c>
      <c r="G26" s="292" t="s">
        <v>827</v>
      </c>
      <c r="H26" s="291" t="s">
        <v>828</v>
      </c>
      <c r="I26" s="292" t="s">
        <v>740</v>
      </c>
      <c r="K26" s="342" t="s">
        <v>825</v>
      </c>
      <c r="L26" s="434"/>
      <c r="M26" s="435"/>
      <c r="N26" s="435"/>
      <c r="O26" s="435"/>
      <c r="P26" s="436"/>
      <c r="Q26" s="436"/>
      <c r="R26" s="436"/>
      <c r="S26" s="436"/>
      <c r="T26" s="436"/>
      <c r="U26" s="436"/>
      <c r="V26" s="436"/>
      <c r="W26" s="436" t="n">
        <v>0.5</v>
      </c>
      <c r="X26" s="436"/>
      <c r="Y26" s="436"/>
      <c r="Z26" s="436"/>
      <c r="AA26" s="436"/>
      <c r="AB26" s="436"/>
      <c r="AC26" s="436"/>
      <c r="AD26" s="436"/>
      <c r="AE26" s="436"/>
      <c r="AF26" s="436"/>
      <c r="AG26" s="436"/>
      <c r="AH26" s="436"/>
      <c r="AI26" s="437"/>
      <c r="AJ26" s="436"/>
      <c r="AK26" s="438" t="n">
        <v>-1</v>
      </c>
      <c r="AM26" s="31" t="s">
        <v>40</v>
      </c>
      <c r="AN26" s="443" t="n">
        <v>5.9</v>
      </c>
      <c r="AO26" s="443" t="n">
        <v>0.08</v>
      </c>
      <c r="AQ26" s="342" t="s">
        <v>825</v>
      </c>
      <c r="AR26" s="439" t="n">
        <f aca="false">L26^2</f>
        <v>0</v>
      </c>
      <c r="AS26" s="440" t="n">
        <f aca="false">M26^2</f>
        <v>0</v>
      </c>
      <c r="AT26" s="440" t="n">
        <f aca="false">N26^2</f>
        <v>0</v>
      </c>
      <c r="AU26" s="440" t="n">
        <f aca="false">O26^2</f>
        <v>0</v>
      </c>
      <c r="AV26" s="440" t="n">
        <f aca="false">P26^2</f>
        <v>0</v>
      </c>
      <c r="AW26" s="440" t="n">
        <f aca="false">Q26^2</f>
        <v>0</v>
      </c>
      <c r="AX26" s="440" t="n">
        <f aca="false">R26^2</f>
        <v>0</v>
      </c>
      <c r="AY26" s="440" t="n">
        <f aca="false">S26^2</f>
        <v>0</v>
      </c>
      <c r="AZ26" s="440" t="n">
        <f aca="false">T26^2</f>
        <v>0</v>
      </c>
      <c r="BA26" s="440" t="n">
        <f aca="false">U26^2</f>
        <v>0</v>
      </c>
      <c r="BB26" s="440" t="n">
        <f aca="false">V26^2</f>
        <v>0</v>
      </c>
      <c r="BC26" s="440" t="n">
        <f aca="false">W26^2</f>
        <v>0.25</v>
      </c>
      <c r="BD26" s="440" t="n">
        <f aca="false">X26^2</f>
        <v>0</v>
      </c>
      <c r="BE26" s="440" t="n">
        <f aca="false">Y26^2</f>
        <v>0</v>
      </c>
      <c r="BF26" s="440" t="n">
        <f aca="false">Z26^2</f>
        <v>0</v>
      </c>
      <c r="BG26" s="440" t="n">
        <f aca="false">AA26^2</f>
        <v>0</v>
      </c>
      <c r="BH26" s="440" t="n">
        <f aca="false">AB26^2</f>
        <v>0</v>
      </c>
      <c r="BI26" s="440" t="n">
        <f aca="false">AC26^2</f>
        <v>0</v>
      </c>
      <c r="BJ26" s="440" t="n">
        <f aca="false">AD26^2</f>
        <v>0</v>
      </c>
      <c r="BK26" s="440" t="n">
        <f aca="false">AE26^2</f>
        <v>0</v>
      </c>
      <c r="BL26" s="440" t="n">
        <f aca="false">AF26^2</f>
        <v>0</v>
      </c>
      <c r="BM26" s="440" t="n">
        <f aca="false">AG26^2</f>
        <v>0</v>
      </c>
      <c r="BN26" s="440" t="n">
        <f aca="false">AH26^2</f>
        <v>0</v>
      </c>
      <c r="BO26" s="440" t="n">
        <f aca="false">AI26^2</f>
        <v>0</v>
      </c>
      <c r="BP26" s="440" t="n">
        <f aca="false">AJ26^2</f>
        <v>0</v>
      </c>
      <c r="BQ26" s="441" t="n">
        <f aca="false">-SIGN(AK26)*AK26^2</f>
        <v>1</v>
      </c>
    </row>
    <row r="27" customFormat="false" ht="12.75" hidden="false" customHeight="false" outlineLevel="0" collapsed="false">
      <c r="A27" s="45"/>
      <c r="B27" s="44"/>
      <c r="C27" s="161" t="s">
        <v>833</v>
      </c>
      <c r="D27" s="290" t="n">
        <f aca="false">IF(F27="","",IF(H27="","",ROUND(F27-0.001*298.15*(H27-SUMPRODUCT(L27:AK27*AR$13:BQ$13)),3)))</f>
        <v>-744.004</v>
      </c>
      <c r="E27" s="137" t="n">
        <f aca="false">IF(G27="","",IF(I27="","",ROUND(2*SQRT((0.5*G27)^2+(0.001*298.15)^2*((0.5*I27)^2+SUMPRODUCT(AR27:BQ27*AR$15:BQ$15))),3)))</f>
        <v>0.418</v>
      </c>
      <c r="F27" s="291" t="s">
        <v>834</v>
      </c>
      <c r="G27" s="292" t="s">
        <v>742</v>
      </c>
      <c r="H27" s="291" t="s">
        <v>835</v>
      </c>
      <c r="I27" s="292" t="s">
        <v>742</v>
      </c>
      <c r="K27" s="342" t="s">
        <v>833</v>
      </c>
      <c r="L27" s="434"/>
      <c r="M27" s="435"/>
      <c r="N27" s="435"/>
      <c r="O27" s="435"/>
      <c r="P27" s="436"/>
      <c r="Q27" s="436"/>
      <c r="R27" s="436"/>
      <c r="S27" s="436"/>
      <c r="T27" s="436"/>
      <c r="U27" s="436"/>
      <c r="V27" s="436"/>
      <c r="W27" s="436"/>
      <c r="X27" s="436"/>
      <c r="Y27" s="436"/>
      <c r="Z27" s="436"/>
      <c r="AA27" s="436"/>
      <c r="AB27" s="436"/>
      <c r="AC27" s="436"/>
      <c r="AD27" s="436" t="n">
        <v>2</v>
      </c>
      <c r="AE27" s="436"/>
      <c r="AF27" s="436"/>
      <c r="AG27" s="436"/>
      <c r="AH27" s="436" t="n">
        <v>1</v>
      </c>
      <c r="AI27" s="437"/>
      <c r="AJ27" s="436"/>
      <c r="AK27" s="438" t="n">
        <v>-2</v>
      </c>
      <c r="AM27" s="38" t="s">
        <v>41</v>
      </c>
      <c r="AN27" s="443"/>
      <c r="AO27" s="443"/>
      <c r="AQ27" s="342" t="s">
        <v>833</v>
      </c>
      <c r="AR27" s="439" t="n">
        <f aca="false">L27^2</f>
        <v>0</v>
      </c>
      <c r="AS27" s="440" t="n">
        <f aca="false">M27^2</f>
        <v>0</v>
      </c>
      <c r="AT27" s="440" t="n">
        <f aca="false">N27^2</f>
        <v>0</v>
      </c>
      <c r="AU27" s="440" t="n">
        <f aca="false">O27^2</f>
        <v>0</v>
      </c>
      <c r="AV27" s="440" t="n">
        <f aca="false">P27^2</f>
        <v>0</v>
      </c>
      <c r="AW27" s="440" t="n">
        <f aca="false">Q27^2</f>
        <v>0</v>
      </c>
      <c r="AX27" s="440" t="n">
        <f aca="false">R27^2</f>
        <v>0</v>
      </c>
      <c r="AY27" s="440" t="n">
        <f aca="false">S27^2</f>
        <v>0</v>
      </c>
      <c r="AZ27" s="440" t="n">
        <f aca="false">T27^2</f>
        <v>0</v>
      </c>
      <c r="BA27" s="440" t="n">
        <f aca="false">U27^2</f>
        <v>0</v>
      </c>
      <c r="BB27" s="440" t="n">
        <f aca="false">V27^2</f>
        <v>0</v>
      </c>
      <c r="BC27" s="440" t="n">
        <f aca="false">W27^2</f>
        <v>0</v>
      </c>
      <c r="BD27" s="440" t="n">
        <f aca="false">X27^2</f>
        <v>0</v>
      </c>
      <c r="BE27" s="440" t="n">
        <f aca="false">Y27^2</f>
        <v>0</v>
      </c>
      <c r="BF27" s="440" t="n">
        <f aca="false">Z27^2</f>
        <v>0</v>
      </c>
      <c r="BG27" s="440" t="n">
        <f aca="false">AA27^2</f>
        <v>0</v>
      </c>
      <c r="BH27" s="440" t="n">
        <f aca="false">AB27^2</f>
        <v>0</v>
      </c>
      <c r="BI27" s="440" t="n">
        <f aca="false">AC27^2</f>
        <v>0</v>
      </c>
      <c r="BJ27" s="440" t="n">
        <f aca="false">AD27^2</f>
        <v>4</v>
      </c>
      <c r="BK27" s="440" t="n">
        <f aca="false">AE27^2</f>
        <v>0</v>
      </c>
      <c r="BL27" s="440" t="n">
        <f aca="false">AF27^2</f>
        <v>0</v>
      </c>
      <c r="BM27" s="440" t="n">
        <f aca="false">AG27^2</f>
        <v>0</v>
      </c>
      <c r="BN27" s="440" t="n">
        <f aca="false">AH27^2</f>
        <v>1</v>
      </c>
      <c r="BO27" s="440" t="n">
        <f aca="false">AI27^2</f>
        <v>0</v>
      </c>
      <c r="BP27" s="440" t="n">
        <f aca="false">AJ27^2</f>
        <v>0</v>
      </c>
      <c r="BQ27" s="441" t="n">
        <f aca="false">-SIGN(AK27)*AK27^2</f>
        <v>4</v>
      </c>
    </row>
    <row r="28" customFormat="false" ht="12.75" hidden="false" customHeight="false" outlineLevel="0" collapsed="false">
      <c r="A28" s="45"/>
      <c r="B28" s="44"/>
      <c r="C28" s="161" t="s">
        <v>840</v>
      </c>
      <c r="D28" s="290" t="n">
        <f aca="false">IF(F28="","",IF(H28="","",ROUND(F28-0.001*298.15*(H28-SUMPRODUCT(L28:AK28*AR$13:BQ$13)),3)))</f>
        <v>12.243</v>
      </c>
      <c r="E28" s="137" t="n">
        <f aca="false">IF(G28="","",IF(I28="","",ROUND(2*SQRT((0.5*G28)^2+(0.001*298.15)^2*((0.5*I28)^2+SUMPRODUCT(AR28:BQ28*AR$15:BQ$15))),3)))</f>
        <v>2.115</v>
      </c>
      <c r="F28" s="291" t="s">
        <v>841</v>
      </c>
      <c r="G28" s="292" t="s">
        <v>842</v>
      </c>
      <c r="H28" s="291" t="s">
        <v>843</v>
      </c>
      <c r="I28" s="292" t="s">
        <v>844</v>
      </c>
      <c r="K28" s="342" t="s">
        <v>840</v>
      </c>
      <c r="L28" s="434"/>
      <c r="M28" s="435"/>
      <c r="N28" s="435"/>
      <c r="O28" s="435"/>
      <c r="P28" s="436"/>
      <c r="Q28" s="436"/>
      <c r="R28" s="436"/>
      <c r="S28" s="436"/>
      <c r="T28" s="436"/>
      <c r="U28" s="436"/>
      <c r="V28" s="436" t="n">
        <v>0.5</v>
      </c>
      <c r="W28" s="436"/>
      <c r="X28" s="436"/>
      <c r="Y28" s="436"/>
      <c r="Z28" s="436"/>
      <c r="AA28" s="436"/>
      <c r="AB28" s="436"/>
      <c r="AC28" s="436"/>
      <c r="AD28" s="436"/>
      <c r="AE28" s="436"/>
      <c r="AF28" s="436"/>
      <c r="AG28" s="436"/>
      <c r="AH28" s="436" t="n">
        <v>1</v>
      </c>
      <c r="AI28" s="437"/>
      <c r="AJ28" s="436"/>
      <c r="AK28" s="438" t="n">
        <v>-1</v>
      </c>
      <c r="AM28" s="38" t="s">
        <v>46</v>
      </c>
      <c r="AN28" s="443" t="n">
        <v>152.21</v>
      </c>
      <c r="AO28" s="443" t="n">
        <v>0.3</v>
      </c>
      <c r="AQ28" s="342" t="s">
        <v>840</v>
      </c>
      <c r="AR28" s="439" t="n">
        <f aca="false">L28^2</f>
        <v>0</v>
      </c>
      <c r="AS28" s="440" t="n">
        <f aca="false">M28^2</f>
        <v>0</v>
      </c>
      <c r="AT28" s="440" t="n">
        <f aca="false">N28^2</f>
        <v>0</v>
      </c>
      <c r="AU28" s="440" t="n">
        <f aca="false">O28^2</f>
        <v>0</v>
      </c>
      <c r="AV28" s="440" t="n">
        <f aca="false">P28^2</f>
        <v>0</v>
      </c>
      <c r="AW28" s="440" t="n">
        <f aca="false">Q28^2</f>
        <v>0</v>
      </c>
      <c r="AX28" s="440" t="n">
        <f aca="false">R28^2</f>
        <v>0</v>
      </c>
      <c r="AY28" s="440" t="n">
        <f aca="false">S28^2</f>
        <v>0</v>
      </c>
      <c r="AZ28" s="440" t="n">
        <f aca="false">T28^2</f>
        <v>0</v>
      </c>
      <c r="BA28" s="440" t="n">
        <f aca="false">U28^2</f>
        <v>0</v>
      </c>
      <c r="BB28" s="440" t="n">
        <f aca="false">V28^2</f>
        <v>0.25</v>
      </c>
      <c r="BC28" s="440" t="n">
        <f aca="false">W28^2</f>
        <v>0</v>
      </c>
      <c r="BD28" s="440" t="n">
        <f aca="false">X28^2</f>
        <v>0</v>
      </c>
      <c r="BE28" s="440" t="n">
        <f aca="false">Y28^2</f>
        <v>0</v>
      </c>
      <c r="BF28" s="440" t="n">
        <f aca="false">Z28^2</f>
        <v>0</v>
      </c>
      <c r="BG28" s="440" t="n">
        <f aca="false">AA28^2</f>
        <v>0</v>
      </c>
      <c r="BH28" s="440" t="n">
        <f aca="false">AB28^2</f>
        <v>0</v>
      </c>
      <c r="BI28" s="440" t="n">
        <f aca="false">AC28^2</f>
        <v>0</v>
      </c>
      <c r="BJ28" s="440" t="n">
        <f aca="false">AD28^2</f>
        <v>0</v>
      </c>
      <c r="BK28" s="440" t="n">
        <f aca="false">AE28^2</f>
        <v>0</v>
      </c>
      <c r="BL28" s="440" t="n">
        <f aca="false">AF28^2</f>
        <v>0</v>
      </c>
      <c r="BM28" s="440" t="n">
        <f aca="false">AG28^2</f>
        <v>0</v>
      </c>
      <c r="BN28" s="440" t="n">
        <f aca="false">AH28^2</f>
        <v>1</v>
      </c>
      <c r="BO28" s="440" t="n">
        <f aca="false">AI28^2</f>
        <v>0</v>
      </c>
      <c r="BP28" s="440" t="n">
        <f aca="false">AJ28^2</f>
        <v>0</v>
      </c>
      <c r="BQ28" s="441" t="n">
        <f aca="false">-SIGN(AK28)*AK28^2</f>
        <v>1</v>
      </c>
    </row>
    <row r="29" customFormat="false" ht="12.75" hidden="false" customHeight="false" outlineLevel="0" collapsed="false">
      <c r="A29" s="45"/>
      <c r="B29" s="45"/>
      <c r="C29" s="161" t="s">
        <v>851</v>
      </c>
      <c r="D29" s="290" t="n">
        <f aca="false">IF(F29="","",IF(H29="","",ROUND(F29-0.001*298.15*(H29-SUMPRODUCT(L29:AK29*AR$13:BQ$13)),3)))</f>
        <v>-110.794</v>
      </c>
      <c r="E29" s="137" t="n">
        <f aca="false">IF(G29="","",IF(I29="","",ROUND(2*SQRT((0.5*G29)^2+(0.001*298.15)^2*((0.5*I29)^2+SUMPRODUCT(AR29:BQ29*AR$15:BQ$15))),3)))</f>
        <v>0.417</v>
      </c>
      <c r="F29" s="291" t="s">
        <v>852</v>
      </c>
      <c r="G29" s="292" t="s">
        <v>742</v>
      </c>
      <c r="H29" s="291" t="s">
        <v>853</v>
      </c>
      <c r="I29" s="292" t="s">
        <v>742</v>
      </c>
      <c r="K29" s="342" t="s">
        <v>851</v>
      </c>
      <c r="L29" s="434"/>
      <c r="M29" s="435"/>
      <c r="N29" s="435"/>
      <c r="O29" s="435"/>
      <c r="P29" s="436"/>
      <c r="Q29" s="436"/>
      <c r="R29" s="436"/>
      <c r="S29" s="436"/>
      <c r="T29" s="436"/>
      <c r="U29" s="436"/>
      <c r="V29" s="436"/>
      <c r="W29" s="436"/>
      <c r="X29" s="436"/>
      <c r="Y29" s="436"/>
      <c r="Z29" s="436"/>
      <c r="AA29" s="436" t="n">
        <v>0.5</v>
      </c>
      <c r="AB29" s="436"/>
      <c r="AC29" s="436"/>
      <c r="AD29" s="436" t="n">
        <v>1.5</v>
      </c>
      <c r="AE29" s="436"/>
      <c r="AF29" s="436"/>
      <c r="AG29" s="436"/>
      <c r="AH29" s="436"/>
      <c r="AI29" s="437"/>
      <c r="AJ29" s="436"/>
      <c r="AK29" s="438" t="n">
        <v>-1</v>
      </c>
      <c r="AM29" s="31" t="s">
        <v>48</v>
      </c>
      <c r="AN29" s="444" t="n">
        <v>5.74</v>
      </c>
      <c r="AO29" s="443" t="n">
        <v>0.1</v>
      </c>
      <c r="AQ29" s="342" t="s">
        <v>851</v>
      </c>
      <c r="AR29" s="439" t="n">
        <f aca="false">L29^2</f>
        <v>0</v>
      </c>
      <c r="AS29" s="440" t="n">
        <f aca="false">M29^2</f>
        <v>0</v>
      </c>
      <c r="AT29" s="440" t="n">
        <f aca="false">N29^2</f>
        <v>0</v>
      </c>
      <c r="AU29" s="440" t="n">
        <f aca="false">O29^2</f>
        <v>0</v>
      </c>
      <c r="AV29" s="440" t="n">
        <f aca="false">P29^2</f>
        <v>0</v>
      </c>
      <c r="AW29" s="440" t="n">
        <f aca="false">Q29^2</f>
        <v>0</v>
      </c>
      <c r="AX29" s="440" t="n">
        <f aca="false">R29^2</f>
        <v>0</v>
      </c>
      <c r="AY29" s="440" t="n">
        <f aca="false">S29^2</f>
        <v>0</v>
      </c>
      <c r="AZ29" s="440" t="n">
        <f aca="false">T29^2</f>
        <v>0</v>
      </c>
      <c r="BA29" s="440" t="n">
        <f aca="false">U29^2</f>
        <v>0</v>
      </c>
      <c r="BB29" s="440" t="n">
        <f aca="false">V29^2</f>
        <v>0</v>
      </c>
      <c r="BC29" s="440" t="n">
        <f aca="false">W29^2</f>
        <v>0</v>
      </c>
      <c r="BD29" s="440" t="n">
        <f aca="false">X29^2</f>
        <v>0</v>
      </c>
      <c r="BE29" s="440" t="n">
        <f aca="false">Y29^2</f>
        <v>0</v>
      </c>
      <c r="BF29" s="440" t="n">
        <f aca="false">Z29^2</f>
        <v>0</v>
      </c>
      <c r="BG29" s="440" t="n">
        <f aca="false">AA29^2</f>
        <v>0.25</v>
      </c>
      <c r="BH29" s="440" t="n">
        <f aca="false">AB29^2</f>
        <v>0</v>
      </c>
      <c r="BI29" s="440" t="n">
        <f aca="false">AC29^2</f>
        <v>0</v>
      </c>
      <c r="BJ29" s="440" t="n">
        <f aca="false">AD29^2</f>
        <v>2.25</v>
      </c>
      <c r="BK29" s="440" t="n">
        <f aca="false">AE29^2</f>
        <v>0</v>
      </c>
      <c r="BL29" s="440" t="n">
        <f aca="false">AF29^2</f>
        <v>0</v>
      </c>
      <c r="BM29" s="440" t="n">
        <f aca="false">AG29^2</f>
        <v>0</v>
      </c>
      <c r="BN29" s="440" t="n">
        <f aca="false">AH29^2</f>
        <v>0</v>
      </c>
      <c r="BO29" s="440" t="n">
        <f aca="false">AI29^2</f>
        <v>0</v>
      </c>
      <c r="BP29" s="440" t="n">
        <f aca="false">AJ29^2</f>
        <v>0</v>
      </c>
      <c r="BQ29" s="441" t="n">
        <f aca="false">-SIGN(AK29)*AK29^2</f>
        <v>1</v>
      </c>
    </row>
    <row r="30" customFormat="false" ht="12.75" hidden="false" customHeight="false" outlineLevel="0" collapsed="false">
      <c r="A30" s="45"/>
      <c r="B30" s="44"/>
      <c r="C30" s="161" t="s">
        <v>858</v>
      </c>
      <c r="D30" s="290" t="str">
        <f aca="false">IF(F30="","",IF(H30="","",ROUND(F30-0.001*298.15*(H30-SUMPRODUCT(L30:AK30*AR$13:BQ$13)),3)))</f>
        <v/>
      </c>
      <c r="E30" s="137" t="str">
        <f aca="false">IF(G30="","",IF(I30="","",ROUND(2*SQRT((0.5*G30)^2+(0.001*298.15)^2*((0.5*I30)^2+SUMPRODUCT(AR30:BQ30*AR$15:BQ$15))),3)))</f>
        <v/>
      </c>
      <c r="F30" s="291"/>
      <c r="G30" s="292"/>
      <c r="H30" s="291"/>
      <c r="I30" s="292"/>
      <c r="K30" s="342" t="s">
        <v>858</v>
      </c>
      <c r="L30" s="434"/>
      <c r="M30" s="435"/>
      <c r="N30" s="435"/>
      <c r="O30" s="435"/>
      <c r="P30" s="436"/>
      <c r="Q30" s="436"/>
      <c r="R30" s="436"/>
      <c r="S30" s="436"/>
      <c r="T30" s="436"/>
      <c r="U30" s="436"/>
      <c r="V30" s="436" t="n">
        <v>1.5</v>
      </c>
      <c r="W30" s="436"/>
      <c r="X30" s="436"/>
      <c r="Y30" s="436"/>
      <c r="Z30" s="436"/>
      <c r="AA30" s="436" t="n">
        <v>0.5</v>
      </c>
      <c r="AB30" s="436"/>
      <c r="AC30" s="436"/>
      <c r="AD30" s="436"/>
      <c r="AE30" s="436"/>
      <c r="AF30" s="436"/>
      <c r="AG30" s="436"/>
      <c r="AH30" s="436"/>
      <c r="AI30" s="437"/>
      <c r="AJ30" s="436"/>
      <c r="AK30" s="438"/>
      <c r="AM30" s="31" t="s">
        <v>49</v>
      </c>
      <c r="AN30" s="444" t="n">
        <v>41.59</v>
      </c>
      <c r="AO30" s="443" t="n">
        <v>0.4</v>
      </c>
      <c r="AQ30" s="342" t="s">
        <v>858</v>
      </c>
      <c r="AR30" s="439" t="n">
        <f aca="false">L30^2</f>
        <v>0</v>
      </c>
      <c r="AS30" s="440" t="n">
        <f aca="false">M30^2</f>
        <v>0</v>
      </c>
      <c r="AT30" s="440" t="n">
        <f aca="false">N30^2</f>
        <v>0</v>
      </c>
      <c r="AU30" s="440" t="n">
        <f aca="false">O30^2</f>
        <v>0</v>
      </c>
      <c r="AV30" s="440" t="n">
        <f aca="false">P30^2</f>
        <v>0</v>
      </c>
      <c r="AW30" s="440" t="n">
        <f aca="false">Q30^2</f>
        <v>0</v>
      </c>
      <c r="AX30" s="440" t="n">
        <f aca="false">R30^2</f>
        <v>0</v>
      </c>
      <c r="AY30" s="440" t="n">
        <f aca="false">S30^2</f>
        <v>0</v>
      </c>
      <c r="AZ30" s="440" t="n">
        <f aca="false">T30^2</f>
        <v>0</v>
      </c>
      <c r="BA30" s="440" t="n">
        <f aca="false">U30^2</f>
        <v>0</v>
      </c>
      <c r="BB30" s="440" t="n">
        <f aca="false">V30^2</f>
        <v>2.25</v>
      </c>
      <c r="BC30" s="440" t="n">
        <f aca="false">W30^2</f>
        <v>0</v>
      </c>
      <c r="BD30" s="440" t="n">
        <f aca="false">X30^2</f>
        <v>0</v>
      </c>
      <c r="BE30" s="440" t="n">
        <f aca="false">Y30^2</f>
        <v>0</v>
      </c>
      <c r="BF30" s="440" t="n">
        <f aca="false">Z30^2</f>
        <v>0</v>
      </c>
      <c r="BG30" s="440" t="n">
        <f aca="false">AA30^2</f>
        <v>0.25</v>
      </c>
      <c r="BH30" s="440" t="n">
        <f aca="false">AB30^2</f>
        <v>0</v>
      </c>
      <c r="BI30" s="440" t="n">
        <f aca="false">AC30^2</f>
        <v>0</v>
      </c>
      <c r="BJ30" s="440" t="n">
        <f aca="false">AD30^2</f>
        <v>0</v>
      </c>
      <c r="BK30" s="440" t="n">
        <f aca="false">AE30^2</f>
        <v>0</v>
      </c>
      <c r="BL30" s="440" t="n">
        <f aca="false">AF30^2</f>
        <v>0</v>
      </c>
      <c r="BM30" s="440" t="n">
        <f aca="false">AG30^2</f>
        <v>0</v>
      </c>
      <c r="BN30" s="440" t="n">
        <f aca="false">AH30^2</f>
        <v>0</v>
      </c>
      <c r="BO30" s="440" t="n">
        <f aca="false">AI30^2</f>
        <v>0</v>
      </c>
      <c r="BP30" s="440" t="n">
        <f aca="false">AJ30^2</f>
        <v>0</v>
      </c>
      <c r="BQ30" s="441" t="n">
        <f aca="false">-SIGN(AK30)*AK30^2</f>
        <v>-0</v>
      </c>
    </row>
    <row r="31" customFormat="false" ht="12.75" hidden="false" customHeight="false" outlineLevel="0" collapsed="false">
      <c r="A31" s="45"/>
      <c r="B31" s="44"/>
      <c r="C31" s="161" t="s">
        <v>865</v>
      </c>
      <c r="D31" s="290" t="n">
        <f aca="false">IF(F31="","",IF(H31="","",ROUND(F31-0.001*298.15*(H31-SUMPRODUCT(L31:AK31*AR$13:BQ$13)),3)))</f>
        <v>-79.398</v>
      </c>
      <c r="E31" s="137" t="n">
        <f aca="false">IF(G31="","",IF(I31="","",ROUND(2*SQRT((0.5*G31)^2+(0.001*298.15)^2*((0.5*I31)^2+SUMPRODUCT(AR31:BQ31*AR$15:BQ$15))),3)))</f>
        <v>0.277</v>
      </c>
      <c r="F31" s="291" t="s">
        <v>866</v>
      </c>
      <c r="G31" s="292" t="s">
        <v>761</v>
      </c>
      <c r="H31" s="291" t="s">
        <v>867</v>
      </c>
      <c r="I31" s="292" t="s">
        <v>742</v>
      </c>
      <c r="K31" s="342" t="s">
        <v>865</v>
      </c>
      <c r="L31" s="434"/>
      <c r="M31" s="435"/>
      <c r="N31" s="435"/>
      <c r="O31" s="435"/>
      <c r="P31" s="436"/>
      <c r="Q31" s="436"/>
      <c r="R31" s="436"/>
      <c r="S31" s="436"/>
      <c r="T31" s="436"/>
      <c r="U31" s="436"/>
      <c r="V31" s="436" t="n">
        <v>2</v>
      </c>
      <c r="W31" s="436"/>
      <c r="X31" s="436"/>
      <c r="Y31" s="436"/>
      <c r="Z31" s="436"/>
      <c r="AA31" s="436" t="n">
        <v>0.5</v>
      </c>
      <c r="AB31" s="436"/>
      <c r="AC31" s="436"/>
      <c r="AD31" s="436"/>
      <c r="AE31" s="436"/>
      <c r="AF31" s="436"/>
      <c r="AG31" s="436"/>
      <c r="AH31" s="436"/>
      <c r="AI31" s="437"/>
      <c r="AJ31" s="436"/>
      <c r="AK31" s="438" t="n">
        <v>1</v>
      </c>
      <c r="AM31" s="38" t="s">
        <v>54</v>
      </c>
      <c r="AN31" s="443" t="n">
        <v>223.081</v>
      </c>
      <c r="AO31" s="443" t="n">
        <v>0.01</v>
      </c>
      <c r="AQ31" s="342" t="s">
        <v>865</v>
      </c>
      <c r="AR31" s="439" t="n">
        <f aca="false">L31^2</f>
        <v>0</v>
      </c>
      <c r="AS31" s="440" t="n">
        <f aca="false">M31^2</f>
        <v>0</v>
      </c>
      <c r="AT31" s="440" t="n">
        <f aca="false">N31^2</f>
        <v>0</v>
      </c>
      <c r="AU31" s="440" t="n">
        <f aca="false">O31^2</f>
        <v>0</v>
      </c>
      <c r="AV31" s="440" t="n">
        <f aca="false">P31^2</f>
        <v>0</v>
      </c>
      <c r="AW31" s="440" t="n">
        <f aca="false">Q31^2</f>
        <v>0</v>
      </c>
      <c r="AX31" s="440" t="n">
        <f aca="false">R31^2</f>
        <v>0</v>
      </c>
      <c r="AY31" s="440" t="n">
        <f aca="false">S31^2</f>
        <v>0</v>
      </c>
      <c r="AZ31" s="440" t="n">
        <f aca="false">T31^2</f>
        <v>0</v>
      </c>
      <c r="BA31" s="440" t="n">
        <f aca="false">U31^2</f>
        <v>0</v>
      </c>
      <c r="BB31" s="440" t="n">
        <f aca="false">V31^2</f>
        <v>4</v>
      </c>
      <c r="BC31" s="440" t="n">
        <f aca="false">W31^2</f>
        <v>0</v>
      </c>
      <c r="BD31" s="440" t="n">
        <f aca="false">X31^2</f>
        <v>0</v>
      </c>
      <c r="BE31" s="440" t="n">
        <f aca="false">Y31^2</f>
        <v>0</v>
      </c>
      <c r="BF31" s="440" t="n">
        <f aca="false">Z31^2</f>
        <v>0</v>
      </c>
      <c r="BG31" s="440" t="n">
        <f aca="false">AA31^2</f>
        <v>0.25</v>
      </c>
      <c r="BH31" s="440" t="n">
        <f aca="false">AB31^2</f>
        <v>0</v>
      </c>
      <c r="BI31" s="440" t="n">
        <f aca="false">AC31^2</f>
        <v>0</v>
      </c>
      <c r="BJ31" s="440" t="n">
        <f aca="false">AD31^2</f>
        <v>0</v>
      </c>
      <c r="BK31" s="440" t="n">
        <f aca="false">AE31^2</f>
        <v>0</v>
      </c>
      <c r="BL31" s="440" t="n">
        <f aca="false">AF31^2</f>
        <v>0</v>
      </c>
      <c r="BM31" s="440" t="n">
        <f aca="false">AG31^2</f>
        <v>0</v>
      </c>
      <c r="BN31" s="440" t="n">
        <f aca="false">AH31^2</f>
        <v>0</v>
      </c>
      <c r="BO31" s="440" t="n">
        <f aca="false">AI31^2</f>
        <v>0</v>
      </c>
      <c r="BP31" s="440" t="n">
        <f aca="false">AJ31^2</f>
        <v>0</v>
      </c>
      <c r="BQ31" s="441" t="n">
        <f aca="false">-SIGN(AK31)*AK31^2</f>
        <v>-1</v>
      </c>
    </row>
    <row r="32" customFormat="false" ht="12.75" hidden="false" customHeight="false" outlineLevel="0" collapsed="false">
      <c r="A32" s="45"/>
      <c r="B32" s="45"/>
      <c r="C32" s="161" t="s">
        <v>872</v>
      </c>
      <c r="D32" s="290" t="n">
        <f aca="false">IF(F32="","",IF(H32="","",ROUND(F32-0.001*298.15*(H32-SUMPRODUCT(L32:AK32*AR$13:BQ$13)),3)))</f>
        <v>-1095.985</v>
      </c>
      <c r="E32" s="137" t="n">
        <f aca="false">IF(G32="","",IF(I32="","",ROUND(2*SQRT((0.5*G32)^2+(0.001*298.15)^2*((0.5*I32)^2+SUMPRODUCT(AR32:BQ32*AR$15:BQ$15))),3)))</f>
        <v>1.567</v>
      </c>
      <c r="F32" s="291" t="s">
        <v>873</v>
      </c>
      <c r="G32" s="292" t="s">
        <v>842</v>
      </c>
      <c r="H32" s="291" t="s">
        <v>874</v>
      </c>
      <c r="I32" s="292" t="s">
        <v>842</v>
      </c>
      <c r="K32" s="342" t="s">
        <v>872</v>
      </c>
      <c r="L32" s="434"/>
      <c r="M32" s="435"/>
      <c r="N32" s="435"/>
      <c r="O32" s="435"/>
      <c r="P32" s="436"/>
      <c r="Q32" s="436"/>
      <c r="R32" s="436"/>
      <c r="S32" s="436"/>
      <c r="T32" s="436"/>
      <c r="U32" s="436"/>
      <c r="V32" s="436" t="n">
        <v>0.5</v>
      </c>
      <c r="W32" s="436"/>
      <c r="X32" s="436"/>
      <c r="Y32" s="436"/>
      <c r="Z32" s="436"/>
      <c r="AA32" s="436"/>
      <c r="AB32" s="436"/>
      <c r="AC32" s="436"/>
      <c r="AD32" s="436" t="n">
        <v>2</v>
      </c>
      <c r="AE32" s="436" t="n">
        <v>1</v>
      </c>
      <c r="AF32" s="436"/>
      <c r="AG32" s="436"/>
      <c r="AH32" s="436"/>
      <c r="AI32" s="437"/>
      <c r="AJ32" s="436"/>
      <c r="AK32" s="438" t="n">
        <v>-2</v>
      </c>
      <c r="AM32" s="38" t="s">
        <v>59</v>
      </c>
      <c r="AN32" s="444" t="n">
        <v>85.23</v>
      </c>
      <c r="AO32" s="443" t="n">
        <v>0.4</v>
      </c>
      <c r="AQ32" s="342" t="s">
        <v>872</v>
      </c>
      <c r="AR32" s="439" t="n">
        <f aca="false">L32^2</f>
        <v>0</v>
      </c>
      <c r="AS32" s="440" t="n">
        <f aca="false">M32^2</f>
        <v>0</v>
      </c>
      <c r="AT32" s="440" t="n">
        <f aca="false">N32^2</f>
        <v>0</v>
      </c>
      <c r="AU32" s="440" t="n">
        <f aca="false">O32^2</f>
        <v>0</v>
      </c>
      <c r="AV32" s="440" t="n">
        <f aca="false">P32^2</f>
        <v>0</v>
      </c>
      <c r="AW32" s="440" t="n">
        <f aca="false">Q32^2</f>
        <v>0</v>
      </c>
      <c r="AX32" s="440" t="n">
        <f aca="false">R32^2</f>
        <v>0</v>
      </c>
      <c r="AY32" s="440" t="n">
        <f aca="false">S32^2</f>
        <v>0</v>
      </c>
      <c r="AZ32" s="440" t="n">
        <f aca="false">T32^2</f>
        <v>0</v>
      </c>
      <c r="BA32" s="440" t="n">
        <f aca="false">U32^2</f>
        <v>0</v>
      </c>
      <c r="BB32" s="440" t="n">
        <f aca="false">V32^2</f>
        <v>0.25</v>
      </c>
      <c r="BC32" s="440" t="n">
        <f aca="false">W32^2</f>
        <v>0</v>
      </c>
      <c r="BD32" s="440" t="n">
        <f aca="false">X32^2</f>
        <v>0</v>
      </c>
      <c r="BE32" s="440" t="n">
        <f aca="false">Y32^2</f>
        <v>0</v>
      </c>
      <c r="BF32" s="440" t="n">
        <f aca="false">Z32^2</f>
        <v>0</v>
      </c>
      <c r="BG32" s="440" t="n">
        <f aca="false">AA32^2</f>
        <v>0</v>
      </c>
      <c r="BH32" s="440" t="n">
        <f aca="false">AB32^2</f>
        <v>0</v>
      </c>
      <c r="BI32" s="440" t="n">
        <f aca="false">AC32^2</f>
        <v>0</v>
      </c>
      <c r="BJ32" s="440" t="n">
        <f aca="false">AD32^2</f>
        <v>4</v>
      </c>
      <c r="BK32" s="440" t="n">
        <f aca="false">AE32^2</f>
        <v>1</v>
      </c>
      <c r="BL32" s="440" t="n">
        <f aca="false">AF32^2</f>
        <v>0</v>
      </c>
      <c r="BM32" s="440" t="n">
        <f aca="false">AG32^2</f>
        <v>0</v>
      </c>
      <c r="BN32" s="440" t="n">
        <f aca="false">AH32^2</f>
        <v>0</v>
      </c>
      <c r="BO32" s="440" t="n">
        <f aca="false">AI32^2</f>
        <v>0</v>
      </c>
      <c r="BP32" s="440" t="n">
        <f aca="false">AJ32^2</f>
        <v>0</v>
      </c>
      <c r="BQ32" s="441" t="n">
        <f aca="false">-SIGN(AK32)*AK32^2</f>
        <v>4</v>
      </c>
    </row>
    <row r="33" customFormat="false" ht="12.75" hidden="false" customHeight="false" outlineLevel="0" collapsed="false">
      <c r="A33" s="45"/>
      <c r="B33" s="44"/>
      <c r="C33" s="161" t="s">
        <v>879</v>
      </c>
      <c r="D33" s="290" t="n">
        <f aca="false">IF(F33="","",IF(H33="","",ROUND(F33-0.001*298.15*(H33-SUMPRODUCT(L33:AK33*AR$13:BQ$13)),3)))</f>
        <v>-1137.152</v>
      </c>
      <c r="E33" s="137" t="n">
        <f aca="false">IF(G33="","",IF(I33="","",ROUND(2*SQRT((0.5*G33)^2+(0.001*298.15)^2*((0.5*I33)^2+SUMPRODUCT(AR33:BQ33*AR$15:BQ$15))),3)))</f>
        <v>1.567</v>
      </c>
      <c r="F33" s="291" t="s">
        <v>880</v>
      </c>
      <c r="G33" s="292" t="s">
        <v>842</v>
      </c>
      <c r="H33" s="291" t="s">
        <v>881</v>
      </c>
      <c r="I33" s="292" t="s">
        <v>842</v>
      </c>
      <c r="J33" s="10"/>
      <c r="K33" s="342" t="s">
        <v>879</v>
      </c>
      <c r="L33" s="434"/>
      <c r="M33" s="435"/>
      <c r="N33" s="435"/>
      <c r="O33" s="435"/>
      <c r="P33" s="436"/>
      <c r="Q33" s="436"/>
      <c r="R33" s="436"/>
      <c r="S33" s="436"/>
      <c r="T33" s="436"/>
      <c r="U33" s="436"/>
      <c r="V33" s="436" t="n">
        <v>1</v>
      </c>
      <c r="W33" s="436"/>
      <c r="X33" s="436"/>
      <c r="Y33" s="436"/>
      <c r="Z33" s="436"/>
      <c r="AA33" s="436"/>
      <c r="AB33" s="436"/>
      <c r="AC33" s="436"/>
      <c r="AD33" s="436" t="n">
        <v>2</v>
      </c>
      <c r="AE33" s="436" t="n">
        <v>1</v>
      </c>
      <c r="AF33" s="436"/>
      <c r="AG33" s="436"/>
      <c r="AH33" s="436"/>
      <c r="AI33" s="437"/>
      <c r="AJ33" s="436"/>
      <c r="AK33" s="438" t="n">
        <v>-1</v>
      </c>
      <c r="AM33" s="38" t="s">
        <v>66</v>
      </c>
      <c r="AN33" s="443" t="n">
        <v>202.791</v>
      </c>
      <c r="AO33" s="443" t="n">
        <v>0.005</v>
      </c>
      <c r="AQ33" s="342" t="s">
        <v>879</v>
      </c>
      <c r="AR33" s="439" t="n">
        <f aca="false">L33^2</f>
        <v>0</v>
      </c>
      <c r="AS33" s="440" t="n">
        <f aca="false">M33^2</f>
        <v>0</v>
      </c>
      <c r="AT33" s="440" t="n">
        <f aca="false">N33^2</f>
        <v>0</v>
      </c>
      <c r="AU33" s="440" t="n">
        <f aca="false">O33^2</f>
        <v>0</v>
      </c>
      <c r="AV33" s="440" t="n">
        <f aca="false">P33^2</f>
        <v>0</v>
      </c>
      <c r="AW33" s="440" t="n">
        <f aca="false">Q33^2</f>
        <v>0</v>
      </c>
      <c r="AX33" s="440" t="n">
        <f aca="false">R33^2</f>
        <v>0</v>
      </c>
      <c r="AY33" s="440" t="n">
        <f aca="false">S33^2</f>
        <v>0</v>
      </c>
      <c r="AZ33" s="440" t="n">
        <f aca="false">T33^2</f>
        <v>0</v>
      </c>
      <c r="BA33" s="440" t="n">
        <f aca="false">U33^2</f>
        <v>0</v>
      </c>
      <c r="BB33" s="440" t="n">
        <f aca="false">V33^2</f>
        <v>1</v>
      </c>
      <c r="BC33" s="440" t="n">
        <f aca="false">W33^2</f>
        <v>0</v>
      </c>
      <c r="BD33" s="440" t="n">
        <f aca="false">X33^2</f>
        <v>0</v>
      </c>
      <c r="BE33" s="440" t="n">
        <f aca="false">Y33^2</f>
        <v>0</v>
      </c>
      <c r="BF33" s="440" t="n">
        <f aca="false">Z33^2</f>
        <v>0</v>
      </c>
      <c r="BG33" s="440" t="n">
        <f aca="false">AA33^2</f>
        <v>0</v>
      </c>
      <c r="BH33" s="440" t="n">
        <f aca="false">AB33^2</f>
        <v>0</v>
      </c>
      <c r="BI33" s="440" t="n">
        <f aca="false">AC33^2</f>
        <v>0</v>
      </c>
      <c r="BJ33" s="440" t="n">
        <f aca="false">AD33^2</f>
        <v>4</v>
      </c>
      <c r="BK33" s="440" t="n">
        <f aca="false">AE33^2</f>
        <v>1</v>
      </c>
      <c r="BL33" s="440" t="n">
        <f aca="false">AF33^2</f>
        <v>0</v>
      </c>
      <c r="BM33" s="440" t="n">
        <f aca="false">AG33^2</f>
        <v>0</v>
      </c>
      <c r="BN33" s="440" t="n">
        <f aca="false">AH33^2</f>
        <v>0</v>
      </c>
      <c r="BO33" s="440" t="n">
        <f aca="false">AI33^2</f>
        <v>0</v>
      </c>
      <c r="BP33" s="440" t="n">
        <f aca="false">AJ33^2</f>
        <v>0</v>
      </c>
      <c r="BQ33" s="441" t="n">
        <f aca="false">-SIGN(AK33)*AK33^2</f>
        <v>1</v>
      </c>
    </row>
    <row r="34" customFormat="false" ht="12.75" hidden="false" customHeight="false" outlineLevel="0" collapsed="false">
      <c r="A34" s="45"/>
      <c r="B34" s="44"/>
      <c r="C34" s="161" t="s">
        <v>885</v>
      </c>
      <c r="D34" s="290" t="n">
        <f aca="false">IF(F34="","",IF(H34="","",ROUND(F34-0.001*298.15*(H34-SUMPRODUCT(L34:AK34*AR$13:BQ$13)),3)))</f>
        <v>-385.97</v>
      </c>
      <c r="E34" s="137" t="n">
        <f aca="false">IF(G34="","",IF(I34="","",ROUND(2*SQRT((0.5*G34)^2+(0.001*298.15)^2*((0.5*I34)^2+SUMPRODUCT(AR34:BQ34*AR$15:BQ$15))),3)))</f>
        <v>0.27</v>
      </c>
      <c r="F34" s="291" t="s">
        <v>886</v>
      </c>
      <c r="G34" s="292" t="s">
        <v>728</v>
      </c>
      <c r="H34" s="291" t="s">
        <v>887</v>
      </c>
      <c r="I34" s="292" t="s">
        <v>888</v>
      </c>
      <c r="J34" s="10"/>
      <c r="K34" s="342" t="s">
        <v>885</v>
      </c>
      <c r="L34" s="434"/>
      <c r="M34" s="435"/>
      <c r="N34" s="435"/>
      <c r="O34" s="435"/>
      <c r="P34" s="436" t="n">
        <v>1</v>
      </c>
      <c r="Q34" s="436"/>
      <c r="R34" s="436"/>
      <c r="S34" s="436"/>
      <c r="T34" s="436"/>
      <c r="U34" s="436"/>
      <c r="V34" s="436"/>
      <c r="W34" s="436"/>
      <c r="X34" s="436"/>
      <c r="Y34" s="436"/>
      <c r="Z34" s="436"/>
      <c r="AA34" s="436"/>
      <c r="AB34" s="436"/>
      <c r="AC34" s="436"/>
      <c r="AD34" s="436" t="n">
        <v>1</v>
      </c>
      <c r="AE34" s="436"/>
      <c r="AF34" s="436"/>
      <c r="AG34" s="436"/>
      <c r="AH34" s="436"/>
      <c r="AI34" s="437"/>
      <c r="AJ34" s="436"/>
      <c r="AK34" s="438"/>
      <c r="AM34" s="38" t="s">
        <v>68</v>
      </c>
      <c r="AN34" s="444"/>
      <c r="AO34" s="443"/>
      <c r="AQ34" s="342" t="s">
        <v>885</v>
      </c>
      <c r="AR34" s="439" t="n">
        <f aca="false">L34^2</f>
        <v>0</v>
      </c>
      <c r="AS34" s="440" t="n">
        <f aca="false">M34^2</f>
        <v>0</v>
      </c>
      <c r="AT34" s="440" t="n">
        <f aca="false">N34^2</f>
        <v>0</v>
      </c>
      <c r="AU34" s="440" t="n">
        <f aca="false">O34^2</f>
        <v>0</v>
      </c>
      <c r="AV34" s="440" t="n">
        <f aca="false">P34^2</f>
        <v>1</v>
      </c>
      <c r="AW34" s="440" t="n">
        <f aca="false">Q34^2</f>
        <v>0</v>
      </c>
      <c r="AX34" s="440" t="n">
        <f aca="false">R34^2</f>
        <v>0</v>
      </c>
      <c r="AY34" s="440" t="n">
        <f aca="false">S34^2</f>
        <v>0</v>
      </c>
      <c r="AZ34" s="440" t="n">
        <f aca="false">T34^2</f>
        <v>0</v>
      </c>
      <c r="BA34" s="440" t="n">
        <f aca="false">U34^2</f>
        <v>0</v>
      </c>
      <c r="BB34" s="440" t="n">
        <f aca="false">V34^2</f>
        <v>0</v>
      </c>
      <c r="BC34" s="440" t="n">
        <f aca="false">W34^2</f>
        <v>0</v>
      </c>
      <c r="BD34" s="440" t="n">
        <f aca="false">X34^2</f>
        <v>0</v>
      </c>
      <c r="BE34" s="440" t="n">
        <f aca="false">Y34^2</f>
        <v>0</v>
      </c>
      <c r="BF34" s="440" t="n">
        <f aca="false">Z34^2</f>
        <v>0</v>
      </c>
      <c r="BG34" s="440" t="n">
        <f aca="false">AA34^2</f>
        <v>0</v>
      </c>
      <c r="BH34" s="440" t="n">
        <f aca="false">AB34^2</f>
        <v>0</v>
      </c>
      <c r="BI34" s="440" t="n">
        <f aca="false">AC34^2</f>
        <v>0</v>
      </c>
      <c r="BJ34" s="440" t="n">
        <f aca="false">AD34^2</f>
        <v>1</v>
      </c>
      <c r="BK34" s="440" t="n">
        <f aca="false">AE34^2</f>
        <v>0</v>
      </c>
      <c r="BL34" s="440" t="n">
        <f aca="false">AF34^2</f>
        <v>0</v>
      </c>
      <c r="BM34" s="440" t="n">
        <f aca="false">AG34^2</f>
        <v>0</v>
      </c>
      <c r="BN34" s="440" t="n">
        <f aca="false">AH34^2</f>
        <v>0</v>
      </c>
      <c r="BO34" s="440" t="n">
        <f aca="false">AI34^2</f>
        <v>0</v>
      </c>
      <c r="BP34" s="440" t="n">
        <f aca="false">AJ34^2</f>
        <v>0</v>
      </c>
      <c r="BQ34" s="441" t="n">
        <f aca="false">-SIGN(AK34)*AK34^2</f>
        <v>-0</v>
      </c>
    </row>
    <row r="35" customFormat="false" ht="12.75" hidden="false" customHeight="false" outlineLevel="0" collapsed="false">
      <c r="A35" s="45"/>
      <c r="B35" s="45"/>
      <c r="C35" s="161" t="s">
        <v>893</v>
      </c>
      <c r="D35" s="290" t="n">
        <f aca="false">IF(F35="","",IF(H35="","",ROUND(F35-0.001*298.15*(H35-SUMPRODUCT(L35:AK35*AR$13:BQ$13)),3)))</f>
        <v>-527.9</v>
      </c>
      <c r="E35" s="137" t="n">
        <f aca="false">IF(G35="","",IF(I35="","",ROUND(2*SQRT((0.5*G35)^2+(0.001*298.15)^2*((0.5*I35)^2+SUMPRODUCT(AR35:BQ35*AR$15:BQ$15))),3)))</f>
        <v>0.39</v>
      </c>
      <c r="F35" s="291" t="s">
        <v>894</v>
      </c>
      <c r="G35" s="292" t="s">
        <v>761</v>
      </c>
      <c r="H35" s="291" t="s">
        <v>895</v>
      </c>
      <c r="I35" s="292" t="s">
        <v>896</v>
      </c>
      <c r="J35" s="10"/>
      <c r="K35" s="342" t="s">
        <v>893</v>
      </c>
      <c r="L35" s="434"/>
      <c r="M35" s="435"/>
      <c r="N35" s="435"/>
      <c r="O35" s="435"/>
      <c r="P35" s="436" t="n">
        <v>1</v>
      </c>
      <c r="Q35" s="436"/>
      <c r="R35" s="436"/>
      <c r="S35" s="436"/>
      <c r="T35" s="436"/>
      <c r="U35" s="436"/>
      <c r="V35" s="436"/>
      <c r="W35" s="436"/>
      <c r="X35" s="436"/>
      <c r="Y35" s="436"/>
      <c r="Z35" s="436"/>
      <c r="AA35" s="436"/>
      <c r="AB35" s="436"/>
      <c r="AC35" s="436"/>
      <c r="AD35" s="436" t="n">
        <v>1.5</v>
      </c>
      <c r="AE35" s="436"/>
      <c r="AF35" s="436"/>
      <c r="AG35" s="436"/>
      <c r="AH35" s="436"/>
      <c r="AI35" s="437"/>
      <c r="AJ35" s="436"/>
      <c r="AK35" s="438" t="n">
        <v>-2</v>
      </c>
      <c r="AM35" s="38" t="s">
        <v>75</v>
      </c>
      <c r="AN35" s="443" t="n">
        <v>130.68</v>
      </c>
      <c r="AO35" s="443" t="n">
        <v>0.003</v>
      </c>
      <c r="AQ35" s="342" t="s">
        <v>893</v>
      </c>
      <c r="AR35" s="439" t="n">
        <f aca="false">L35^2</f>
        <v>0</v>
      </c>
      <c r="AS35" s="440" t="n">
        <f aca="false">M35^2</f>
        <v>0</v>
      </c>
      <c r="AT35" s="440" t="n">
        <f aca="false">N35^2</f>
        <v>0</v>
      </c>
      <c r="AU35" s="440" t="n">
        <f aca="false">O35^2</f>
        <v>0</v>
      </c>
      <c r="AV35" s="440" t="n">
        <f aca="false">P35^2</f>
        <v>1</v>
      </c>
      <c r="AW35" s="440" t="n">
        <f aca="false">Q35^2</f>
        <v>0</v>
      </c>
      <c r="AX35" s="440" t="n">
        <f aca="false">R35^2</f>
        <v>0</v>
      </c>
      <c r="AY35" s="440" t="n">
        <f aca="false">S35^2</f>
        <v>0</v>
      </c>
      <c r="AZ35" s="440" t="n">
        <f aca="false">T35^2</f>
        <v>0</v>
      </c>
      <c r="BA35" s="440" t="n">
        <f aca="false">U35^2</f>
        <v>0</v>
      </c>
      <c r="BB35" s="440" t="n">
        <f aca="false">V35^2</f>
        <v>0</v>
      </c>
      <c r="BC35" s="440" t="n">
        <f aca="false">W35^2</f>
        <v>0</v>
      </c>
      <c r="BD35" s="440" t="n">
        <f aca="false">X35^2</f>
        <v>0</v>
      </c>
      <c r="BE35" s="440" t="n">
        <f aca="false">Y35^2</f>
        <v>0</v>
      </c>
      <c r="BF35" s="440" t="n">
        <f aca="false">Z35^2</f>
        <v>0</v>
      </c>
      <c r="BG35" s="440" t="n">
        <f aca="false">AA35^2</f>
        <v>0</v>
      </c>
      <c r="BH35" s="440" t="n">
        <f aca="false">AB35^2</f>
        <v>0</v>
      </c>
      <c r="BI35" s="440" t="n">
        <f aca="false">AC35^2</f>
        <v>0</v>
      </c>
      <c r="BJ35" s="440" t="n">
        <f aca="false">AD35^2</f>
        <v>2.25</v>
      </c>
      <c r="BK35" s="440" t="n">
        <f aca="false">AE35^2</f>
        <v>0</v>
      </c>
      <c r="BL35" s="440" t="n">
        <f aca="false">AF35^2</f>
        <v>0</v>
      </c>
      <c r="BM35" s="440" t="n">
        <f aca="false">AG35^2</f>
        <v>0</v>
      </c>
      <c r="BN35" s="440" t="n">
        <f aca="false">AH35^2</f>
        <v>0</v>
      </c>
      <c r="BO35" s="440" t="n">
        <f aca="false">AI35^2</f>
        <v>0</v>
      </c>
      <c r="BP35" s="440" t="n">
        <f aca="false">AJ35^2</f>
        <v>0</v>
      </c>
      <c r="BQ35" s="441" t="n">
        <f aca="false">-SIGN(AK35)*AK35^2</f>
        <v>4</v>
      </c>
    </row>
    <row r="36" customFormat="false" ht="12.75" hidden="false" customHeight="false" outlineLevel="0" collapsed="false">
      <c r="A36" s="45"/>
      <c r="B36" s="45"/>
      <c r="C36" s="161" t="s">
        <v>902</v>
      </c>
      <c r="D36" s="290" t="n">
        <f aca="false">IF(F36="","",IF(H36="","",ROUND(F36-0.001*298.15*(H36-SUMPRODUCT(L36:AK36*AR$13:BQ$13)),3)))</f>
        <v>-586.845</v>
      </c>
      <c r="E36" s="137" t="n">
        <f aca="false">IF(G36="","",IF(I36="","",ROUND(2*SQRT((0.5*G36)^2+(0.001*298.15)^2*((0.5*I36)^2+SUMPRODUCT(AR36:BQ36*AR$15:BQ$15))),3)))</f>
        <v>0.251</v>
      </c>
      <c r="F36" s="291" t="s">
        <v>903</v>
      </c>
      <c r="G36" s="292" t="s">
        <v>728</v>
      </c>
      <c r="H36" s="291" t="s">
        <v>904</v>
      </c>
      <c r="I36" s="292" t="s">
        <v>767</v>
      </c>
      <c r="K36" s="342" t="s">
        <v>902</v>
      </c>
      <c r="L36" s="434"/>
      <c r="M36" s="435"/>
      <c r="N36" s="435"/>
      <c r="O36" s="435"/>
      <c r="P36" s="436" t="n">
        <v>1</v>
      </c>
      <c r="Q36" s="436"/>
      <c r="R36" s="436"/>
      <c r="S36" s="436"/>
      <c r="T36" s="436"/>
      <c r="U36" s="436"/>
      <c r="V36" s="436" t="n">
        <v>0.5</v>
      </c>
      <c r="W36" s="436"/>
      <c r="X36" s="436"/>
      <c r="Y36" s="436"/>
      <c r="Z36" s="436"/>
      <c r="AA36" s="436"/>
      <c r="AB36" s="436"/>
      <c r="AC36" s="436"/>
      <c r="AD36" s="436" t="n">
        <v>1.5</v>
      </c>
      <c r="AE36" s="436"/>
      <c r="AF36" s="436"/>
      <c r="AG36" s="436"/>
      <c r="AH36" s="436"/>
      <c r="AI36" s="437"/>
      <c r="AJ36" s="436"/>
      <c r="AK36" s="438" t="n">
        <v>-1</v>
      </c>
      <c r="AM36" s="38" t="s">
        <v>82</v>
      </c>
      <c r="AN36" s="443" t="n">
        <v>116.14</v>
      </c>
      <c r="AO36" s="443" t="n">
        <v>0.3</v>
      </c>
      <c r="AQ36" s="342" t="s">
        <v>902</v>
      </c>
      <c r="AR36" s="439" t="n">
        <f aca="false">L36^2</f>
        <v>0</v>
      </c>
      <c r="AS36" s="440" t="n">
        <f aca="false">M36^2</f>
        <v>0</v>
      </c>
      <c r="AT36" s="440" t="n">
        <f aca="false">N36^2</f>
        <v>0</v>
      </c>
      <c r="AU36" s="440" t="n">
        <f aca="false">O36^2</f>
        <v>0</v>
      </c>
      <c r="AV36" s="440" t="n">
        <f aca="false">P36^2</f>
        <v>1</v>
      </c>
      <c r="AW36" s="440" t="n">
        <f aca="false">Q36^2</f>
        <v>0</v>
      </c>
      <c r="AX36" s="440" t="n">
        <f aca="false">R36^2</f>
        <v>0</v>
      </c>
      <c r="AY36" s="440" t="n">
        <f aca="false">S36^2</f>
        <v>0</v>
      </c>
      <c r="AZ36" s="440" t="n">
        <f aca="false">T36^2</f>
        <v>0</v>
      </c>
      <c r="BA36" s="440" t="n">
        <f aca="false">U36^2</f>
        <v>0</v>
      </c>
      <c r="BB36" s="440" t="n">
        <f aca="false">V36^2</f>
        <v>0.25</v>
      </c>
      <c r="BC36" s="440" t="n">
        <f aca="false">W36^2</f>
        <v>0</v>
      </c>
      <c r="BD36" s="440" t="n">
        <f aca="false">X36^2</f>
        <v>0</v>
      </c>
      <c r="BE36" s="440" t="n">
        <f aca="false">Y36^2</f>
        <v>0</v>
      </c>
      <c r="BF36" s="440" t="n">
        <f aca="false">Z36^2</f>
        <v>0</v>
      </c>
      <c r="BG36" s="440" t="n">
        <f aca="false">AA36^2</f>
        <v>0</v>
      </c>
      <c r="BH36" s="440" t="n">
        <f aca="false">AB36^2</f>
        <v>0</v>
      </c>
      <c r="BI36" s="440" t="n">
        <f aca="false">AC36^2</f>
        <v>0</v>
      </c>
      <c r="BJ36" s="440" t="n">
        <f aca="false">AD36^2</f>
        <v>2.25</v>
      </c>
      <c r="BK36" s="440" t="n">
        <f aca="false">AE36^2</f>
        <v>0</v>
      </c>
      <c r="BL36" s="440" t="n">
        <f aca="false">AF36^2</f>
        <v>0</v>
      </c>
      <c r="BM36" s="440" t="n">
        <f aca="false">AG36^2</f>
        <v>0</v>
      </c>
      <c r="BN36" s="440" t="n">
        <f aca="false">AH36^2</f>
        <v>0</v>
      </c>
      <c r="BO36" s="440" t="n">
        <f aca="false">AI36^2</f>
        <v>0</v>
      </c>
      <c r="BP36" s="440" t="n">
        <f aca="false">AJ36^2</f>
        <v>0</v>
      </c>
      <c r="BQ36" s="441" t="n">
        <f aca="false">-SIGN(AK36)*AK36^2</f>
        <v>1</v>
      </c>
    </row>
    <row r="37" customFormat="false" ht="12.75" hidden="false" customHeight="false" outlineLevel="0" collapsed="false">
      <c r="A37" s="45"/>
      <c r="B37" s="45"/>
      <c r="C37" s="161" t="s">
        <v>909</v>
      </c>
      <c r="D37" s="290" t="str">
        <f aca="false">IF(F37="","",IF(H37="","",ROUND(F37-0.001*298.15*(H37-SUMPRODUCT(L37:AK37*AR$13:BQ$13)),3)))</f>
        <v/>
      </c>
      <c r="E37" s="137" t="str">
        <f aca="false">IF(G37="","",IF(I37="","",ROUND(2*SQRT((0.5*G37)^2+(0.001*298.15)^2*((0.5*I37)^2+SUMPRODUCT(AR37:BQ37*AR$15:BQ$15))),3)))</f>
        <v/>
      </c>
      <c r="F37" s="291"/>
      <c r="G37" s="292"/>
      <c r="H37" s="291"/>
      <c r="I37" s="292"/>
      <c r="J37" s="10"/>
      <c r="K37" s="342" t="s">
        <v>909</v>
      </c>
      <c r="L37" s="434"/>
      <c r="M37" s="435"/>
      <c r="N37" s="435"/>
      <c r="O37" s="435"/>
      <c r="P37" s="436"/>
      <c r="Q37" s="436"/>
      <c r="R37" s="436"/>
      <c r="S37" s="436"/>
      <c r="T37" s="436"/>
      <c r="U37" s="436"/>
      <c r="V37" s="436" t="n">
        <v>2</v>
      </c>
      <c r="W37" s="436"/>
      <c r="X37" s="436"/>
      <c r="Y37" s="436"/>
      <c r="Z37" s="436"/>
      <c r="AA37" s="436"/>
      <c r="AB37" s="436"/>
      <c r="AC37" s="436"/>
      <c r="AD37" s="436" t="n">
        <v>2</v>
      </c>
      <c r="AE37" s="436"/>
      <c r="AF37" s="436"/>
      <c r="AG37" s="436"/>
      <c r="AH37" s="436"/>
      <c r="AI37" s="437" t="n">
        <v>1</v>
      </c>
      <c r="AJ37" s="436"/>
      <c r="AK37" s="438"/>
      <c r="AM37" s="38" t="s">
        <v>86</v>
      </c>
      <c r="AN37" s="444" t="n">
        <v>64.68</v>
      </c>
      <c r="AO37" s="443" t="n">
        <v>0.2</v>
      </c>
      <c r="AQ37" s="342" t="s">
        <v>909</v>
      </c>
      <c r="AR37" s="439" t="n">
        <f aca="false">L37^2</f>
        <v>0</v>
      </c>
      <c r="AS37" s="440" t="n">
        <f aca="false">M37^2</f>
        <v>0</v>
      </c>
      <c r="AT37" s="440" t="n">
        <f aca="false">N37^2</f>
        <v>0</v>
      </c>
      <c r="AU37" s="440" t="n">
        <f aca="false">O37^2</f>
        <v>0</v>
      </c>
      <c r="AV37" s="440" t="n">
        <f aca="false">P37^2</f>
        <v>0</v>
      </c>
      <c r="AW37" s="440" t="n">
        <f aca="false">Q37^2</f>
        <v>0</v>
      </c>
      <c r="AX37" s="440" t="n">
        <f aca="false">R37^2</f>
        <v>0</v>
      </c>
      <c r="AY37" s="440" t="n">
        <f aca="false">S37^2</f>
        <v>0</v>
      </c>
      <c r="AZ37" s="440" t="n">
        <f aca="false">T37^2</f>
        <v>0</v>
      </c>
      <c r="BA37" s="440" t="n">
        <f aca="false">U37^2</f>
        <v>0</v>
      </c>
      <c r="BB37" s="440" t="n">
        <f aca="false">V37^2</f>
        <v>4</v>
      </c>
      <c r="BC37" s="440" t="n">
        <f aca="false">W37^2</f>
        <v>0</v>
      </c>
      <c r="BD37" s="440" t="n">
        <f aca="false">X37^2</f>
        <v>0</v>
      </c>
      <c r="BE37" s="440" t="n">
        <f aca="false">Y37^2</f>
        <v>0</v>
      </c>
      <c r="BF37" s="440" t="n">
        <f aca="false">Z37^2</f>
        <v>0</v>
      </c>
      <c r="BG37" s="440" t="n">
        <f aca="false">AA37^2</f>
        <v>0</v>
      </c>
      <c r="BH37" s="440" t="n">
        <f aca="false">AB37^2</f>
        <v>0</v>
      </c>
      <c r="BI37" s="440" t="n">
        <f aca="false">AC37^2</f>
        <v>0</v>
      </c>
      <c r="BJ37" s="440" t="n">
        <f aca="false">AD37^2</f>
        <v>4</v>
      </c>
      <c r="BK37" s="440" t="n">
        <f aca="false">AE37^2</f>
        <v>0</v>
      </c>
      <c r="BL37" s="440" t="n">
        <f aca="false">AF37^2</f>
        <v>0</v>
      </c>
      <c r="BM37" s="440" t="n">
        <f aca="false">AG37^2</f>
        <v>0</v>
      </c>
      <c r="BN37" s="440" t="n">
        <f aca="false">AH37^2</f>
        <v>0</v>
      </c>
      <c r="BO37" s="440" t="n">
        <f aca="false">AI37^2</f>
        <v>1</v>
      </c>
      <c r="BP37" s="440" t="n">
        <f aca="false">AJ37^2</f>
        <v>0</v>
      </c>
      <c r="BQ37" s="441" t="n">
        <f aca="false">-SIGN(AK37)*AK37^2</f>
        <v>-0</v>
      </c>
    </row>
    <row r="38" customFormat="false" ht="12.75" hidden="false" customHeight="false" outlineLevel="0" collapsed="false">
      <c r="A38" s="45"/>
      <c r="B38" s="45"/>
      <c r="C38" s="161" t="s">
        <v>916</v>
      </c>
      <c r="D38" s="290" t="n">
        <f aca="false">IF(F38="","",IF(H38="","",ROUND(F38-0.001*298.15*(H38-SUMPRODUCT(L38:AK38*AR$13:BQ$13)),3)))</f>
        <v>-969.268</v>
      </c>
      <c r="E38" s="137" t="n">
        <f aca="false">IF(G38="","",IF(I38="","",ROUND(2*SQRT((0.5*G38)^2+(0.001*298.15)^2*((0.5*I38)^2+SUMPRODUCT(AR38:BQ38*AR$15:BQ$15))),3)))</f>
        <v>0.82</v>
      </c>
      <c r="F38" s="291" t="s">
        <v>917</v>
      </c>
      <c r="G38" s="292" t="s">
        <v>806</v>
      </c>
      <c r="H38" s="291" t="s">
        <v>918</v>
      </c>
      <c r="I38" s="292" t="s">
        <v>888</v>
      </c>
      <c r="J38" s="10"/>
      <c r="K38" s="342" t="s">
        <v>916</v>
      </c>
      <c r="L38" s="434"/>
      <c r="M38" s="435" t="n">
        <v>1</v>
      </c>
      <c r="N38" s="435"/>
      <c r="O38" s="435"/>
      <c r="P38" s="436"/>
      <c r="Q38" s="436"/>
      <c r="R38" s="436"/>
      <c r="S38" s="436"/>
      <c r="T38" s="436"/>
      <c r="U38" s="436"/>
      <c r="V38" s="436" t="n">
        <v>1.5</v>
      </c>
      <c r="W38" s="436"/>
      <c r="X38" s="436"/>
      <c r="Y38" s="436"/>
      <c r="Z38" s="436"/>
      <c r="AA38" s="436"/>
      <c r="AB38" s="436"/>
      <c r="AC38" s="436"/>
      <c r="AD38" s="436" t="n">
        <v>1.5</v>
      </c>
      <c r="AE38" s="436"/>
      <c r="AF38" s="436"/>
      <c r="AG38" s="436"/>
      <c r="AH38" s="436"/>
      <c r="AI38" s="437"/>
      <c r="AJ38" s="436"/>
      <c r="AK38" s="438"/>
      <c r="AM38" s="38" t="s">
        <v>89</v>
      </c>
      <c r="AN38" s="444" t="n">
        <v>29.12</v>
      </c>
      <c r="AO38" s="443" t="n">
        <v>0.2</v>
      </c>
      <c r="AQ38" s="342" t="s">
        <v>916</v>
      </c>
      <c r="AR38" s="439" t="n">
        <f aca="false">L38^2</f>
        <v>0</v>
      </c>
      <c r="AS38" s="440" t="n">
        <f aca="false">M38^2</f>
        <v>1</v>
      </c>
      <c r="AT38" s="440" t="n">
        <f aca="false">N38^2</f>
        <v>0</v>
      </c>
      <c r="AU38" s="440" t="n">
        <f aca="false">O38^2</f>
        <v>0</v>
      </c>
      <c r="AV38" s="440" t="n">
        <f aca="false">P38^2</f>
        <v>0</v>
      </c>
      <c r="AW38" s="440" t="n">
        <f aca="false">Q38^2</f>
        <v>0</v>
      </c>
      <c r="AX38" s="440" t="n">
        <f aca="false">R38^2</f>
        <v>0</v>
      </c>
      <c r="AY38" s="440" t="n">
        <f aca="false">S38^2</f>
        <v>0</v>
      </c>
      <c r="AZ38" s="440" t="n">
        <f aca="false">T38^2</f>
        <v>0</v>
      </c>
      <c r="BA38" s="440" t="n">
        <f aca="false">U38^2</f>
        <v>0</v>
      </c>
      <c r="BB38" s="440" t="n">
        <f aca="false">V38^2</f>
        <v>2.25</v>
      </c>
      <c r="BC38" s="440" t="n">
        <f aca="false">W38^2</f>
        <v>0</v>
      </c>
      <c r="BD38" s="440" t="n">
        <f aca="false">X38^2</f>
        <v>0</v>
      </c>
      <c r="BE38" s="440" t="n">
        <f aca="false">Y38^2</f>
        <v>0</v>
      </c>
      <c r="BF38" s="440" t="n">
        <f aca="false">Z38^2</f>
        <v>0</v>
      </c>
      <c r="BG38" s="440" t="n">
        <f aca="false">AA38^2</f>
        <v>0</v>
      </c>
      <c r="BH38" s="440" t="n">
        <f aca="false">AB38^2</f>
        <v>0</v>
      </c>
      <c r="BI38" s="440" t="n">
        <f aca="false">AC38^2</f>
        <v>0</v>
      </c>
      <c r="BJ38" s="440" t="n">
        <f aca="false">AD38^2</f>
        <v>2.25</v>
      </c>
      <c r="BK38" s="440" t="n">
        <f aca="false">AE38^2</f>
        <v>0</v>
      </c>
      <c r="BL38" s="440" t="n">
        <f aca="false">AF38^2</f>
        <v>0</v>
      </c>
      <c r="BM38" s="440" t="n">
        <f aca="false">AG38^2</f>
        <v>0</v>
      </c>
      <c r="BN38" s="440" t="n">
        <f aca="false">AH38^2</f>
        <v>0</v>
      </c>
      <c r="BO38" s="440" t="n">
        <f aca="false">AI38^2</f>
        <v>0</v>
      </c>
      <c r="BP38" s="440" t="n">
        <f aca="false">AJ38^2</f>
        <v>0</v>
      </c>
      <c r="BQ38" s="441" t="n">
        <f aca="false">-SIGN(AK38)*AK38^2</f>
        <v>-0</v>
      </c>
    </row>
    <row r="39" customFormat="false" ht="12.75" hidden="false" customHeight="false" outlineLevel="0" collapsed="false">
      <c r="A39" s="45"/>
      <c r="B39" s="45"/>
      <c r="C39" s="161" t="s">
        <v>923</v>
      </c>
      <c r="D39" s="290" t="str">
        <f aca="false">IF(F39="","",IF(H39="","",ROUND(F39-0.001*298.15*(H39-SUMPRODUCT(L39:AK39*AR$13:BQ$13)),3)))</f>
        <v/>
      </c>
      <c r="E39" s="137" t="str">
        <f aca="false">IF(G39="","",IF(I39="","",ROUND(2*SQRT((0.5*G39)^2+(0.001*298.15)^2*((0.5*I39)^2+SUMPRODUCT(AR39:BQ39*AR$15:BQ$15))),3)))</f>
        <v/>
      </c>
      <c r="F39" s="295"/>
      <c r="G39" s="297"/>
      <c r="H39" s="295"/>
      <c r="I39" s="297"/>
      <c r="J39" s="10"/>
      <c r="K39" s="161" t="s">
        <v>923</v>
      </c>
      <c r="L39" s="445"/>
      <c r="M39" s="446" t="n">
        <v>1</v>
      </c>
      <c r="N39" s="446"/>
      <c r="O39" s="446"/>
      <c r="P39" s="436"/>
      <c r="Q39" s="436"/>
      <c r="R39" s="436"/>
      <c r="S39" s="436"/>
      <c r="T39" s="436"/>
      <c r="U39" s="436"/>
      <c r="V39" s="436" t="n">
        <v>2</v>
      </c>
      <c r="W39" s="436"/>
      <c r="X39" s="436"/>
      <c r="Y39" s="436"/>
      <c r="Z39" s="436"/>
      <c r="AA39" s="436"/>
      <c r="AB39" s="436"/>
      <c r="AC39" s="436"/>
      <c r="AD39" s="436" t="n">
        <v>2</v>
      </c>
      <c r="AE39" s="436"/>
      <c r="AF39" s="436"/>
      <c r="AG39" s="436"/>
      <c r="AH39" s="436"/>
      <c r="AI39" s="437"/>
      <c r="AJ39" s="436"/>
      <c r="AK39" s="438" t="n">
        <v>-1</v>
      </c>
      <c r="AM39" s="31" t="s">
        <v>93</v>
      </c>
      <c r="AN39" s="444" t="n">
        <v>32.67</v>
      </c>
      <c r="AO39" s="443" t="n">
        <v>0.1</v>
      </c>
      <c r="AQ39" s="161" t="s">
        <v>923</v>
      </c>
      <c r="AR39" s="439" t="n">
        <f aca="false">L39^2</f>
        <v>0</v>
      </c>
      <c r="AS39" s="440" t="n">
        <f aca="false">M39^2</f>
        <v>1</v>
      </c>
      <c r="AT39" s="440" t="n">
        <f aca="false">N39^2</f>
        <v>0</v>
      </c>
      <c r="AU39" s="440" t="n">
        <f aca="false">O39^2</f>
        <v>0</v>
      </c>
      <c r="AV39" s="440" t="n">
        <f aca="false">P39^2</f>
        <v>0</v>
      </c>
      <c r="AW39" s="440" t="n">
        <f aca="false">Q39^2</f>
        <v>0</v>
      </c>
      <c r="AX39" s="440" t="n">
        <f aca="false">R39^2</f>
        <v>0</v>
      </c>
      <c r="AY39" s="440" t="n">
        <f aca="false">S39^2</f>
        <v>0</v>
      </c>
      <c r="AZ39" s="440" t="n">
        <f aca="false">T39^2</f>
        <v>0</v>
      </c>
      <c r="BA39" s="440" t="n">
        <f aca="false">U39^2</f>
        <v>0</v>
      </c>
      <c r="BB39" s="440" t="n">
        <f aca="false">V39^2</f>
        <v>4</v>
      </c>
      <c r="BC39" s="440" t="n">
        <f aca="false">W39^2</f>
        <v>0</v>
      </c>
      <c r="BD39" s="440" t="n">
        <f aca="false">X39^2</f>
        <v>0</v>
      </c>
      <c r="BE39" s="440" t="n">
        <f aca="false">Y39^2</f>
        <v>0</v>
      </c>
      <c r="BF39" s="440" t="n">
        <f aca="false">Z39^2</f>
        <v>0</v>
      </c>
      <c r="BG39" s="440" t="n">
        <f aca="false">AA39^2</f>
        <v>0</v>
      </c>
      <c r="BH39" s="440" t="n">
        <f aca="false">AB39^2</f>
        <v>0</v>
      </c>
      <c r="BI39" s="440" t="n">
        <f aca="false">AC39^2</f>
        <v>0</v>
      </c>
      <c r="BJ39" s="440" t="n">
        <f aca="false">AD39^2</f>
        <v>4</v>
      </c>
      <c r="BK39" s="440" t="n">
        <f aca="false">AE39^2</f>
        <v>0</v>
      </c>
      <c r="BL39" s="440" t="n">
        <f aca="false">AF39^2</f>
        <v>0</v>
      </c>
      <c r="BM39" s="440" t="n">
        <f aca="false">AG39^2</f>
        <v>0</v>
      </c>
      <c r="BN39" s="440" t="n">
        <f aca="false">AH39^2</f>
        <v>0</v>
      </c>
      <c r="BO39" s="440" t="n">
        <f aca="false">AI39^2</f>
        <v>0</v>
      </c>
      <c r="BP39" s="440" t="n">
        <f aca="false">AJ39^2</f>
        <v>0</v>
      </c>
      <c r="BQ39" s="441" t="n">
        <f aca="false">-SIGN(AK39)*AK39^2</f>
        <v>1</v>
      </c>
    </row>
    <row r="40" customFormat="false" ht="12.75" hidden="false" customHeight="false" outlineLevel="0" collapsed="false">
      <c r="A40" s="45"/>
      <c r="B40" s="44"/>
      <c r="C40" s="161" t="s">
        <v>924</v>
      </c>
      <c r="D40" s="290" t="n">
        <f aca="false">IF(F40="","",IF(H40="","",ROUND(F40-0.001*298.15*(H40-SUMPRODUCT(L40:AK40*AR$13:BQ$13)),3)))</f>
        <v>-491.507</v>
      </c>
      <c r="E40" s="137" t="n">
        <f aca="false">IF(G40="","",IF(I40="","",ROUND(2*SQRT((0.5*G40)^2+(0.001*298.15)^2*((0.5*I40)^2+SUMPRODUCT(AR40:BQ40*AR$15:BQ$15))),3)))</f>
        <v>3.338</v>
      </c>
      <c r="F40" s="291" t="s">
        <v>925</v>
      </c>
      <c r="G40" s="292" t="s">
        <v>842</v>
      </c>
      <c r="H40" s="291" t="s">
        <v>926</v>
      </c>
      <c r="I40" s="292" t="s">
        <v>927</v>
      </c>
      <c r="K40" s="342" t="s">
        <v>924</v>
      </c>
      <c r="L40" s="434" t="n">
        <v>1</v>
      </c>
      <c r="M40" s="435"/>
      <c r="N40" s="435"/>
      <c r="O40" s="435"/>
      <c r="P40" s="436"/>
      <c r="Q40" s="436"/>
      <c r="R40" s="436"/>
      <c r="S40" s="436"/>
      <c r="T40" s="436"/>
      <c r="U40" s="436"/>
      <c r="V40" s="436"/>
      <c r="W40" s="436"/>
      <c r="X40" s="436"/>
      <c r="Y40" s="436"/>
      <c r="Z40" s="436"/>
      <c r="AA40" s="436"/>
      <c r="AB40" s="436"/>
      <c r="AC40" s="436"/>
      <c r="AD40" s="436"/>
      <c r="AE40" s="436"/>
      <c r="AF40" s="436"/>
      <c r="AG40" s="436"/>
      <c r="AH40" s="436"/>
      <c r="AI40" s="437"/>
      <c r="AJ40" s="436"/>
      <c r="AK40" s="438" t="n">
        <v>3</v>
      </c>
      <c r="AM40" s="38" t="s">
        <v>97</v>
      </c>
      <c r="AN40" s="443" t="n">
        <v>191.609</v>
      </c>
      <c r="AO40" s="443" t="n">
        <v>0.004</v>
      </c>
      <c r="AQ40" s="342" t="s">
        <v>924</v>
      </c>
      <c r="AR40" s="439" t="n">
        <f aca="false">L40^2</f>
        <v>1</v>
      </c>
      <c r="AS40" s="440" t="n">
        <f aca="false">M40^2</f>
        <v>0</v>
      </c>
      <c r="AT40" s="440" t="n">
        <f aca="false">N40^2</f>
        <v>0</v>
      </c>
      <c r="AU40" s="440" t="n">
        <f aca="false">O40^2</f>
        <v>0</v>
      </c>
      <c r="AV40" s="440" t="n">
        <f aca="false">P40^2</f>
        <v>0</v>
      </c>
      <c r="AW40" s="440" t="n">
        <f aca="false">Q40^2</f>
        <v>0</v>
      </c>
      <c r="AX40" s="440" t="n">
        <f aca="false">R40^2</f>
        <v>0</v>
      </c>
      <c r="AY40" s="440" t="n">
        <f aca="false">S40^2</f>
        <v>0</v>
      </c>
      <c r="AZ40" s="440" t="n">
        <f aca="false">T40^2</f>
        <v>0</v>
      </c>
      <c r="BA40" s="440" t="n">
        <f aca="false">U40^2</f>
        <v>0</v>
      </c>
      <c r="BB40" s="440" t="n">
        <f aca="false">V40^2</f>
        <v>0</v>
      </c>
      <c r="BC40" s="440" t="n">
        <f aca="false">W40^2</f>
        <v>0</v>
      </c>
      <c r="BD40" s="440" t="n">
        <f aca="false">X40^2</f>
        <v>0</v>
      </c>
      <c r="BE40" s="440" t="n">
        <f aca="false">Y40^2</f>
        <v>0</v>
      </c>
      <c r="BF40" s="440" t="n">
        <f aca="false">Z40^2</f>
        <v>0</v>
      </c>
      <c r="BG40" s="440" t="n">
        <f aca="false">AA40^2</f>
        <v>0</v>
      </c>
      <c r="BH40" s="440" t="n">
        <f aca="false">AB40^2</f>
        <v>0</v>
      </c>
      <c r="BI40" s="440" t="n">
        <f aca="false">AC40^2</f>
        <v>0</v>
      </c>
      <c r="BJ40" s="440" t="n">
        <f aca="false">AD40^2</f>
        <v>0</v>
      </c>
      <c r="BK40" s="440" t="n">
        <f aca="false">AE40^2</f>
        <v>0</v>
      </c>
      <c r="BL40" s="440" t="n">
        <f aca="false">AF40^2</f>
        <v>0</v>
      </c>
      <c r="BM40" s="440" t="n">
        <f aca="false">AG40^2</f>
        <v>0</v>
      </c>
      <c r="BN40" s="440" t="n">
        <f aca="false">AH40^2</f>
        <v>0</v>
      </c>
      <c r="BO40" s="440" t="n">
        <f aca="false">AI40^2</f>
        <v>0</v>
      </c>
      <c r="BP40" s="440" t="n">
        <f aca="false">AJ40^2</f>
        <v>0</v>
      </c>
      <c r="BQ40" s="441" t="n">
        <f aca="false">-SIGN(AK40)*AK40^2</f>
        <v>-9</v>
      </c>
    </row>
    <row r="41" customFormat="false" ht="12.75" hidden="false" customHeight="false" outlineLevel="0" collapsed="false">
      <c r="A41" s="45"/>
      <c r="B41" s="45"/>
      <c r="C41" s="161" t="s">
        <v>933</v>
      </c>
      <c r="D41" s="290" t="str">
        <f aca="false">IF(F41="","",IF(H41="","",ROUND(F41-0.001*298.15*(H41-SUMPRODUCT(L41:AK41*AR$13:BQ$13)),3)))</f>
        <v/>
      </c>
      <c r="E41" s="137" t="str">
        <f aca="false">IF(G41="","",IF(I41="","",ROUND(2*SQRT((0.5*G41)^2+(0.001*298.15)^2*((0.5*I41)^2+SUMPRODUCT(AR41:BQ41*AR$15:BQ$15))),3)))</f>
        <v/>
      </c>
      <c r="F41" s="295"/>
      <c r="G41" s="297"/>
      <c r="H41" s="295"/>
      <c r="I41" s="297"/>
      <c r="K41" s="342" t="s">
        <v>933</v>
      </c>
      <c r="L41" s="445" t="n">
        <v>1</v>
      </c>
      <c r="M41" s="446"/>
      <c r="N41" s="446"/>
      <c r="O41" s="446"/>
      <c r="P41" s="436"/>
      <c r="Q41" s="436"/>
      <c r="R41" s="436"/>
      <c r="S41" s="436"/>
      <c r="T41" s="436"/>
      <c r="U41" s="436"/>
      <c r="V41" s="436"/>
      <c r="W41" s="436"/>
      <c r="X41" s="436"/>
      <c r="Y41" s="436"/>
      <c r="Z41" s="436"/>
      <c r="AA41" s="436"/>
      <c r="AB41" s="436"/>
      <c r="AC41" s="436"/>
      <c r="AD41" s="436" t="n">
        <v>2</v>
      </c>
      <c r="AE41" s="436"/>
      <c r="AF41" s="436"/>
      <c r="AG41" s="436"/>
      <c r="AH41" s="436"/>
      <c r="AI41" s="437"/>
      <c r="AJ41" s="436"/>
      <c r="AK41" s="438" t="n">
        <v>-1</v>
      </c>
      <c r="AM41" s="38" t="s">
        <v>99</v>
      </c>
      <c r="AN41" s="443" t="n">
        <v>51.3</v>
      </c>
      <c r="AO41" s="443" t="n">
        <v>0.2</v>
      </c>
      <c r="AQ41" s="342" t="s">
        <v>933</v>
      </c>
      <c r="AR41" s="439" t="n">
        <f aca="false">L41^2</f>
        <v>1</v>
      </c>
      <c r="AS41" s="440" t="n">
        <f aca="false">M41^2</f>
        <v>0</v>
      </c>
      <c r="AT41" s="440" t="n">
        <f aca="false">N41^2</f>
        <v>0</v>
      </c>
      <c r="AU41" s="440" t="n">
        <f aca="false">O41^2</f>
        <v>0</v>
      </c>
      <c r="AV41" s="440" t="n">
        <f aca="false">P41^2</f>
        <v>0</v>
      </c>
      <c r="AW41" s="440" t="n">
        <f aca="false">Q41^2</f>
        <v>0</v>
      </c>
      <c r="AX41" s="440" t="n">
        <f aca="false">R41^2</f>
        <v>0</v>
      </c>
      <c r="AY41" s="440" t="n">
        <f aca="false">S41^2</f>
        <v>0</v>
      </c>
      <c r="AZ41" s="440" t="n">
        <f aca="false">T41^2</f>
        <v>0</v>
      </c>
      <c r="BA41" s="440" t="n">
        <f aca="false">U41^2</f>
        <v>0</v>
      </c>
      <c r="BB41" s="440" t="n">
        <f aca="false">V41^2</f>
        <v>0</v>
      </c>
      <c r="BC41" s="440" t="n">
        <f aca="false">W41^2</f>
        <v>0</v>
      </c>
      <c r="BD41" s="440" t="n">
        <f aca="false">X41^2</f>
        <v>0</v>
      </c>
      <c r="BE41" s="440" t="n">
        <f aca="false">Y41^2</f>
        <v>0</v>
      </c>
      <c r="BF41" s="440" t="n">
        <f aca="false">Z41^2</f>
        <v>0</v>
      </c>
      <c r="BG41" s="440" t="n">
        <f aca="false">AA41^2</f>
        <v>0</v>
      </c>
      <c r="BH41" s="440" t="n">
        <f aca="false">AB41^2</f>
        <v>0</v>
      </c>
      <c r="BI41" s="440" t="n">
        <f aca="false">AC41^2</f>
        <v>0</v>
      </c>
      <c r="BJ41" s="440" t="n">
        <f aca="false">AD41^2</f>
        <v>4</v>
      </c>
      <c r="BK41" s="440" t="n">
        <f aca="false">AE41^2</f>
        <v>0</v>
      </c>
      <c r="BL41" s="440" t="n">
        <f aca="false">AF41^2</f>
        <v>0</v>
      </c>
      <c r="BM41" s="440" t="n">
        <f aca="false">AG41^2</f>
        <v>0</v>
      </c>
      <c r="BN41" s="440" t="n">
        <f aca="false">AH41^2</f>
        <v>0</v>
      </c>
      <c r="BO41" s="440" t="n">
        <f aca="false">AI41^2</f>
        <v>0</v>
      </c>
      <c r="BP41" s="440" t="n">
        <f aca="false">AJ41^2</f>
        <v>0</v>
      </c>
      <c r="BQ41" s="441" t="n">
        <f aca="false">-SIGN(AK41)*AK41^2</f>
        <v>1</v>
      </c>
    </row>
    <row r="42" customFormat="false" ht="12.75" hidden="false" customHeight="false" outlineLevel="0" collapsed="false">
      <c r="A42" s="45"/>
      <c r="B42" s="44"/>
      <c r="C42" s="38" t="s">
        <v>934</v>
      </c>
      <c r="D42" s="290" t="str">
        <f aca="false">IF(F42="","",IF(H42="","",ROUND(F42-0.001*298.15*(H42-SUMPRODUCT(L42:AK42*AR$13:BQ$13)),3)))</f>
        <v/>
      </c>
      <c r="E42" s="137" t="str">
        <f aca="false">IF(G42="","",IF(I42="","",ROUND(2*SQRT((0.5*G42)^2+(0.001*298.15)^2*((0.5*I42)^2+SUMPRODUCT(AR42:BQ42*AR$15:BQ$15))),3)))</f>
        <v/>
      </c>
      <c r="F42" s="291"/>
      <c r="G42" s="292"/>
      <c r="H42" s="291"/>
      <c r="I42" s="292"/>
      <c r="K42" s="140" t="s">
        <v>934</v>
      </c>
      <c r="L42" s="434"/>
      <c r="M42" s="435"/>
      <c r="N42" s="435"/>
      <c r="O42" s="435"/>
      <c r="P42" s="436"/>
      <c r="Q42" s="436"/>
      <c r="R42" s="436"/>
      <c r="S42" s="436"/>
      <c r="T42" s="436"/>
      <c r="U42" s="436"/>
      <c r="V42" s="436"/>
      <c r="W42" s="436"/>
      <c r="X42" s="436"/>
      <c r="Y42" s="436"/>
      <c r="Z42" s="436"/>
      <c r="AA42" s="436"/>
      <c r="AB42" s="436"/>
      <c r="AC42" s="436" t="n">
        <v>1</v>
      </c>
      <c r="AD42" s="436"/>
      <c r="AE42" s="436"/>
      <c r="AF42" s="436"/>
      <c r="AG42" s="436"/>
      <c r="AH42" s="436"/>
      <c r="AI42" s="437"/>
      <c r="AJ42" s="436"/>
      <c r="AK42" s="438" t="n">
        <v>2</v>
      </c>
      <c r="AM42" s="31" t="s">
        <v>103</v>
      </c>
      <c r="AN42" s="444"/>
      <c r="AO42" s="443"/>
      <c r="AQ42" s="140" t="s">
        <v>934</v>
      </c>
      <c r="AR42" s="439" t="n">
        <f aca="false">L42^2</f>
        <v>0</v>
      </c>
      <c r="AS42" s="440" t="n">
        <f aca="false">M42^2</f>
        <v>0</v>
      </c>
      <c r="AT42" s="440" t="n">
        <f aca="false">N42^2</f>
        <v>0</v>
      </c>
      <c r="AU42" s="440" t="n">
        <f aca="false">O42^2</f>
        <v>0</v>
      </c>
      <c r="AV42" s="440" t="n">
        <f aca="false">P42^2</f>
        <v>0</v>
      </c>
      <c r="AW42" s="440" t="n">
        <f aca="false">Q42^2</f>
        <v>0</v>
      </c>
      <c r="AX42" s="440" t="n">
        <f aca="false">R42^2</f>
        <v>0</v>
      </c>
      <c r="AY42" s="440" t="n">
        <f aca="false">S42^2</f>
        <v>0</v>
      </c>
      <c r="AZ42" s="440" t="n">
        <f aca="false">T42^2</f>
        <v>0</v>
      </c>
      <c r="BA42" s="440" t="n">
        <f aca="false">U42^2</f>
        <v>0</v>
      </c>
      <c r="BB42" s="440" t="n">
        <f aca="false">V42^2</f>
        <v>0</v>
      </c>
      <c r="BC42" s="440" t="n">
        <f aca="false">W42^2</f>
        <v>0</v>
      </c>
      <c r="BD42" s="440" t="n">
        <f aca="false">X42^2</f>
        <v>0</v>
      </c>
      <c r="BE42" s="440" t="n">
        <f aca="false">Y42^2</f>
        <v>0</v>
      </c>
      <c r="BF42" s="440" t="n">
        <f aca="false">Z42^2</f>
        <v>0</v>
      </c>
      <c r="BG42" s="440" t="n">
        <f aca="false">AA42^2</f>
        <v>0</v>
      </c>
      <c r="BH42" s="440" t="n">
        <f aca="false">AB42^2</f>
        <v>0</v>
      </c>
      <c r="BI42" s="440" t="n">
        <f aca="false">AC42^2</f>
        <v>1</v>
      </c>
      <c r="BJ42" s="440" t="n">
        <f aca="false">AD42^2</f>
        <v>0</v>
      </c>
      <c r="BK42" s="440" t="n">
        <f aca="false">AE42^2</f>
        <v>0</v>
      </c>
      <c r="BL42" s="440" t="n">
        <f aca="false">AF42^2</f>
        <v>0</v>
      </c>
      <c r="BM42" s="440" t="n">
        <f aca="false">AG42^2</f>
        <v>0</v>
      </c>
      <c r="BN42" s="440" t="n">
        <f aca="false">AH42^2</f>
        <v>0</v>
      </c>
      <c r="BO42" s="440" t="n">
        <f aca="false">AI42^2</f>
        <v>0</v>
      </c>
      <c r="BP42" s="440" t="n">
        <f aca="false">AJ42^2</f>
        <v>0</v>
      </c>
      <c r="BQ42" s="441" t="n">
        <f aca="false">-SIGN(AK42)*AK42^2</f>
        <v>-4</v>
      </c>
    </row>
    <row r="43" customFormat="false" ht="12.75" hidden="false" customHeight="false" outlineLevel="0" collapsed="false">
      <c r="A43" s="45"/>
      <c r="B43" s="45"/>
      <c r="C43" s="161" t="s">
        <v>941</v>
      </c>
      <c r="D43" s="290" t="str">
        <f aca="false">IF(F43="","",IF(H43="","",ROUND(F43-0.001*298.15*(H43-SUMPRODUCT(L43:AK43*AR$13:BQ$13)),3)))</f>
        <v/>
      </c>
      <c r="E43" s="137" t="str">
        <f aca="false">IF(G43="","",IF(I43="","",ROUND(2*SQRT((0.5*G43)^2+(0.001*298.15)^2*((0.5*I43)^2+SUMPRODUCT(AR43:BQ43*AR$15:BQ$15))),3)))</f>
        <v/>
      </c>
      <c r="F43" s="291"/>
      <c r="G43" s="292"/>
      <c r="H43" s="291"/>
      <c r="I43" s="292"/>
      <c r="J43" s="10"/>
      <c r="K43" s="342" t="s">
        <v>941</v>
      </c>
      <c r="L43" s="434"/>
      <c r="M43" s="435"/>
      <c r="N43" s="435"/>
      <c r="O43" s="435"/>
      <c r="P43" s="436"/>
      <c r="Q43" s="436"/>
      <c r="R43" s="436"/>
      <c r="S43" s="436"/>
      <c r="T43" s="436"/>
      <c r="U43" s="436" t="n">
        <v>1</v>
      </c>
      <c r="V43" s="436"/>
      <c r="W43" s="436"/>
      <c r="X43" s="436"/>
      <c r="Y43" s="436"/>
      <c r="Z43" s="436"/>
      <c r="AA43" s="436"/>
      <c r="AB43" s="436"/>
      <c r="AC43" s="436"/>
      <c r="AD43" s="436"/>
      <c r="AE43" s="436"/>
      <c r="AF43" s="436"/>
      <c r="AG43" s="436"/>
      <c r="AH43" s="436"/>
      <c r="AI43" s="437"/>
      <c r="AJ43" s="436"/>
      <c r="AK43" s="438" t="n">
        <v>2</v>
      </c>
      <c r="AM43" s="38" t="s">
        <v>107</v>
      </c>
      <c r="AN43" s="443" t="n">
        <v>205.152</v>
      </c>
      <c r="AO43" s="443" t="n">
        <v>0.005</v>
      </c>
      <c r="AQ43" s="342" t="s">
        <v>941</v>
      </c>
      <c r="AR43" s="439" t="n">
        <f aca="false">L43^2</f>
        <v>0</v>
      </c>
      <c r="AS43" s="440" t="n">
        <f aca="false">M43^2</f>
        <v>0</v>
      </c>
      <c r="AT43" s="440" t="n">
        <f aca="false">N43^2</f>
        <v>0</v>
      </c>
      <c r="AU43" s="440" t="n">
        <f aca="false">O43^2</f>
        <v>0</v>
      </c>
      <c r="AV43" s="440" t="n">
        <f aca="false">P43^2</f>
        <v>0</v>
      </c>
      <c r="AW43" s="440" t="n">
        <f aca="false">Q43^2</f>
        <v>0</v>
      </c>
      <c r="AX43" s="440" t="n">
        <f aca="false">R43^2</f>
        <v>0</v>
      </c>
      <c r="AY43" s="440" t="n">
        <f aca="false">S43^2</f>
        <v>0</v>
      </c>
      <c r="AZ43" s="440" t="n">
        <f aca="false">T43^2</f>
        <v>0</v>
      </c>
      <c r="BA43" s="440" t="n">
        <f aca="false">U43^2</f>
        <v>1</v>
      </c>
      <c r="BB43" s="440" t="n">
        <f aca="false">V43^2</f>
        <v>0</v>
      </c>
      <c r="BC43" s="440" t="n">
        <f aca="false">W43^2</f>
        <v>0</v>
      </c>
      <c r="BD43" s="440" t="n">
        <f aca="false">X43^2</f>
        <v>0</v>
      </c>
      <c r="BE43" s="440" t="n">
        <f aca="false">Y43^2</f>
        <v>0</v>
      </c>
      <c r="BF43" s="440" t="n">
        <f aca="false">Z43^2</f>
        <v>0</v>
      </c>
      <c r="BG43" s="440" t="n">
        <f aca="false">AA43^2</f>
        <v>0</v>
      </c>
      <c r="BH43" s="440" t="n">
        <f aca="false">AB43^2</f>
        <v>0</v>
      </c>
      <c r="BI43" s="440" t="n">
        <f aca="false">AC43^2</f>
        <v>0</v>
      </c>
      <c r="BJ43" s="440" t="n">
        <f aca="false">AD43^2</f>
        <v>0</v>
      </c>
      <c r="BK43" s="440" t="n">
        <f aca="false">AE43^2</f>
        <v>0</v>
      </c>
      <c r="BL43" s="440" t="n">
        <f aca="false">AF43^2</f>
        <v>0</v>
      </c>
      <c r="BM43" s="440" t="n">
        <f aca="false">AG43^2</f>
        <v>0</v>
      </c>
      <c r="BN43" s="440" t="n">
        <f aca="false">AH43^2</f>
        <v>0</v>
      </c>
      <c r="BO43" s="440" t="n">
        <f aca="false">AI43^2</f>
        <v>0</v>
      </c>
      <c r="BP43" s="440" t="n">
        <f aca="false">AJ43^2</f>
        <v>0</v>
      </c>
      <c r="BQ43" s="441" t="n">
        <f aca="false">-SIGN(AK43)*AK43^2</f>
        <v>-4</v>
      </c>
    </row>
    <row r="44" customFormat="false" ht="12.75" hidden="false" customHeight="false" outlineLevel="0" collapsed="false">
      <c r="A44" s="45"/>
      <c r="B44" s="45"/>
      <c r="C44" s="161" t="s">
        <v>948</v>
      </c>
      <c r="D44" s="290" t="str">
        <f aca="false">IF(F44="","",IF(H44="","",ROUND(F44-0.001*298.15*(H44-SUMPRODUCT(L44:AK44*AR$13:BQ$13)),3)))</f>
        <v/>
      </c>
      <c r="E44" s="137" t="str">
        <f aca="false">IF(G44="","",IF(I44="","",ROUND(2*SQRT((0.5*G44)^2+(0.001*298.15)^2*((0.5*I44)^2+SUMPRODUCT(AR44:BQ44*AR$15:BQ$15))),3)))</f>
        <v/>
      </c>
      <c r="F44" s="291"/>
      <c r="G44" s="292"/>
      <c r="H44" s="291"/>
      <c r="I44" s="292"/>
      <c r="J44" s="10"/>
      <c r="K44" s="342" t="s">
        <v>948</v>
      </c>
      <c r="L44" s="434"/>
      <c r="M44" s="435"/>
      <c r="N44" s="435"/>
      <c r="O44" s="435"/>
      <c r="P44" s="436"/>
      <c r="Q44" s="436"/>
      <c r="R44" s="436"/>
      <c r="S44" s="436"/>
      <c r="T44" s="436"/>
      <c r="U44" s="436" t="n">
        <v>1</v>
      </c>
      <c r="V44" s="436"/>
      <c r="W44" s="436"/>
      <c r="X44" s="436"/>
      <c r="Y44" s="436"/>
      <c r="Z44" s="436"/>
      <c r="AA44" s="436"/>
      <c r="AB44" s="436"/>
      <c r="AC44" s="436"/>
      <c r="AD44" s="436"/>
      <c r="AE44" s="436"/>
      <c r="AF44" s="436"/>
      <c r="AG44" s="436"/>
      <c r="AH44" s="436"/>
      <c r="AI44" s="437"/>
      <c r="AJ44" s="436"/>
      <c r="AK44" s="438" t="n">
        <v>3</v>
      </c>
      <c r="AM44" s="31" t="s">
        <v>110</v>
      </c>
      <c r="AN44" s="444" t="n">
        <v>41.09</v>
      </c>
      <c r="AO44" s="443" t="n">
        <v>0.25</v>
      </c>
      <c r="AQ44" s="342" t="s">
        <v>948</v>
      </c>
      <c r="AR44" s="439" t="n">
        <f aca="false">L44^2</f>
        <v>0</v>
      </c>
      <c r="AS44" s="440" t="n">
        <f aca="false">M44^2</f>
        <v>0</v>
      </c>
      <c r="AT44" s="440" t="n">
        <f aca="false">N44^2</f>
        <v>0</v>
      </c>
      <c r="AU44" s="440" t="n">
        <f aca="false">O44^2</f>
        <v>0</v>
      </c>
      <c r="AV44" s="440" t="n">
        <f aca="false">P44^2</f>
        <v>0</v>
      </c>
      <c r="AW44" s="440" t="n">
        <f aca="false">Q44^2</f>
        <v>0</v>
      </c>
      <c r="AX44" s="440" t="n">
        <f aca="false">R44^2</f>
        <v>0</v>
      </c>
      <c r="AY44" s="440" t="n">
        <f aca="false">S44^2</f>
        <v>0</v>
      </c>
      <c r="AZ44" s="440" t="n">
        <f aca="false">T44^2</f>
        <v>0</v>
      </c>
      <c r="BA44" s="440" t="n">
        <f aca="false">U44^2</f>
        <v>1</v>
      </c>
      <c r="BB44" s="440" t="n">
        <f aca="false">V44^2</f>
        <v>0</v>
      </c>
      <c r="BC44" s="440" t="n">
        <f aca="false">W44^2</f>
        <v>0</v>
      </c>
      <c r="BD44" s="440" t="n">
        <f aca="false">X44^2</f>
        <v>0</v>
      </c>
      <c r="BE44" s="440" t="n">
        <f aca="false">Y44^2</f>
        <v>0</v>
      </c>
      <c r="BF44" s="440" t="n">
        <f aca="false">Z44^2</f>
        <v>0</v>
      </c>
      <c r="BG44" s="440" t="n">
        <f aca="false">AA44^2</f>
        <v>0</v>
      </c>
      <c r="BH44" s="440" t="n">
        <f aca="false">AB44^2</f>
        <v>0</v>
      </c>
      <c r="BI44" s="440" t="n">
        <f aca="false">AC44^2</f>
        <v>0</v>
      </c>
      <c r="BJ44" s="440" t="n">
        <f aca="false">AD44^2</f>
        <v>0</v>
      </c>
      <c r="BK44" s="440" t="n">
        <f aca="false">AE44^2</f>
        <v>0</v>
      </c>
      <c r="BL44" s="440" t="n">
        <f aca="false">AF44^2</f>
        <v>0</v>
      </c>
      <c r="BM44" s="440" t="n">
        <f aca="false">AG44^2</f>
        <v>0</v>
      </c>
      <c r="BN44" s="440" t="n">
        <f aca="false">AH44^2</f>
        <v>0</v>
      </c>
      <c r="BO44" s="440" t="n">
        <f aca="false">AI44^2</f>
        <v>0</v>
      </c>
      <c r="BP44" s="440" t="n">
        <f aca="false">AJ44^2</f>
        <v>0</v>
      </c>
      <c r="BQ44" s="441" t="n">
        <f aca="false">-SIGN(AK44)*AK44^2</f>
        <v>-9</v>
      </c>
    </row>
    <row r="45" customFormat="false" ht="12.75" hidden="false" customHeight="false" outlineLevel="0" collapsed="false">
      <c r="A45" s="45"/>
      <c r="B45" s="45"/>
      <c r="C45" s="161" t="s">
        <v>954</v>
      </c>
      <c r="D45" s="290" t="n">
        <f aca="false">IF(F45="","",IF(H45="","",ROUND(F45-0.001*298.15*(H45-SUMPRODUCT(L45:AK45*AR$13:BQ$13)),3)))</f>
        <v>-455.375</v>
      </c>
      <c r="E45" s="137" t="n">
        <f aca="false">IF(G45="","",IF(I45="","",ROUND(2*SQRT((0.5*G45)^2+(0.001*298.15)^2*((0.5*I45)^2+SUMPRODUCT(AR45:BQ45*AR$15:BQ$15))),3)))</f>
        <v>1.335</v>
      </c>
      <c r="F45" s="291" t="s">
        <v>955</v>
      </c>
      <c r="G45" s="292" t="s">
        <v>888</v>
      </c>
      <c r="H45" s="291" t="s">
        <v>956</v>
      </c>
      <c r="I45" s="292" t="s">
        <v>957</v>
      </c>
      <c r="K45" s="342" t="s">
        <v>954</v>
      </c>
      <c r="L45" s="434"/>
      <c r="M45" s="435"/>
      <c r="N45" s="435"/>
      <c r="O45" s="435"/>
      <c r="P45" s="436"/>
      <c r="Q45" s="436"/>
      <c r="R45" s="436"/>
      <c r="S45" s="436"/>
      <c r="T45" s="436"/>
      <c r="U45" s="436"/>
      <c r="V45" s="436"/>
      <c r="W45" s="436"/>
      <c r="X45" s="436"/>
      <c r="Y45" s="436"/>
      <c r="Z45" s="436" t="n">
        <v>1</v>
      </c>
      <c r="AA45" s="436"/>
      <c r="AB45" s="436"/>
      <c r="AC45" s="436"/>
      <c r="AD45" s="436"/>
      <c r="AE45" s="436"/>
      <c r="AF45" s="436"/>
      <c r="AG45" s="436"/>
      <c r="AH45" s="436"/>
      <c r="AI45" s="437"/>
      <c r="AJ45" s="436"/>
      <c r="AK45" s="438" t="n">
        <v>2</v>
      </c>
      <c r="AM45" s="38" t="s">
        <v>119</v>
      </c>
      <c r="AN45" s="444"/>
      <c r="AO45" s="443"/>
      <c r="AQ45" s="342" t="s">
        <v>954</v>
      </c>
      <c r="AR45" s="439" t="n">
        <f aca="false">L45^2</f>
        <v>0</v>
      </c>
      <c r="AS45" s="440" t="n">
        <f aca="false">M45^2</f>
        <v>0</v>
      </c>
      <c r="AT45" s="440" t="n">
        <f aca="false">N45^2</f>
        <v>0</v>
      </c>
      <c r="AU45" s="440" t="n">
        <f aca="false">O45^2</f>
        <v>0</v>
      </c>
      <c r="AV45" s="440" t="n">
        <f aca="false">P45^2</f>
        <v>0</v>
      </c>
      <c r="AW45" s="440" t="n">
        <f aca="false">Q45^2</f>
        <v>0</v>
      </c>
      <c r="AX45" s="440" t="n">
        <f aca="false">R45^2</f>
        <v>0</v>
      </c>
      <c r="AY45" s="440" t="n">
        <f aca="false">S45^2</f>
        <v>0</v>
      </c>
      <c r="AZ45" s="440" t="n">
        <f aca="false">T45^2</f>
        <v>0</v>
      </c>
      <c r="BA45" s="440" t="n">
        <f aca="false">U45^2</f>
        <v>0</v>
      </c>
      <c r="BB45" s="440" t="n">
        <f aca="false">V45^2</f>
        <v>0</v>
      </c>
      <c r="BC45" s="440" t="n">
        <f aca="false">W45^2</f>
        <v>0</v>
      </c>
      <c r="BD45" s="440" t="n">
        <f aca="false">X45^2</f>
        <v>0</v>
      </c>
      <c r="BE45" s="440" t="n">
        <f aca="false">Y45^2</f>
        <v>0</v>
      </c>
      <c r="BF45" s="440" t="n">
        <f aca="false">Z45^2</f>
        <v>1</v>
      </c>
      <c r="BG45" s="440" t="n">
        <f aca="false">AA45^2</f>
        <v>0</v>
      </c>
      <c r="BH45" s="440" t="n">
        <f aca="false">AB45^2</f>
        <v>0</v>
      </c>
      <c r="BI45" s="440" t="n">
        <f aca="false">AC45^2</f>
        <v>0</v>
      </c>
      <c r="BJ45" s="440" t="n">
        <f aca="false">AD45^2</f>
        <v>0</v>
      </c>
      <c r="BK45" s="440" t="n">
        <f aca="false">AE45^2</f>
        <v>0</v>
      </c>
      <c r="BL45" s="440" t="n">
        <f aca="false">AF45^2</f>
        <v>0</v>
      </c>
      <c r="BM45" s="440" t="n">
        <f aca="false">AG45^2</f>
        <v>0</v>
      </c>
      <c r="BN45" s="440" t="n">
        <f aca="false">AH45^2</f>
        <v>0</v>
      </c>
      <c r="BO45" s="440" t="n">
        <f aca="false">AI45^2</f>
        <v>0</v>
      </c>
      <c r="BP45" s="440" t="n">
        <f aca="false">AJ45^2</f>
        <v>0</v>
      </c>
      <c r="BQ45" s="441" t="n">
        <f aca="false">-SIGN(AK45)*AK45^2</f>
        <v>-4</v>
      </c>
    </row>
    <row r="46" customFormat="false" ht="12.75" hidden="false" customHeight="false" outlineLevel="0" collapsed="false">
      <c r="A46" s="45"/>
      <c r="B46" s="44"/>
      <c r="C46" s="161" t="s">
        <v>963</v>
      </c>
      <c r="D46" s="290" t="n">
        <f aca="false">IF(F46="","",IF(H46="","",ROUND(F46-0.001*298.15*(H46-SUMPRODUCT(L46:AK46*AR$13:BQ$13)),3)))</f>
        <v>-552.806</v>
      </c>
      <c r="E46" s="137" t="n">
        <f aca="false">IF(G46="","",IF(I46="","",ROUND(2*SQRT((0.5*G46)^2+(0.001*298.15)^2*((0.5*I46)^2+SUMPRODUCT(AR46:BQ46*AR$15:BQ$15))),3)))</f>
        <v>1.05</v>
      </c>
      <c r="F46" s="291" t="s">
        <v>964</v>
      </c>
      <c r="G46" s="292" t="s">
        <v>896</v>
      </c>
      <c r="H46" s="291" t="s">
        <v>965</v>
      </c>
      <c r="I46" s="292" t="s">
        <v>896</v>
      </c>
      <c r="K46" s="342" t="s">
        <v>963</v>
      </c>
      <c r="L46" s="434"/>
      <c r="M46" s="435"/>
      <c r="N46" s="435"/>
      <c r="O46" s="435"/>
      <c r="P46" s="436"/>
      <c r="Q46" s="436" t="n">
        <v>1</v>
      </c>
      <c r="R46" s="436"/>
      <c r="S46" s="436"/>
      <c r="T46" s="436"/>
      <c r="U46" s="436"/>
      <c r="V46" s="436"/>
      <c r="W46" s="436"/>
      <c r="X46" s="436"/>
      <c r="Y46" s="436"/>
      <c r="Z46" s="436"/>
      <c r="AA46" s="436"/>
      <c r="AB46" s="436"/>
      <c r="AC46" s="436"/>
      <c r="AD46" s="436"/>
      <c r="AE46" s="436"/>
      <c r="AF46" s="436"/>
      <c r="AG46" s="436"/>
      <c r="AH46" s="436"/>
      <c r="AI46" s="437"/>
      <c r="AJ46" s="436"/>
      <c r="AK46" s="438" t="n">
        <v>2</v>
      </c>
      <c r="AM46" s="38" t="s">
        <v>120</v>
      </c>
      <c r="AN46" s="444" t="n">
        <v>76.78</v>
      </c>
      <c r="AO46" s="443" t="n">
        <v>0.3</v>
      </c>
      <c r="AQ46" s="342" t="s">
        <v>963</v>
      </c>
      <c r="AR46" s="439" t="n">
        <f aca="false">L46^2</f>
        <v>0</v>
      </c>
      <c r="AS46" s="440" t="n">
        <f aca="false">M46^2</f>
        <v>0</v>
      </c>
      <c r="AT46" s="440" t="n">
        <f aca="false">N46^2</f>
        <v>0</v>
      </c>
      <c r="AU46" s="440" t="n">
        <f aca="false">O46^2</f>
        <v>0</v>
      </c>
      <c r="AV46" s="440" t="n">
        <f aca="false">P46^2</f>
        <v>0</v>
      </c>
      <c r="AW46" s="440" t="n">
        <f aca="false">Q46^2</f>
        <v>1</v>
      </c>
      <c r="AX46" s="440" t="n">
        <f aca="false">R46^2</f>
        <v>0</v>
      </c>
      <c r="AY46" s="440" t="n">
        <f aca="false">S46^2</f>
        <v>0</v>
      </c>
      <c r="AZ46" s="440" t="n">
        <f aca="false">T46^2</f>
        <v>0</v>
      </c>
      <c r="BA46" s="440" t="n">
        <f aca="false">U46^2</f>
        <v>0</v>
      </c>
      <c r="BB46" s="440" t="n">
        <f aca="false">V46^2</f>
        <v>0</v>
      </c>
      <c r="BC46" s="440" t="n">
        <f aca="false">W46^2</f>
        <v>0</v>
      </c>
      <c r="BD46" s="440" t="n">
        <f aca="false">X46^2</f>
        <v>0</v>
      </c>
      <c r="BE46" s="440" t="n">
        <f aca="false">Y46^2</f>
        <v>0</v>
      </c>
      <c r="BF46" s="440" t="n">
        <f aca="false">Z46^2</f>
        <v>0</v>
      </c>
      <c r="BG46" s="440" t="n">
        <f aca="false">AA46^2</f>
        <v>0</v>
      </c>
      <c r="BH46" s="440" t="n">
        <f aca="false">AB46^2</f>
        <v>0</v>
      </c>
      <c r="BI46" s="440" t="n">
        <f aca="false">AC46^2</f>
        <v>0</v>
      </c>
      <c r="BJ46" s="440" t="n">
        <f aca="false">AD46^2</f>
        <v>0</v>
      </c>
      <c r="BK46" s="440" t="n">
        <f aca="false">AE46^2</f>
        <v>0</v>
      </c>
      <c r="BL46" s="440" t="n">
        <f aca="false">AF46^2</f>
        <v>0</v>
      </c>
      <c r="BM46" s="440" t="n">
        <f aca="false">AG46^2</f>
        <v>0</v>
      </c>
      <c r="BN46" s="440" t="n">
        <f aca="false">AH46^2</f>
        <v>0</v>
      </c>
      <c r="BO46" s="440" t="n">
        <f aca="false">AI46^2</f>
        <v>0</v>
      </c>
      <c r="BP46" s="440" t="n">
        <f aca="false">AJ46^2</f>
        <v>0</v>
      </c>
      <c r="BQ46" s="441" t="n">
        <f aca="false">-SIGN(AK46)*AK46^2</f>
        <v>-4</v>
      </c>
    </row>
    <row r="47" customFormat="false" ht="12.75" hidden="false" customHeight="false" outlineLevel="0" collapsed="false">
      <c r="A47" s="45"/>
      <c r="B47" s="44"/>
      <c r="C47" s="161" t="s">
        <v>970</v>
      </c>
      <c r="D47" s="290" t="str">
        <f aca="false">IF(F47="","",IF(H47="","",ROUND(F47-0.001*298.15*(H47-SUMPRODUCT(L47:AK47*AR$13:BQ$13)),3)))</f>
        <v/>
      </c>
      <c r="E47" s="137" t="str">
        <f aca="false">IF(G47="","",IF(I47="","",ROUND(2*SQRT((0.5*G47)^2+(0.001*298.15)^2*((0.5*I47)^2+SUMPRODUCT(AR47:BQ47*AR$15:BQ$15))),3)))</f>
        <v/>
      </c>
      <c r="F47" s="291"/>
      <c r="G47" s="292"/>
      <c r="H47" s="291"/>
      <c r="I47" s="292"/>
      <c r="J47" s="10"/>
      <c r="K47" s="342" t="s">
        <v>970</v>
      </c>
      <c r="L47" s="434"/>
      <c r="M47" s="435"/>
      <c r="N47" s="435"/>
      <c r="O47" s="435"/>
      <c r="P47" s="436"/>
      <c r="Q47" s="436"/>
      <c r="R47" s="436"/>
      <c r="S47" s="436"/>
      <c r="T47" s="436"/>
      <c r="U47" s="436"/>
      <c r="V47" s="436"/>
      <c r="W47" s="436"/>
      <c r="X47" s="436"/>
      <c r="Y47" s="436"/>
      <c r="Z47" s="436"/>
      <c r="AA47" s="436"/>
      <c r="AB47" s="436"/>
      <c r="AC47" s="436"/>
      <c r="AD47" s="436"/>
      <c r="AE47" s="436"/>
      <c r="AF47" s="436"/>
      <c r="AG47" s="436"/>
      <c r="AH47" s="436"/>
      <c r="AI47" s="437"/>
      <c r="AJ47" s="436" t="n">
        <v>1</v>
      </c>
      <c r="AK47" s="438" t="n">
        <v>2</v>
      </c>
      <c r="AM47" s="38" t="s">
        <v>125</v>
      </c>
      <c r="AN47" s="444" t="n">
        <v>32.054</v>
      </c>
      <c r="AO47" s="443" t="n">
        <v>0.05</v>
      </c>
      <c r="AQ47" s="342" t="s">
        <v>970</v>
      </c>
      <c r="AR47" s="439" t="n">
        <f aca="false">L47^2</f>
        <v>0</v>
      </c>
      <c r="AS47" s="440" t="n">
        <f aca="false">M47^2</f>
        <v>0</v>
      </c>
      <c r="AT47" s="440" t="n">
        <f aca="false">N47^2</f>
        <v>0</v>
      </c>
      <c r="AU47" s="440" t="n">
        <f aca="false">O47^2</f>
        <v>0</v>
      </c>
      <c r="AV47" s="440" t="n">
        <f aca="false">P47^2</f>
        <v>0</v>
      </c>
      <c r="AW47" s="440" t="n">
        <f aca="false">Q47^2</f>
        <v>0</v>
      </c>
      <c r="AX47" s="440" t="n">
        <f aca="false">R47^2</f>
        <v>0</v>
      </c>
      <c r="AY47" s="440" t="n">
        <f aca="false">S47^2</f>
        <v>0</v>
      </c>
      <c r="AZ47" s="440" t="n">
        <f aca="false">T47^2</f>
        <v>0</v>
      </c>
      <c r="BA47" s="440" t="n">
        <f aca="false">U47^2</f>
        <v>0</v>
      </c>
      <c r="BB47" s="440" t="n">
        <f aca="false">V47^2</f>
        <v>0</v>
      </c>
      <c r="BC47" s="440" t="n">
        <f aca="false">W47^2</f>
        <v>0</v>
      </c>
      <c r="BD47" s="440" t="n">
        <f aca="false">X47^2</f>
        <v>0</v>
      </c>
      <c r="BE47" s="440" t="n">
        <f aca="false">Y47^2</f>
        <v>0</v>
      </c>
      <c r="BF47" s="440" t="n">
        <f aca="false">Z47^2</f>
        <v>0</v>
      </c>
      <c r="BG47" s="440" t="n">
        <f aca="false">AA47^2</f>
        <v>0</v>
      </c>
      <c r="BH47" s="440" t="n">
        <f aca="false">AB47^2</f>
        <v>0</v>
      </c>
      <c r="BI47" s="440" t="n">
        <f aca="false">AC47^2</f>
        <v>0</v>
      </c>
      <c r="BJ47" s="440" t="n">
        <f aca="false">AD47^2</f>
        <v>0</v>
      </c>
      <c r="BK47" s="440" t="n">
        <f aca="false">AE47^2</f>
        <v>0</v>
      </c>
      <c r="BL47" s="440" t="n">
        <f aca="false">AF47^2</f>
        <v>0</v>
      </c>
      <c r="BM47" s="440" t="n">
        <f aca="false">AG47^2</f>
        <v>0</v>
      </c>
      <c r="BN47" s="440" t="n">
        <f aca="false">AH47^2</f>
        <v>0</v>
      </c>
      <c r="BO47" s="440" t="n">
        <f aca="false">AI47^2</f>
        <v>0</v>
      </c>
      <c r="BP47" s="440" t="n">
        <f aca="false">AJ47^2</f>
        <v>1</v>
      </c>
      <c r="BQ47" s="441" t="n">
        <f aca="false">-SIGN(AK47)*AK47^2</f>
        <v>-4</v>
      </c>
    </row>
    <row r="48" customFormat="false" ht="12.75" hidden="false" customHeight="false" outlineLevel="0" collapsed="false">
      <c r="A48" s="45"/>
      <c r="B48" s="45"/>
      <c r="C48" s="161" t="s">
        <v>975</v>
      </c>
      <c r="D48" s="290" t="str">
        <f aca="false">IF(F48="","",IF(H48="","",ROUND(F48-0.001*298.15*(H48-SUMPRODUCT(L48:AK48*AR$13:BQ$13)),3)))</f>
        <v/>
      </c>
      <c r="E48" s="137" t="str">
        <f aca="false">IF(G48="","",IF(I48="","",ROUND(2*SQRT((0.5*G48)^2+(0.001*298.15)^2*((0.5*I48)^2+SUMPRODUCT(AR48:BQ48*AR$15:BQ$15))),3)))</f>
        <v/>
      </c>
      <c r="F48" s="291"/>
      <c r="G48" s="292"/>
      <c r="H48" s="291"/>
      <c r="I48" s="292"/>
      <c r="J48" s="10"/>
      <c r="K48" s="342" t="s">
        <v>975</v>
      </c>
      <c r="L48" s="434"/>
      <c r="M48" s="435" t="n">
        <v>1</v>
      </c>
      <c r="N48" s="435"/>
      <c r="O48" s="435"/>
      <c r="P48" s="436"/>
      <c r="Q48" s="436"/>
      <c r="R48" s="436"/>
      <c r="S48" s="436"/>
      <c r="T48" s="436"/>
      <c r="U48" s="436"/>
      <c r="V48" s="436"/>
      <c r="W48" s="436"/>
      <c r="X48" s="436"/>
      <c r="Y48" s="436"/>
      <c r="Z48" s="436"/>
      <c r="AA48" s="436"/>
      <c r="AB48" s="436"/>
      <c r="AC48" s="436"/>
      <c r="AD48" s="436"/>
      <c r="AE48" s="436"/>
      <c r="AF48" s="436"/>
      <c r="AG48" s="436"/>
      <c r="AH48" s="436"/>
      <c r="AI48" s="437"/>
      <c r="AJ48" s="436"/>
      <c r="AK48" s="438" t="n">
        <v>2</v>
      </c>
      <c r="AM48" s="31" t="s">
        <v>129</v>
      </c>
      <c r="AN48" s="444" t="n">
        <v>18.81</v>
      </c>
      <c r="AO48" s="443" t="n">
        <v>0.08</v>
      </c>
      <c r="AQ48" s="342" t="s">
        <v>975</v>
      </c>
      <c r="AR48" s="439" t="n">
        <f aca="false">L48^2</f>
        <v>0</v>
      </c>
      <c r="AS48" s="440" t="n">
        <f aca="false">M48^2</f>
        <v>1</v>
      </c>
      <c r="AT48" s="440" t="n">
        <f aca="false">N48^2</f>
        <v>0</v>
      </c>
      <c r="AU48" s="440" t="n">
        <f aca="false">O48^2</f>
        <v>0</v>
      </c>
      <c r="AV48" s="440" t="n">
        <f aca="false">P48^2</f>
        <v>0</v>
      </c>
      <c r="AW48" s="440" t="n">
        <f aca="false">Q48^2</f>
        <v>0</v>
      </c>
      <c r="AX48" s="440" t="n">
        <f aca="false">R48^2</f>
        <v>0</v>
      </c>
      <c r="AY48" s="440" t="n">
        <f aca="false">S48^2</f>
        <v>0</v>
      </c>
      <c r="AZ48" s="440" t="n">
        <f aca="false">T48^2</f>
        <v>0</v>
      </c>
      <c r="BA48" s="440" t="n">
        <f aca="false">U48^2</f>
        <v>0</v>
      </c>
      <c r="BB48" s="440" t="n">
        <f aca="false">V48^2</f>
        <v>0</v>
      </c>
      <c r="BC48" s="440" t="n">
        <f aca="false">W48^2</f>
        <v>0</v>
      </c>
      <c r="BD48" s="440" t="n">
        <f aca="false">X48^2</f>
        <v>0</v>
      </c>
      <c r="BE48" s="440" t="n">
        <f aca="false">Y48^2</f>
        <v>0</v>
      </c>
      <c r="BF48" s="440" t="n">
        <f aca="false">Z48^2</f>
        <v>0</v>
      </c>
      <c r="BG48" s="440" t="n">
        <f aca="false">AA48^2</f>
        <v>0</v>
      </c>
      <c r="BH48" s="440" t="n">
        <f aca="false">AB48^2</f>
        <v>0</v>
      </c>
      <c r="BI48" s="440" t="n">
        <f aca="false">AC48^2</f>
        <v>0</v>
      </c>
      <c r="BJ48" s="440" t="n">
        <f aca="false">AD48^2</f>
        <v>0</v>
      </c>
      <c r="BK48" s="440" t="n">
        <f aca="false">AE48^2</f>
        <v>0</v>
      </c>
      <c r="BL48" s="440" t="n">
        <f aca="false">AF48^2</f>
        <v>0</v>
      </c>
      <c r="BM48" s="440" t="n">
        <f aca="false">AG48^2</f>
        <v>0</v>
      </c>
      <c r="BN48" s="440" t="n">
        <f aca="false">AH48^2</f>
        <v>0</v>
      </c>
      <c r="BO48" s="440" t="n">
        <f aca="false">AI48^2</f>
        <v>0</v>
      </c>
      <c r="BP48" s="440" t="n">
        <f aca="false">AJ48^2</f>
        <v>0</v>
      </c>
      <c r="BQ48" s="441" t="n">
        <f aca="false">-SIGN(AK48)*AK48^2</f>
        <v>-4</v>
      </c>
    </row>
    <row r="49" customFormat="false" ht="12.75" hidden="false" customHeight="false" outlineLevel="0" collapsed="false">
      <c r="A49" s="45"/>
      <c r="B49" s="45"/>
      <c r="C49" s="161" t="s">
        <v>981</v>
      </c>
      <c r="D49" s="290" t="str">
        <f aca="false">IF(F49="","",IF(H49="","",ROUND(F49-0.001*298.15*(H49-SUMPRODUCT(L49:AK49*AR$13:BQ$13)),3)))</f>
        <v/>
      </c>
      <c r="E49" s="137" t="str">
        <f aca="false">IF(G49="","",IF(I49="","",ROUND(2*SQRT((0.5*G49)^2+(0.001*298.15)^2*((0.5*I49)^2+SUMPRODUCT(AR49:BQ49*AR$15:BQ$15))),3)))</f>
        <v/>
      </c>
      <c r="F49" s="295"/>
      <c r="G49" s="297"/>
      <c r="H49" s="295"/>
      <c r="I49" s="297"/>
      <c r="J49" s="10"/>
      <c r="K49" s="342" t="s">
        <v>981</v>
      </c>
      <c r="L49" s="445"/>
      <c r="M49" s="446"/>
      <c r="N49" s="446"/>
      <c r="O49" s="446"/>
      <c r="P49" s="436"/>
      <c r="Q49" s="436"/>
      <c r="R49" s="436"/>
      <c r="S49" s="436"/>
      <c r="T49" s="436"/>
      <c r="U49" s="436"/>
      <c r="V49" s="436"/>
      <c r="W49" s="436"/>
      <c r="X49" s="436"/>
      <c r="Y49" s="436"/>
      <c r="Z49" s="436"/>
      <c r="AA49" s="436"/>
      <c r="AB49" s="436"/>
      <c r="AC49" s="436"/>
      <c r="AD49" s="436"/>
      <c r="AE49" s="436"/>
      <c r="AF49" s="436" t="n">
        <v>1</v>
      </c>
      <c r="AG49" s="436"/>
      <c r="AH49" s="436"/>
      <c r="AI49" s="437"/>
      <c r="AJ49" s="436"/>
      <c r="AK49" s="438" t="n">
        <v>2</v>
      </c>
      <c r="AM49" s="38" t="s">
        <v>132</v>
      </c>
      <c r="AN49" s="444"/>
      <c r="AO49" s="443"/>
      <c r="AQ49" s="342" t="s">
        <v>981</v>
      </c>
      <c r="AR49" s="439" t="n">
        <f aca="false">L49^2</f>
        <v>0</v>
      </c>
      <c r="AS49" s="440" t="n">
        <f aca="false">M49^2</f>
        <v>0</v>
      </c>
      <c r="AT49" s="440" t="n">
        <f aca="false">N49^2</f>
        <v>0</v>
      </c>
      <c r="AU49" s="440" t="n">
        <f aca="false">O49^2</f>
        <v>0</v>
      </c>
      <c r="AV49" s="440" t="n">
        <f aca="false">P49^2</f>
        <v>0</v>
      </c>
      <c r="AW49" s="440" t="n">
        <f aca="false">Q49^2</f>
        <v>0</v>
      </c>
      <c r="AX49" s="440" t="n">
        <f aca="false">R49^2</f>
        <v>0</v>
      </c>
      <c r="AY49" s="440" t="n">
        <f aca="false">S49^2</f>
        <v>0</v>
      </c>
      <c r="AZ49" s="440" t="n">
        <f aca="false">T49^2</f>
        <v>0</v>
      </c>
      <c r="BA49" s="440" t="n">
        <f aca="false">U49^2</f>
        <v>0</v>
      </c>
      <c r="BB49" s="440" t="n">
        <f aca="false">V49^2</f>
        <v>0</v>
      </c>
      <c r="BC49" s="440" t="n">
        <f aca="false">W49^2</f>
        <v>0</v>
      </c>
      <c r="BD49" s="440" t="n">
        <f aca="false">X49^2</f>
        <v>0</v>
      </c>
      <c r="BE49" s="440" t="n">
        <f aca="false">Y49^2</f>
        <v>0</v>
      </c>
      <c r="BF49" s="440" t="n">
        <f aca="false">Z49^2</f>
        <v>0</v>
      </c>
      <c r="BG49" s="440" t="n">
        <f aca="false">AA49^2</f>
        <v>0</v>
      </c>
      <c r="BH49" s="440" t="n">
        <f aca="false">AB49^2</f>
        <v>0</v>
      </c>
      <c r="BI49" s="440" t="n">
        <f aca="false">AC49^2</f>
        <v>0</v>
      </c>
      <c r="BJ49" s="440" t="n">
        <f aca="false">AD49^2</f>
        <v>0</v>
      </c>
      <c r="BK49" s="440" t="n">
        <f aca="false">AE49^2</f>
        <v>0</v>
      </c>
      <c r="BL49" s="440" t="n">
        <f aca="false">AF49^2</f>
        <v>1</v>
      </c>
      <c r="BM49" s="440" t="n">
        <f aca="false">AG49^2</f>
        <v>0</v>
      </c>
      <c r="BN49" s="440" t="n">
        <f aca="false">AH49^2</f>
        <v>0</v>
      </c>
      <c r="BO49" s="440" t="n">
        <f aca="false">AI49^2</f>
        <v>0</v>
      </c>
      <c r="BP49" s="440" t="n">
        <f aca="false">AJ49^2</f>
        <v>0</v>
      </c>
      <c r="BQ49" s="441" t="n">
        <f aca="false">-SIGN(AK49)*AK49^2</f>
        <v>-4</v>
      </c>
    </row>
    <row r="50" customFormat="false" ht="12.75" hidden="false" customHeight="false" outlineLevel="0" collapsed="false">
      <c r="A50" s="45"/>
      <c r="B50" s="44"/>
      <c r="C50" s="161" t="s">
        <v>982</v>
      </c>
      <c r="D50" s="290" t="n">
        <f aca="false">IF(F50="","",IF(H50="","",ROUND(F50-0.001*298.15*(H50-SUMPRODUCT(L50:AK50*AR$13:BQ$13)),3)))</f>
        <v>-292.918</v>
      </c>
      <c r="E50" s="137" t="n">
        <f aca="false">IF(G50="","",IF(I50="","",ROUND(2*SQRT((0.5*G50)^2+(0.001*298.15)^2*((0.5*I50)^2+SUMPRODUCT(AR50:BQ50*AR$15:BQ$15))),3)))</f>
        <v>0.109</v>
      </c>
      <c r="F50" s="291" t="s">
        <v>983</v>
      </c>
      <c r="G50" s="292" t="s">
        <v>736</v>
      </c>
      <c r="H50" s="291" t="s">
        <v>984</v>
      </c>
      <c r="I50" s="292" t="s">
        <v>744</v>
      </c>
      <c r="J50" s="10"/>
      <c r="K50" s="342" t="s">
        <v>982</v>
      </c>
      <c r="L50" s="434"/>
      <c r="M50" s="435"/>
      <c r="N50" s="435"/>
      <c r="O50" s="435"/>
      <c r="P50" s="436"/>
      <c r="Q50" s="436"/>
      <c r="R50" s="436"/>
      <c r="S50" s="436"/>
      <c r="T50" s="436"/>
      <c r="U50" s="436"/>
      <c r="V50" s="436"/>
      <c r="W50" s="436"/>
      <c r="X50" s="436"/>
      <c r="Y50" s="436" t="n">
        <v>1</v>
      </c>
      <c r="Z50" s="436"/>
      <c r="AA50" s="436"/>
      <c r="AB50" s="436"/>
      <c r="AC50" s="436"/>
      <c r="AD50" s="436"/>
      <c r="AE50" s="436"/>
      <c r="AF50" s="436"/>
      <c r="AG50" s="436"/>
      <c r="AH50" s="436"/>
      <c r="AI50" s="437"/>
      <c r="AJ50" s="436"/>
      <c r="AK50" s="438" t="n">
        <v>1</v>
      </c>
      <c r="AQ50" s="342" t="s">
        <v>982</v>
      </c>
      <c r="AR50" s="439" t="n">
        <f aca="false">L50^2</f>
        <v>0</v>
      </c>
      <c r="AS50" s="440" t="n">
        <f aca="false">M50^2</f>
        <v>0</v>
      </c>
      <c r="AT50" s="440" t="n">
        <f aca="false">N50^2</f>
        <v>0</v>
      </c>
      <c r="AU50" s="440" t="n">
        <f aca="false">O50^2</f>
        <v>0</v>
      </c>
      <c r="AV50" s="440" t="n">
        <f aca="false">P50^2</f>
        <v>0</v>
      </c>
      <c r="AW50" s="440" t="n">
        <f aca="false">Q50^2</f>
        <v>0</v>
      </c>
      <c r="AX50" s="440" t="n">
        <f aca="false">R50^2</f>
        <v>0</v>
      </c>
      <c r="AY50" s="440" t="n">
        <f aca="false">S50^2</f>
        <v>0</v>
      </c>
      <c r="AZ50" s="440" t="n">
        <f aca="false">T50^2</f>
        <v>0</v>
      </c>
      <c r="BA50" s="440" t="n">
        <f aca="false">U50^2</f>
        <v>0</v>
      </c>
      <c r="BB50" s="440" t="n">
        <f aca="false">V50^2</f>
        <v>0</v>
      </c>
      <c r="BC50" s="440" t="n">
        <f aca="false">W50^2</f>
        <v>0</v>
      </c>
      <c r="BD50" s="440" t="n">
        <f aca="false">X50^2</f>
        <v>0</v>
      </c>
      <c r="BE50" s="440" t="n">
        <f aca="false">Y50^2</f>
        <v>1</v>
      </c>
      <c r="BF50" s="440" t="n">
        <f aca="false">Z50^2</f>
        <v>0</v>
      </c>
      <c r="BG50" s="440" t="n">
        <f aca="false">AA50^2</f>
        <v>0</v>
      </c>
      <c r="BH50" s="440" t="n">
        <f aca="false">AB50^2</f>
        <v>0</v>
      </c>
      <c r="BI50" s="440" t="n">
        <f aca="false">AC50^2</f>
        <v>0</v>
      </c>
      <c r="BJ50" s="440" t="n">
        <f aca="false">AD50^2</f>
        <v>0</v>
      </c>
      <c r="BK50" s="440" t="n">
        <f aca="false">AE50^2</f>
        <v>0</v>
      </c>
      <c r="BL50" s="440" t="n">
        <f aca="false">AF50^2</f>
        <v>0</v>
      </c>
      <c r="BM50" s="440" t="n">
        <f aca="false">AG50^2</f>
        <v>0</v>
      </c>
      <c r="BN50" s="440" t="n">
        <f aca="false">AH50^2</f>
        <v>0</v>
      </c>
      <c r="BO50" s="440" t="n">
        <f aca="false">AI50^2</f>
        <v>0</v>
      </c>
      <c r="BP50" s="440" t="n">
        <f aca="false">AJ50^2</f>
        <v>0</v>
      </c>
      <c r="BQ50" s="441" t="n">
        <f aca="false">-SIGN(AK50)*AK50^2</f>
        <v>-1</v>
      </c>
    </row>
    <row r="51" customFormat="false" ht="12.75" hidden="false" customHeight="false" outlineLevel="0" collapsed="false">
      <c r="A51" s="45"/>
      <c r="B51" s="44"/>
      <c r="C51" s="161" t="s">
        <v>989</v>
      </c>
      <c r="D51" s="290" t="n">
        <f aca="false">IF(F51="","",IF(H51="","",ROUND(F51-0.001*298.15*(H51-SUMPRODUCT(L51:AK51*AR$13:BQ$13)),3)))</f>
        <v>-261.953</v>
      </c>
      <c r="E51" s="137" t="n">
        <f aca="false">IF(G51="","",IF(I51="","",ROUND(2*SQRT((0.5*G51)^2+(0.001*298.15)^2*((0.5*I51)^2+SUMPRODUCT(AR51:BQ51*AR$15:BQ$15))),3)))</f>
        <v>0.096</v>
      </c>
      <c r="F51" s="291" t="s">
        <v>990</v>
      </c>
      <c r="G51" s="292" t="s">
        <v>991</v>
      </c>
      <c r="H51" s="291" t="s">
        <v>992</v>
      </c>
      <c r="I51" s="292" t="s">
        <v>744</v>
      </c>
      <c r="K51" s="342" t="s">
        <v>989</v>
      </c>
      <c r="L51" s="434"/>
      <c r="M51" s="435"/>
      <c r="N51" s="435"/>
      <c r="O51" s="435"/>
      <c r="P51" s="436"/>
      <c r="Q51" s="436"/>
      <c r="R51" s="436"/>
      <c r="S51" s="436"/>
      <c r="T51" s="436"/>
      <c r="U51" s="436"/>
      <c r="V51" s="436"/>
      <c r="W51" s="436"/>
      <c r="X51" s="436"/>
      <c r="Y51" s="436"/>
      <c r="Z51" s="436"/>
      <c r="AA51" s="436"/>
      <c r="AB51" s="436" t="n">
        <v>1</v>
      </c>
      <c r="AC51" s="436"/>
      <c r="AD51" s="436"/>
      <c r="AE51" s="436"/>
      <c r="AF51" s="436"/>
      <c r="AG51" s="436"/>
      <c r="AH51" s="436"/>
      <c r="AI51" s="437"/>
      <c r="AJ51" s="436"/>
      <c r="AK51" s="438" t="n">
        <v>1</v>
      </c>
      <c r="AQ51" s="342" t="s">
        <v>989</v>
      </c>
      <c r="AR51" s="439" t="n">
        <f aca="false">L51^2</f>
        <v>0</v>
      </c>
      <c r="AS51" s="440" t="n">
        <f aca="false">M51^2</f>
        <v>0</v>
      </c>
      <c r="AT51" s="440" t="n">
        <f aca="false">N51^2</f>
        <v>0</v>
      </c>
      <c r="AU51" s="440" t="n">
        <f aca="false">O51^2</f>
        <v>0</v>
      </c>
      <c r="AV51" s="440" t="n">
        <f aca="false">P51^2</f>
        <v>0</v>
      </c>
      <c r="AW51" s="440" t="n">
        <f aca="false">Q51^2</f>
        <v>0</v>
      </c>
      <c r="AX51" s="440" t="n">
        <f aca="false">R51^2</f>
        <v>0</v>
      </c>
      <c r="AY51" s="440" t="n">
        <f aca="false">S51^2</f>
        <v>0</v>
      </c>
      <c r="AZ51" s="440" t="n">
        <f aca="false">T51^2</f>
        <v>0</v>
      </c>
      <c r="BA51" s="440" t="n">
        <f aca="false">U51^2</f>
        <v>0</v>
      </c>
      <c r="BB51" s="440" t="n">
        <f aca="false">V51^2</f>
        <v>0</v>
      </c>
      <c r="BC51" s="440" t="n">
        <f aca="false">W51^2</f>
        <v>0</v>
      </c>
      <c r="BD51" s="440" t="n">
        <f aca="false">X51^2</f>
        <v>0</v>
      </c>
      <c r="BE51" s="440" t="n">
        <f aca="false">Y51^2</f>
        <v>0</v>
      </c>
      <c r="BF51" s="440" t="n">
        <f aca="false">Z51^2</f>
        <v>0</v>
      </c>
      <c r="BG51" s="440" t="n">
        <f aca="false">AA51^2</f>
        <v>0</v>
      </c>
      <c r="BH51" s="440" t="n">
        <f aca="false">AB51^2</f>
        <v>1</v>
      </c>
      <c r="BI51" s="440" t="n">
        <f aca="false">AC51^2</f>
        <v>0</v>
      </c>
      <c r="BJ51" s="440" t="n">
        <f aca="false">AD51^2</f>
        <v>0</v>
      </c>
      <c r="BK51" s="440" t="n">
        <f aca="false">AE51^2</f>
        <v>0</v>
      </c>
      <c r="BL51" s="440" t="n">
        <f aca="false">AF51^2</f>
        <v>0</v>
      </c>
      <c r="BM51" s="440" t="n">
        <f aca="false">AG51^2</f>
        <v>0</v>
      </c>
      <c r="BN51" s="440" t="n">
        <f aca="false">AH51^2</f>
        <v>0</v>
      </c>
      <c r="BO51" s="440" t="n">
        <f aca="false">AI51^2</f>
        <v>0</v>
      </c>
      <c r="BP51" s="440" t="n">
        <f aca="false">AJ51^2</f>
        <v>0</v>
      </c>
      <c r="BQ51" s="441" t="n">
        <f aca="false">-SIGN(AK51)*AK51^2</f>
        <v>-1</v>
      </c>
    </row>
    <row r="52" customFormat="false" ht="12.75" hidden="false" customHeight="false" outlineLevel="0" collapsed="false">
      <c r="A52" s="45"/>
      <c r="B52" s="44"/>
      <c r="C52" s="299" t="s">
        <v>998</v>
      </c>
      <c r="D52" s="290" t="n">
        <f aca="false">IF(F52="","",IF(H52="","",ROUND(F52-0.001*298.15*(H52-SUMPRODUCT(L52:AK52*AR$13:BQ$13)),3)))</f>
        <v>-282.51</v>
      </c>
      <c r="E52" s="137" t="n">
        <f aca="false">IF(G52="","",IF(I52="","",ROUND(2*SQRT((0.5*G52)^2+(0.001*298.15)^2*((0.5*I52)^2+SUMPRODUCT(AR52:BQ52*AR$15:BQ$15))),3)))</f>
        <v>0.116</v>
      </c>
      <c r="F52" s="300" t="s">
        <v>999</v>
      </c>
      <c r="G52" s="301" t="s">
        <v>736</v>
      </c>
      <c r="H52" s="300" t="s">
        <v>1000</v>
      </c>
      <c r="I52" s="301" t="s">
        <v>728</v>
      </c>
      <c r="K52" s="353" t="s">
        <v>998</v>
      </c>
      <c r="L52" s="434"/>
      <c r="M52" s="435"/>
      <c r="N52" s="435"/>
      <c r="O52" s="435"/>
      <c r="P52" s="436"/>
      <c r="Q52" s="436"/>
      <c r="R52" s="436"/>
      <c r="S52" s="436"/>
      <c r="T52" s="436"/>
      <c r="U52" s="436"/>
      <c r="V52" s="436"/>
      <c r="W52" s="436"/>
      <c r="X52" s="436" t="n">
        <v>1</v>
      </c>
      <c r="Y52" s="436"/>
      <c r="Z52" s="436"/>
      <c r="AA52" s="436"/>
      <c r="AB52" s="436"/>
      <c r="AC52" s="436"/>
      <c r="AD52" s="436"/>
      <c r="AE52" s="436"/>
      <c r="AF52" s="436"/>
      <c r="AG52" s="436"/>
      <c r="AH52" s="436"/>
      <c r="AI52" s="437"/>
      <c r="AJ52" s="436"/>
      <c r="AK52" s="438" t="n">
        <v>1</v>
      </c>
      <c r="AQ52" s="353" t="s">
        <v>998</v>
      </c>
      <c r="AR52" s="439" t="n">
        <f aca="false">L52^2</f>
        <v>0</v>
      </c>
      <c r="AS52" s="440" t="n">
        <f aca="false">M52^2</f>
        <v>0</v>
      </c>
      <c r="AT52" s="440" t="n">
        <f aca="false">N52^2</f>
        <v>0</v>
      </c>
      <c r="AU52" s="440" t="n">
        <f aca="false">O52^2</f>
        <v>0</v>
      </c>
      <c r="AV52" s="440" t="n">
        <f aca="false">P52^2</f>
        <v>0</v>
      </c>
      <c r="AW52" s="440" t="n">
        <f aca="false">Q52^2</f>
        <v>0</v>
      </c>
      <c r="AX52" s="440" t="n">
        <f aca="false">R52^2</f>
        <v>0</v>
      </c>
      <c r="AY52" s="440" t="n">
        <f aca="false">S52^2</f>
        <v>0</v>
      </c>
      <c r="AZ52" s="440" t="n">
        <f aca="false">T52^2</f>
        <v>0</v>
      </c>
      <c r="BA52" s="440" t="n">
        <f aca="false">U52^2</f>
        <v>0</v>
      </c>
      <c r="BB52" s="440" t="n">
        <f aca="false">V52^2</f>
        <v>0</v>
      </c>
      <c r="BC52" s="440" t="n">
        <f aca="false">W52^2</f>
        <v>0</v>
      </c>
      <c r="BD52" s="440" t="n">
        <f aca="false">X52^2</f>
        <v>1</v>
      </c>
      <c r="BE52" s="440" t="n">
        <f aca="false">Y52^2</f>
        <v>0</v>
      </c>
      <c r="BF52" s="440" t="n">
        <f aca="false">Z52^2</f>
        <v>0</v>
      </c>
      <c r="BG52" s="440" t="n">
        <f aca="false">AA52^2</f>
        <v>0</v>
      </c>
      <c r="BH52" s="440" t="n">
        <f aca="false">AB52^2</f>
        <v>0</v>
      </c>
      <c r="BI52" s="440" t="n">
        <f aca="false">AC52^2</f>
        <v>0</v>
      </c>
      <c r="BJ52" s="440" t="n">
        <f aca="false">AD52^2</f>
        <v>0</v>
      </c>
      <c r="BK52" s="440" t="n">
        <f aca="false">AE52^2</f>
        <v>0</v>
      </c>
      <c r="BL52" s="440" t="n">
        <f aca="false">AF52^2</f>
        <v>0</v>
      </c>
      <c r="BM52" s="440" t="n">
        <f aca="false">AG52^2</f>
        <v>0</v>
      </c>
      <c r="BN52" s="440" t="n">
        <f aca="false">AH52^2</f>
        <v>0</v>
      </c>
      <c r="BO52" s="440" t="n">
        <f aca="false">AI52^2</f>
        <v>0</v>
      </c>
      <c r="BP52" s="440" t="n">
        <f aca="false">AJ52^2</f>
        <v>0</v>
      </c>
      <c r="BQ52" s="441" t="n">
        <f aca="false">-SIGN(AK52)*AK52^2</f>
        <v>-1</v>
      </c>
    </row>
    <row r="53" customFormat="false" ht="12.75" hidden="false" customHeight="false" outlineLevel="0" collapsed="false">
      <c r="A53" s="45"/>
      <c r="B53" s="44"/>
      <c r="C53" s="299" t="s">
        <v>1005</v>
      </c>
      <c r="D53" s="290" t="n">
        <f aca="false">IF(F53="","",IF(H53="","",ROUND(F53-0.001*298.15*(H53-SUMPRODUCT(L53:AK53*AR$13:BQ$13)),3)))</f>
        <v>-284.009</v>
      </c>
      <c r="E53" s="137" t="n">
        <f aca="false">IF(G53="","",IF(I53="","",ROUND(2*SQRT((0.5*G53)^2+(0.001*298.15)^2*((0.5*I53)^2+SUMPRODUCT(AR53:BQ53*AR$15:BQ$15))),3)))</f>
        <v>0.153</v>
      </c>
      <c r="F53" s="291" t="s">
        <v>1006</v>
      </c>
      <c r="G53" s="292" t="s">
        <v>730</v>
      </c>
      <c r="H53" s="291" t="s">
        <v>1007</v>
      </c>
      <c r="I53" s="292" t="s">
        <v>761</v>
      </c>
      <c r="K53" s="353" t="s">
        <v>1005</v>
      </c>
      <c r="L53" s="434"/>
      <c r="M53" s="435"/>
      <c r="N53" s="435"/>
      <c r="O53" s="435"/>
      <c r="P53" s="436"/>
      <c r="Q53" s="436"/>
      <c r="R53" s="436"/>
      <c r="S53" s="436"/>
      <c r="T53" s="436"/>
      <c r="U53" s="436"/>
      <c r="V53" s="436"/>
      <c r="W53" s="436"/>
      <c r="X53" s="436"/>
      <c r="Y53" s="436"/>
      <c r="Z53" s="436"/>
      <c r="AA53" s="436"/>
      <c r="AB53" s="436"/>
      <c r="AC53" s="436"/>
      <c r="AD53" s="436"/>
      <c r="AE53" s="436"/>
      <c r="AF53" s="436"/>
      <c r="AG53" s="436" t="n">
        <v>1</v>
      </c>
      <c r="AH53" s="436"/>
      <c r="AI53" s="437"/>
      <c r="AJ53" s="436"/>
      <c r="AK53" s="438" t="n">
        <v>1</v>
      </c>
      <c r="AQ53" s="353" t="s">
        <v>1005</v>
      </c>
      <c r="AR53" s="439" t="n">
        <f aca="false">L53^2</f>
        <v>0</v>
      </c>
      <c r="AS53" s="440" t="n">
        <f aca="false">M53^2</f>
        <v>0</v>
      </c>
      <c r="AT53" s="440" t="n">
        <f aca="false">N53^2</f>
        <v>0</v>
      </c>
      <c r="AU53" s="440" t="n">
        <f aca="false">O53^2</f>
        <v>0</v>
      </c>
      <c r="AV53" s="440" t="n">
        <f aca="false">P53^2</f>
        <v>0</v>
      </c>
      <c r="AW53" s="440" t="n">
        <f aca="false">Q53^2</f>
        <v>0</v>
      </c>
      <c r="AX53" s="440" t="n">
        <f aca="false">R53^2</f>
        <v>0</v>
      </c>
      <c r="AY53" s="440" t="n">
        <f aca="false">S53^2</f>
        <v>0</v>
      </c>
      <c r="AZ53" s="440" t="n">
        <f aca="false">T53^2</f>
        <v>0</v>
      </c>
      <c r="BA53" s="440" t="n">
        <f aca="false">U53^2</f>
        <v>0</v>
      </c>
      <c r="BB53" s="440" t="n">
        <f aca="false">V53^2</f>
        <v>0</v>
      </c>
      <c r="BC53" s="440" t="n">
        <f aca="false">W53^2</f>
        <v>0</v>
      </c>
      <c r="BD53" s="440" t="n">
        <f aca="false">X53^2</f>
        <v>0</v>
      </c>
      <c r="BE53" s="440" t="n">
        <f aca="false">Y53^2</f>
        <v>0</v>
      </c>
      <c r="BF53" s="440" t="n">
        <f aca="false">Z53^2</f>
        <v>0</v>
      </c>
      <c r="BG53" s="440" t="n">
        <f aca="false">AA53^2</f>
        <v>0</v>
      </c>
      <c r="BH53" s="440" t="n">
        <f aca="false">AB53^2</f>
        <v>0</v>
      </c>
      <c r="BI53" s="440" t="n">
        <f aca="false">AC53^2</f>
        <v>0</v>
      </c>
      <c r="BJ53" s="440" t="n">
        <f aca="false">AD53^2</f>
        <v>0</v>
      </c>
      <c r="BK53" s="440" t="n">
        <f aca="false">AE53^2</f>
        <v>0</v>
      </c>
      <c r="BL53" s="440" t="n">
        <f aca="false">AF53^2</f>
        <v>0</v>
      </c>
      <c r="BM53" s="440" t="n">
        <f aca="false">AG53^2</f>
        <v>1</v>
      </c>
      <c r="BN53" s="440" t="n">
        <f aca="false">AH53^2</f>
        <v>0</v>
      </c>
      <c r="BO53" s="440" t="n">
        <f aca="false">AI53^2</f>
        <v>0</v>
      </c>
      <c r="BP53" s="440" t="n">
        <f aca="false">AJ53^2</f>
        <v>0</v>
      </c>
      <c r="BQ53" s="441" t="n">
        <f aca="false">-SIGN(AK53)*AK53^2</f>
        <v>-1</v>
      </c>
    </row>
    <row r="54" customFormat="false" ht="13.5" hidden="false" customHeight="false" outlineLevel="0" collapsed="false">
      <c r="A54" s="45"/>
      <c r="B54" s="44"/>
      <c r="C54" s="304" t="s">
        <v>1012</v>
      </c>
      <c r="D54" s="305" t="n">
        <f aca="false">IF(F54="","",IF(H54="","",ROUND(F54-0.001*298.15*(H54-SUMPRODUCT(L54:AK54*AR$13:BQ$13)),3)))</f>
        <v>-291.455</v>
      </c>
      <c r="E54" s="145" t="n">
        <f aca="false">IF(G54="","",IF(I54="","",ROUND(2*SQRT((0.5*G54)^2+(0.001*298.15)^2*((0.5*I54)^2+SUMPRODUCT(AR54:BQ54*AR$15:BQ$15))),3)))</f>
        <v>0.535</v>
      </c>
      <c r="F54" s="306" t="s">
        <v>1013</v>
      </c>
      <c r="G54" s="307" t="s">
        <v>1014</v>
      </c>
      <c r="H54" s="306" t="s">
        <v>1015</v>
      </c>
      <c r="I54" s="307" t="s">
        <v>767</v>
      </c>
      <c r="K54" s="374" t="s">
        <v>1012</v>
      </c>
      <c r="L54" s="447"/>
      <c r="M54" s="448"/>
      <c r="N54" s="448"/>
      <c r="O54" s="448"/>
      <c r="P54" s="449"/>
      <c r="Q54" s="449"/>
      <c r="R54" s="449"/>
      <c r="S54" s="449" t="n">
        <v>1</v>
      </c>
      <c r="T54" s="449"/>
      <c r="U54" s="449"/>
      <c r="V54" s="449"/>
      <c r="W54" s="449"/>
      <c r="X54" s="449"/>
      <c r="Y54" s="449"/>
      <c r="Z54" s="449"/>
      <c r="AA54" s="449"/>
      <c r="AB54" s="449"/>
      <c r="AC54" s="449"/>
      <c r="AD54" s="449"/>
      <c r="AE54" s="449"/>
      <c r="AF54" s="449"/>
      <c r="AG54" s="449"/>
      <c r="AH54" s="449"/>
      <c r="AI54" s="450"/>
      <c r="AJ54" s="449"/>
      <c r="AK54" s="451" t="n">
        <v>1</v>
      </c>
      <c r="AQ54" s="374" t="s">
        <v>1012</v>
      </c>
      <c r="AR54" s="452" t="n">
        <f aca="false">L54^2</f>
        <v>0</v>
      </c>
      <c r="AS54" s="453" t="n">
        <f aca="false">M54^2</f>
        <v>0</v>
      </c>
      <c r="AT54" s="453" t="n">
        <f aca="false">N54^2</f>
        <v>0</v>
      </c>
      <c r="AU54" s="453" t="n">
        <f aca="false">O54^2</f>
        <v>0</v>
      </c>
      <c r="AV54" s="453" t="n">
        <f aca="false">P54^2</f>
        <v>0</v>
      </c>
      <c r="AW54" s="453" t="n">
        <f aca="false">Q54^2</f>
        <v>0</v>
      </c>
      <c r="AX54" s="453" t="n">
        <f aca="false">R54^2</f>
        <v>0</v>
      </c>
      <c r="AY54" s="453" t="n">
        <f aca="false">S54^2</f>
        <v>1</v>
      </c>
      <c r="AZ54" s="453" t="n">
        <f aca="false">T54^2</f>
        <v>0</v>
      </c>
      <c r="BA54" s="453" t="n">
        <f aca="false">U54^2</f>
        <v>0</v>
      </c>
      <c r="BB54" s="453" t="n">
        <f aca="false">V54^2</f>
        <v>0</v>
      </c>
      <c r="BC54" s="453" t="n">
        <f aca="false">W54^2</f>
        <v>0</v>
      </c>
      <c r="BD54" s="453" t="n">
        <f aca="false">X54^2</f>
        <v>0</v>
      </c>
      <c r="BE54" s="453" t="n">
        <f aca="false">Y54^2</f>
        <v>0</v>
      </c>
      <c r="BF54" s="453" t="n">
        <f aca="false">Z54^2</f>
        <v>0</v>
      </c>
      <c r="BG54" s="453" t="n">
        <f aca="false">AA54^2</f>
        <v>0</v>
      </c>
      <c r="BH54" s="453" t="n">
        <f aca="false">AB54^2</f>
        <v>0</v>
      </c>
      <c r="BI54" s="453" t="n">
        <f aca="false">AC54^2</f>
        <v>0</v>
      </c>
      <c r="BJ54" s="453" t="n">
        <f aca="false">AD54^2</f>
        <v>0</v>
      </c>
      <c r="BK54" s="453" t="n">
        <f aca="false">AE54^2</f>
        <v>0</v>
      </c>
      <c r="BL54" s="453" t="n">
        <f aca="false">AF54^2</f>
        <v>0</v>
      </c>
      <c r="BM54" s="453" t="n">
        <f aca="false">AG54^2</f>
        <v>0</v>
      </c>
      <c r="BN54" s="453" t="n">
        <f aca="false">AH54^2</f>
        <v>0</v>
      </c>
      <c r="BO54" s="453" t="n">
        <f aca="false">AI54^2</f>
        <v>0</v>
      </c>
      <c r="BP54" s="453" t="n">
        <f aca="false">AJ54^2</f>
        <v>0</v>
      </c>
      <c r="BQ54" s="454" t="n">
        <f aca="false">-SIGN(AK54)*AK54^2</f>
        <v>-1</v>
      </c>
    </row>
    <row r="55" customFormat="false" ht="12.75" hidden="false" customHeight="false" outlineLevel="0" collapsed="false">
      <c r="C55" s="273"/>
      <c r="D55" s="273"/>
      <c r="E55" s="273"/>
      <c r="F55" s="273"/>
      <c r="G55" s="273"/>
      <c r="H55" s="273"/>
      <c r="I55" s="273"/>
      <c r="K55" s="66"/>
      <c r="L55" s="66"/>
      <c r="M55" s="66"/>
      <c r="N55" s="66"/>
      <c r="O55" s="66"/>
      <c r="AQ55" s="66"/>
      <c r="AR55" s="66"/>
      <c r="AS55" s="66"/>
      <c r="AT55" s="66"/>
      <c r="AU55" s="66"/>
    </row>
    <row r="56" customFormat="false" ht="12.75" hidden="false" customHeight="false" outlineLevel="0" collapsed="false">
      <c r="B56" s="455"/>
      <c r="C56" s="273"/>
      <c r="D56" s="273"/>
      <c r="E56" s="273"/>
      <c r="F56" s="273"/>
      <c r="G56" s="273"/>
      <c r="H56" s="273"/>
      <c r="I56" s="273"/>
      <c r="K56" s="66"/>
      <c r="L56" s="66"/>
      <c r="M56" s="66"/>
      <c r="N56" s="66"/>
      <c r="O56" s="66"/>
      <c r="AQ56" s="66"/>
      <c r="AR56" s="66"/>
      <c r="AS56" s="66"/>
      <c r="AT56" s="66"/>
      <c r="AU56" s="66"/>
    </row>
    <row r="57" customFormat="false" ht="13.5" hidden="false" customHeight="false" outlineLevel="0" collapsed="false">
      <c r="B57" s="455"/>
      <c r="C57" s="273"/>
      <c r="D57" s="273"/>
      <c r="E57" s="273"/>
      <c r="F57" s="273"/>
      <c r="G57" s="273"/>
      <c r="H57" s="273"/>
      <c r="I57" s="273"/>
      <c r="K57" s="66"/>
      <c r="L57" s="66"/>
      <c r="M57" s="66"/>
      <c r="N57" s="66"/>
      <c r="O57" s="66"/>
      <c r="AQ57" s="66"/>
      <c r="AR57" s="66"/>
      <c r="AS57" s="66"/>
      <c r="AT57" s="66"/>
      <c r="AU57" s="66"/>
    </row>
    <row r="58" customFormat="false" ht="15" hidden="false" customHeight="false" outlineLevel="0" collapsed="false">
      <c r="C58" s="15"/>
      <c r="D58" s="283" t="s">
        <v>779</v>
      </c>
      <c r="E58" s="284"/>
      <c r="F58" s="283" t="s">
        <v>780</v>
      </c>
      <c r="G58" s="284"/>
      <c r="H58" s="283" t="s">
        <v>781</v>
      </c>
      <c r="I58" s="284"/>
      <c r="K58" s="282"/>
      <c r="L58" s="282"/>
      <c r="M58" s="282"/>
      <c r="N58" s="282"/>
      <c r="O58" s="282"/>
      <c r="AQ58" s="282"/>
      <c r="AR58" s="282"/>
      <c r="AS58" s="282"/>
      <c r="AT58" s="282"/>
      <c r="AU58" s="282"/>
    </row>
    <row r="59" customFormat="false" ht="13.5" hidden="false" customHeight="false" outlineLevel="0" collapsed="false">
      <c r="C59" s="16" t="s">
        <v>1020</v>
      </c>
      <c r="D59" s="50"/>
      <c r="E59" s="50" t="s">
        <v>725</v>
      </c>
      <c r="F59" s="50"/>
      <c r="G59" s="50" t="s">
        <v>725</v>
      </c>
      <c r="H59" s="50"/>
      <c r="I59" s="50" t="s">
        <v>725</v>
      </c>
      <c r="K59" s="52"/>
      <c r="L59" s="52"/>
      <c r="M59" s="52"/>
      <c r="N59" s="52"/>
      <c r="O59" s="52"/>
      <c r="AQ59" s="52"/>
      <c r="AR59" s="52"/>
      <c r="AS59" s="52"/>
      <c r="AT59" s="52"/>
      <c r="AU59" s="52"/>
    </row>
    <row r="60" customFormat="false" ht="13.5" hidden="false" customHeight="false" outlineLevel="0" collapsed="false">
      <c r="C60" s="16" t="s">
        <v>782</v>
      </c>
      <c r="D60" s="53" t="s">
        <v>726</v>
      </c>
      <c r="E60" s="53" t="s">
        <v>727</v>
      </c>
      <c r="F60" s="53" t="s">
        <v>726</v>
      </c>
      <c r="G60" s="53" t="s">
        <v>727</v>
      </c>
      <c r="H60" s="53" t="s">
        <v>726</v>
      </c>
      <c r="I60" s="53" t="s">
        <v>727</v>
      </c>
      <c r="K60" s="11"/>
      <c r="L60" s="412" t="s">
        <v>1193</v>
      </c>
      <c r="M60" s="413"/>
      <c r="N60" s="413"/>
      <c r="O60" s="413"/>
      <c r="P60" s="414"/>
      <c r="Q60" s="414"/>
      <c r="R60" s="414"/>
      <c r="S60" s="414"/>
      <c r="T60" s="414"/>
      <c r="U60" s="414"/>
      <c r="V60" s="414"/>
      <c r="W60" s="414"/>
      <c r="X60" s="414"/>
      <c r="Y60" s="414"/>
      <c r="Z60" s="414"/>
      <c r="AA60" s="414"/>
      <c r="AB60" s="414"/>
      <c r="AC60" s="414"/>
      <c r="AD60" s="414"/>
      <c r="AE60" s="414"/>
      <c r="AF60" s="414"/>
      <c r="AG60" s="414"/>
      <c r="AH60" s="414"/>
      <c r="AI60" s="414"/>
      <c r="AJ60" s="414"/>
      <c r="AK60" s="279"/>
      <c r="AQ60" s="11"/>
      <c r="AR60" s="412" t="s">
        <v>1193</v>
      </c>
      <c r="AS60" s="413"/>
      <c r="AT60" s="413"/>
      <c r="AU60" s="413"/>
      <c r="AV60" s="414"/>
      <c r="AW60" s="414"/>
      <c r="AX60" s="414"/>
      <c r="AY60" s="414"/>
      <c r="AZ60" s="414"/>
      <c r="BA60" s="414"/>
      <c r="BB60" s="414"/>
      <c r="BC60" s="414"/>
      <c r="BD60" s="414"/>
      <c r="BE60" s="414"/>
      <c r="BF60" s="414"/>
      <c r="BG60" s="414"/>
      <c r="BH60" s="414"/>
      <c r="BI60" s="414"/>
      <c r="BJ60" s="414"/>
      <c r="BK60" s="414"/>
      <c r="BL60" s="414"/>
      <c r="BM60" s="414"/>
      <c r="BN60" s="414"/>
      <c r="BO60" s="414"/>
      <c r="BP60" s="414"/>
      <c r="BQ60" s="279"/>
    </row>
    <row r="61" customFormat="false" ht="15" hidden="false" customHeight="false" outlineLevel="0" collapsed="false">
      <c r="C61" s="21" t="s">
        <v>783</v>
      </c>
      <c r="D61" s="55" t="s">
        <v>784</v>
      </c>
      <c r="E61" s="55" t="s">
        <v>784</v>
      </c>
      <c r="F61" s="55" t="s">
        <v>784</v>
      </c>
      <c r="G61" s="55" t="s">
        <v>784</v>
      </c>
      <c r="H61" s="55" t="s">
        <v>167</v>
      </c>
      <c r="I61" s="55" t="s">
        <v>167</v>
      </c>
      <c r="K61" s="415" t="s">
        <v>783</v>
      </c>
      <c r="L61" s="416" t="s">
        <v>32</v>
      </c>
      <c r="M61" s="417" t="s">
        <v>40</v>
      </c>
      <c r="N61" s="418" t="s">
        <v>41</v>
      </c>
      <c r="O61" s="418" t="s">
        <v>46</v>
      </c>
      <c r="P61" s="417" t="s">
        <v>48</v>
      </c>
      <c r="Q61" s="417" t="s">
        <v>49</v>
      </c>
      <c r="R61" s="418" t="s">
        <v>54</v>
      </c>
      <c r="S61" s="418" t="s">
        <v>59</v>
      </c>
      <c r="T61" s="418" t="s">
        <v>66</v>
      </c>
      <c r="U61" s="418" t="s">
        <v>68</v>
      </c>
      <c r="V61" s="418" t="s">
        <v>75</v>
      </c>
      <c r="W61" s="418" t="s">
        <v>82</v>
      </c>
      <c r="X61" s="418" t="s">
        <v>86</v>
      </c>
      <c r="Y61" s="418" t="s">
        <v>89</v>
      </c>
      <c r="Z61" s="417" t="s">
        <v>93</v>
      </c>
      <c r="AA61" s="418" t="s">
        <v>97</v>
      </c>
      <c r="AB61" s="418" t="s">
        <v>99</v>
      </c>
      <c r="AC61" s="417" t="s">
        <v>103</v>
      </c>
      <c r="AD61" s="418" t="s">
        <v>107</v>
      </c>
      <c r="AE61" s="417" t="s">
        <v>110</v>
      </c>
      <c r="AF61" s="418" t="s">
        <v>119</v>
      </c>
      <c r="AG61" s="418" t="s">
        <v>120</v>
      </c>
      <c r="AH61" s="418" t="s">
        <v>125</v>
      </c>
      <c r="AI61" s="417" t="s">
        <v>129</v>
      </c>
      <c r="AJ61" s="418" t="s">
        <v>132</v>
      </c>
      <c r="AK61" s="419" t="s">
        <v>1187</v>
      </c>
      <c r="AQ61" s="415" t="s">
        <v>783</v>
      </c>
      <c r="AR61" s="416" t="s">
        <v>32</v>
      </c>
      <c r="AS61" s="417" t="s">
        <v>40</v>
      </c>
      <c r="AT61" s="418" t="s">
        <v>41</v>
      </c>
      <c r="AU61" s="418" t="s">
        <v>46</v>
      </c>
      <c r="AV61" s="417" t="s">
        <v>48</v>
      </c>
      <c r="AW61" s="417" t="s">
        <v>49</v>
      </c>
      <c r="AX61" s="418" t="s">
        <v>54</v>
      </c>
      <c r="AY61" s="418" t="s">
        <v>59</v>
      </c>
      <c r="AZ61" s="418" t="s">
        <v>66</v>
      </c>
      <c r="BA61" s="418" t="s">
        <v>68</v>
      </c>
      <c r="BB61" s="418" t="s">
        <v>75</v>
      </c>
      <c r="BC61" s="418" t="s">
        <v>82</v>
      </c>
      <c r="BD61" s="418" t="s">
        <v>86</v>
      </c>
      <c r="BE61" s="418" t="s">
        <v>89</v>
      </c>
      <c r="BF61" s="417" t="s">
        <v>93</v>
      </c>
      <c r="BG61" s="418" t="s">
        <v>97</v>
      </c>
      <c r="BH61" s="418" t="s">
        <v>99</v>
      </c>
      <c r="BI61" s="417" t="s">
        <v>103</v>
      </c>
      <c r="BJ61" s="418" t="s">
        <v>107</v>
      </c>
      <c r="BK61" s="417" t="s">
        <v>110</v>
      </c>
      <c r="BL61" s="418" t="s">
        <v>119</v>
      </c>
      <c r="BM61" s="418" t="s">
        <v>120</v>
      </c>
      <c r="BN61" s="418" t="s">
        <v>125</v>
      </c>
      <c r="BO61" s="417" t="s">
        <v>129</v>
      </c>
      <c r="BP61" s="418" t="s">
        <v>132</v>
      </c>
      <c r="BQ61" s="419" t="s">
        <v>1187</v>
      </c>
    </row>
    <row r="62" customFormat="false" ht="12.75" hidden="false" customHeight="false" outlineLevel="0" collapsed="false">
      <c r="C62" s="310" t="s">
        <v>1021</v>
      </c>
      <c r="D62" s="285" t="str">
        <f aca="false">IF(F62="","",IF(H62="","",ROUND(F62-0.001*298.15*(H62-SUMPRODUCT(L62:AK62*AR$13:BQ$13)),3)))</f>
        <v/>
      </c>
      <c r="E62" s="131" t="str">
        <f aca="false">IF(G62="","",IF(I62="","",ROUND(2*SQRT((0.5*G62)^2+(0.001*298.15)^2*((0.5*I62)^2+SUMPRODUCT(AR62:BQ62*AR$15:BQ$15))),3)))</f>
        <v/>
      </c>
      <c r="F62" s="311"/>
      <c r="G62" s="312"/>
      <c r="H62" s="311"/>
      <c r="I62" s="312"/>
      <c r="K62" s="310" t="s">
        <v>1021</v>
      </c>
      <c r="L62" s="426"/>
      <c r="M62" s="427"/>
      <c r="N62" s="427"/>
      <c r="O62" s="427"/>
      <c r="P62" s="428"/>
      <c r="Q62" s="428"/>
      <c r="R62" s="428"/>
      <c r="S62" s="428"/>
      <c r="T62" s="428"/>
      <c r="U62" s="428"/>
      <c r="V62" s="428"/>
      <c r="W62" s="428"/>
      <c r="X62" s="428"/>
      <c r="Y62" s="428"/>
      <c r="Z62" s="428"/>
      <c r="AA62" s="428"/>
      <c r="AB62" s="428"/>
      <c r="AC62" s="428"/>
      <c r="AD62" s="428" t="n">
        <v>1</v>
      </c>
      <c r="AE62" s="428"/>
      <c r="AF62" s="428"/>
      <c r="AG62" s="428"/>
      <c r="AH62" s="428"/>
      <c r="AI62" s="429" t="n">
        <v>1</v>
      </c>
      <c r="AJ62" s="428"/>
      <c r="AK62" s="430"/>
      <c r="AO62" s="10"/>
      <c r="AQ62" s="310" t="s">
        <v>1021</v>
      </c>
      <c r="AR62" s="431" t="n">
        <f aca="false">L62^2</f>
        <v>0</v>
      </c>
      <c r="AS62" s="432" t="n">
        <f aca="false">M62^2</f>
        <v>0</v>
      </c>
      <c r="AT62" s="432" t="n">
        <f aca="false">N62^2</f>
        <v>0</v>
      </c>
      <c r="AU62" s="432" t="n">
        <f aca="false">O62^2</f>
        <v>0</v>
      </c>
      <c r="AV62" s="432" t="n">
        <f aca="false">P62^2</f>
        <v>0</v>
      </c>
      <c r="AW62" s="432" t="n">
        <f aca="false">Q62^2</f>
        <v>0</v>
      </c>
      <c r="AX62" s="432" t="n">
        <f aca="false">R62^2</f>
        <v>0</v>
      </c>
      <c r="AY62" s="432" t="n">
        <f aca="false">S62^2</f>
        <v>0</v>
      </c>
      <c r="AZ62" s="432" t="n">
        <f aca="false">T62^2</f>
        <v>0</v>
      </c>
      <c r="BA62" s="432" t="n">
        <f aca="false">U62^2</f>
        <v>0</v>
      </c>
      <c r="BB62" s="432" t="n">
        <f aca="false">V62^2</f>
        <v>0</v>
      </c>
      <c r="BC62" s="432" t="n">
        <f aca="false">W62^2</f>
        <v>0</v>
      </c>
      <c r="BD62" s="432" t="n">
        <f aca="false">X62^2</f>
        <v>0</v>
      </c>
      <c r="BE62" s="432" t="n">
        <f aca="false">Y62^2</f>
        <v>0</v>
      </c>
      <c r="BF62" s="432" t="n">
        <f aca="false">Z62^2</f>
        <v>0</v>
      </c>
      <c r="BG62" s="432" t="n">
        <f aca="false">AA62^2</f>
        <v>0</v>
      </c>
      <c r="BH62" s="432" t="n">
        <f aca="false">AB62^2</f>
        <v>0</v>
      </c>
      <c r="BI62" s="432" t="n">
        <f aca="false">AC62^2</f>
        <v>0</v>
      </c>
      <c r="BJ62" s="432" t="n">
        <f aca="false">AD62^2</f>
        <v>1</v>
      </c>
      <c r="BK62" s="432" t="n">
        <f aca="false">AE62^2</f>
        <v>0</v>
      </c>
      <c r="BL62" s="432" t="n">
        <f aca="false">AF62^2</f>
        <v>0</v>
      </c>
      <c r="BM62" s="432" t="n">
        <f aca="false">AG62^2</f>
        <v>0</v>
      </c>
      <c r="BN62" s="432" t="n">
        <f aca="false">AH62^2</f>
        <v>0</v>
      </c>
      <c r="BO62" s="432" t="n">
        <f aca="false">AI62^2</f>
        <v>1</v>
      </c>
      <c r="BP62" s="432" t="n">
        <f aca="false">AJ62^2</f>
        <v>0</v>
      </c>
      <c r="BQ62" s="433" t="n">
        <f aca="false">-SIGN(AK62)*AK62^2</f>
        <v>0</v>
      </c>
    </row>
    <row r="63" customFormat="false" ht="12.75" hidden="false" customHeight="false" outlineLevel="0" collapsed="false">
      <c r="C63" s="313" t="s">
        <v>1022</v>
      </c>
      <c r="D63" s="290" t="str">
        <f aca="false">IF(F63="","",IF(H63="","",ROUND(F63-0.001*298.15*(H63-SUMPRODUCT(L63:AK63*AR$13:BQ$13)),3)))</f>
        <v/>
      </c>
      <c r="E63" s="137" t="str">
        <f aca="false">IF(G63="","",IF(I63="","",ROUND(2*SQRT((0.5*G63)^2+(0.001*298.15)^2*((0.5*I63)^2+SUMPRODUCT(AR63:BQ63*AR$15:BQ$15))),3)))</f>
        <v/>
      </c>
      <c r="F63" s="314"/>
      <c r="G63" s="315"/>
      <c r="H63" s="314"/>
      <c r="I63" s="315"/>
      <c r="K63" s="313" t="s">
        <v>1022</v>
      </c>
      <c r="L63" s="434"/>
      <c r="M63" s="435" t="n">
        <v>1</v>
      </c>
      <c r="N63" s="435"/>
      <c r="O63" s="435"/>
      <c r="P63" s="436"/>
      <c r="Q63" s="436"/>
      <c r="R63" s="436"/>
      <c r="S63" s="436"/>
      <c r="T63" s="436"/>
      <c r="U63" s="436"/>
      <c r="V63" s="436"/>
      <c r="W63" s="436"/>
      <c r="X63" s="436"/>
      <c r="Y63" s="436"/>
      <c r="Z63" s="436"/>
      <c r="AA63" s="436"/>
      <c r="AB63" s="436"/>
      <c r="AC63" s="436"/>
      <c r="AD63" s="436" t="n">
        <v>1</v>
      </c>
      <c r="AE63" s="436"/>
      <c r="AF63" s="436"/>
      <c r="AG63" s="436"/>
      <c r="AH63" s="436"/>
      <c r="AI63" s="437"/>
      <c r="AJ63" s="436"/>
      <c r="AK63" s="438" t="n">
        <v>-1</v>
      </c>
      <c r="AQ63" s="313" t="s">
        <v>1022</v>
      </c>
      <c r="AR63" s="439" t="n">
        <f aca="false">L63^2</f>
        <v>0</v>
      </c>
      <c r="AS63" s="440" t="n">
        <f aca="false">M63^2</f>
        <v>1</v>
      </c>
      <c r="AT63" s="440" t="n">
        <f aca="false">N63^2</f>
        <v>0</v>
      </c>
      <c r="AU63" s="440" t="n">
        <f aca="false">O63^2</f>
        <v>0</v>
      </c>
      <c r="AV63" s="440" t="n">
        <f aca="false">P63^2</f>
        <v>0</v>
      </c>
      <c r="AW63" s="440" t="n">
        <f aca="false">Q63^2</f>
        <v>0</v>
      </c>
      <c r="AX63" s="440" t="n">
        <f aca="false">R63^2</f>
        <v>0</v>
      </c>
      <c r="AY63" s="440" t="n">
        <f aca="false">S63^2</f>
        <v>0</v>
      </c>
      <c r="AZ63" s="440" t="n">
        <f aca="false">T63^2</f>
        <v>0</v>
      </c>
      <c r="BA63" s="440" t="n">
        <f aca="false">U63^2</f>
        <v>0</v>
      </c>
      <c r="BB63" s="440" t="n">
        <f aca="false">V63^2</f>
        <v>0</v>
      </c>
      <c r="BC63" s="440" t="n">
        <f aca="false">W63^2</f>
        <v>0</v>
      </c>
      <c r="BD63" s="440" t="n">
        <f aca="false">X63^2</f>
        <v>0</v>
      </c>
      <c r="BE63" s="440" t="n">
        <f aca="false">Y63^2</f>
        <v>0</v>
      </c>
      <c r="BF63" s="440" t="n">
        <f aca="false">Z63^2</f>
        <v>0</v>
      </c>
      <c r="BG63" s="440" t="n">
        <f aca="false">AA63^2</f>
        <v>0</v>
      </c>
      <c r="BH63" s="440" t="n">
        <f aca="false">AB63^2</f>
        <v>0</v>
      </c>
      <c r="BI63" s="440" t="n">
        <f aca="false">AC63^2</f>
        <v>0</v>
      </c>
      <c r="BJ63" s="440" t="n">
        <f aca="false">AD63^2</f>
        <v>1</v>
      </c>
      <c r="BK63" s="440" t="n">
        <f aca="false">AE63^2</f>
        <v>0</v>
      </c>
      <c r="BL63" s="440" t="n">
        <f aca="false">AF63^2</f>
        <v>0</v>
      </c>
      <c r="BM63" s="440" t="n">
        <f aca="false">AG63^2</f>
        <v>0</v>
      </c>
      <c r="BN63" s="440" t="n">
        <f aca="false">AH63^2</f>
        <v>0</v>
      </c>
      <c r="BO63" s="440" t="n">
        <f aca="false">AI63^2</f>
        <v>0</v>
      </c>
      <c r="BP63" s="440" t="n">
        <f aca="false">AJ63^2</f>
        <v>0</v>
      </c>
      <c r="BQ63" s="441" t="n">
        <f aca="false">-SIGN(AK63)*AK63^2</f>
        <v>1</v>
      </c>
    </row>
    <row r="64" customFormat="false" ht="13.5" hidden="false" customHeight="false" outlineLevel="0" collapsed="false">
      <c r="C64" s="317" t="s">
        <v>1023</v>
      </c>
      <c r="D64" s="305" t="str">
        <f aca="false">IF(F64="","",IF(H64="","",ROUND(F64-0.001*298.15*(H64-SUMPRODUCT(L64:AK64*AR$13:BQ$13)),3)))</f>
        <v/>
      </c>
      <c r="E64" s="145" t="str">
        <f aca="false">IF(G64="","",IF(I64="","",ROUND(2*SQRT((0.5*G64)^2+(0.001*298.15)^2*((0.5*I64)^2+SUMPRODUCT(AR64:BQ64*AR$15:BQ$15))),3)))</f>
        <v/>
      </c>
      <c r="F64" s="318"/>
      <c r="G64" s="319"/>
      <c r="H64" s="318"/>
      <c r="I64" s="319"/>
      <c r="K64" s="317" t="s">
        <v>1023</v>
      </c>
      <c r="L64" s="447" t="n">
        <v>1</v>
      </c>
      <c r="M64" s="448"/>
      <c r="N64" s="448"/>
      <c r="O64" s="448"/>
      <c r="P64" s="449"/>
      <c r="Q64" s="449"/>
      <c r="R64" s="449"/>
      <c r="S64" s="449"/>
      <c r="T64" s="449"/>
      <c r="U64" s="449"/>
      <c r="V64" s="449"/>
      <c r="W64" s="449"/>
      <c r="X64" s="449"/>
      <c r="Y64" s="449"/>
      <c r="Z64" s="449"/>
      <c r="AA64" s="449"/>
      <c r="AB64" s="449"/>
      <c r="AC64" s="449"/>
      <c r="AD64" s="449" t="n">
        <v>1</v>
      </c>
      <c r="AE64" s="449"/>
      <c r="AF64" s="449"/>
      <c r="AG64" s="449"/>
      <c r="AH64" s="449"/>
      <c r="AI64" s="450"/>
      <c r="AJ64" s="449"/>
      <c r="AK64" s="451" t="n">
        <v>-1</v>
      </c>
      <c r="AQ64" s="317" t="s">
        <v>1023</v>
      </c>
      <c r="AR64" s="452" t="n">
        <f aca="false">L64^2</f>
        <v>1</v>
      </c>
      <c r="AS64" s="453" t="n">
        <f aca="false">M64^2</f>
        <v>0</v>
      </c>
      <c r="AT64" s="453" t="n">
        <f aca="false">N64^2</f>
        <v>0</v>
      </c>
      <c r="AU64" s="453" t="n">
        <f aca="false">O64^2</f>
        <v>0</v>
      </c>
      <c r="AV64" s="453" t="n">
        <f aca="false">P64^2</f>
        <v>0</v>
      </c>
      <c r="AW64" s="453" t="n">
        <f aca="false">Q64^2</f>
        <v>0</v>
      </c>
      <c r="AX64" s="453" t="n">
        <f aca="false">R64^2</f>
        <v>0</v>
      </c>
      <c r="AY64" s="453" t="n">
        <f aca="false">S64^2</f>
        <v>0</v>
      </c>
      <c r="AZ64" s="453" t="n">
        <f aca="false">T64^2</f>
        <v>0</v>
      </c>
      <c r="BA64" s="453" t="n">
        <f aca="false">U64^2</f>
        <v>0</v>
      </c>
      <c r="BB64" s="453" t="n">
        <f aca="false">V64^2</f>
        <v>0</v>
      </c>
      <c r="BC64" s="453" t="n">
        <f aca="false">W64^2</f>
        <v>0</v>
      </c>
      <c r="BD64" s="453" t="n">
        <f aca="false">X64^2</f>
        <v>0</v>
      </c>
      <c r="BE64" s="453" t="n">
        <f aca="false">Y64^2</f>
        <v>0</v>
      </c>
      <c r="BF64" s="453" t="n">
        <f aca="false">Z64^2</f>
        <v>0</v>
      </c>
      <c r="BG64" s="453" t="n">
        <f aca="false">AA64^2</f>
        <v>0</v>
      </c>
      <c r="BH64" s="453" t="n">
        <f aca="false">AB64^2</f>
        <v>0</v>
      </c>
      <c r="BI64" s="453" t="n">
        <f aca="false">AC64^2</f>
        <v>0</v>
      </c>
      <c r="BJ64" s="453" t="n">
        <f aca="false">AD64^2</f>
        <v>1</v>
      </c>
      <c r="BK64" s="453" t="n">
        <f aca="false">AE64^2</f>
        <v>0</v>
      </c>
      <c r="BL64" s="453" t="n">
        <f aca="false">AF64^2</f>
        <v>0</v>
      </c>
      <c r="BM64" s="453" t="n">
        <f aca="false">AG64^2</f>
        <v>0</v>
      </c>
      <c r="BN64" s="453" t="n">
        <f aca="false">AH64^2</f>
        <v>0</v>
      </c>
      <c r="BO64" s="453" t="n">
        <f aca="false">AI64^2</f>
        <v>0</v>
      </c>
      <c r="BP64" s="453" t="n">
        <f aca="false">AJ64^2</f>
        <v>0</v>
      </c>
      <c r="BQ64" s="454" t="n">
        <f aca="false">-SIGN(AK64)*AK64^2</f>
        <v>1</v>
      </c>
    </row>
    <row r="65" customFormat="false" ht="12.75" hidden="false" customHeight="false" outlineLevel="0" collapsed="false">
      <c r="C65" s="192"/>
      <c r="D65" s="214"/>
      <c r="E65" s="214"/>
      <c r="F65" s="214"/>
      <c r="G65" s="214"/>
      <c r="H65" s="214"/>
      <c r="I65" s="214"/>
      <c r="K65" s="214"/>
      <c r="L65" s="214"/>
      <c r="M65" s="214"/>
      <c r="N65" s="214"/>
      <c r="O65" s="214"/>
      <c r="AQ65" s="214"/>
      <c r="AR65" s="214"/>
      <c r="AS65" s="214"/>
      <c r="AT65" s="214"/>
      <c r="AU65" s="214"/>
    </row>
    <row r="66" customFormat="false" ht="12.75" hidden="false" customHeight="false" outlineLevel="0" collapsed="false">
      <c r="C66" s="112"/>
      <c r="D66" s="66"/>
      <c r="E66" s="66"/>
      <c r="F66" s="66"/>
      <c r="G66" s="66"/>
      <c r="H66" s="66"/>
      <c r="I66" s="66"/>
      <c r="K66" s="66"/>
      <c r="L66" s="66"/>
      <c r="M66" s="66"/>
      <c r="N66" s="66"/>
      <c r="O66" s="66"/>
      <c r="AQ66" s="66"/>
      <c r="AR66" s="66"/>
      <c r="AS66" s="66"/>
      <c r="AT66" s="66"/>
      <c r="AU66" s="66"/>
    </row>
    <row r="67" customFormat="false" ht="13.5" hidden="false" customHeight="false" outlineLevel="0" collapsed="false">
      <c r="C67" s="112"/>
      <c r="D67" s="66"/>
      <c r="E67" s="66"/>
      <c r="F67" s="66"/>
      <c r="G67" s="66"/>
      <c r="H67" s="66"/>
      <c r="I67" s="66"/>
      <c r="K67" s="66"/>
      <c r="L67" s="66"/>
      <c r="M67" s="66"/>
      <c r="N67" s="66"/>
      <c r="O67" s="66"/>
      <c r="AQ67" s="66"/>
      <c r="AR67" s="66"/>
      <c r="AS67" s="66"/>
      <c r="AT67" s="66"/>
      <c r="AU67" s="66"/>
    </row>
    <row r="68" customFormat="false" ht="15" hidden="false" customHeight="false" outlineLevel="0" collapsed="false">
      <c r="C68" s="15"/>
      <c r="D68" s="283" t="s">
        <v>779</v>
      </c>
      <c r="E68" s="284"/>
      <c r="F68" s="283" t="s">
        <v>780</v>
      </c>
      <c r="G68" s="284"/>
      <c r="H68" s="283" t="s">
        <v>781</v>
      </c>
      <c r="I68" s="284"/>
      <c r="K68" s="282"/>
      <c r="L68" s="282"/>
      <c r="M68" s="282"/>
      <c r="N68" s="282"/>
      <c r="O68" s="282"/>
      <c r="AQ68" s="282"/>
      <c r="AR68" s="282"/>
      <c r="AS68" s="282"/>
      <c r="AT68" s="282"/>
      <c r="AU68" s="282"/>
    </row>
    <row r="69" customFormat="false" ht="13.5" hidden="false" customHeight="false" outlineLevel="0" collapsed="false">
      <c r="C69" s="16"/>
      <c r="D69" s="50"/>
      <c r="E69" s="50" t="s">
        <v>725</v>
      </c>
      <c r="F69" s="50"/>
      <c r="G69" s="50" t="s">
        <v>725</v>
      </c>
      <c r="H69" s="50"/>
      <c r="I69" s="50" t="s">
        <v>725</v>
      </c>
      <c r="K69" s="52"/>
      <c r="L69" s="52"/>
      <c r="M69" s="52"/>
      <c r="N69" s="52"/>
      <c r="O69" s="52"/>
      <c r="AQ69" s="52"/>
      <c r="AR69" s="52"/>
      <c r="AS69" s="52"/>
      <c r="AT69" s="52"/>
      <c r="AU69" s="52"/>
    </row>
    <row r="70" customFormat="false" ht="13.5" hidden="false" customHeight="false" outlineLevel="0" collapsed="false">
      <c r="C70" s="16" t="s">
        <v>1024</v>
      </c>
      <c r="D70" s="53" t="s">
        <v>726</v>
      </c>
      <c r="E70" s="53" t="s">
        <v>727</v>
      </c>
      <c r="F70" s="53" t="s">
        <v>726</v>
      </c>
      <c r="G70" s="53" t="s">
        <v>727</v>
      </c>
      <c r="H70" s="53" t="s">
        <v>726</v>
      </c>
      <c r="I70" s="53" t="s">
        <v>727</v>
      </c>
      <c r="K70" s="11"/>
      <c r="L70" s="412" t="s">
        <v>1193</v>
      </c>
      <c r="M70" s="413"/>
      <c r="N70" s="413"/>
      <c r="O70" s="413"/>
      <c r="P70" s="414"/>
      <c r="Q70" s="414"/>
      <c r="R70" s="414"/>
      <c r="S70" s="414"/>
      <c r="T70" s="414"/>
      <c r="U70" s="414"/>
      <c r="V70" s="414"/>
      <c r="W70" s="414"/>
      <c r="X70" s="414"/>
      <c r="Y70" s="414"/>
      <c r="Z70" s="414"/>
      <c r="AA70" s="414"/>
      <c r="AB70" s="414"/>
      <c r="AC70" s="414"/>
      <c r="AD70" s="414"/>
      <c r="AE70" s="414"/>
      <c r="AF70" s="414"/>
      <c r="AG70" s="414"/>
      <c r="AH70" s="414"/>
      <c r="AI70" s="414"/>
      <c r="AJ70" s="414"/>
      <c r="AK70" s="279"/>
      <c r="AQ70" s="11"/>
      <c r="AR70" s="412" t="s">
        <v>1193</v>
      </c>
      <c r="AS70" s="413"/>
      <c r="AT70" s="413"/>
      <c r="AU70" s="413"/>
      <c r="AV70" s="414"/>
      <c r="AW70" s="414"/>
      <c r="AX70" s="414"/>
      <c r="AY70" s="414"/>
      <c r="AZ70" s="414"/>
      <c r="BA70" s="414"/>
      <c r="BB70" s="414"/>
      <c r="BC70" s="414"/>
      <c r="BD70" s="414"/>
      <c r="BE70" s="414"/>
      <c r="BF70" s="414"/>
      <c r="BG70" s="414"/>
      <c r="BH70" s="414"/>
      <c r="BI70" s="414"/>
      <c r="BJ70" s="414"/>
      <c r="BK70" s="414"/>
      <c r="BL70" s="414"/>
      <c r="BM70" s="414"/>
      <c r="BN70" s="414"/>
      <c r="BO70" s="414"/>
      <c r="BP70" s="414"/>
      <c r="BQ70" s="279"/>
    </row>
    <row r="71" customFormat="false" ht="15" hidden="false" customHeight="false" outlineLevel="0" collapsed="false">
      <c r="C71" s="21" t="s">
        <v>783</v>
      </c>
      <c r="D71" s="55" t="s">
        <v>784</v>
      </c>
      <c r="E71" s="55" t="s">
        <v>784</v>
      </c>
      <c r="F71" s="55" t="s">
        <v>784</v>
      </c>
      <c r="G71" s="55" t="s">
        <v>784</v>
      </c>
      <c r="H71" s="55" t="s">
        <v>167</v>
      </c>
      <c r="I71" s="55" t="s">
        <v>167</v>
      </c>
      <c r="K71" s="415" t="s">
        <v>783</v>
      </c>
      <c r="L71" s="416" t="s">
        <v>32</v>
      </c>
      <c r="M71" s="417" t="s">
        <v>40</v>
      </c>
      <c r="N71" s="418" t="s">
        <v>41</v>
      </c>
      <c r="O71" s="418" t="s">
        <v>46</v>
      </c>
      <c r="P71" s="417" t="s">
        <v>48</v>
      </c>
      <c r="Q71" s="417" t="s">
        <v>49</v>
      </c>
      <c r="R71" s="418" t="s">
        <v>54</v>
      </c>
      <c r="S71" s="418" t="s">
        <v>59</v>
      </c>
      <c r="T71" s="418" t="s">
        <v>66</v>
      </c>
      <c r="U71" s="418" t="s">
        <v>68</v>
      </c>
      <c r="V71" s="418" t="s">
        <v>75</v>
      </c>
      <c r="W71" s="418" t="s">
        <v>82</v>
      </c>
      <c r="X71" s="418" t="s">
        <v>86</v>
      </c>
      <c r="Y71" s="418" t="s">
        <v>89</v>
      </c>
      <c r="Z71" s="417" t="s">
        <v>93</v>
      </c>
      <c r="AA71" s="418" t="s">
        <v>97</v>
      </c>
      <c r="AB71" s="418" t="s">
        <v>99</v>
      </c>
      <c r="AC71" s="417" t="s">
        <v>103</v>
      </c>
      <c r="AD71" s="418" t="s">
        <v>107</v>
      </c>
      <c r="AE71" s="417" t="s">
        <v>110</v>
      </c>
      <c r="AF71" s="418" t="s">
        <v>119</v>
      </c>
      <c r="AG71" s="418" t="s">
        <v>120</v>
      </c>
      <c r="AH71" s="418" t="s">
        <v>125</v>
      </c>
      <c r="AI71" s="417" t="s">
        <v>129</v>
      </c>
      <c r="AJ71" s="418" t="s">
        <v>132</v>
      </c>
      <c r="AK71" s="419" t="s">
        <v>1187</v>
      </c>
      <c r="AQ71" s="415" t="s">
        <v>783</v>
      </c>
      <c r="AR71" s="416" t="s">
        <v>32</v>
      </c>
      <c r="AS71" s="417" t="s">
        <v>40</v>
      </c>
      <c r="AT71" s="418" t="s">
        <v>41</v>
      </c>
      <c r="AU71" s="418" t="s">
        <v>46</v>
      </c>
      <c r="AV71" s="417" t="s">
        <v>48</v>
      </c>
      <c r="AW71" s="417" t="s">
        <v>49</v>
      </c>
      <c r="AX71" s="418" t="s">
        <v>54</v>
      </c>
      <c r="AY71" s="418" t="s">
        <v>59</v>
      </c>
      <c r="AZ71" s="418" t="s">
        <v>66</v>
      </c>
      <c r="BA71" s="418" t="s">
        <v>68</v>
      </c>
      <c r="BB71" s="418" t="s">
        <v>75</v>
      </c>
      <c r="BC71" s="418" t="s">
        <v>82</v>
      </c>
      <c r="BD71" s="418" t="s">
        <v>86</v>
      </c>
      <c r="BE71" s="418" t="s">
        <v>89</v>
      </c>
      <c r="BF71" s="417" t="s">
        <v>93</v>
      </c>
      <c r="BG71" s="418" t="s">
        <v>97</v>
      </c>
      <c r="BH71" s="418" t="s">
        <v>99</v>
      </c>
      <c r="BI71" s="417" t="s">
        <v>103</v>
      </c>
      <c r="BJ71" s="418" t="s">
        <v>107</v>
      </c>
      <c r="BK71" s="417" t="s">
        <v>110</v>
      </c>
      <c r="BL71" s="418" t="s">
        <v>119</v>
      </c>
      <c r="BM71" s="418" t="s">
        <v>120</v>
      </c>
      <c r="BN71" s="418" t="s">
        <v>125</v>
      </c>
      <c r="BO71" s="417" t="s">
        <v>129</v>
      </c>
      <c r="BP71" s="418" t="s">
        <v>132</v>
      </c>
      <c r="BQ71" s="419" t="s">
        <v>1187</v>
      </c>
    </row>
    <row r="72" customFormat="false" ht="12.75" hidden="false" customHeight="false" outlineLevel="0" collapsed="false">
      <c r="C72" s="456" t="s">
        <v>1025</v>
      </c>
      <c r="D72" s="285" t="n">
        <f aca="false">IF(F72="","",IF(H72="","",ROUND(F72-0.001*298.15*(H72-SUMPRODUCT(L72:AK72*AR$13:BQ$13)),3)))</f>
        <v>0</v>
      </c>
      <c r="E72" s="131" t="str">
        <f aca="false">IF(G72="","",IF(I72="","",ROUND(2*SQRT((0.5*G72)^2+(0.001*298.15)^2*((0.5*I72)^2+SUMPRODUCT(AR72:BQ72*AR$15:BQ$15))),3)))</f>
        <v/>
      </c>
      <c r="F72" s="322" t="s">
        <v>786</v>
      </c>
      <c r="G72" s="323"/>
      <c r="H72" s="322" t="s">
        <v>760</v>
      </c>
      <c r="I72" s="323" t="s">
        <v>749</v>
      </c>
      <c r="K72" s="425" t="s">
        <v>1025</v>
      </c>
      <c r="L72" s="426"/>
      <c r="M72" s="427"/>
      <c r="N72" s="427"/>
      <c r="O72" s="427"/>
      <c r="P72" s="428"/>
      <c r="Q72" s="428"/>
      <c r="R72" s="428"/>
      <c r="S72" s="428"/>
      <c r="T72" s="428"/>
      <c r="U72" s="428"/>
      <c r="V72" s="428"/>
      <c r="W72" s="428"/>
      <c r="X72" s="428"/>
      <c r="Y72" s="428"/>
      <c r="Z72" s="428"/>
      <c r="AA72" s="428"/>
      <c r="AB72" s="428"/>
      <c r="AC72" s="428"/>
      <c r="AD72" s="428" t="n">
        <v>1</v>
      </c>
      <c r="AE72" s="428"/>
      <c r="AF72" s="428"/>
      <c r="AG72" s="428"/>
      <c r="AH72" s="428"/>
      <c r="AI72" s="429"/>
      <c r="AJ72" s="428"/>
      <c r="AK72" s="430"/>
      <c r="AQ72" s="425" t="s">
        <v>1025</v>
      </c>
      <c r="AR72" s="431" t="n">
        <f aca="false">L72^2</f>
        <v>0</v>
      </c>
      <c r="AS72" s="432" t="n">
        <f aca="false">M72^2</f>
        <v>0</v>
      </c>
      <c r="AT72" s="432" t="n">
        <f aca="false">N72^2</f>
        <v>0</v>
      </c>
      <c r="AU72" s="432" t="n">
        <f aca="false">O72^2</f>
        <v>0</v>
      </c>
      <c r="AV72" s="432" t="n">
        <f aca="false">P72^2</f>
        <v>0</v>
      </c>
      <c r="AW72" s="432" t="n">
        <f aca="false">Q72^2</f>
        <v>0</v>
      </c>
      <c r="AX72" s="432" t="n">
        <f aca="false">R72^2</f>
        <v>0</v>
      </c>
      <c r="AY72" s="432" t="n">
        <f aca="false">S72^2</f>
        <v>0</v>
      </c>
      <c r="AZ72" s="432" t="n">
        <f aca="false">T72^2</f>
        <v>0</v>
      </c>
      <c r="BA72" s="432" t="n">
        <f aca="false">U72^2</f>
        <v>0</v>
      </c>
      <c r="BB72" s="432" t="n">
        <f aca="false">V72^2</f>
        <v>0</v>
      </c>
      <c r="BC72" s="432" t="n">
        <f aca="false">W72^2</f>
        <v>0</v>
      </c>
      <c r="BD72" s="432" t="n">
        <f aca="false">X72^2</f>
        <v>0</v>
      </c>
      <c r="BE72" s="432" t="n">
        <f aca="false">Y72^2</f>
        <v>0</v>
      </c>
      <c r="BF72" s="432" t="n">
        <f aca="false">Z72^2</f>
        <v>0</v>
      </c>
      <c r="BG72" s="432" t="n">
        <f aca="false">AA72^2</f>
        <v>0</v>
      </c>
      <c r="BH72" s="432" t="n">
        <f aca="false">AB72^2</f>
        <v>0</v>
      </c>
      <c r="BI72" s="432" t="n">
        <f aca="false">AC72^2</f>
        <v>0</v>
      </c>
      <c r="BJ72" s="432" t="n">
        <f aca="false">AD72^2</f>
        <v>1</v>
      </c>
      <c r="BK72" s="432" t="n">
        <f aca="false">AE72^2</f>
        <v>0</v>
      </c>
      <c r="BL72" s="432" t="n">
        <f aca="false">AF72^2</f>
        <v>0</v>
      </c>
      <c r="BM72" s="432" t="n">
        <f aca="false">AG72^2</f>
        <v>0</v>
      </c>
      <c r="BN72" s="432" t="n">
        <f aca="false">AH72^2</f>
        <v>0</v>
      </c>
      <c r="BO72" s="432" t="n">
        <f aca="false">AI72^2</f>
        <v>0</v>
      </c>
      <c r="BP72" s="432" t="n">
        <f aca="false">AJ72^2</f>
        <v>0</v>
      </c>
      <c r="BQ72" s="433" t="n">
        <f aca="false">-SIGN(AK72)*AK72^2</f>
        <v>0</v>
      </c>
    </row>
    <row r="73" customFormat="false" ht="12.75" hidden="false" customHeight="false" outlineLevel="0" collapsed="false">
      <c r="C73" s="354" t="s">
        <v>1026</v>
      </c>
      <c r="D73" s="290" t="n">
        <f aca="false">IF(F73="","",IF(H73="","",ROUND(F73-0.001*298.15*(H73-SUMPRODUCT(L73:AK73*AR$13:BQ$13)),3)))</f>
        <v>0</v>
      </c>
      <c r="E73" s="137" t="str">
        <f aca="false">IF(G73="","",IF(I73="","",ROUND(2*SQRT((0.5*G73)^2+(0.001*298.15)^2*((0.5*I73)^2+SUMPRODUCT(AR73:BQ73*AR$15:BQ$15))),3)))</f>
        <v/>
      </c>
      <c r="F73" s="300" t="s">
        <v>786</v>
      </c>
      <c r="G73" s="301"/>
      <c r="H73" s="300" t="s">
        <v>623</v>
      </c>
      <c r="I73" s="301" t="s">
        <v>734</v>
      </c>
      <c r="K73" s="342" t="s">
        <v>1026</v>
      </c>
      <c r="L73" s="434"/>
      <c r="M73" s="435"/>
      <c r="N73" s="435"/>
      <c r="O73" s="435"/>
      <c r="P73" s="436"/>
      <c r="Q73" s="436"/>
      <c r="R73" s="436"/>
      <c r="S73" s="436"/>
      <c r="T73" s="436"/>
      <c r="U73" s="436"/>
      <c r="V73" s="436" t="n">
        <v>1</v>
      </c>
      <c r="W73" s="436"/>
      <c r="X73" s="436"/>
      <c r="Y73" s="436"/>
      <c r="Z73" s="436"/>
      <c r="AA73" s="436"/>
      <c r="AB73" s="436"/>
      <c r="AC73" s="436"/>
      <c r="AD73" s="436"/>
      <c r="AE73" s="436"/>
      <c r="AF73" s="436"/>
      <c r="AG73" s="436"/>
      <c r="AH73" s="436"/>
      <c r="AI73" s="437"/>
      <c r="AJ73" s="436"/>
      <c r="AK73" s="438"/>
      <c r="AQ73" s="342" t="s">
        <v>1026</v>
      </c>
      <c r="AR73" s="439" t="n">
        <f aca="false">L73^2</f>
        <v>0</v>
      </c>
      <c r="AS73" s="440" t="n">
        <f aca="false">M73^2</f>
        <v>0</v>
      </c>
      <c r="AT73" s="440" t="n">
        <f aca="false">N73^2</f>
        <v>0</v>
      </c>
      <c r="AU73" s="440" t="n">
        <f aca="false">O73^2</f>
        <v>0</v>
      </c>
      <c r="AV73" s="440" t="n">
        <f aca="false">P73^2</f>
        <v>0</v>
      </c>
      <c r="AW73" s="440" t="n">
        <f aca="false">Q73^2</f>
        <v>0</v>
      </c>
      <c r="AX73" s="440" t="n">
        <f aca="false">R73^2</f>
        <v>0</v>
      </c>
      <c r="AY73" s="440" t="n">
        <f aca="false">S73^2</f>
        <v>0</v>
      </c>
      <c r="AZ73" s="440" t="n">
        <f aca="false">T73^2</f>
        <v>0</v>
      </c>
      <c r="BA73" s="440" t="n">
        <f aca="false">U73^2</f>
        <v>0</v>
      </c>
      <c r="BB73" s="440" t="n">
        <f aca="false">V73^2</f>
        <v>1</v>
      </c>
      <c r="BC73" s="440" t="n">
        <f aca="false">W73^2</f>
        <v>0</v>
      </c>
      <c r="BD73" s="440" t="n">
        <f aca="false">X73^2</f>
        <v>0</v>
      </c>
      <c r="BE73" s="440" t="n">
        <f aca="false">Y73^2</f>
        <v>0</v>
      </c>
      <c r="BF73" s="440" t="n">
        <f aca="false">Z73^2</f>
        <v>0</v>
      </c>
      <c r="BG73" s="440" t="n">
        <f aca="false">AA73^2</f>
        <v>0</v>
      </c>
      <c r="BH73" s="440" t="n">
        <f aca="false">AB73^2</f>
        <v>0</v>
      </c>
      <c r="BI73" s="440" t="n">
        <f aca="false">AC73^2</f>
        <v>0</v>
      </c>
      <c r="BJ73" s="440" t="n">
        <f aca="false">AD73^2</f>
        <v>0</v>
      </c>
      <c r="BK73" s="440" t="n">
        <f aca="false">AE73^2</f>
        <v>0</v>
      </c>
      <c r="BL73" s="440" t="n">
        <f aca="false">AF73^2</f>
        <v>0</v>
      </c>
      <c r="BM73" s="440" t="n">
        <f aca="false">AG73^2</f>
        <v>0</v>
      </c>
      <c r="BN73" s="440" t="n">
        <f aca="false">AH73^2</f>
        <v>0</v>
      </c>
      <c r="BO73" s="440" t="n">
        <f aca="false">AI73^2</f>
        <v>0</v>
      </c>
      <c r="BP73" s="440" t="n">
        <f aca="false">AJ73^2</f>
        <v>0</v>
      </c>
      <c r="BQ73" s="441" t="n">
        <f aca="false">-SIGN(AK73)*AK73^2</f>
        <v>-0</v>
      </c>
    </row>
    <row r="74" customFormat="false" ht="12.75" hidden="false" customHeight="false" outlineLevel="0" collapsed="false">
      <c r="C74" s="345" t="s">
        <v>1027</v>
      </c>
      <c r="D74" s="290" t="n">
        <f aca="false">IF(F74="","",IF(H74="","",ROUND(F74-0.001*298.15*(H74-SUMPRODUCT(L74:AK74*AR$13:BQ$13)),3)))</f>
        <v>-228.582</v>
      </c>
      <c r="E74" s="137" t="n">
        <f aca="false">IF(G74="","",IF(I74="","",ROUND(2*SQRT((0.5*G74)^2+(0.001*298.15)^2*((0.5*I74)^2+SUMPRODUCT(AR74:BQ74*AR$15:BQ$15))),3)))</f>
        <v>0.04</v>
      </c>
      <c r="F74" s="291" t="s">
        <v>1028</v>
      </c>
      <c r="G74" s="292" t="s">
        <v>789</v>
      </c>
      <c r="H74" s="291" t="s">
        <v>1029</v>
      </c>
      <c r="I74" s="292" t="s">
        <v>747</v>
      </c>
      <c r="K74" s="342" t="s">
        <v>1027</v>
      </c>
      <c r="L74" s="434"/>
      <c r="M74" s="435"/>
      <c r="N74" s="435"/>
      <c r="O74" s="435"/>
      <c r="P74" s="436"/>
      <c r="Q74" s="436"/>
      <c r="R74" s="436"/>
      <c r="S74" s="436"/>
      <c r="T74" s="436"/>
      <c r="U74" s="436"/>
      <c r="V74" s="436" t="n">
        <v>1</v>
      </c>
      <c r="W74" s="436"/>
      <c r="X74" s="436"/>
      <c r="Y74" s="436"/>
      <c r="Z74" s="436"/>
      <c r="AA74" s="436"/>
      <c r="AB74" s="436"/>
      <c r="AC74" s="436"/>
      <c r="AD74" s="436" t="n">
        <v>0.5</v>
      </c>
      <c r="AE74" s="436"/>
      <c r="AF74" s="436"/>
      <c r="AG74" s="436"/>
      <c r="AH74" s="436"/>
      <c r="AI74" s="437"/>
      <c r="AJ74" s="436"/>
      <c r="AK74" s="438"/>
      <c r="AQ74" s="342" t="s">
        <v>1027</v>
      </c>
      <c r="AR74" s="439" t="n">
        <f aca="false">L74^2</f>
        <v>0</v>
      </c>
      <c r="AS74" s="440" t="n">
        <f aca="false">M74^2</f>
        <v>0</v>
      </c>
      <c r="AT74" s="440" t="n">
        <f aca="false">N74^2</f>
        <v>0</v>
      </c>
      <c r="AU74" s="440" t="n">
        <f aca="false">O74^2</f>
        <v>0</v>
      </c>
      <c r="AV74" s="440" t="n">
        <f aca="false">P74^2</f>
        <v>0</v>
      </c>
      <c r="AW74" s="440" t="n">
        <f aca="false">Q74^2</f>
        <v>0</v>
      </c>
      <c r="AX74" s="440" t="n">
        <f aca="false">R74^2</f>
        <v>0</v>
      </c>
      <c r="AY74" s="440" t="n">
        <f aca="false">S74^2</f>
        <v>0</v>
      </c>
      <c r="AZ74" s="440" t="n">
        <f aca="false">T74^2</f>
        <v>0</v>
      </c>
      <c r="BA74" s="440" t="n">
        <f aca="false">U74^2</f>
        <v>0</v>
      </c>
      <c r="BB74" s="440" t="n">
        <f aca="false">V74^2</f>
        <v>1</v>
      </c>
      <c r="BC74" s="440" t="n">
        <f aca="false">W74^2</f>
        <v>0</v>
      </c>
      <c r="BD74" s="440" t="n">
        <f aca="false">X74^2</f>
        <v>0</v>
      </c>
      <c r="BE74" s="440" t="n">
        <f aca="false">Y74^2</f>
        <v>0</v>
      </c>
      <c r="BF74" s="440" t="n">
        <f aca="false">Z74^2</f>
        <v>0</v>
      </c>
      <c r="BG74" s="440" t="n">
        <f aca="false">AA74^2</f>
        <v>0</v>
      </c>
      <c r="BH74" s="440" t="n">
        <f aca="false">AB74^2</f>
        <v>0</v>
      </c>
      <c r="BI74" s="440" t="n">
        <f aca="false">AC74^2</f>
        <v>0</v>
      </c>
      <c r="BJ74" s="440" t="n">
        <f aca="false">AD74^2</f>
        <v>0.25</v>
      </c>
      <c r="BK74" s="440" t="n">
        <f aca="false">AE74^2</f>
        <v>0</v>
      </c>
      <c r="BL74" s="440" t="n">
        <f aca="false">AF74^2</f>
        <v>0</v>
      </c>
      <c r="BM74" s="440" t="n">
        <f aca="false">AG74^2</f>
        <v>0</v>
      </c>
      <c r="BN74" s="440" t="n">
        <f aca="false">AH74^2</f>
        <v>0</v>
      </c>
      <c r="BO74" s="440" t="n">
        <f aca="false">AI74^2</f>
        <v>0</v>
      </c>
      <c r="BP74" s="440" t="n">
        <f aca="false">AJ74^2</f>
        <v>0</v>
      </c>
      <c r="BQ74" s="441" t="n">
        <f aca="false">-SIGN(AK74)*AK74^2</f>
        <v>-0</v>
      </c>
    </row>
    <row r="75" customFormat="false" ht="13.5" hidden="false" customHeight="false" outlineLevel="0" collapsed="false">
      <c r="C75" s="375" t="s">
        <v>1031</v>
      </c>
      <c r="D75" s="305" t="n">
        <f aca="false">IF(F75="","",IF(H75="","",ROUND(F75-0.001*298.15*(H75-SUMPRODUCT(L75:AK75*AR$13:BQ$13)),3)))</f>
        <v>-394.373</v>
      </c>
      <c r="E75" s="145" t="n">
        <f aca="false">IF(G75="","",IF(I75="","",ROUND(2*SQRT((0.5*G75)^2+(0.001*298.15)^2*((0.5*I75)^2+SUMPRODUCT(AR75:BQ75*AR$15:BQ$15))),3)))</f>
        <v>0.133</v>
      </c>
      <c r="F75" s="306" t="s">
        <v>1032</v>
      </c>
      <c r="G75" s="307" t="s">
        <v>1033</v>
      </c>
      <c r="H75" s="306" t="s">
        <v>1034</v>
      </c>
      <c r="I75" s="307" t="s">
        <v>747</v>
      </c>
      <c r="K75" s="374" t="s">
        <v>1031</v>
      </c>
      <c r="L75" s="447"/>
      <c r="M75" s="448"/>
      <c r="N75" s="448"/>
      <c r="O75" s="448"/>
      <c r="P75" s="449" t="n">
        <v>1</v>
      </c>
      <c r="Q75" s="449"/>
      <c r="R75" s="449"/>
      <c r="S75" s="449"/>
      <c r="T75" s="449"/>
      <c r="U75" s="449"/>
      <c r="V75" s="449"/>
      <c r="W75" s="449"/>
      <c r="X75" s="449"/>
      <c r="Y75" s="449"/>
      <c r="Z75" s="449"/>
      <c r="AA75" s="449"/>
      <c r="AB75" s="449"/>
      <c r="AC75" s="449"/>
      <c r="AD75" s="449" t="n">
        <v>1</v>
      </c>
      <c r="AE75" s="449"/>
      <c r="AF75" s="449"/>
      <c r="AG75" s="449"/>
      <c r="AH75" s="449"/>
      <c r="AI75" s="450"/>
      <c r="AJ75" s="449"/>
      <c r="AK75" s="451"/>
      <c r="AQ75" s="374" t="s">
        <v>1031</v>
      </c>
      <c r="AR75" s="452" t="n">
        <f aca="false">L75^2</f>
        <v>0</v>
      </c>
      <c r="AS75" s="453" t="n">
        <f aca="false">M75^2</f>
        <v>0</v>
      </c>
      <c r="AT75" s="453" t="n">
        <f aca="false">N75^2</f>
        <v>0</v>
      </c>
      <c r="AU75" s="453" t="n">
        <f aca="false">O75^2</f>
        <v>0</v>
      </c>
      <c r="AV75" s="453" t="n">
        <f aca="false">P75^2</f>
        <v>1</v>
      </c>
      <c r="AW75" s="453" t="n">
        <f aca="false">Q75^2</f>
        <v>0</v>
      </c>
      <c r="AX75" s="453" t="n">
        <f aca="false">R75^2</f>
        <v>0</v>
      </c>
      <c r="AY75" s="453" t="n">
        <f aca="false">S75^2</f>
        <v>0</v>
      </c>
      <c r="AZ75" s="453" t="n">
        <f aca="false">T75^2</f>
        <v>0</v>
      </c>
      <c r="BA75" s="453" t="n">
        <f aca="false">U75^2</f>
        <v>0</v>
      </c>
      <c r="BB75" s="453" t="n">
        <f aca="false">V75^2</f>
        <v>0</v>
      </c>
      <c r="BC75" s="453" t="n">
        <f aca="false">W75^2</f>
        <v>0</v>
      </c>
      <c r="BD75" s="453" t="n">
        <f aca="false">X75^2</f>
        <v>0</v>
      </c>
      <c r="BE75" s="453" t="n">
        <f aca="false">Y75^2</f>
        <v>0</v>
      </c>
      <c r="BF75" s="453" t="n">
        <f aca="false">Z75^2</f>
        <v>0</v>
      </c>
      <c r="BG75" s="453" t="n">
        <f aca="false">AA75^2</f>
        <v>0</v>
      </c>
      <c r="BH75" s="453" t="n">
        <f aca="false">AB75^2</f>
        <v>0</v>
      </c>
      <c r="BI75" s="453" t="n">
        <f aca="false">AC75^2</f>
        <v>0</v>
      </c>
      <c r="BJ75" s="453" t="n">
        <f aca="false">AD75^2</f>
        <v>1</v>
      </c>
      <c r="BK75" s="453" t="n">
        <f aca="false">AE75^2</f>
        <v>0</v>
      </c>
      <c r="BL75" s="453" t="n">
        <f aca="false">AF75^2</f>
        <v>0</v>
      </c>
      <c r="BM75" s="453" t="n">
        <f aca="false">AG75^2</f>
        <v>0</v>
      </c>
      <c r="BN75" s="453" t="n">
        <f aca="false">AH75^2</f>
        <v>0</v>
      </c>
      <c r="BO75" s="453" t="n">
        <f aca="false">AI75^2</f>
        <v>0</v>
      </c>
      <c r="BP75" s="453" t="n">
        <f aca="false">AJ75^2</f>
        <v>0</v>
      </c>
      <c r="BQ75" s="454" t="n">
        <f aca="false">-SIGN(AK75)*AK75^2</f>
        <v>-0</v>
      </c>
    </row>
    <row r="76" customFormat="false" ht="12.75" hidden="false" customHeight="false" outlineLevel="0" collapsed="false">
      <c r="C76" s="112"/>
      <c r="D76" s="66"/>
      <c r="E76" s="66"/>
      <c r="F76" s="66"/>
      <c r="G76" s="66"/>
      <c r="H76" s="66"/>
      <c r="I76" s="66"/>
      <c r="K76" s="66"/>
      <c r="L76" s="66"/>
      <c r="M76" s="66"/>
      <c r="N76" s="66"/>
      <c r="O76" s="66"/>
      <c r="AQ76" s="66"/>
      <c r="AR76" s="66"/>
      <c r="AS76" s="66"/>
      <c r="AT76" s="66"/>
      <c r="AU76" s="66"/>
    </row>
    <row r="77" customFormat="false" ht="12.75" hidden="false" customHeight="false" outlineLevel="0" collapsed="false">
      <c r="C77" s="112"/>
      <c r="D77" s="66"/>
      <c r="E77" s="66"/>
      <c r="F77" s="66"/>
      <c r="G77" s="66"/>
      <c r="H77" s="66"/>
      <c r="I77" s="66"/>
      <c r="K77" s="66"/>
      <c r="L77" s="66"/>
      <c r="M77" s="66"/>
      <c r="N77" s="66"/>
      <c r="O77" s="66"/>
      <c r="AQ77" s="66"/>
      <c r="AR77" s="66"/>
      <c r="AS77" s="66"/>
      <c r="AT77" s="66"/>
      <c r="AU77" s="66"/>
    </row>
    <row r="78" customFormat="false" ht="14.25" hidden="false" customHeight="true" outlineLevel="0" collapsed="false">
      <c r="C78" s="112"/>
      <c r="D78" s="66"/>
      <c r="E78" s="66"/>
      <c r="F78" s="66"/>
      <c r="G78" s="66"/>
      <c r="H78" s="66"/>
      <c r="I78" s="66"/>
      <c r="K78" s="66"/>
      <c r="L78" s="66"/>
      <c r="M78" s="66"/>
      <c r="N78" s="66"/>
      <c r="O78" s="66"/>
      <c r="AQ78" s="66"/>
      <c r="AR78" s="66"/>
      <c r="AS78" s="66"/>
      <c r="AT78" s="66"/>
      <c r="AU78" s="66"/>
    </row>
    <row r="79" customFormat="false" ht="15" hidden="false" customHeight="false" outlineLevel="0" collapsed="false">
      <c r="B79" s="15"/>
      <c r="C79" s="15"/>
      <c r="D79" s="283" t="s">
        <v>779</v>
      </c>
      <c r="E79" s="284"/>
      <c r="F79" s="283" t="s">
        <v>780</v>
      </c>
      <c r="G79" s="284"/>
      <c r="H79" s="283" t="s">
        <v>781</v>
      </c>
      <c r="I79" s="284"/>
      <c r="K79" s="282"/>
      <c r="L79" s="282"/>
      <c r="M79" s="282"/>
      <c r="N79" s="282"/>
      <c r="O79" s="282"/>
      <c r="AQ79" s="282"/>
      <c r="AR79" s="282"/>
      <c r="AS79" s="282"/>
      <c r="AT79" s="282"/>
      <c r="AU79" s="282"/>
    </row>
    <row r="80" customFormat="false" ht="13.5" hidden="false" customHeight="false" outlineLevel="0" collapsed="false">
      <c r="B80" s="16"/>
      <c r="C80" s="16"/>
      <c r="D80" s="50"/>
      <c r="E80" s="50" t="s">
        <v>725</v>
      </c>
      <c r="F80" s="50"/>
      <c r="G80" s="50" t="s">
        <v>725</v>
      </c>
      <c r="H80" s="50"/>
      <c r="I80" s="50" t="s">
        <v>725</v>
      </c>
      <c r="K80" s="52"/>
      <c r="L80" s="52"/>
      <c r="M80" s="52"/>
      <c r="N80" s="52"/>
      <c r="O80" s="52"/>
      <c r="AQ80" s="52"/>
      <c r="AR80" s="52"/>
      <c r="AS80" s="52"/>
      <c r="AT80" s="52"/>
      <c r="AU80" s="52"/>
    </row>
    <row r="81" customFormat="false" ht="13.5" hidden="false" customHeight="false" outlineLevel="0" collapsed="false">
      <c r="B81" s="16" t="s">
        <v>1039</v>
      </c>
      <c r="C81" s="16" t="s">
        <v>1039</v>
      </c>
      <c r="D81" s="53" t="s">
        <v>726</v>
      </c>
      <c r="E81" s="53" t="s">
        <v>727</v>
      </c>
      <c r="F81" s="53" t="s">
        <v>726</v>
      </c>
      <c r="G81" s="53" t="s">
        <v>727</v>
      </c>
      <c r="H81" s="53" t="s">
        <v>726</v>
      </c>
      <c r="I81" s="53" t="s">
        <v>727</v>
      </c>
      <c r="K81" s="11"/>
      <c r="L81" s="412" t="s">
        <v>1193</v>
      </c>
      <c r="M81" s="413"/>
      <c r="N81" s="413"/>
      <c r="O81" s="413"/>
      <c r="P81" s="414"/>
      <c r="Q81" s="414"/>
      <c r="R81" s="414"/>
      <c r="S81" s="414"/>
      <c r="T81" s="414"/>
      <c r="U81" s="414"/>
      <c r="V81" s="414"/>
      <c r="W81" s="414"/>
      <c r="X81" s="414"/>
      <c r="Y81" s="414"/>
      <c r="Z81" s="414"/>
      <c r="AA81" s="414"/>
      <c r="AB81" s="414"/>
      <c r="AC81" s="414"/>
      <c r="AD81" s="414"/>
      <c r="AE81" s="414"/>
      <c r="AF81" s="414"/>
      <c r="AG81" s="414"/>
      <c r="AH81" s="414"/>
      <c r="AI81" s="414"/>
      <c r="AJ81" s="414"/>
      <c r="AK81" s="279"/>
      <c r="AQ81" s="11"/>
      <c r="AR81" s="412" t="s">
        <v>1193</v>
      </c>
      <c r="AS81" s="413"/>
      <c r="AT81" s="413"/>
      <c r="AU81" s="413"/>
      <c r="AV81" s="414"/>
      <c r="AW81" s="414"/>
      <c r="AX81" s="414"/>
      <c r="AY81" s="414"/>
      <c r="AZ81" s="414"/>
      <c r="BA81" s="414"/>
      <c r="BB81" s="414"/>
      <c r="BC81" s="414"/>
      <c r="BD81" s="414"/>
      <c r="BE81" s="414"/>
      <c r="BF81" s="414"/>
      <c r="BG81" s="414"/>
      <c r="BH81" s="414"/>
      <c r="BI81" s="414"/>
      <c r="BJ81" s="414"/>
      <c r="BK81" s="414"/>
      <c r="BL81" s="414"/>
      <c r="BM81" s="414"/>
      <c r="BN81" s="414"/>
      <c r="BO81" s="414"/>
      <c r="BP81" s="414"/>
      <c r="BQ81" s="279"/>
    </row>
    <row r="82" customFormat="false" ht="15" hidden="false" customHeight="false" outlineLevel="0" collapsed="false">
      <c r="B82" s="21" t="s">
        <v>1040</v>
      </c>
      <c r="C82" s="21" t="s">
        <v>783</v>
      </c>
      <c r="D82" s="55" t="s">
        <v>784</v>
      </c>
      <c r="E82" s="55" t="s">
        <v>784</v>
      </c>
      <c r="F82" s="55" t="s">
        <v>784</v>
      </c>
      <c r="G82" s="55" t="s">
        <v>784</v>
      </c>
      <c r="H82" s="55" t="s">
        <v>167</v>
      </c>
      <c r="I82" s="55" t="s">
        <v>167</v>
      </c>
      <c r="K82" s="415" t="s">
        <v>783</v>
      </c>
      <c r="L82" s="416" t="s">
        <v>32</v>
      </c>
      <c r="M82" s="417" t="s">
        <v>40</v>
      </c>
      <c r="N82" s="418" t="s">
        <v>41</v>
      </c>
      <c r="O82" s="418" t="s">
        <v>46</v>
      </c>
      <c r="P82" s="417" t="s">
        <v>48</v>
      </c>
      <c r="Q82" s="417" t="s">
        <v>49</v>
      </c>
      <c r="R82" s="418" t="s">
        <v>54</v>
      </c>
      <c r="S82" s="418" t="s">
        <v>59</v>
      </c>
      <c r="T82" s="418" t="s">
        <v>66</v>
      </c>
      <c r="U82" s="418" t="s">
        <v>68</v>
      </c>
      <c r="V82" s="418" t="s">
        <v>75</v>
      </c>
      <c r="W82" s="418" t="s">
        <v>82</v>
      </c>
      <c r="X82" s="418" t="s">
        <v>86</v>
      </c>
      <c r="Y82" s="418" t="s">
        <v>89</v>
      </c>
      <c r="Z82" s="417" t="s">
        <v>93</v>
      </c>
      <c r="AA82" s="418" t="s">
        <v>97</v>
      </c>
      <c r="AB82" s="418" t="s">
        <v>99</v>
      </c>
      <c r="AC82" s="417" t="s">
        <v>103</v>
      </c>
      <c r="AD82" s="418" t="s">
        <v>107</v>
      </c>
      <c r="AE82" s="417" t="s">
        <v>110</v>
      </c>
      <c r="AF82" s="418" t="s">
        <v>119</v>
      </c>
      <c r="AG82" s="418" t="s">
        <v>120</v>
      </c>
      <c r="AH82" s="418" t="s">
        <v>125</v>
      </c>
      <c r="AI82" s="417" t="s">
        <v>129</v>
      </c>
      <c r="AJ82" s="418" t="s">
        <v>132</v>
      </c>
      <c r="AK82" s="419" t="s">
        <v>1187</v>
      </c>
      <c r="AQ82" s="415" t="s">
        <v>783</v>
      </c>
      <c r="AR82" s="416" t="s">
        <v>32</v>
      </c>
      <c r="AS82" s="417" t="s">
        <v>40</v>
      </c>
      <c r="AT82" s="418" t="s">
        <v>41</v>
      </c>
      <c r="AU82" s="418" t="s">
        <v>46</v>
      </c>
      <c r="AV82" s="417" t="s">
        <v>48</v>
      </c>
      <c r="AW82" s="417" t="s">
        <v>49</v>
      </c>
      <c r="AX82" s="418" t="s">
        <v>54</v>
      </c>
      <c r="AY82" s="418" t="s">
        <v>59</v>
      </c>
      <c r="AZ82" s="418" t="s">
        <v>66</v>
      </c>
      <c r="BA82" s="418" t="s">
        <v>68</v>
      </c>
      <c r="BB82" s="418" t="s">
        <v>75</v>
      </c>
      <c r="BC82" s="418" t="s">
        <v>82</v>
      </c>
      <c r="BD82" s="418" t="s">
        <v>86</v>
      </c>
      <c r="BE82" s="418" t="s">
        <v>89</v>
      </c>
      <c r="BF82" s="417" t="s">
        <v>93</v>
      </c>
      <c r="BG82" s="418" t="s">
        <v>97</v>
      </c>
      <c r="BH82" s="418" t="s">
        <v>99</v>
      </c>
      <c r="BI82" s="417" t="s">
        <v>103</v>
      </c>
      <c r="BJ82" s="418" t="s">
        <v>107</v>
      </c>
      <c r="BK82" s="417" t="s">
        <v>110</v>
      </c>
      <c r="BL82" s="418" t="s">
        <v>119</v>
      </c>
      <c r="BM82" s="418" t="s">
        <v>120</v>
      </c>
      <c r="BN82" s="418" t="s">
        <v>125</v>
      </c>
      <c r="BO82" s="417" t="s">
        <v>129</v>
      </c>
      <c r="BP82" s="418" t="s">
        <v>132</v>
      </c>
      <c r="BQ82" s="419" t="s">
        <v>1187</v>
      </c>
    </row>
    <row r="83" customFormat="false" ht="12.75" hidden="false" customHeight="false" outlineLevel="0" collapsed="false">
      <c r="B83" s="335" t="s">
        <v>187</v>
      </c>
      <c r="C83" s="335" t="s">
        <v>187</v>
      </c>
      <c r="D83" s="285" t="n">
        <f aca="false">IF(F83="","",IF(H83="","",ROUND(F83-0.001*298.15*(H83-SUMPRODUCT(L83:AK83*AR$13:BQ$13)),3)))</f>
        <v>0</v>
      </c>
      <c r="E83" s="131" t="str">
        <f aca="false">IF(G83="","",IF(I83="","",ROUND(2*SQRT((0.5*G83)^2+(0.001*298.15)^2*((0.5*I83)^2+SUMPRODUCT(AR83:BQ83*AR$15:BQ$15))),3)))</f>
        <v/>
      </c>
      <c r="F83" s="336" t="s">
        <v>786</v>
      </c>
      <c r="G83" s="337"/>
      <c r="H83" s="336" t="s">
        <v>554</v>
      </c>
      <c r="I83" s="337" t="s">
        <v>761</v>
      </c>
      <c r="K83" s="335" t="s">
        <v>187</v>
      </c>
      <c r="L83" s="426"/>
      <c r="M83" s="427"/>
      <c r="N83" s="427"/>
      <c r="O83" s="427"/>
      <c r="P83" s="428"/>
      <c r="Q83" s="428"/>
      <c r="R83" s="428"/>
      <c r="S83" s="428"/>
      <c r="T83" s="428"/>
      <c r="U83" s="428"/>
      <c r="V83" s="428"/>
      <c r="W83" s="428"/>
      <c r="X83" s="428"/>
      <c r="Y83" s="428"/>
      <c r="Z83" s="428"/>
      <c r="AA83" s="428"/>
      <c r="AB83" s="428"/>
      <c r="AC83" s="428"/>
      <c r="AD83" s="428"/>
      <c r="AE83" s="428" t="n">
        <v>1</v>
      </c>
      <c r="AF83" s="428"/>
      <c r="AG83" s="428"/>
      <c r="AH83" s="428"/>
      <c r="AI83" s="429"/>
      <c r="AJ83" s="428"/>
      <c r="AK83" s="430"/>
      <c r="AQ83" s="335" t="s">
        <v>187</v>
      </c>
      <c r="AR83" s="431" t="n">
        <f aca="false">L83^2</f>
        <v>0</v>
      </c>
      <c r="AS83" s="432" t="n">
        <f aca="false">M83^2</f>
        <v>0</v>
      </c>
      <c r="AT83" s="432" t="n">
        <f aca="false">N83^2</f>
        <v>0</v>
      </c>
      <c r="AU83" s="432" t="n">
        <f aca="false">O83^2</f>
        <v>0</v>
      </c>
      <c r="AV83" s="432" t="n">
        <f aca="false">P83^2</f>
        <v>0</v>
      </c>
      <c r="AW83" s="432" t="n">
        <f aca="false">Q83^2</f>
        <v>0</v>
      </c>
      <c r="AX83" s="432" t="n">
        <f aca="false">R83^2</f>
        <v>0</v>
      </c>
      <c r="AY83" s="432" t="n">
        <f aca="false">S83^2</f>
        <v>0</v>
      </c>
      <c r="AZ83" s="432" t="n">
        <f aca="false">T83^2</f>
        <v>0</v>
      </c>
      <c r="BA83" s="432" t="n">
        <f aca="false">U83^2</f>
        <v>0</v>
      </c>
      <c r="BB83" s="432" t="n">
        <f aca="false">V83^2</f>
        <v>0</v>
      </c>
      <c r="BC83" s="432" t="n">
        <f aca="false">W83^2</f>
        <v>0</v>
      </c>
      <c r="BD83" s="432" t="n">
        <f aca="false">X83^2</f>
        <v>0</v>
      </c>
      <c r="BE83" s="432" t="n">
        <f aca="false">Y83^2</f>
        <v>0</v>
      </c>
      <c r="BF83" s="432" t="n">
        <f aca="false">Z83^2</f>
        <v>0</v>
      </c>
      <c r="BG83" s="432" t="n">
        <f aca="false">AA83^2</f>
        <v>0</v>
      </c>
      <c r="BH83" s="432" t="n">
        <f aca="false">AB83^2</f>
        <v>0</v>
      </c>
      <c r="BI83" s="432" t="n">
        <f aca="false">AC83^2</f>
        <v>0</v>
      </c>
      <c r="BJ83" s="432" t="n">
        <f aca="false">AD83^2</f>
        <v>0</v>
      </c>
      <c r="BK83" s="432" t="n">
        <f aca="false">AE83^2</f>
        <v>1</v>
      </c>
      <c r="BL83" s="432" t="n">
        <f aca="false">AF83^2</f>
        <v>0</v>
      </c>
      <c r="BM83" s="432" t="n">
        <f aca="false">AG83^2</f>
        <v>0</v>
      </c>
      <c r="BN83" s="432" t="n">
        <f aca="false">AH83^2</f>
        <v>0</v>
      </c>
      <c r="BO83" s="432" t="n">
        <f aca="false">AI83^2</f>
        <v>0</v>
      </c>
      <c r="BP83" s="432" t="n">
        <f aca="false">AJ83^2</f>
        <v>0</v>
      </c>
      <c r="BQ83" s="433" t="n">
        <f aca="false">-SIGN(AK83)*AK83^2</f>
        <v>0</v>
      </c>
    </row>
    <row r="84" customFormat="false" ht="12.75" hidden="false" customHeight="false" outlineLevel="0" collapsed="false">
      <c r="B84" s="342" t="s">
        <v>188</v>
      </c>
      <c r="C84" s="342" t="s">
        <v>188</v>
      </c>
      <c r="D84" s="290" t="str">
        <f aca="false">IF(F84="","",IF(H84="","",ROUND(F84-0.001*298.15*(H84-SUMPRODUCT(L84:AK84*AR$13:BQ$13)),3)))</f>
        <v/>
      </c>
      <c r="E84" s="137" t="str">
        <f aca="false">IF(G84="","",IF(I84="","",ROUND(2*SQRT((0.5*G84)^2+(0.001*298.15)^2*((0.5*I84)^2+SUMPRODUCT(AR84:BQ84*AR$15:BQ$15))),3)))</f>
        <v/>
      </c>
      <c r="F84" s="291"/>
      <c r="G84" s="292"/>
      <c r="H84" s="295"/>
      <c r="I84" s="297"/>
      <c r="K84" s="342" t="s">
        <v>188</v>
      </c>
      <c r="L84" s="434"/>
      <c r="M84" s="435"/>
      <c r="N84" s="435"/>
      <c r="O84" s="435"/>
      <c r="P84" s="436"/>
      <c r="Q84" s="436"/>
      <c r="R84" s="436"/>
      <c r="S84" s="436"/>
      <c r="T84" s="436"/>
      <c r="U84" s="436"/>
      <c r="V84" s="436"/>
      <c r="W84" s="436"/>
      <c r="X84" s="436"/>
      <c r="Y84" s="436"/>
      <c r="Z84" s="436"/>
      <c r="AA84" s="436"/>
      <c r="AB84" s="436"/>
      <c r="AC84" s="436"/>
      <c r="AD84" s="436"/>
      <c r="AE84" s="436" t="n">
        <v>1</v>
      </c>
      <c r="AF84" s="436"/>
      <c r="AG84" s="436"/>
      <c r="AH84" s="436"/>
      <c r="AI84" s="437"/>
      <c r="AJ84" s="436"/>
      <c r="AK84" s="438"/>
      <c r="AQ84" s="342" t="s">
        <v>188</v>
      </c>
      <c r="AR84" s="439" t="n">
        <f aca="false">L84^2</f>
        <v>0</v>
      </c>
      <c r="AS84" s="440" t="n">
        <f aca="false">M84^2</f>
        <v>0</v>
      </c>
      <c r="AT84" s="440" t="n">
        <f aca="false">N84^2</f>
        <v>0</v>
      </c>
      <c r="AU84" s="440" t="n">
        <f aca="false">O84^2</f>
        <v>0</v>
      </c>
      <c r="AV84" s="440" t="n">
        <f aca="false">P84^2</f>
        <v>0</v>
      </c>
      <c r="AW84" s="440" t="n">
        <f aca="false">Q84^2</f>
        <v>0</v>
      </c>
      <c r="AX84" s="440" t="n">
        <f aca="false">R84^2</f>
        <v>0</v>
      </c>
      <c r="AY84" s="440" t="n">
        <f aca="false">S84^2</f>
        <v>0</v>
      </c>
      <c r="AZ84" s="440" t="n">
        <f aca="false">T84^2</f>
        <v>0</v>
      </c>
      <c r="BA84" s="440" t="n">
        <f aca="false">U84^2</f>
        <v>0</v>
      </c>
      <c r="BB84" s="440" t="n">
        <f aca="false">V84^2</f>
        <v>0</v>
      </c>
      <c r="BC84" s="440" t="n">
        <f aca="false">W84^2</f>
        <v>0</v>
      </c>
      <c r="BD84" s="440" t="n">
        <f aca="false">X84^2</f>
        <v>0</v>
      </c>
      <c r="BE84" s="440" t="n">
        <f aca="false">Y84^2</f>
        <v>0</v>
      </c>
      <c r="BF84" s="440" t="n">
        <f aca="false">Z84^2</f>
        <v>0</v>
      </c>
      <c r="BG84" s="440" t="n">
        <f aca="false">AA84^2</f>
        <v>0</v>
      </c>
      <c r="BH84" s="440" t="n">
        <f aca="false">AB84^2</f>
        <v>0</v>
      </c>
      <c r="BI84" s="440" t="n">
        <f aca="false">AC84^2</f>
        <v>0</v>
      </c>
      <c r="BJ84" s="440" t="n">
        <f aca="false">AD84^2</f>
        <v>0</v>
      </c>
      <c r="BK84" s="440" t="n">
        <f aca="false">AE84^2</f>
        <v>1</v>
      </c>
      <c r="BL84" s="440" t="n">
        <f aca="false">AF84^2</f>
        <v>0</v>
      </c>
      <c r="BM84" s="440" t="n">
        <f aca="false">AG84^2</f>
        <v>0</v>
      </c>
      <c r="BN84" s="440" t="n">
        <f aca="false">AH84^2</f>
        <v>0</v>
      </c>
      <c r="BO84" s="440" t="n">
        <f aca="false">AI84^2</f>
        <v>0</v>
      </c>
      <c r="BP84" s="440" t="n">
        <f aca="false">AJ84^2</f>
        <v>0</v>
      </c>
      <c r="BQ84" s="441" t="n">
        <f aca="false">-SIGN(AK84)*AK84^2</f>
        <v>-0</v>
      </c>
    </row>
    <row r="85" customFormat="false" ht="12.75" hidden="false" customHeight="false" outlineLevel="0" collapsed="false">
      <c r="B85" s="345" t="s">
        <v>1041</v>
      </c>
      <c r="C85" s="345" t="s">
        <v>1041</v>
      </c>
      <c r="D85" s="290" t="str">
        <f aca="false">IF(F85="","",IF(H85="","",ROUND(F85-0.001*298.15*(H85-SUMPRODUCT(L85:AK85*AR$13:BQ$13)),3)))</f>
        <v/>
      </c>
      <c r="E85" s="137" t="str">
        <f aca="false">IF(G85="","",IF(I85="","",ROUND(2*SQRT((0.5*G85)^2+(0.001*298.15)^2*((0.5*I85)^2+SUMPRODUCT(AR85:BQ85*AR$15:BQ$15))),3)))</f>
        <v/>
      </c>
      <c r="F85" s="291"/>
      <c r="G85" s="292"/>
      <c r="H85" s="291"/>
      <c r="I85" s="292"/>
      <c r="K85" s="342" t="s">
        <v>1041</v>
      </c>
      <c r="L85" s="434"/>
      <c r="M85" s="435"/>
      <c r="N85" s="435"/>
      <c r="O85" s="435"/>
      <c r="P85" s="436"/>
      <c r="Q85" s="436"/>
      <c r="R85" s="436"/>
      <c r="S85" s="436"/>
      <c r="T85" s="436"/>
      <c r="U85" s="436"/>
      <c r="V85" s="436"/>
      <c r="W85" s="436"/>
      <c r="X85" s="436"/>
      <c r="Y85" s="436"/>
      <c r="Z85" s="436"/>
      <c r="AA85" s="436"/>
      <c r="AB85" s="436"/>
      <c r="AC85" s="436"/>
      <c r="AD85" s="436" t="n">
        <v>5</v>
      </c>
      <c r="AE85" s="436" t="n">
        <v>4</v>
      </c>
      <c r="AF85" s="436"/>
      <c r="AG85" s="436"/>
      <c r="AH85" s="436"/>
      <c r="AI85" s="437"/>
      <c r="AJ85" s="436"/>
      <c r="AK85" s="438"/>
      <c r="AQ85" s="342" t="s">
        <v>1041</v>
      </c>
      <c r="AR85" s="439" t="n">
        <f aca="false">L85^2</f>
        <v>0</v>
      </c>
      <c r="AS85" s="440" t="n">
        <f aca="false">M85^2</f>
        <v>0</v>
      </c>
      <c r="AT85" s="440" t="n">
        <f aca="false">N85^2</f>
        <v>0</v>
      </c>
      <c r="AU85" s="440" t="n">
        <f aca="false">O85^2</f>
        <v>0</v>
      </c>
      <c r="AV85" s="440" t="n">
        <f aca="false">P85^2</f>
        <v>0</v>
      </c>
      <c r="AW85" s="440" t="n">
        <f aca="false">Q85^2</f>
        <v>0</v>
      </c>
      <c r="AX85" s="440" t="n">
        <f aca="false">R85^2</f>
        <v>0</v>
      </c>
      <c r="AY85" s="440" t="n">
        <f aca="false">S85^2</f>
        <v>0</v>
      </c>
      <c r="AZ85" s="440" t="n">
        <f aca="false">T85^2</f>
        <v>0</v>
      </c>
      <c r="BA85" s="440" t="n">
        <f aca="false">U85^2</f>
        <v>0</v>
      </c>
      <c r="BB85" s="440" t="n">
        <f aca="false">V85^2</f>
        <v>0</v>
      </c>
      <c r="BC85" s="440" t="n">
        <f aca="false">W85^2</f>
        <v>0</v>
      </c>
      <c r="BD85" s="440" t="n">
        <f aca="false">X85^2</f>
        <v>0</v>
      </c>
      <c r="BE85" s="440" t="n">
        <f aca="false">Y85^2</f>
        <v>0</v>
      </c>
      <c r="BF85" s="440" t="n">
        <f aca="false">Z85^2</f>
        <v>0</v>
      </c>
      <c r="BG85" s="440" t="n">
        <f aca="false">AA85^2</f>
        <v>0</v>
      </c>
      <c r="BH85" s="440" t="n">
        <f aca="false">AB85^2</f>
        <v>0</v>
      </c>
      <c r="BI85" s="440" t="n">
        <f aca="false">AC85^2</f>
        <v>0</v>
      </c>
      <c r="BJ85" s="440" t="n">
        <f aca="false">AD85^2</f>
        <v>25</v>
      </c>
      <c r="BK85" s="440" t="n">
        <f aca="false">AE85^2</f>
        <v>16</v>
      </c>
      <c r="BL85" s="440" t="n">
        <f aca="false">AF85^2</f>
        <v>0</v>
      </c>
      <c r="BM85" s="440" t="n">
        <f aca="false">AG85^2</f>
        <v>0</v>
      </c>
      <c r="BN85" s="440" t="n">
        <f aca="false">AH85^2</f>
        <v>0</v>
      </c>
      <c r="BO85" s="440" t="n">
        <f aca="false">AI85^2</f>
        <v>0</v>
      </c>
      <c r="BP85" s="440" t="n">
        <f aca="false">AJ85^2</f>
        <v>0</v>
      </c>
      <c r="BQ85" s="441" t="n">
        <f aca="false">-SIGN(AK85)*AK85^2</f>
        <v>-0</v>
      </c>
    </row>
    <row r="86" customFormat="false" ht="12.75" hidden="false" customHeight="false" outlineLevel="0" collapsed="false">
      <c r="A86" s="10"/>
      <c r="B86" s="342" t="s">
        <v>1042</v>
      </c>
      <c r="C86" s="345" t="s">
        <v>1043</v>
      </c>
      <c r="D86" s="290" t="n">
        <f aca="false">IF(F86="","",IF(H86="","",ROUND(F86-0.001*298.15*(H86-SUMPRODUCT(L86:AK86*AR$13:BQ$13)),3)))</f>
        <v>-856.287</v>
      </c>
      <c r="E86" s="137" t="n">
        <f aca="false">IF(G86="","",IF(I86="","",ROUND(2*SQRT((0.5*G86)^2+(0.001*298.15)^2*((0.5*I86)^2+SUMPRODUCT(AR86:BQ86*AR$15:BQ$15))),3)))</f>
        <v>1.002</v>
      </c>
      <c r="F86" s="291" t="s">
        <v>1044</v>
      </c>
      <c r="G86" s="292" t="s">
        <v>896</v>
      </c>
      <c r="H86" s="291" t="s">
        <v>1045</v>
      </c>
      <c r="I86" s="292" t="s">
        <v>728</v>
      </c>
      <c r="J86" s="10"/>
      <c r="K86" s="342" t="s">
        <v>1043</v>
      </c>
      <c r="L86" s="434"/>
      <c r="M86" s="435"/>
      <c r="N86" s="435"/>
      <c r="O86" s="435"/>
      <c r="P86" s="436"/>
      <c r="Q86" s="436"/>
      <c r="R86" s="436"/>
      <c r="S86" s="436"/>
      <c r="T86" s="436"/>
      <c r="U86" s="436"/>
      <c r="V86" s="436"/>
      <c r="W86" s="436"/>
      <c r="X86" s="436"/>
      <c r="Y86" s="436"/>
      <c r="Z86" s="436"/>
      <c r="AA86" s="436"/>
      <c r="AB86" s="436"/>
      <c r="AC86" s="436"/>
      <c r="AD86" s="436" t="n">
        <v>1</v>
      </c>
      <c r="AE86" s="436"/>
      <c r="AF86" s="436"/>
      <c r="AG86" s="436"/>
      <c r="AH86" s="436"/>
      <c r="AI86" s="437" t="n">
        <v>1</v>
      </c>
      <c r="AJ86" s="436"/>
      <c r="AK86" s="438"/>
      <c r="AQ86" s="342" t="s">
        <v>1043</v>
      </c>
      <c r="AR86" s="439" t="n">
        <f aca="false">L86^2</f>
        <v>0</v>
      </c>
      <c r="AS86" s="440" t="n">
        <f aca="false">M86^2</f>
        <v>0</v>
      </c>
      <c r="AT86" s="440" t="n">
        <f aca="false">N86^2</f>
        <v>0</v>
      </c>
      <c r="AU86" s="440" t="n">
        <f aca="false">O86^2</f>
        <v>0</v>
      </c>
      <c r="AV86" s="440" t="n">
        <f aca="false">P86^2</f>
        <v>0</v>
      </c>
      <c r="AW86" s="440" t="n">
        <f aca="false">Q86^2</f>
        <v>0</v>
      </c>
      <c r="AX86" s="440" t="n">
        <f aca="false">R86^2</f>
        <v>0</v>
      </c>
      <c r="AY86" s="440" t="n">
        <f aca="false">S86^2</f>
        <v>0</v>
      </c>
      <c r="AZ86" s="440" t="n">
        <f aca="false">T86^2</f>
        <v>0</v>
      </c>
      <c r="BA86" s="440" t="n">
        <f aca="false">U86^2</f>
        <v>0</v>
      </c>
      <c r="BB86" s="440" t="n">
        <f aca="false">V86^2</f>
        <v>0</v>
      </c>
      <c r="BC86" s="440" t="n">
        <f aca="false">W86^2</f>
        <v>0</v>
      </c>
      <c r="BD86" s="440" t="n">
        <f aca="false">X86^2</f>
        <v>0</v>
      </c>
      <c r="BE86" s="440" t="n">
        <f aca="false">Y86^2</f>
        <v>0</v>
      </c>
      <c r="BF86" s="440" t="n">
        <f aca="false">Z86^2</f>
        <v>0</v>
      </c>
      <c r="BG86" s="440" t="n">
        <f aca="false">AA86^2</f>
        <v>0</v>
      </c>
      <c r="BH86" s="440" t="n">
        <f aca="false">AB86^2</f>
        <v>0</v>
      </c>
      <c r="BI86" s="440" t="n">
        <f aca="false">AC86^2</f>
        <v>0</v>
      </c>
      <c r="BJ86" s="440" t="n">
        <f aca="false">AD86^2</f>
        <v>1</v>
      </c>
      <c r="BK86" s="440" t="n">
        <f aca="false">AE86^2</f>
        <v>0</v>
      </c>
      <c r="BL86" s="440" t="n">
        <f aca="false">AF86^2</f>
        <v>0</v>
      </c>
      <c r="BM86" s="440" t="n">
        <f aca="false">AG86^2</f>
        <v>0</v>
      </c>
      <c r="BN86" s="440" t="n">
        <f aca="false">AH86^2</f>
        <v>0</v>
      </c>
      <c r="BO86" s="440" t="n">
        <f aca="false">AI86^2</f>
        <v>1</v>
      </c>
      <c r="BP86" s="440" t="n">
        <f aca="false">AJ86^2</f>
        <v>0</v>
      </c>
      <c r="BQ86" s="441" t="n">
        <f aca="false">-SIGN(AK86)*AK86^2</f>
        <v>-0</v>
      </c>
    </row>
    <row r="87" customFormat="false" ht="12.75" hidden="false" customHeight="false" outlineLevel="0" collapsed="false">
      <c r="A87" s="10"/>
      <c r="B87" s="345" t="s">
        <v>1050</v>
      </c>
      <c r="C87" s="345" t="s">
        <v>1050</v>
      </c>
      <c r="D87" s="290" t="n">
        <f aca="false">IF(F87="","",IF(H87="","",ROUND(F87-0.001*298.15*(H87-SUMPRODUCT(L87:AK87*AR$13:BQ$13)),3)))</f>
        <v>-1194.324</v>
      </c>
      <c r="E87" s="137" t="n">
        <f aca="false">IF(G87="","",IF(I87="","",ROUND(2*SQRT((0.5*G87)^2+(0.001*298.15)^2*((0.5*I87)^2+SUMPRODUCT(AR87:BQ87*AR$15:BQ$15))),3)))</f>
        <v>1.404</v>
      </c>
      <c r="F87" s="291" t="s">
        <v>1051</v>
      </c>
      <c r="G87" s="292" t="s">
        <v>1052</v>
      </c>
      <c r="H87" s="291" t="s">
        <v>1053</v>
      </c>
      <c r="I87" s="292" t="s">
        <v>740</v>
      </c>
      <c r="J87" s="10"/>
      <c r="K87" s="342" t="s">
        <v>1050</v>
      </c>
      <c r="L87" s="434"/>
      <c r="M87" s="435" t="n">
        <v>2</v>
      </c>
      <c r="N87" s="435"/>
      <c r="O87" s="435"/>
      <c r="P87" s="436"/>
      <c r="Q87" s="436"/>
      <c r="R87" s="436"/>
      <c r="S87" s="436"/>
      <c r="T87" s="436"/>
      <c r="U87" s="436"/>
      <c r="V87" s="436"/>
      <c r="W87" s="436"/>
      <c r="X87" s="436"/>
      <c r="Y87" s="436"/>
      <c r="Z87" s="436"/>
      <c r="AA87" s="436"/>
      <c r="AB87" s="436"/>
      <c r="AC87" s="436"/>
      <c r="AD87" s="436" t="n">
        <v>1.5</v>
      </c>
      <c r="AE87" s="436"/>
      <c r="AF87" s="436"/>
      <c r="AG87" s="436"/>
      <c r="AH87" s="436"/>
      <c r="AI87" s="437"/>
      <c r="AJ87" s="436"/>
      <c r="AK87" s="438"/>
      <c r="AQ87" s="342" t="s">
        <v>1050</v>
      </c>
      <c r="AR87" s="439" t="n">
        <f aca="false">L87^2</f>
        <v>0</v>
      </c>
      <c r="AS87" s="440" t="n">
        <f aca="false">M87^2</f>
        <v>4</v>
      </c>
      <c r="AT87" s="440" t="n">
        <f aca="false">N87^2</f>
        <v>0</v>
      </c>
      <c r="AU87" s="440" t="n">
        <f aca="false">O87^2</f>
        <v>0</v>
      </c>
      <c r="AV87" s="440" t="n">
        <f aca="false">P87^2</f>
        <v>0</v>
      </c>
      <c r="AW87" s="440" t="n">
        <f aca="false">Q87^2</f>
        <v>0</v>
      </c>
      <c r="AX87" s="440" t="n">
        <f aca="false">R87^2</f>
        <v>0</v>
      </c>
      <c r="AY87" s="440" t="n">
        <f aca="false">S87^2</f>
        <v>0</v>
      </c>
      <c r="AZ87" s="440" t="n">
        <f aca="false">T87^2</f>
        <v>0</v>
      </c>
      <c r="BA87" s="440" t="n">
        <f aca="false">U87^2</f>
        <v>0</v>
      </c>
      <c r="BB87" s="440" t="n">
        <f aca="false">V87^2</f>
        <v>0</v>
      </c>
      <c r="BC87" s="440" t="n">
        <f aca="false">W87^2</f>
        <v>0</v>
      </c>
      <c r="BD87" s="440" t="n">
        <f aca="false">X87^2</f>
        <v>0</v>
      </c>
      <c r="BE87" s="440" t="n">
        <f aca="false">Y87^2</f>
        <v>0</v>
      </c>
      <c r="BF87" s="440" t="n">
        <f aca="false">Z87^2</f>
        <v>0</v>
      </c>
      <c r="BG87" s="440" t="n">
        <f aca="false">AA87^2</f>
        <v>0</v>
      </c>
      <c r="BH87" s="440" t="n">
        <f aca="false">AB87^2</f>
        <v>0</v>
      </c>
      <c r="BI87" s="440" t="n">
        <f aca="false">AC87^2</f>
        <v>0</v>
      </c>
      <c r="BJ87" s="440" t="n">
        <f aca="false">AD87^2</f>
        <v>2.25</v>
      </c>
      <c r="BK87" s="440" t="n">
        <f aca="false">AE87^2</f>
        <v>0</v>
      </c>
      <c r="BL87" s="440" t="n">
        <f aca="false">AF87^2</f>
        <v>0</v>
      </c>
      <c r="BM87" s="440" t="n">
        <f aca="false">AG87^2</f>
        <v>0</v>
      </c>
      <c r="BN87" s="440" t="n">
        <f aca="false">AH87^2</f>
        <v>0</v>
      </c>
      <c r="BO87" s="440" t="n">
        <f aca="false">AI87^2</f>
        <v>0</v>
      </c>
      <c r="BP87" s="440" t="n">
        <f aca="false">AJ87^2</f>
        <v>0</v>
      </c>
      <c r="BQ87" s="441" t="n">
        <f aca="false">-SIGN(AK87)*AK87^2</f>
        <v>-0</v>
      </c>
    </row>
    <row r="88" customFormat="false" ht="12.75" hidden="false" customHeight="false" outlineLevel="0" collapsed="false">
      <c r="A88" s="10"/>
      <c r="B88" s="345" t="s">
        <v>1058</v>
      </c>
      <c r="C88" s="345" t="s">
        <v>1059</v>
      </c>
      <c r="D88" s="290" t="n">
        <f aca="false">IF(F88="","",IF(H88="","",ROUND(F88-0.001*298.15*(H88-SUMPRODUCT(L88:AK88*AR$13:BQ$13)),3)))</f>
        <v>-969.667</v>
      </c>
      <c r="E88" s="137" t="n">
        <f aca="false">IF(G88="","",IF(I88="","",ROUND(2*SQRT((0.5*G88)^2+(0.001*298.15)^2*((0.5*I88)^2+SUMPRODUCT(AR88:BQ88*AR$15:BQ$15))),3)))</f>
        <v>0.82</v>
      </c>
      <c r="F88" s="291" t="s">
        <v>1060</v>
      </c>
      <c r="G88" s="292" t="s">
        <v>806</v>
      </c>
      <c r="H88" s="291" t="s">
        <v>1061</v>
      </c>
      <c r="I88" s="292" t="s">
        <v>1062</v>
      </c>
      <c r="J88" s="10"/>
      <c r="K88" s="342" t="s">
        <v>1059</v>
      </c>
      <c r="L88" s="434"/>
      <c r="M88" s="435" t="n">
        <v>1</v>
      </c>
      <c r="N88" s="435"/>
      <c r="O88" s="435"/>
      <c r="P88" s="436"/>
      <c r="Q88" s="436"/>
      <c r="R88" s="436"/>
      <c r="S88" s="436"/>
      <c r="T88" s="436"/>
      <c r="U88" s="436"/>
      <c r="V88" s="436" t="n">
        <v>1.5</v>
      </c>
      <c r="W88" s="436"/>
      <c r="X88" s="436"/>
      <c r="Y88" s="436"/>
      <c r="Z88" s="436"/>
      <c r="AA88" s="436"/>
      <c r="AB88" s="436"/>
      <c r="AC88" s="436"/>
      <c r="AD88" s="436" t="n">
        <v>1.5</v>
      </c>
      <c r="AE88" s="436"/>
      <c r="AF88" s="436"/>
      <c r="AG88" s="436"/>
      <c r="AH88" s="436"/>
      <c r="AI88" s="437"/>
      <c r="AJ88" s="436"/>
      <c r="AK88" s="438"/>
      <c r="AQ88" s="342" t="s">
        <v>1059</v>
      </c>
      <c r="AR88" s="439" t="n">
        <f aca="false">L88^2</f>
        <v>0</v>
      </c>
      <c r="AS88" s="440" t="n">
        <f aca="false">M88^2</f>
        <v>1</v>
      </c>
      <c r="AT88" s="440" t="n">
        <f aca="false">N88^2</f>
        <v>0</v>
      </c>
      <c r="AU88" s="440" t="n">
        <f aca="false">O88^2</f>
        <v>0</v>
      </c>
      <c r="AV88" s="440" t="n">
        <f aca="false">P88^2</f>
        <v>0</v>
      </c>
      <c r="AW88" s="440" t="n">
        <f aca="false">Q88^2</f>
        <v>0</v>
      </c>
      <c r="AX88" s="440" t="n">
        <f aca="false">R88^2</f>
        <v>0</v>
      </c>
      <c r="AY88" s="440" t="n">
        <f aca="false">S88^2</f>
        <v>0</v>
      </c>
      <c r="AZ88" s="440" t="n">
        <f aca="false">T88^2</f>
        <v>0</v>
      </c>
      <c r="BA88" s="440" t="n">
        <f aca="false">U88^2</f>
        <v>0</v>
      </c>
      <c r="BB88" s="440" t="n">
        <f aca="false">V88^2</f>
        <v>2.25</v>
      </c>
      <c r="BC88" s="440" t="n">
        <f aca="false">W88^2</f>
        <v>0</v>
      </c>
      <c r="BD88" s="440" t="n">
        <f aca="false">X88^2</f>
        <v>0</v>
      </c>
      <c r="BE88" s="440" t="n">
        <f aca="false">Y88^2</f>
        <v>0</v>
      </c>
      <c r="BF88" s="440" t="n">
        <f aca="false">Z88^2</f>
        <v>0</v>
      </c>
      <c r="BG88" s="440" t="n">
        <f aca="false">AA88^2</f>
        <v>0</v>
      </c>
      <c r="BH88" s="440" t="n">
        <f aca="false">AB88^2</f>
        <v>0</v>
      </c>
      <c r="BI88" s="440" t="n">
        <f aca="false">AC88^2</f>
        <v>0</v>
      </c>
      <c r="BJ88" s="440" t="n">
        <f aca="false">AD88^2</f>
        <v>2.25</v>
      </c>
      <c r="BK88" s="440" t="n">
        <f aca="false">AE88^2</f>
        <v>0</v>
      </c>
      <c r="BL88" s="440" t="n">
        <f aca="false">AF88^2</f>
        <v>0</v>
      </c>
      <c r="BM88" s="440" t="n">
        <f aca="false">AG88^2</f>
        <v>0</v>
      </c>
      <c r="BN88" s="440" t="n">
        <f aca="false">AH88^2</f>
        <v>0</v>
      </c>
      <c r="BO88" s="440" t="n">
        <f aca="false">AI88^2</f>
        <v>0</v>
      </c>
      <c r="BP88" s="440" t="n">
        <f aca="false">AJ88^2</f>
        <v>0</v>
      </c>
      <c r="BQ88" s="441" t="n">
        <f aca="false">-SIGN(AK88)*AK88^2</f>
        <v>-0</v>
      </c>
    </row>
    <row r="89" customFormat="false" ht="12.75" hidden="false" customHeight="false" outlineLevel="0" collapsed="false">
      <c r="B89" s="342" t="s">
        <v>1066</v>
      </c>
      <c r="C89" s="345" t="s">
        <v>1067</v>
      </c>
      <c r="D89" s="290" t="n">
        <f aca="false">IF(F89="","",IF(H89="","",ROUND(F89-0.001*298.15*(H89-SUMPRODUCT(L89:AK89*AR$13:BQ$13)),3)))</f>
        <v>-1582.257</v>
      </c>
      <c r="E89" s="137" t="n">
        <f aca="false">IF(G89="","",IF(I89="","",ROUND(2*SQRT((0.5*G89)^2+(0.001*298.15)^2*((0.5*I89)^2+SUMPRODUCT(AR89:BQ89*AR$15:BQ$15))),3)))</f>
        <v>1.302</v>
      </c>
      <c r="F89" s="291" t="s">
        <v>1068</v>
      </c>
      <c r="G89" s="292" t="s">
        <v>265</v>
      </c>
      <c r="H89" s="291" t="s">
        <v>1069</v>
      </c>
      <c r="I89" s="292" t="s">
        <v>730</v>
      </c>
      <c r="J89" s="10"/>
      <c r="K89" s="342" t="s">
        <v>1067</v>
      </c>
      <c r="L89" s="434" t="n">
        <v>2</v>
      </c>
      <c r="M89" s="435"/>
      <c r="N89" s="435"/>
      <c r="O89" s="435"/>
      <c r="P89" s="436"/>
      <c r="Q89" s="436"/>
      <c r="R89" s="436"/>
      <c r="S89" s="436"/>
      <c r="T89" s="436"/>
      <c r="U89" s="436"/>
      <c r="V89" s="436"/>
      <c r="W89" s="436"/>
      <c r="X89" s="436"/>
      <c r="Y89" s="436"/>
      <c r="Z89" s="436"/>
      <c r="AA89" s="436"/>
      <c r="AB89" s="436"/>
      <c r="AC89" s="436"/>
      <c r="AD89" s="436" t="n">
        <v>1.5</v>
      </c>
      <c r="AE89" s="436"/>
      <c r="AF89" s="436"/>
      <c r="AG89" s="436"/>
      <c r="AH89" s="436"/>
      <c r="AI89" s="437"/>
      <c r="AJ89" s="436"/>
      <c r="AK89" s="438"/>
      <c r="AQ89" s="342" t="s">
        <v>1067</v>
      </c>
      <c r="AR89" s="439" t="n">
        <f aca="false">L89^2</f>
        <v>4</v>
      </c>
      <c r="AS89" s="440" t="n">
        <f aca="false">M89^2</f>
        <v>0</v>
      </c>
      <c r="AT89" s="440" t="n">
        <f aca="false">N89^2</f>
        <v>0</v>
      </c>
      <c r="AU89" s="440" t="n">
        <f aca="false">O89^2</f>
        <v>0</v>
      </c>
      <c r="AV89" s="440" t="n">
        <f aca="false">P89^2</f>
        <v>0</v>
      </c>
      <c r="AW89" s="440" t="n">
        <f aca="false">Q89^2</f>
        <v>0</v>
      </c>
      <c r="AX89" s="440" t="n">
        <f aca="false">R89^2</f>
        <v>0</v>
      </c>
      <c r="AY89" s="440" t="n">
        <f aca="false">S89^2</f>
        <v>0</v>
      </c>
      <c r="AZ89" s="440" t="n">
        <f aca="false">T89^2</f>
        <v>0</v>
      </c>
      <c r="BA89" s="440" t="n">
        <f aca="false">U89^2</f>
        <v>0</v>
      </c>
      <c r="BB89" s="440" t="n">
        <f aca="false">V89^2</f>
        <v>0</v>
      </c>
      <c r="BC89" s="440" t="n">
        <f aca="false">W89^2</f>
        <v>0</v>
      </c>
      <c r="BD89" s="440" t="n">
        <f aca="false">X89^2</f>
        <v>0</v>
      </c>
      <c r="BE89" s="440" t="n">
        <f aca="false">Y89^2</f>
        <v>0</v>
      </c>
      <c r="BF89" s="440" t="n">
        <f aca="false">Z89^2</f>
        <v>0</v>
      </c>
      <c r="BG89" s="440" t="n">
        <f aca="false">AA89^2</f>
        <v>0</v>
      </c>
      <c r="BH89" s="440" t="n">
        <f aca="false">AB89^2</f>
        <v>0</v>
      </c>
      <c r="BI89" s="440" t="n">
        <f aca="false">AC89^2</f>
        <v>0</v>
      </c>
      <c r="BJ89" s="440" t="n">
        <f aca="false">AD89^2</f>
        <v>2.25</v>
      </c>
      <c r="BK89" s="440" t="n">
        <f aca="false">AE89^2</f>
        <v>0</v>
      </c>
      <c r="BL89" s="440" t="n">
        <f aca="false">AF89^2</f>
        <v>0</v>
      </c>
      <c r="BM89" s="440" t="n">
        <f aca="false">AG89^2</f>
        <v>0</v>
      </c>
      <c r="BN89" s="440" t="n">
        <f aca="false">AH89^2</f>
        <v>0</v>
      </c>
      <c r="BO89" s="440" t="n">
        <f aca="false">AI89^2</f>
        <v>0</v>
      </c>
      <c r="BP89" s="440" t="n">
        <f aca="false">AJ89^2</f>
        <v>0</v>
      </c>
      <c r="BQ89" s="441" t="n">
        <f aca="false">-SIGN(AK89)*AK89^2</f>
        <v>-0</v>
      </c>
    </row>
    <row r="90" customFormat="false" ht="12.75" hidden="false" customHeight="false" outlineLevel="0" collapsed="false">
      <c r="B90" s="342" t="s">
        <v>1075</v>
      </c>
      <c r="C90" s="345" t="s">
        <v>1076</v>
      </c>
      <c r="D90" s="290" t="n">
        <f aca="false">IF(F90="","",IF(H90="","",ROUND(F90-0.001*298.15*(H90-SUMPRODUCT(L90:AK90*AR$13:BQ$13)),3)))</f>
        <v>-1155.075</v>
      </c>
      <c r="E90" s="137" t="n">
        <f aca="false">IF(G90="","",IF(I90="","",ROUND(2*SQRT((0.5*G90)^2+(0.001*298.15)^2*((0.5*I90)^2+SUMPRODUCT(AR90:BQ90*AR$15:BQ$15))),3)))</f>
        <v>1.002</v>
      </c>
      <c r="F90" s="141" t="s">
        <v>1077</v>
      </c>
      <c r="G90" s="64" t="s">
        <v>896</v>
      </c>
      <c r="H90" s="141" t="s">
        <v>1078</v>
      </c>
      <c r="I90" s="64" t="s">
        <v>1079</v>
      </c>
      <c r="J90" s="10"/>
      <c r="K90" s="342" t="s">
        <v>1076</v>
      </c>
      <c r="L90" s="434" t="n">
        <v>1</v>
      </c>
      <c r="M90" s="435"/>
      <c r="N90" s="435"/>
      <c r="O90" s="435"/>
      <c r="P90" s="436"/>
      <c r="Q90" s="436"/>
      <c r="R90" s="436"/>
      <c r="S90" s="436"/>
      <c r="T90" s="436"/>
      <c r="U90" s="436"/>
      <c r="V90" s="436" t="n">
        <v>1.5</v>
      </c>
      <c r="W90" s="436"/>
      <c r="X90" s="436"/>
      <c r="Y90" s="436"/>
      <c r="Z90" s="436"/>
      <c r="AA90" s="436"/>
      <c r="AB90" s="436"/>
      <c r="AC90" s="436"/>
      <c r="AD90" s="436" t="n">
        <v>1.5</v>
      </c>
      <c r="AE90" s="436"/>
      <c r="AF90" s="436"/>
      <c r="AG90" s="436"/>
      <c r="AH90" s="436"/>
      <c r="AI90" s="437"/>
      <c r="AJ90" s="436"/>
      <c r="AK90" s="438"/>
      <c r="AQ90" s="342" t="s">
        <v>1076</v>
      </c>
      <c r="AR90" s="439" t="n">
        <f aca="false">L90^2</f>
        <v>1</v>
      </c>
      <c r="AS90" s="440" t="n">
        <f aca="false">M90^2</f>
        <v>0</v>
      </c>
      <c r="AT90" s="440" t="n">
        <f aca="false">N90^2</f>
        <v>0</v>
      </c>
      <c r="AU90" s="440" t="n">
        <f aca="false">O90^2</f>
        <v>0</v>
      </c>
      <c r="AV90" s="440" t="n">
        <f aca="false">P90^2</f>
        <v>0</v>
      </c>
      <c r="AW90" s="440" t="n">
        <f aca="false">Q90^2</f>
        <v>0</v>
      </c>
      <c r="AX90" s="440" t="n">
        <f aca="false">R90^2</f>
        <v>0</v>
      </c>
      <c r="AY90" s="440" t="n">
        <f aca="false">S90^2</f>
        <v>0</v>
      </c>
      <c r="AZ90" s="440" t="n">
        <f aca="false">T90^2</f>
        <v>0</v>
      </c>
      <c r="BA90" s="440" t="n">
        <f aca="false">U90^2</f>
        <v>0</v>
      </c>
      <c r="BB90" s="440" t="n">
        <f aca="false">V90^2</f>
        <v>2.25</v>
      </c>
      <c r="BC90" s="440" t="n">
        <f aca="false">W90^2</f>
        <v>0</v>
      </c>
      <c r="BD90" s="440" t="n">
        <f aca="false">X90^2</f>
        <v>0</v>
      </c>
      <c r="BE90" s="440" t="n">
        <f aca="false">Y90^2</f>
        <v>0</v>
      </c>
      <c r="BF90" s="440" t="n">
        <f aca="false">Z90^2</f>
        <v>0</v>
      </c>
      <c r="BG90" s="440" t="n">
        <f aca="false">AA90^2</f>
        <v>0</v>
      </c>
      <c r="BH90" s="440" t="n">
        <f aca="false">AB90^2</f>
        <v>0</v>
      </c>
      <c r="BI90" s="440" t="n">
        <f aca="false">AC90^2</f>
        <v>0</v>
      </c>
      <c r="BJ90" s="440" t="n">
        <f aca="false">AD90^2</f>
        <v>2.25</v>
      </c>
      <c r="BK90" s="440" t="n">
        <f aca="false">AE90^2</f>
        <v>0</v>
      </c>
      <c r="BL90" s="440" t="n">
        <f aca="false">AF90^2</f>
        <v>0</v>
      </c>
      <c r="BM90" s="440" t="n">
        <f aca="false">AG90^2</f>
        <v>0</v>
      </c>
      <c r="BN90" s="440" t="n">
        <f aca="false">AH90^2</f>
        <v>0</v>
      </c>
      <c r="BO90" s="440" t="n">
        <f aca="false">AI90^2</f>
        <v>0</v>
      </c>
      <c r="BP90" s="440" t="n">
        <f aca="false">AJ90^2</f>
        <v>0</v>
      </c>
      <c r="BQ90" s="441" t="n">
        <f aca="false">-SIGN(AK90)*AK90^2</f>
        <v>-0</v>
      </c>
    </row>
    <row r="91" customFormat="false" ht="12.75" hidden="false" customHeight="false" outlineLevel="0" collapsed="false">
      <c r="B91" s="342" t="s">
        <v>1080</v>
      </c>
      <c r="C91" s="345" t="s">
        <v>1080</v>
      </c>
      <c r="D91" s="290" t="n">
        <f aca="false">IF(F91="","",IF(H91="","",ROUND(F91-0.001*298.15*(H91-SUMPRODUCT(L91:AK91*AR$13:BQ$13)),3)))</f>
        <v>-2262.465</v>
      </c>
      <c r="E91" s="137" t="n">
        <f aca="false">IF(G91="","",IF(I91="","",ROUND(2*SQRT((0.5*G91)^2+(0.001*298.15)^2*((0.5*I91)^2+SUMPRODUCT(AR91:BQ91*AR$15:BQ$15))),3)))</f>
        <v>1.675</v>
      </c>
      <c r="F91" s="141" t="s">
        <v>1081</v>
      </c>
      <c r="G91" s="64" t="s">
        <v>842</v>
      </c>
      <c r="H91" s="141" t="s">
        <v>1082</v>
      </c>
      <c r="I91" s="64" t="s">
        <v>1083</v>
      </c>
      <c r="J91" s="133"/>
      <c r="K91" s="342" t="s">
        <v>1080</v>
      </c>
      <c r="L91" s="434" t="n">
        <v>1</v>
      </c>
      <c r="M91" s="435"/>
      <c r="N91" s="435"/>
      <c r="O91" s="435"/>
      <c r="P91" s="436"/>
      <c r="Q91" s="436"/>
      <c r="R91" s="436" t="n">
        <v>1.5</v>
      </c>
      <c r="S91" s="436"/>
      <c r="T91" s="436"/>
      <c r="U91" s="436"/>
      <c r="V91" s="436" t="n">
        <v>6</v>
      </c>
      <c r="W91" s="436"/>
      <c r="X91" s="436"/>
      <c r="Y91" s="436"/>
      <c r="Z91" s="436"/>
      <c r="AA91" s="436"/>
      <c r="AB91" s="436"/>
      <c r="AC91" s="436"/>
      <c r="AD91" s="436" t="n">
        <v>3</v>
      </c>
      <c r="AE91" s="436"/>
      <c r="AF91" s="436"/>
      <c r="AG91" s="436"/>
      <c r="AH91" s="436"/>
      <c r="AI91" s="437"/>
      <c r="AJ91" s="436"/>
      <c r="AK91" s="438"/>
      <c r="AQ91" s="342" t="s">
        <v>1080</v>
      </c>
      <c r="AR91" s="439" t="n">
        <f aca="false">L91^2</f>
        <v>1</v>
      </c>
      <c r="AS91" s="440" t="n">
        <f aca="false">M91^2</f>
        <v>0</v>
      </c>
      <c r="AT91" s="440" t="n">
        <f aca="false">N91^2</f>
        <v>0</v>
      </c>
      <c r="AU91" s="440" t="n">
        <f aca="false">O91^2</f>
        <v>0</v>
      </c>
      <c r="AV91" s="440" t="n">
        <f aca="false">P91^2</f>
        <v>0</v>
      </c>
      <c r="AW91" s="440" t="n">
        <f aca="false">Q91^2</f>
        <v>0</v>
      </c>
      <c r="AX91" s="440" t="n">
        <f aca="false">R91^2</f>
        <v>2.25</v>
      </c>
      <c r="AY91" s="440" t="n">
        <f aca="false">S91^2</f>
        <v>0</v>
      </c>
      <c r="AZ91" s="440" t="n">
        <f aca="false">T91^2</f>
        <v>0</v>
      </c>
      <c r="BA91" s="440" t="n">
        <f aca="false">U91^2</f>
        <v>0</v>
      </c>
      <c r="BB91" s="440" t="n">
        <f aca="false">V91^2</f>
        <v>36</v>
      </c>
      <c r="BC91" s="440" t="n">
        <f aca="false">W91^2</f>
        <v>0</v>
      </c>
      <c r="BD91" s="440" t="n">
        <f aca="false">X91^2</f>
        <v>0</v>
      </c>
      <c r="BE91" s="440" t="n">
        <f aca="false">Y91^2</f>
        <v>0</v>
      </c>
      <c r="BF91" s="440" t="n">
        <f aca="false">Z91^2</f>
        <v>0</v>
      </c>
      <c r="BG91" s="440" t="n">
        <f aca="false">AA91^2</f>
        <v>0</v>
      </c>
      <c r="BH91" s="440" t="n">
        <f aca="false">AB91^2</f>
        <v>0</v>
      </c>
      <c r="BI91" s="440" t="n">
        <f aca="false">AC91^2</f>
        <v>0</v>
      </c>
      <c r="BJ91" s="440" t="n">
        <f aca="false">AD91^2</f>
        <v>9</v>
      </c>
      <c r="BK91" s="440" t="n">
        <f aca="false">AE91^2</f>
        <v>0</v>
      </c>
      <c r="BL91" s="440" t="n">
        <f aca="false">AF91^2</f>
        <v>0</v>
      </c>
      <c r="BM91" s="440" t="n">
        <f aca="false">AG91^2</f>
        <v>0</v>
      </c>
      <c r="BN91" s="440" t="n">
        <f aca="false">AH91^2</f>
        <v>0</v>
      </c>
      <c r="BO91" s="440" t="n">
        <f aca="false">AI91^2</f>
        <v>0</v>
      </c>
      <c r="BP91" s="440" t="n">
        <f aca="false">AJ91^2</f>
        <v>0</v>
      </c>
      <c r="BQ91" s="441" t="n">
        <f aca="false">-SIGN(AK91)*AK91^2</f>
        <v>-0</v>
      </c>
    </row>
    <row r="92" customFormat="false" ht="12.75" hidden="false" customHeight="false" outlineLevel="0" collapsed="false">
      <c r="B92" s="342" t="s">
        <v>1084</v>
      </c>
      <c r="C92" s="345" t="s">
        <v>1085</v>
      </c>
      <c r="D92" s="290" t="str">
        <f aca="false">IF(F92="","",IF(H92="","",ROUND(F92-0.001*298.15*(H92-SUMPRODUCT(L92:AK92*AR$13:BQ$13)),3)))</f>
        <v/>
      </c>
      <c r="E92" s="137" t="str">
        <f aca="false">IF(G92="","",IF(I92="","",ROUND(2*SQRT((0.5*G92)^2+(0.001*298.15)^2*((0.5*I92)^2+SUMPRODUCT(AR92:BQ92*AR$15:BQ$15))),3)))</f>
        <v/>
      </c>
      <c r="F92" s="347"/>
      <c r="G92" s="348"/>
      <c r="H92" s="347"/>
      <c r="I92" s="348"/>
      <c r="J92" s="133"/>
      <c r="K92" s="342" t="s">
        <v>1085</v>
      </c>
      <c r="L92" s="434" t="n">
        <v>2</v>
      </c>
      <c r="M92" s="435"/>
      <c r="N92" s="435"/>
      <c r="O92" s="435"/>
      <c r="P92" s="436"/>
      <c r="Q92" s="436"/>
      <c r="R92" s="436"/>
      <c r="S92" s="436"/>
      <c r="T92" s="436"/>
      <c r="U92" s="436"/>
      <c r="V92" s="436"/>
      <c r="W92" s="436"/>
      <c r="X92" s="436"/>
      <c r="Y92" s="436"/>
      <c r="Z92" s="436"/>
      <c r="AA92" s="436"/>
      <c r="AB92" s="436"/>
      <c r="AC92" s="436"/>
      <c r="AD92" s="436" t="n">
        <v>2.5</v>
      </c>
      <c r="AE92" s="436"/>
      <c r="AF92" s="436"/>
      <c r="AG92" s="436"/>
      <c r="AH92" s="436"/>
      <c r="AI92" s="437" t="n">
        <v>1</v>
      </c>
      <c r="AJ92" s="436"/>
      <c r="AK92" s="438"/>
      <c r="AQ92" s="342" t="s">
        <v>1085</v>
      </c>
      <c r="AR92" s="439" t="n">
        <f aca="false">L92^2</f>
        <v>4</v>
      </c>
      <c r="AS92" s="440" t="n">
        <f aca="false">M92^2</f>
        <v>0</v>
      </c>
      <c r="AT92" s="440" t="n">
        <f aca="false">N92^2</f>
        <v>0</v>
      </c>
      <c r="AU92" s="440" t="n">
        <f aca="false">O92^2</f>
        <v>0</v>
      </c>
      <c r="AV92" s="440" t="n">
        <f aca="false">P92^2</f>
        <v>0</v>
      </c>
      <c r="AW92" s="440" t="n">
        <f aca="false">Q92^2</f>
        <v>0</v>
      </c>
      <c r="AX92" s="440" t="n">
        <f aca="false">R92^2</f>
        <v>0</v>
      </c>
      <c r="AY92" s="440" t="n">
        <f aca="false">S92^2</f>
        <v>0</v>
      </c>
      <c r="AZ92" s="440" t="n">
        <f aca="false">T92^2</f>
        <v>0</v>
      </c>
      <c r="BA92" s="440" t="n">
        <f aca="false">U92^2</f>
        <v>0</v>
      </c>
      <c r="BB92" s="440" t="n">
        <f aca="false">V92^2</f>
        <v>0</v>
      </c>
      <c r="BC92" s="440" t="n">
        <f aca="false">W92^2</f>
        <v>0</v>
      </c>
      <c r="BD92" s="440" t="n">
        <f aca="false">X92^2</f>
        <v>0</v>
      </c>
      <c r="BE92" s="440" t="n">
        <f aca="false">Y92^2</f>
        <v>0</v>
      </c>
      <c r="BF92" s="440" t="n">
        <f aca="false">Z92^2</f>
        <v>0</v>
      </c>
      <c r="BG92" s="440" t="n">
        <f aca="false">AA92^2</f>
        <v>0</v>
      </c>
      <c r="BH92" s="440" t="n">
        <f aca="false">AB92^2</f>
        <v>0</v>
      </c>
      <c r="BI92" s="440" t="n">
        <f aca="false">AC92^2</f>
        <v>0</v>
      </c>
      <c r="BJ92" s="440" t="n">
        <f aca="false">AD92^2</f>
        <v>6.25</v>
      </c>
      <c r="BK92" s="440" t="n">
        <f aca="false">AE92^2</f>
        <v>0</v>
      </c>
      <c r="BL92" s="440" t="n">
        <f aca="false">AF92^2</f>
        <v>0</v>
      </c>
      <c r="BM92" s="440" t="n">
        <f aca="false">AG92^2</f>
        <v>0</v>
      </c>
      <c r="BN92" s="440" t="n">
        <f aca="false">AH92^2</f>
        <v>0</v>
      </c>
      <c r="BO92" s="440" t="n">
        <f aca="false">AI92^2</f>
        <v>1</v>
      </c>
      <c r="BP92" s="440" t="n">
        <f aca="false">AJ92^2</f>
        <v>0</v>
      </c>
      <c r="BQ92" s="441" t="n">
        <f aca="false">-SIGN(AK92)*AK92^2</f>
        <v>-0</v>
      </c>
    </row>
    <row r="93" customFormat="false" ht="12.75" hidden="false" customHeight="false" outlineLevel="0" collapsed="false">
      <c r="B93" s="353" t="s">
        <v>1086</v>
      </c>
      <c r="C93" s="354" t="s">
        <v>1087</v>
      </c>
      <c r="D93" s="290" t="str">
        <f aca="false">IF(F93="","",IF(H93="","",ROUND(F93-0.001*298.15*(H93-SUMPRODUCT(L93:AK93*AR$13:BQ$13)),3)))</f>
        <v/>
      </c>
      <c r="E93" s="137" t="str">
        <f aca="false">IF(G93="","",IF(I93="","",ROUND(2*SQRT((0.5*G93)^2+(0.001*298.15)^2*((0.5*I93)^2+SUMPRODUCT(AR93:BQ93*AR$15:BQ$15))),3)))</f>
        <v/>
      </c>
      <c r="F93" s="300"/>
      <c r="G93" s="301"/>
      <c r="H93" s="300"/>
      <c r="I93" s="301"/>
      <c r="J93" s="133"/>
      <c r="K93" s="342" t="s">
        <v>1087</v>
      </c>
      <c r="L93" s="434"/>
      <c r="M93" s="435"/>
      <c r="N93" s="435"/>
      <c r="O93" s="435"/>
      <c r="P93" s="436"/>
      <c r="Q93" s="436"/>
      <c r="R93" s="436"/>
      <c r="S93" s="436"/>
      <c r="T93" s="436"/>
      <c r="U93" s="436" t="n">
        <v>2</v>
      </c>
      <c r="V93" s="436"/>
      <c r="W93" s="436"/>
      <c r="X93" s="436"/>
      <c r="Y93" s="436"/>
      <c r="Z93" s="436"/>
      <c r="AA93" s="436"/>
      <c r="AB93" s="436"/>
      <c r="AC93" s="436"/>
      <c r="AD93" s="436" t="n">
        <v>1.5</v>
      </c>
      <c r="AE93" s="436"/>
      <c r="AF93" s="436"/>
      <c r="AG93" s="436"/>
      <c r="AH93" s="436"/>
      <c r="AI93" s="437"/>
      <c r="AJ93" s="436"/>
      <c r="AK93" s="438"/>
      <c r="AQ93" s="342" t="s">
        <v>1087</v>
      </c>
      <c r="AR93" s="439" t="n">
        <f aca="false">L93^2</f>
        <v>0</v>
      </c>
      <c r="AS93" s="440" t="n">
        <f aca="false">M93^2</f>
        <v>0</v>
      </c>
      <c r="AT93" s="440" t="n">
        <f aca="false">N93^2</f>
        <v>0</v>
      </c>
      <c r="AU93" s="440" t="n">
        <f aca="false">O93^2</f>
        <v>0</v>
      </c>
      <c r="AV93" s="440" t="n">
        <f aca="false">P93^2</f>
        <v>0</v>
      </c>
      <c r="AW93" s="440" t="n">
        <f aca="false">Q93^2</f>
        <v>0</v>
      </c>
      <c r="AX93" s="440" t="n">
        <f aca="false">R93^2</f>
        <v>0</v>
      </c>
      <c r="AY93" s="440" t="n">
        <f aca="false">S93^2</f>
        <v>0</v>
      </c>
      <c r="AZ93" s="440" t="n">
        <f aca="false">T93^2</f>
        <v>0</v>
      </c>
      <c r="BA93" s="440" t="n">
        <f aca="false">U93^2</f>
        <v>4</v>
      </c>
      <c r="BB93" s="440" t="n">
        <f aca="false">V93^2</f>
        <v>0</v>
      </c>
      <c r="BC93" s="440" t="n">
        <f aca="false">W93^2</f>
        <v>0</v>
      </c>
      <c r="BD93" s="440" t="n">
        <f aca="false">X93^2</f>
        <v>0</v>
      </c>
      <c r="BE93" s="440" t="n">
        <f aca="false">Y93^2</f>
        <v>0</v>
      </c>
      <c r="BF93" s="440" t="n">
        <f aca="false">Z93^2</f>
        <v>0</v>
      </c>
      <c r="BG93" s="440" t="n">
        <f aca="false">AA93^2</f>
        <v>0</v>
      </c>
      <c r="BH93" s="440" t="n">
        <f aca="false">AB93^2</f>
        <v>0</v>
      </c>
      <c r="BI93" s="440" t="n">
        <f aca="false">AC93^2</f>
        <v>0</v>
      </c>
      <c r="BJ93" s="440" t="n">
        <f aca="false">AD93^2</f>
        <v>2.25</v>
      </c>
      <c r="BK93" s="440" t="n">
        <f aca="false">AE93^2</f>
        <v>0</v>
      </c>
      <c r="BL93" s="440" t="n">
        <f aca="false">AF93^2</f>
        <v>0</v>
      </c>
      <c r="BM93" s="440" t="n">
        <f aca="false">AG93^2</f>
        <v>0</v>
      </c>
      <c r="BN93" s="440" t="n">
        <f aca="false">AH93^2</f>
        <v>0</v>
      </c>
      <c r="BO93" s="440" t="n">
        <f aca="false">AI93^2</f>
        <v>0</v>
      </c>
      <c r="BP93" s="440" t="n">
        <f aca="false">AJ93^2</f>
        <v>0</v>
      </c>
      <c r="BQ93" s="441" t="n">
        <f aca="false">-SIGN(AK93)*AK93^2</f>
        <v>-0</v>
      </c>
    </row>
    <row r="94" customFormat="false" ht="12.75" hidden="false" customHeight="false" outlineLevel="0" collapsed="false">
      <c r="B94" s="353" t="s">
        <v>1093</v>
      </c>
      <c r="C94" s="354" t="s">
        <v>1094</v>
      </c>
      <c r="D94" s="290" t="str">
        <f aca="false">IF(F94="","",IF(H94="","",ROUND(F94-0.001*298.15*(H94-SUMPRODUCT(L94:AK94*AR$13:BQ$13)),3)))</f>
        <v/>
      </c>
      <c r="E94" s="137" t="str">
        <f aca="false">IF(G94="","",IF(I94="","",ROUND(2*SQRT((0.5*G94)^2+(0.001*298.15)^2*((0.5*I94)^2+SUMPRODUCT(AR94:BQ94*AR$15:BQ$15))),3)))</f>
        <v/>
      </c>
      <c r="F94" s="300"/>
      <c r="G94" s="301"/>
      <c r="H94" s="300"/>
      <c r="I94" s="301"/>
      <c r="J94" s="133"/>
      <c r="K94" s="342" t="s">
        <v>1094</v>
      </c>
      <c r="L94" s="434"/>
      <c r="M94" s="435"/>
      <c r="N94" s="435"/>
      <c r="O94" s="435"/>
      <c r="P94" s="436"/>
      <c r="Q94" s="436"/>
      <c r="R94" s="436"/>
      <c r="S94" s="436"/>
      <c r="T94" s="436"/>
      <c r="U94" s="436" t="n">
        <v>3</v>
      </c>
      <c r="V94" s="436"/>
      <c r="W94" s="436"/>
      <c r="X94" s="436"/>
      <c r="Y94" s="436"/>
      <c r="Z94" s="436"/>
      <c r="AA94" s="436"/>
      <c r="AB94" s="436"/>
      <c r="AC94" s="436"/>
      <c r="AD94" s="436" t="n">
        <v>2</v>
      </c>
      <c r="AE94" s="436"/>
      <c r="AF94" s="436"/>
      <c r="AG94" s="436"/>
      <c r="AH94" s="436"/>
      <c r="AI94" s="437"/>
      <c r="AJ94" s="436"/>
      <c r="AK94" s="438"/>
      <c r="AQ94" s="342" t="s">
        <v>1094</v>
      </c>
      <c r="AR94" s="439" t="n">
        <f aca="false">L94^2</f>
        <v>0</v>
      </c>
      <c r="AS94" s="440" t="n">
        <f aca="false">M94^2</f>
        <v>0</v>
      </c>
      <c r="AT94" s="440" t="n">
        <f aca="false">N94^2</f>
        <v>0</v>
      </c>
      <c r="AU94" s="440" t="n">
        <f aca="false">O94^2</f>
        <v>0</v>
      </c>
      <c r="AV94" s="440" t="n">
        <f aca="false">P94^2</f>
        <v>0</v>
      </c>
      <c r="AW94" s="440" t="n">
        <f aca="false">Q94^2</f>
        <v>0</v>
      </c>
      <c r="AX94" s="440" t="n">
        <f aca="false">R94^2</f>
        <v>0</v>
      </c>
      <c r="AY94" s="440" t="n">
        <f aca="false">S94^2</f>
        <v>0</v>
      </c>
      <c r="AZ94" s="440" t="n">
        <f aca="false">T94^2</f>
        <v>0</v>
      </c>
      <c r="BA94" s="440" t="n">
        <f aca="false">U94^2</f>
        <v>9</v>
      </c>
      <c r="BB94" s="440" t="n">
        <f aca="false">V94^2</f>
        <v>0</v>
      </c>
      <c r="BC94" s="440" t="n">
        <f aca="false">W94^2</f>
        <v>0</v>
      </c>
      <c r="BD94" s="440" t="n">
        <f aca="false">X94^2</f>
        <v>0</v>
      </c>
      <c r="BE94" s="440" t="n">
        <f aca="false">Y94^2</f>
        <v>0</v>
      </c>
      <c r="BF94" s="440" t="n">
        <f aca="false">Z94^2</f>
        <v>0</v>
      </c>
      <c r="BG94" s="440" t="n">
        <f aca="false">AA94^2</f>
        <v>0</v>
      </c>
      <c r="BH94" s="440" t="n">
        <f aca="false">AB94^2</f>
        <v>0</v>
      </c>
      <c r="BI94" s="440" t="n">
        <f aca="false">AC94^2</f>
        <v>0</v>
      </c>
      <c r="BJ94" s="440" t="n">
        <f aca="false">AD94^2</f>
        <v>4</v>
      </c>
      <c r="BK94" s="440" t="n">
        <f aca="false">AE94^2</f>
        <v>0</v>
      </c>
      <c r="BL94" s="440" t="n">
        <f aca="false">AF94^2</f>
        <v>0</v>
      </c>
      <c r="BM94" s="440" t="n">
        <f aca="false">AG94^2</f>
        <v>0</v>
      </c>
      <c r="BN94" s="440" t="n">
        <f aca="false">AH94^2</f>
        <v>0</v>
      </c>
      <c r="BO94" s="440" t="n">
        <f aca="false">AI94^2</f>
        <v>0</v>
      </c>
      <c r="BP94" s="440" t="n">
        <f aca="false">AJ94^2</f>
        <v>0</v>
      </c>
      <c r="BQ94" s="441" t="n">
        <f aca="false">-SIGN(AK94)*AK94^2</f>
        <v>-0</v>
      </c>
    </row>
    <row r="95" customFormat="false" ht="12.75" hidden="false" customHeight="false" outlineLevel="0" collapsed="false">
      <c r="B95" s="353" t="s">
        <v>1100</v>
      </c>
      <c r="C95" s="354" t="s">
        <v>1101</v>
      </c>
      <c r="D95" s="290" t="str">
        <f aca="false">IF(F95="","",IF(H95="","",ROUND(F95-0.001*298.15*(H95-SUMPRODUCT(L95:AK95*AR$13:BQ$13)),3)))</f>
        <v/>
      </c>
      <c r="E95" s="137" t="str">
        <f aca="false">IF(G95="","",IF(I95="","",ROUND(2*SQRT((0.5*G95)^2+(0.001*298.15)^2*((0.5*I95)^2+SUMPRODUCT(AR95:BQ95*AR$15:BQ$15))),3)))</f>
        <v/>
      </c>
      <c r="F95" s="300"/>
      <c r="G95" s="301"/>
      <c r="H95" s="300"/>
      <c r="I95" s="301"/>
      <c r="J95" s="133"/>
      <c r="K95" s="342" t="s">
        <v>1101</v>
      </c>
      <c r="L95" s="434"/>
      <c r="M95" s="435"/>
      <c r="N95" s="435"/>
      <c r="O95" s="435"/>
      <c r="P95" s="436"/>
      <c r="Q95" s="436"/>
      <c r="R95" s="436"/>
      <c r="S95" s="436"/>
      <c r="T95" s="436"/>
      <c r="U95" s="436" t="n">
        <v>2</v>
      </c>
      <c r="V95" s="436"/>
      <c r="W95" s="436"/>
      <c r="X95" s="436"/>
      <c r="Y95" s="436"/>
      <c r="Z95" s="436"/>
      <c r="AA95" s="436"/>
      <c r="AB95" s="436"/>
      <c r="AC95" s="436"/>
      <c r="AD95" s="436" t="n">
        <v>2</v>
      </c>
      <c r="AE95" s="436"/>
      <c r="AF95" s="436"/>
      <c r="AG95" s="436"/>
      <c r="AH95" s="436"/>
      <c r="AI95" s="437" t="n">
        <v>1</v>
      </c>
      <c r="AJ95" s="436"/>
      <c r="AK95" s="438"/>
      <c r="AQ95" s="342" t="s">
        <v>1101</v>
      </c>
      <c r="AR95" s="439" t="n">
        <f aca="false">L95^2</f>
        <v>0</v>
      </c>
      <c r="AS95" s="440" t="n">
        <f aca="false">M95^2</f>
        <v>0</v>
      </c>
      <c r="AT95" s="440" t="n">
        <f aca="false">N95^2</f>
        <v>0</v>
      </c>
      <c r="AU95" s="440" t="n">
        <f aca="false">O95^2</f>
        <v>0</v>
      </c>
      <c r="AV95" s="440" t="n">
        <f aca="false">P95^2</f>
        <v>0</v>
      </c>
      <c r="AW95" s="440" t="n">
        <f aca="false">Q95^2</f>
        <v>0</v>
      </c>
      <c r="AX95" s="440" t="n">
        <f aca="false">R95^2</f>
        <v>0</v>
      </c>
      <c r="AY95" s="440" t="n">
        <f aca="false">S95^2</f>
        <v>0</v>
      </c>
      <c r="AZ95" s="440" t="n">
        <f aca="false">T95^2</f>
        <v>0</v>
      </c>
      <c r="BA95" s="440" t="n">
        <f aca="false">U95^2</f>
        <v>4</v>
      </c>
      <c r="BB95" s="440" t="n">
        <f aca="false">V95^2</f>
        <v>0</v>
      </c>
      <c r="BC95" s="440" t="n">
        <f aca="false">W95^2</f>
        <v>0</v>
      </c>
      <c r="BD95" s="440" t="n">
        <f aca="false">X95^2</f>
        <v>0</v>
      </c>
      <c r="BE95" s="440" t="n">
        <f aca="false">Y95^2</f>
        <v>0</v>
      </c>
      <c r="BF95" s="440" t="n">
        <f aca="false">Z95^2</f>
        <v>0</v>
      </c>
      <c r="BG95" s="440" t="n">
        <f aca="false">AA95^2</f>
        <v>0</v>
      </c>
      <c r="BH95" s="440" t="n">
        <f aca="false">AB95^2</f>
        <v>0</v>
      </c>
      <c r="BI95" s="440" t="n">
        <f aca="false">AC95^2</f>
        <v>0</v>
      </c>
      <c r="BJ95" s="440" t="n">
        <f aca="false">AD95^2</f>
        <v>4</v>
      </c>
      <c r="BK95" s="440" t="n">
        <f aca="false">AE95^2</f>
        <v>0</v>
      </c>
      <c r="BL95" s="440" t="n">
        <f aca="false">AF95^2</f>
        <v>0</v>
      </c>
      <c r="BM95" s="440" t="n">
        <f aca="false">AG95^2</f>
        <v>0</v>
      </c>
      <c r="BN95" s="440" t="n">
        <f aca="false">AH95^2</f>
        <v>0</v>
      </c>
      <c r="BO95" s="440" t="n">
        <f aca="false">AI95^2</f>
        <v>1</v>
      </c>
      <c r="BP95" s="440" t="n">
        <f aca="false">AJ95^2</f>
        <v>0</v>
      </c>
      <c r="BQ95" s="441" t="n">
        <f aca="false">-SIGN(AK95)*AK95^2</f>
        <v>-0</v>
      </c>
    </row>
    <row r="96" customFormat="false" ht="12.75" hidden="false" customHeight="false" outlineLevel="0" collapsed="false">
      <c r="B96" s="353" t="s">
        <v>1107</v>
      </c>
      <c r="C96" s="354" t="s">
        <v>1108</v>
      </c>
      <c r="D96" s="290" t="n">
        <f aca="false">IF(F96="","",IF(H96="","",ROUND(F96-0.001*298.15*(H96-SUMPRODUCT(L96:AK96*AR$13:BQ$13)),3)))</f>
        <v>-569.312</v>
      </c>
      <c r="E96" s="137" t="n">
        <f aca="false">IF(G96="","",IF(I96="","",ROUND(2*SQRT((0.5*G96)^2+(0.001*298.15)^2*((0.5*I96)^2+SUMPRODUCT(AR96:BQ96*AR$15:BQ$15))),3)))</f>
        <v>0.305</v>
      </c>
      <c r="F96" s="291" t="s">
        <v>1109</v>
      </c>
      <c r="G96" s="292" t="s">
        <v>740</v>
      </c>
      <c r="H96" s="291" t="s">
        <v>1110</v>
      </c>
      <c r="I96" s="292" t="s">
        <v>744</v>
      </c>
      <c r="J96" s="133"/>
      <c r="K96" s="342" t="s">
        <v>1108</v>
      </c>
      <c r="L96" s="434"/>
      <c r="M96" s="435"/>
      <c r="N96" s="435"/>
      <c r="O96" s="435"/>
      <c r="P96" s="436"/>
      <c r="Q96" s="436"/>
      <c r="R96" s="436"/>
      <c r="S96" s="436"/>
      <c r="T96" s="436"/>
      <c r="U96" s="436"/>
      <c r="V96" s="436"/>
      <c r="W96" s="436"/>
      <c r="X96" s="436"/>
      <c r="Y96" s="436"/>
      <c r="Z96" s="436" t="n">
        <v>1</v>
      </c>
      <c r="AA96" s="436"/>
      <c r="AB96" s="436"/>
      <c r="AC96" s="436"/>
      <c r="AD96" s="436" t="n">
        <v>0.5</v>
      </c>
      <c r="AE96" s="436"/>
      <c r="AF96" s="436"/>
      <c r="AG96" s="436"/>
      <c r="AH96" s="436"/>
      <c r="AI96" s="437"/>
      <c r="AJ96" s="436"/>
      <c r="AK96" s="438"/>
      <c r="AQ96" s="342" t="s">
        <v>1108</v>
      </c>
      <c r="AR96" s="439" t="n">
        <f aca="false">L96^2</f>
        <v>0</v>
      </c>
      <c r="AS96" s="440" t="n">
        <f aca="false">M96^2</f>
        <v>0</v>
      </c>
      <c r="AT96" s="440" t="n">
        <f aca="false">N96^2</f>
        <v>0</v>
      </c>
      <c r="AU96" s="440" t="n">
        <f aca="false">O96^2</f>
        <v>0</v>
      </c>
      <c r="AV96" s="440" t="n">
        <f aca="false">P96^2</f>
        <v>0</v>
      </c>
      <c r="AW96" s="440" t="n">
        <f aca="false">Q96^2</f>
        <v>0</v>
      </c>
      <c r="AX96" s="440" t="n">
        <f aca="false">R96^2</f>
        <v>0</v>
      </c>
      <c r="AY96" s="440" t="n">
        <f aca="false">S96^2</f>
        <v>0</v>
      </c>
      <c r="AZ96" s="440" t="n">
        <f aca="false">T96^2</f>
        <v>0</v>
      </c>
      <c r="BA96" s="440" t="n">
        <f aca="false">U96^2</f>
        <v>0</v>
      </c>
      <c r="BB96" s="440" t="n">
        <f aca="false">V96^2</f>
        <v>0</v>
      </c>
      <c r="BC96" s="440" t="n">
        <f aca="false">W96^2</f>
        <v>0</v>
      </c>
      <c r="BD96" s="440" t="n">
        <f aca="false">X96^2</f>
        <v>0</v>
      </c>
      <c r="BE96" s="440" t="n">
        <f aca="false">Y96^2</f>
        <v>0</v>
      </c>
      <c r="BF96" s="440" t="n">
        <f aca="false">Z96^2</f>
        <v>1</v>
      </c>
      <c r="BG96" s="440" t="n">
        <f aca="false">AA96^2</f>
        <v>0</v>
      </c>
      <c r="BH96" s="440" t="n">
        <f aca="false">AB96^2</f>
        <v>0</v>
      </c>
      <c r="BI96" s="440" t="n">
        <f aca="false">AC96^2</f>
        <v>0</v>
      </c>
      <c r="BJ96" s="440" t="n">
        <f aca="false">AD96^2</f>
        <v>0.25</v>
      </c>
      <c r="BK96" s="440" t="n">
        <f aca="false">AE96^2</f>
        <v>0</v>
      </c>
      <c r="BL96" s="440" t="n">
        <f aca="false">AF96^2</f>
        <v>0</v>
      </c>
      <c r="BM96" s="440" t="n">
        <f aca="false">AG96^2</f>
        <v>0</v>
      </c>
      <c r="BN96" s="440" t="n">
        <f aca="false">AH96^2</f>
        <v>0</v>
      </c>
      <c r="BO96" s="440" t="n">
        <f aca="false">AI96^2</f>
        <v>0</v>
      </c>
      <c r="BP96" s="440" t="n">
        <f aca="false">AJ96^2</f>
        <v>0</v>
      </c>
      <c r="BQ96" s="441" t="n">
        <f aca="false">-SIGN(AK96)*AK96^2</f>
        <v>-0</v>
      </c>
    </row>
    <row r="97" customFormat="false" ht="12.75" hidden="false" customHeight="false" outlineLevel="0" collapsed="false">
      <c r="B97" s="353" t="s">
        <v>1114</v>
      </c>
      <c r="C97" s="354" t="s">
        <v>1115</v>
      </c>
      <c r="D97" s="290" t="n">
        <f aca="false">IF(F97="","",IF(H97="","",ROUND(F97-0.001*298.15*(H97-SUMPRODUCT(L97:AK97*AR$13:BQ$13)),3)))</f>
        <v>-833.418</v>
      </c>
      <c r="E97" s="137" t="n">
        <f aca="false">IF(G97="","",IF(I97="","",ROUND(2*SQRT((0.5*G97)^2+(0.001*298.15)^2*((0.5*I97)^2+SUMPRODUCT(AR97:BQ97*AR$15:BQ$15))),3)))</f>
        <v>0.373</v>
      </c>
      <c r="F97" s="355" t="s">
        <v>1116</v>
      </c>
      <c r="G97" s="356" t="s">
        <v>1117</v>
      </c>
      <c r="H97" s="357" t="s">
        <v>1118</v>
      </c>
      <c r="I97" s="358" t="s">
        <v>742</v>
      </c>
      <c r="J97" s="133"/>
      <c r="K97" s="342" t="s">
        <v>1115</v>
      </c>
      <c r="L97" s="434"/>
      <c r="M97" s="435"/>
      <c r="N97" s="435"/>
      <c r="O97" s="435"/>
      <c r="P97" s="436"/>
      <c r="Q97" s="436"/>
      <c r="R97" s="436"/>
      <c r="S97" s="436"/>
      <c r="T97" s="436"/>
      <c r="U97" s="436"/>
      <c r="V97" s="436" t="n">
        <v>1</v>
      </c>
      <c r="W97" s="436"/>
      <c r="X97" s="436"/>
      <c r="Y97" s="436"/>
      <c r="Z97" s="436" t="n">
        <v>1</v>
      </c>
      <c r="AA97" s="436"/>
      <c r="AB97" s="436"/>
      <c r="AC97" s="436"/>
      <c r="AD97" s="436" t="n">
        <v>1</v>
      </c>
      <c r="AE97" s="436"/>
      <c r="AF97" s="436"/>
      <c r="AG97" s="436"/>
      <c r="AH97" s="436"/>
      <c r="AI97" s="437"/>
      <c r="AJ97" s="436"/>
      <c r="AK97" s="438"/>
      <c r="AQ97" s="342" t="s">
        <v>1115</v>
      </c>
      <c r="AR97" s="439" t="n">
        <f aca="false">L97^2</f>
        <v>0</v>
      </c>
      <c r="AS97" s="440" t="n">
        <f aca="false">M97^2</f>
        <v>0</v>
      </c>
      <c r="AT97" s="440" t="n">
        <f aca="false">N97^2</f>
        <v>0</v>
      </c>
      <c r="AU97" s="440" t="n">
        <f aca="false">O97^2</f>
        <v>0</v>
      </c>
      <c r="AV97" s="440" t="n">
        <f aca="false">P97^2</f>
        <v>0</v>
      </c>
      <c r="AW97" s="440" t="n">
        <f aca="false">Q97^2</f>
        <v>0</v>
      </c>
      <c r="AX97" s="440" t="n">
        <f aca="false">R97^2</f>
        <v>0</v>
      </c>
      <c r="AY97" s="440" t="n">
        <f aca="false">S97^2</f>
        <v>0</v>
      </c>
      <c r="AZ97" s="440" t="n">
        <f aca="false">T97^2</f>
        <v>0</v>
      </c>
      <c r="BA97" s="440" t="n">
        <f aca="false">U97^2</f>
        <v>0</v>
      </c>
      <c r="BB97" s="440" t="n">
        <f aca="false">V97^2</f>
        <v>1</v>
      </c>
      <c r="BC97" s="440" t="n">
        <f aca="false">W97^2</f>
        <v>0</v>
      </c>
      <c r="BD97" s="440" t="n">
        <f aca="false">X97^2</f>
        <v>0</v>
      </c>
      <c r="BE97" s="440" t="n">
        <f aca="false">Y97^2</f>
        <v>0</v>
      </c>
      <c r="BF97" s="440" t="n">
        <f aca="false">Z97^2</f>
        <v>1</v>
      </c>
      <c r="BG97" s="440" t="n">
        <f aca="false">AA97^2</f>
        <v>0</v>
      </c>
      <c r="BH97" s="440" t="n">
        <f aca="false">AB97^2</f>
        <v>0</v>
      </c>
      <c r="BI97" s="440" t="n">
        <f aca="false">AC97^2</f>
        <v>0</v>
      </c>
      <c r="BJ97" s="440" t="n">
        <f aca="false">AD97^2</f>
        <v>1</v>
      </c>
      <c r="BK97" s="440" t="n">
        <f aca="false">AE97^2</f>
        <v>0</v>
      </c>
      <c r="BL97" s="440" t="n">
        <f aca="false">AF97^2</f>
        <v>0</v>
      </c>
      <c r="BM97" s="440" t="n">
        <f aca="false">AG97^2</f>
        <v>0</v>
      </c>
      <c r="BN97" s="440" t="n">
        <f aca="false">AH97^2</f>
        <v>0</v>
      </c>
      <c r="BO97" s="440" t="n">
        <f aca="false">AI97^2</f>
        <v>0</v>
      </c>
      <c r="BP97" s="440" t="n">
        <f aca="false">AJ97^2</f>
        <v>0</v>
      </c>
      <c r="BQ97" s="441" t="n">
        <f aca="false">-SIGN(AK97)*AK97^2</f>
        <v>-0</v>
      </c>
    </row>
    <row r="98" customFormat="false" ht="12.75" hidden="false" customHeight="false" outlineLevel="0" collapsed="false">
      <c r="B98" s="353" t="s">
        <v>1119</v>
      </c>
      <c r="C98" s="354" t="s">
        <v>1120</v>
      </c>
      <c r="D98" s="290" t="str">
        <f aca="false">IF(F98="","",IF(H98="","",ROUND(F98-0.001*298.15*(H98-SUMPRODUCT(L98:AK98*AR$13:BQ$13)),3)))</f>
        <v/>
      </c>
      <c r="E98" s="137" t="str">
        <f aca="false">IF(G98="","",IF(I98="","",ROUND(2*SQRT((0.5*G98)^2+(0.001*298.15)^2*((0.5*I98)^2+SUMPRODUCT(AR98:BQ98*AR$15:BQ$15))),3)))</f>
        <v/>
      </c>
      <c r="F98" s="300"/>
      <c r="G98" s="301"/>
      <c r="H98" s="300"/>
      <c r="I98" s="301"/>
      <c r="J98" s="133"/>
      <c r="K98" s="342" t="s">
        <v>1120</v>
      </c>
      <c r="L98" s="434"/>
      <c r="M98" s="435"/>
      <c r="N98" s="435"/>
      <c r="O98" s="435"/>
      <c r="P98" s="436" t="n">
        <v>1</v>
      </c>
      <c r="Q98" s="436"/>
      <c r="R98" s="436"/>
      <c r="S98" s="436"/>
      <c r="T98" s="436"/>
      <c r="U98" s="436"/>
      <c r="V98" s="436"/>
      <c r="W98" s="436"/>
      <c r="X98" s="436"/>
      <c r="Y98" s="436"/>
      <c r="Z98" s="436" t="n">
        <v>1</v>
      </c>
      <c r="AA98" s="436"/>
      <c r="AB98" s="436"/>
      <c r="AC98" s="436"/>
      <c r="AD98" s="436" t="n">
        <v>1.5</v>
      </c>
      <c r="AE98" s="436"/>
      <c r="AF98" s="436"/>
      <c r="AG98" s="436"/>
      <c r="AH98" s="436"/>
      <c r="AI98" s="437"/>
      <c r="AJ98" s="436"/>
      <c r="AK98" s="438"/>
      <c r="AQ98" s="342" t="s">
        <v>1120</v>
      </c>
      <c r="AR98" s="439" t="n">
        <f aca="false">L98^2</f>
        <v>0</v>
      </c>
      <c r="AS98" s="440" t="n">
        <f aca="false">M98^2</f>
        <v>0</v>
      </c>
      <c r="AT98" s="440" t="n">
        <f aca="false">N98^2</f>
        <v>0</v>
      </c>
      <c r="AU98" s="440" t="n">
        <f aca="false">O98^2</f>
        <v>0</v>
      </c>
      <c r="AV98" s="440" t="n">
        <f aca="false">P98^2</f>
        <v>1</v>
      </c>
      <c r="AW98" s="440" t="n">
        <f aca="false">Q98^2</f>
        <v>0</v>
      </c>
      <c r="AX98" s="440" t="n">
        <f aca="false">R98^2</f>
        <v>0</v>
      </c>
      <c r="AY98" s="440" t="n">
        <f aca="false">S98^2</f>
        <v>0</v>
      </c>
      <c r="AZ98" s="440" t="n">
        <f aca="false">T98^2</f>
        <v>0</v>
      </c>
      <c r="BA98" s="440" t="n">
        <f aca="false">U98^2</f>
        <v>0</v>
      </c>
      <c r="BB98" s="440" t="n">
        <f aca="false">V98^2</f>
        <v>0</v>
      </c>
      <c r="BC98" s="440" t="n">
        <f aca="false">W98^2</f>
        <v>0</v>
      </c>
      <c r="BD98" s="440" t="n">
        <f aca="false">X98^2</f>
        <v>0</v>
      </c>
      <c r="BE98" s="440" t="n">
        <f aca="false">Y98^2</f>
        <v>0</v>
      </c>
      <c r="BF98" s="440" t="n">
        <f aca="false">Z98^2</f>
        <v>1</v>
      </c>
      <c r="BG98" s="440" t="n">
        <f aca="false">AA98^2</f>
        <v>0</v>
      </c>
      <c r="BH98" s="440" t="n">
        <f aca="false">AB98^2</f>
        <v>0</v>
      </c>
      <c r="BI98" s="440" t="n">
        <f aca="false">AC98^2</f>
        <v>0</v>
      </c>
      <c r="BJ98" s="440" t="n">
        <f aca="false">AD98^2</f>
        <v>2.25</v>
      </c>
      <c r="BK98" s="440" t="n">
        <f aca="false">AE98^2</f>
        <v>0</v>
      </c>
      <c r="BL98" s="440" t="n">
        <f aca="false">AF98^2</f>
        <v>0</v>
      </c>
      <c r="BM98" s="440" t="n">
        <f aca="false">AG98^2</f>
        <v>0</v>
      </c>
      <c r="BN98" s="440" t="n">
        <f aca="false">AH98^2</f>
        <v>0</v>
      </c>
      <c r="BO98" s="440" t="n">
        <f aca="false">AI98^2</f>
        <v>0</v>
      </c>
      <c r="BP98" s="440" t="n">
        <f aca="false">AJ98^2</f>
        <v>0</v>
      </c>
      <c r="BQ98" s="441" t="n">
        <f aca="false">-SIGN(AK98)*AK98^2</f>
        <v>-0</v>
      </c>
    </row>
    <row r="99" customFormat="false" ht="12.75" hidden="false" customHeight="false" outlineLevel="0" collapsed="false">
      <c r="B99" s="353" t="s">
        <v>1121</v>
      </c>
      <c r="C99" s="354" t="s">
        <v>1122</v>
      </c>
      <c r="D99" s="290" t="str">
        <f aca="false">IF(F99="","",IF(H99="","",ROUND(F99-0.001*298.15*(H99-SUMPRODUCT(L99:AK99*AR$13:BQ$13)),3)))</f>
        <v/>
      </c>
      <c r="E99" s="137" t="str">
        <f aca="false">IF(G99="","",IF(I99="","",ROUND(2*SQRT((0.5*G99)^2+(0.001*298.15)^2*((0.5*I99)^2+SUMPRODUCT(AR99:BQ99*AR$15:BQ$15))),3)))</f>
        <v/>
      </c>
      <c r="F99" s="300"/>
      <c r="G99" s="301"/>
      <c r="H99" s="300"/>
      <c r="I99" s="301"/>
      <c r="J99" s="133"/>
      <c r="K99" s="342" t="s">
        <v>1122</v>
      </c>
      <c r="L99" s="434"/>
      <c r="M99" s="435"/>
      <c r="N99" s="435"/>
      <c r="O99" s="435"/>
      <c r="P99" s="436"/>
      <c r="Q99" s="436"/>
      <c r="R99" s="436"/>
      <c r="S99" s="436"/>
      <c r="T99" s="436"/>
      <c r="U99" s="436"/>
      <c r="V99" s="436"/>
      <c r="W99" s="436"/>
      <c r="X99" s="436"/>
      <c r="Y99" s="436"/>
      <c r="Z99" s="436" t="n">
        <v>2</v>
      </c>
      <c r="AA99" s="436"/>
      <c r="AB99" s="436"/>
      <c r="AC99" s="436"/>
      <c r="AD99" s="436" t="n">
        <v>2</v>
      </c>
      <c r="AE99" s="436"/>
      <c r="AF99" s="436"/>
      <c r="AG99" s="436"/>
      <c r="AH99" s="436"/>
      <c r="AI99" s="437" t="n">
        <v>1</v>
      </c>
      <c r="AJ99" s="436"/>
      <c r="AK99" s="438"/>
      <c r="AQ99" s="342" t="s">
        <v>1122</v>
      </c>
      <c r="AR99" s="439" t="n">
        <f aca="false">L99^2</f>
        <v>0</v>
      </c>
      <c r="AS99" s="440" t="n">
        <f aca="false">M99^2</f>
        <v>0</v>
      </c>
      <c r="AT99" s="440" t="n">
        <f aca="false">N99^2</f>
        <v>0</v>
      </c>
      <c r="AU99" s="440" t="n">
        <f aca="false">O99^2</f>
        <v>0</v>
      </c>
      <c r="AV99" s="440" t="n">
        <f aca="false">P99^2</f>
        <v>0</v>
      </c>
      <c r="AW99" s="440" t="n">
        <f aca="false">Q99^2</f>
        <v>0</v>
      </c>
      <c r="AX99" s="440" t="n">
        <f aca="false">R99^2</f>
        <v>0</v>
      </c>
      <c r="AY99" s="440" t="n">
        <f aca="false">S99^2</f>
        <v>0</v>
      </c>
      <c r="AZ99" s="440" t="n">
        <f aca="false">T99^2</f>
        <v>0</v>
      </c>
      <c r="BA99" s="440" t="n">
        <f aca="false">U99^2</f>
        <v>0</v>
      </c>
      <c r="BB99" s="440" t="n">
        <f aca="false">V99^2</f>
        <v>0</v>
      </c>
      <c r="BC99" s="440" t="n">
        <f aca="false">W99^2</f>
        <v>0</v>
      </c>
      <c r="BD99" s="440" t="n">
        <f aca="false">X99^2</f>
        <v>0</v>
      </c>
      <c r="BE99" s="440" t="n">
        <f aca="false">Y99^2</f>
        <v>0</v>
      </c>
      <c r="BF99" s="440" t="n">
        <f aca="false">Z99^2</f>
        <v>4</v>
      </c>
      <c r="BG99" s="440" t="n">
        <f aca="false">AA99^2</f>
        <v>0</v>
      </c>
      <c r="BH99" s="440" t="n">
        <f aca="false">AB99^2</f>
        <v>0</v>
      </c>
      <c r="BI99" s="440" t="n">
        <f aca="false">AC99^2</f>
        <v>0</v>
      </c>
      <c r="BJ99" s="440" t="n">
        <f aca="false">AD99^2</f>
        <v>4</v>
      </c>
      <c r="BK99" s="440" t="n">
        <f aca="false">AE99^2</f>
        <v>0</v>
      </c>
      <c r="BL99" s="440" t="n">
        <f aca="false">AF99^2</f>
        <v>0</v>
      </c>
      <c r="BM99" s="440" t="n">
        <f aca="false">AG99^2</f>
        <v>0</v>
      </c>
      <c r="BN99" s="440" t="n">
        <f aca="false">AH99^2</f>
        <v>0</v>
      </c>
      <c r="BO99" s="440" t="n">
        <f aca="false">AI99^2</f>
        <v>1</v>
      </c>
      <c r="BP99" s="440" t="n">
        <f aca="false">AJ99^2</f>
        <v>0</v>
      </c>
      <c r="BQ99" s="441" t="n">
        <f aca="false">-SIGN(AK99)*AK99^2</f>
        <v>-0</v>
      </c>
    </row>
    <row r="100" customFormat="false" ht="12.75" hidden="false" customHeight="false" outlineLevel="0" collapsed="false">
      <c r="B100" s="353" t="s">
        <v>1123</v>
      </c>
      <c r="C100" s="354" t="s">
        <v>1124</v>
      </c>
      <c r="D100" s="290" t="n">
        <f aca="false">IF(F100="","",IF(H100="","",ROUND(F100-0.001*298.15*(H100-SUMPRODUCT(L100:AK100*AR$13:BQ$13)),3)))</f>
        <v>-603.296</v>
      </c>
      <c r="E100" s="137" t="n">
        <f aca="false">IF(G100="","",IF(I100="","",ROUND(2*SQRT((0.5*G100)^2+(0.001*298.15)^2*((0.5*I100)^2+SUMPRODUCT(AR100:BQ100*AR$15:BQ$15))),3)))</f>
        <v>0.916</v>
      </c>
      <c r="F100" s="300" t="s">
        <v>1125</v>
      </c>
      <c r="G100" s="301" t="s">
        <v>1126</v>
      </c>
      <c r="H100" s="300" t="s">
        <v>1127</v>
      </c>
      <c r="I100" s="301" t="s">
        <v>1128</v>
      </c>
      <c r="J100" s="133"/>
      <c r="K100" s="342" t="s">
        <v>1124</v>
      </c>
      <c r="L100" s="445"/>
      <c r="M100" s="446"/>
      <c r="N100" s="446"/>
      <c r="O100" s="446"/>
      <c r="P100" s="436"/>
      <c r="Q100" s="436" t="n">
        <v>1</v>
      </c>
      <c r="R100" s="436"/>
      <c r="S100" s="436"/>
      <c r="T100" s="436"/>
      <c r="U100" s="436"/>
      <c r="V100" s="436"/>
      <c r="W100" s="436"/>
      <c r="X100" s="436"/>
      <c r="Y100" s="436"/>
      <c r="Z100" s="436"/>
      <c r="AA100" s="436"/>
      <c r="AB100" s="436"/>
      <c r="AC100" s="436"/>
      <c r="AD100" s="436" t="n">
        <v>0.5</v>
      </c>
      <c r="AE100" s="436"/>
      <c r="AF100" s="436"/>
      <c r="AG100" s="436"/>
      <c r="AH100" s="436"/>
      <c r="AI100" s="437"/>
      <c r="AJ100" s="436"/>
      <c r="AK100" s="438"/>
      <c r="AQ100" s="342" t="s">
        <v>1124</v>
      </c>
      <c r="AR100" s="439" t="n">
        <f aca="false">L100^2</f>
        <v>0</v>
      </c>
      <c r="AS100" s="440" t="n">
        <f aca="false">M100^2</f>
        <v>0</v>
      </c>
      <c r="AT100" s="440" t="n">
        <f aca="false">N100^2</f>
        <v>0</v>
      </c>
      <c r="AU100" s="440" t="n">
        <f aca="false">O100^2</f>
        <v>0</v>
      </c>
      <c r="AV100" s="440" t="n">
        <f aca="false">P100^2</f>
        <v>0</v>
      </c>
      <c r="AW100" s="440" t="n">
        <f aca="false">Q100^2</f>
        <v>1</v>
      </c>
      <c r="AX100" s="440" t="n">
        <f aca="false">R100^2</f>
        <v>0</v>
      </c>
      <c r="AY100" s="440" t="n">
        <f aca="false">S100^2</f>
        <v>0</v>
      </c>
      <c r="AZ100" s="440" t="n">
        <f aca="false">T100^2</f>
        <v>0</v>
      </c>
      <c r="BA100" s="440" t="n">
        <f aca="false">U100^2</f>
        <v>0</v>
      </c>
      <c r="BB100" s="440" t="n">
        <f aca="false">V100^2</f>
        <v>0</v>
      </c>
      <c r="BC100" s="440" t="n">
        <f aca="false">W100^2</f>
        <v>0</v>
      </c>
      <c r="BD100" s="440" t="n">
        <f aca="false">X100^2</f>
        <v>0</v>
      </c>
      <c r="BE100" s="440" t="n">
        <f aca="false">Y100^2</f>
        <v>0</v>
      </c>
      <c r="BF100" s="440" t="n">
        <f aca="false">Z100^2</f>
        <v>0</v>
      </c>
      <c r="BG100" s="440" t="n">
        <f aca="false">AA100^2</f>
        <v>0</v>
      </c>
      <c r="BH100" s="440" t="n">
        <f aca="false">AB100^2</f>
        <v>0</v>
      </c>
      <c r="BI100" s="440" t="n">
        <f aca="false">AC100^2</f>
        <v>0</v>
      </c>
      <c r="BJ100" s="440" t="n">
        <f aca="false">AD100^2</f>
        <v>0.25</v>
      </c>
      <c r="BK100" s="440" t="n">
        <f aca="false">AE100^2</f>
        <v>0</v>
      </c>
      <c r="BL100" s="440" t="n">
        <f aca="false">AF100^2</f>
        <v>0</v>
      </c>
      <c r="BM100" s="440" t="n">
        <f aca="false">AG100^2</f>
        <v>0</v>
      </c>
      <c r="BN100" s="440" t="n">
        <f aca="false">AH100^2</f>
        <v>0</v>
      </c>
      <c r="BO100" s="440" t="n">
        <f aca="false">AI100^2</f>
        <v>0</v>
      </c>
      <c r="BP100" s="440" t="n">
        <f aca="false">AJ100^2</f>
        <v>0</v>
      </c>
      <c r="BQ100" s="441" t="n">
        <f aca="false">-SIGN(AK100)*AK100^2</f>
        <v>-0</v>
      </c>
    </row>
    <row r="101" customFormat="false" ht="12.75" hidden="false" customHeight="false" outlineLevel="0" collapsed="false">
      <c r="B101" s="353" t="s">
        <v>1134</v>
      </c>
      <c r="C101" s="354" t="s">
        <v>1135</v>
      </c>
      <c r="D101" s="290" t="n">
        <f aca="false">IF(F101="","",IF(H101="","",ROUND(F101-0.001*298.15*(H101-SUMPRODUCT(L101:AK101*AR$13:BQ$13)),3)))</f>
        <v>-898.334</v>
      </c>
      <c r="E101" s="137" t="n">
        <f aca="false">IF(G101="","",IF(I101="","",ROUND(2*SQRT((0.5*G101)^2+(0.001*298.15)^2*((0.5*I101)^2+SUMPRODUCT(AR101:BQ101*AR$15:BQ$15))),3)))</f>
        <v>0.965</v>
      </c>
      <c r="F101" s="368" t="s">
        <v>1136</v>
      </c>
      <c r="G101" s="369" t="s">
        <v>1137</v>
      </c>
      <c r="H101" s="181" t="s">
        <v>1138</v>
      </c>
      <c r="I101" s="165" t="s">
        <v>742</v>
      </c>
      <c r="J101" s="133"/>
      <c r="K101" s="342" t="s">
        <v>1135</v>
      </c>
      <c r="L101" s="434"/>
      <c r="M101" s="435"/>
      <c r="N101" s="435"/>
      <c r="O101" s="435"/>
      <c r="P101" s="436"/>
      <c r="Q101" s="436" t="n">
        <v>1</v>
      </c>
      <c r="R101" s="436"/>
      <c r="S101" s="436"/>
      <c r="T101" s="436"/>
      <c r="U101" s="436"/>
      <c r="V101" s="436" t="n">
        <v>1</v>
      </c>
      <c r="W101" s="436"/>
      <c r="X101" s="436"/>
      <c r="Y101" s="436"/>
      <c r="Z101" s="436"/>
      <c r="AA101" s="436"/>
      <c r="AB101" s="436"/>
      <c r="AC101" s="436"/>
      <c r="AD101" s="436" t="n">
        <v>1</v>
      </c>
      <c r="AE101" s="436"/>
      <c r="AF101" s="436"/>
      <c r="AG101" s="436"/>
      <c r="AH101" s="436"/>
      <c r="AI101" s="437"/>
      <c r="AJ101" s="436"/>
      <c r="AK101" s="438"/>
      <c r="AQ101" s="342" t="s">
        <v>1135</v>
      </c>
      <c r="AR101" s="439" t="n">
        <f aca="false">L101^2</f>
        <v>0</v>
      </c>
      <c r="AS101" s="440" t="n">
        <f aca="false">M101^2</f>
        <v>0</v>
      </c>
      <c r="AT101" s="440" t="n">
        <f aca="false">N101^2</f>
        <v>0</v>
      </c>
      <c r="AU101" s="440" t="n">
        <f aca="false">O101^2</f>
        <v>0</v>
      </c>
      <c r="AV101" s="440" t="n">
        <f aca="false">P101^2</f>
        <v>0</v>
      </c>
      <c r="AW101" s="440" t="n">
        <f aca="false">Q101^2</f>
        <v>1</v>
      </c>
      <c r="AX101" s="440" t="n">
        <f aca="false">R101^2</f>
        <v>0</v>
      </c>
      <c r="AY101" s="440" t="n">
        <f aca="false">S101^2</f>
        <v>0</v>
      </c>
      <c r="AZ101" s="440" t="n">
        <f aca="false">T101^2</f>
        <v>0</v>
      </c>
      <c r="BA101" s="440" t="n">
        <f aca="false">U101^2</f>
        <v>0</v>
      </c>
      <c r="BB101" s="440" t="n">
        <f aca="false">V101^2</f>
        <v>1</v>
      </c>
      <c r="BC101" s="440" t="n">
        <f aca="false">W101^2</f>
        <v>0</v>
      </c>
      <c r="BD101" s="440" t="n">
        <f aca="false">X101^2</f>
        <v>0</v>
      </c>
      <c r="BE101" s="440" t="n">
        <f aca="false">Y101^2</f>
        <v>0</v>
      </c>
      <c r="BF101" s="440" t="n">
        <f aca="false">Z101^2</f>
        <v>0</v>
      </c>
      <c r="BG101" s="440" t="n">
        <f aca="false">AA101^2</f>
        <v>0</v>
      </c>
      <c r="BH101" s="440" t="n">
        <f aca="false">AB101^2</f>
        <v>0</v>
      </c>
      <c r="BI101" s="440" t="n">
        <f aca="false">AC101^2</f>
        <v>0</v>
      </c>
      <c r="BJ101" s="440" t="n">
        <f aca="false">AD101^2</f>
        <v>1</v>
      </c>
      <c r="BK101" s="440" t="n">
        <f aca="false">AE101^2</f>
        <v>0</v>
      </c>
      <c r="BL101" s="440" t="n">
        <f aca="false">AF101^2</f>
        <v>0</v>
      </c>
      <c r="BM101" s="440" t="n">
        <f aca="false">AG101^2</f>
        <v>0</v>
      </c>
      <c r="BN101" s="440" t="n">
        <f aca="false">AH101^2</f>
        <v>0</v>
      </c>
      <c r="BO101" s="440" t="n">
        <f aca="false">AI101^2</f>
        <v>0</v>
      </c>
      <c r="BP101" s="440" t="n">
        <f aca="false">AJ101^2</f>
        <v>0</v>
      </c>
      <c r="BQ101" s="441" t="n">
        <f aca="false">-SIGN(AK101)*AK101^2</f>
        <v>-0</v>
      </c>
    </row>
    <row r="102" customFormat="false" ht="12.75" hidden="false" customHeight="false" outlineLevel="0" collapsed="false">
      <c r="B102" s="353" t="s">
        <v>1139</v>
      </c>
      <c r="C102" s="354" t="s">
        <v>1140</v>
      </c>
      <c r="D102" s="290" t="n">
        <f aca="false">IF(F102="","",IF(H102="","",ROUND(F102-0.001*298.15*(H102-SUMPRODUCT(L102:AK102*AR$13:BQ$13)),3)))</f>
        <v>-1129.463</v>
      </c>
      <c r="E102" s="137" t="n">
        <f aca="false">IF(G102="","",IF(I102="","",ROUND(2*SQRT((0.5*G102)^2+(0.001*298.15)^2*((0.5*I102)^2+SUMPRODUCT(AR102:BQ102*AR$15:BQ$15))),3)))</f>
        <v>1.203</v>
      </c>
      <c r="F102" s="368" t="s">
        <v>1141</v>
      </c>
      <c r="G102" s="369" t="s">
        <v>1142</v>
      </c>
      <c r="H102" s="181" t="s">
        <v>1143</v>
      </c>
      <c r="I102" s="165" t="s">
        <v>740</v>
      </c>
      <c r="J102" s="133"/>
      <c r="K102" s="342" t="s">
        <v>1140</v>
      </c>
      <c r="L102" s="445"/>
      <c r="M102" s="446"/>
      <c r="N102" s="446"/>
      <c r="O102" s="446"/>
      <c r="P102" s="436" t="n">
        <v>1</v>
      </c>
      <c r="Q102" s="436" t="n">
        <v>1</v>
      </c>
      <c r="R102" s="436"/>
      <c r="S102" s="436"/>
      <c r="T102" s="436"/>
      <c r="U102" s="436"/>
      <c r="V102" s="436"/>
      <c r="W102" s="436"/>
      <c r="X102" s="436"/>
      <c r="Y102" s="436"/>
      <c r="Z102" s="436"/>
      <c r="AA102" s="436"/>
      <c r="AB102" s="436"/>
      <c r="AC102" s="436"/>
      <c r="AD102" s="436" t="n">
        <v>1.5</v>
      </c>
      <c r="AE102" s="436"/>
      <c r="AF102" s="436"/>
      <c r="AG102" s="436"/>
      <c r="AH102" s="436"/>
      <c r="AI102" s="437"/>
      <c r="AJ102" s="436"/>
      <c r="AK102" s="438"/>
      <c r="AQ102" s="342" t="s">
        <v>1140</v>
      </c>
      <c r="AR102" s="439" t="n">
        <f aca="false">L102^2</f>
        <v>0</v>
      </c>
      <c r="AS102" s="440" t="n">
        <f aca="false">M102^2</f>
        <v>0</v>
      </c>
      <c r="AT102" s="440" t="n">
        <f aca="false">N102^2</f>
        <v>0</v>
      </c>
      <c r="AU102" s="440" t="n">
        <f aca="false">O102^2</f>
        <v>0</v>
      </c>
      <c r="AV102" s="440" t="n">
        <f aca="false">P102^2</f>
        <v>1</v>
      </c>
      <c r="AW102" s="440" t="n">
        <f aca="false">Q102^2</f>
        <v>1</v>
      </c>
      <c r="AX102" s="440" t="n">
        <f aca="false">R102^2</f>
        <v>0</v>
      </c>
      <c r="AY102" s="440" t="n">
        <f aca="false">S102^2</f>
        <v>0</v>
      </c>
      <c r="AZ102" s="440" t="n">
        <f aca="false">T102^2</f>
        <v>0</v>
      </c>
      <c r="BA102" s="440" t="n">
        <f aca="false">U102^2</f>
        <v>0</v>
      </c>
      <c r="BB102" s="440" t="n">
        <f aca="false">V102^2</f>
        <v>0</v>
      </c>
      <c r="BC102" s="440" t="n">
        <f aca="false">W102^2</f>
        <v>0</v>
      </c>
      <c r="BD102" s="440" t="n">
        <f aca="false">X102^2</f>
        <v>0</v>
      </c>
      <c r="BE102" s="440" t="n">
        <f aca="false">Y102^2</f>
        <v>0</v>
      </c>
      <c r="BF102" s="440" t="n">
        <f aca="false">Z102^2</f>
        <v>0</v>
      </c>
      <c r="BG102" s="440" t="n">
        <f aca="false">AA102^2</f>
        <v>0</v>
      </c>
      <c r="BH102" s="440" t="n">
        <f aca="false">AB102^2</f>
        <v>0</v>
      </c>
      <c r="BI102" s="440" t="n">
        <f aca="false">AC102^2</f>
        <v>0</v>
      </c>
      <c r="BJ102" s="440" t="n">
        <f aca="false">AD102^2</f>
        <v>2.25</v>
      </c>
      <c r="BK102" s="440" t="n">
        <f aca="false">AE102^2</f>
        <v>0</v>
      </c>
      <c r="BL102" s="440" t="n">
        <f aca="false">AF102^2</f>
        <v>0</v>
      </c>
      <c r="BM102" s="440" t="n">
        <f aca="false">AG102^2</f>
        <v>0</v>
      </c>
      <c r="BN102" s="440" t="n">
        <f aca="false">AH102^2</f>
        <v>0</v>
      </c>
      <c r="BO102" s="440" t="n">
        <f aca="false">AI102^2</f>
        <v>0</v>
      </c>
      <c r="BP102" s="440" t="n">
        <f aca="false">AJ102^2</f>
        <v>0</v>
      </c>
      <c r="BQ102" s="441" t="n">
        <f aca="false">-SIGN(AK102)*AK102^2</f>
        <v>-0</v>
      </c>
    </row>
    <row r="103" customFormat="false" ht="12.75" hidden="false" customHeight="false" outlineLevel="0" collapsed="false">
      <c r="B103" s="353" t="s">
        <v>1144</v>
      </c>
      <c r="C103" s="354" t="s">
        <v>1145</v>
      </c>
      <c r="D103" s="290" t="str">
        <f aca="false">IF(F103="","",IF(H103="","",ROUND(F103-0.001*298.15*(H103-SUMPRODUCT(L103:AK103*AR$13:BQ$13)),3)))</f>
        <v/>
      </c>
      <c r="E103" s="137" t="str">
        <f aca="false">IF(G103="","",IF(I103="","",ROUND(2*SQRT((0.5*G103)^2+(0.001*298.15)^2*((0.5*I103)^2+SUMPRODUCT(AR103:BQ103*AR$15:BQ$15))),3)))</f>
        <v/>
      </c>
      <c r="F103" s="300"/>
      <c r="G103" s="301"/>
      <c r="H103" s="300"/>
      <c r="I103" s="301"/>
      <c r="J103" s="133"/>
      <c r="K103" s="140" t="s">
        <v>1145</v>
      </c>
      <c r="L103" s="434"/>
      <c r="M103" s="435"/>
      <c r="N103" s="435"/>
      <c r="O103" s="435"/>
      <c r="P103" s="436"/>
      <c r="Q103" s="436" t="n">
        <v>1</v>
      </c>
      <c r="R103" s="436"/>
      <c r="S103" s="436"/>
      <c r="T103" s="436"/>
      <c r="U103" s="436"/>
      <c r="V103" s="436"/>
      <c r="W103" s="436"/>
      <c r="X103" s="436"/>
      <c r="Y103" s="436"/>
      <c r="Z103" s="436"/>
      <c r="AA103" s="436"/>
      <c r="AB103" s="436"/>
      <c r="AC103" s="436"/>
      <c r="AD103" s="436" t="n">
        <v>1.5</v>
      </c>
      <c r="AE103" s="436"/>
      <c r="AF103" s="436"/>
      <c r="AG103" s="436"/>
      <c r="AH103" s="436"/>
      <c r="AI103" s="437" t="n">
        <v>1</v>
      </c>
      <c r="AJ103" s="436"/>
      <c r="AK103" s="438"/>
      <c r="AQ103" s="140" t="s">
        <v>1145</v>
      </c>
      <c r="AR103" s="439" t="n">
        <f aca="false">L103^2</f>
        <v>0</v>
      </c>
      <c r="AS103" s="440" t="n">
        <f aca="false">M103^2</f>
        <v>0</v>
      </c>
      <c r="AT103" s="440" t="n">
        <f aca="false">N103^2</f>
        <v>0</v>
      </c>
      <c r="AU103" s="440" t="n">
        <f aca="false">O103^2</f>
        <v>0</v>
      </c>
      <c r="AV103" s="440" t="n">
        <f aca="false">P103^2</f>
        <v>0</v>
      </c>
      <c r="AW103" s="440" t="n">
        <f aca="false">Q103^2</f>
        <v>1</v>
      </c>
      <c r="AX103" s="440" t="n">
        <f aca="false">R103^2</f>
        <v>0</v>
      </c>
      <c r="AY103" s="440" t="n">
        <f aca="false">S103^2</f>
        <v>0</v>
      </c>
      <c r="AZ103" s="440" t="n">
        <f aca="false">T103^2</f>
        <v>0</v>
      </c>
      <c r="BA103" s="440" t="n">
        <f aca="false">U103^2</f>
        <v>0</v>
      </c>
      <c r="BB103" s="440" t="n">
        <f aca="false">V103^2</f>
        <v>0</v>
      </c>
      <c r="BC103" s="440" t="n">
        <f aca="false">W103^2</f>
        <v>0</v>
      </c>
      <c r="BD103" s="440" t="n">
        <f aca="false">X103^2</f>
        <v>0</v>
      </c>
      <c r="BE103" s="440" t="n">
        <f aca="false">Y103^2</f>
        <v>0</v>
      </c>
      <c r="BF103" s="440" t="n">
        <f aca="false">Z103^2</f>
        <v>0</v>
      </c>
      <c r="BG103" s="440" t="n">
        <f aca="false">AA103^2</f>
        <v>0</v>
      </c>
      <c r="BH103" s="440" t="n">
        <f aca="false">AB103^2</f>
        <v>0</v>
      </c>
      <c r="BI103" s="440" t="n">
        <f aca="false">AC103^2</f>
        <v>0</v>
      </c>
      <c r="BJ103" s="440" t="n">
        <f aca="false">AD103^2</f>
        <v>2.25</v>
      </c>
      <c r="BK103" s="440" t="n">
        <f aca="false">AE103^2</f>
        <v>0</v>
      </c>
      <c r="BL103" s="440" t="n">
        <f aca="false">AF103^2</f>
        <v>0</v>
      </c>
      <c r="BM103" s="440" t="n">
        <f aca="false">AG103^2</f>
        <v>0</v>
      </c>
      <c r="BN103" s="440" t="n">
        <f aca="false">AH103^2</f>
        <v>0</v>
      </c>
      <c r="BO103" s="440" t="n">
        <f aca="false">AI103^2</f>
        <v>1</v>
      </c>
      <c r="BP103" s="440" t="n">
        <f aca="false">AJ103^2</f>
        <v>0</v>
      </c>
      <c r="BQ103" s="441" t="n">
        <f aca="false">-SIGN(AK103)*AK103^2</f>
        <v>-0</v>
      </c>
    </row>
    <row r="104" customFormat="false" ht="12.75" hidden="false" customHeight="false" outlineLevel="0" collapsed="false">
      <c r="B104" s="354" t="s">
        <v>1146</v>
      </c>
      <c r="C104" s="354" t="s">
        <v>1146</v>
      </c>
      <c r="D104" s="290" t="str">
        <f aca="false">IF(F104="","",IF(H104="","",ROUND(F104-0.001*298.15*(H104-SUMPRODUCT(L104:AK104*AR$13:BQ$13)),3)))</f>
        <v/>
      </c>
      <c r="E104" s="137" t="str">
        <f aca="false">IF(G104="","",IF(I104="","",ROUND(2*SQRT((0.5*G104)^2+(0.001*298.15)^2*((0.5*I104)^2+SUMPRODUCT(AR104:BQ104*AR$15:BQ$15))),3)))</f>
        <v/>
      </c>
      <c r="F104" s="300"/>
      <c r="G104" s="301"/>
      <c r="H104" s="300"/>
      <c r="I104" s="301"/>
      <c r="J104" s="133"/>
      <c r="K104" s="342" t="s">
        <v>1146</v>
      </c>
      <c r="L104" s="434"/>
      <c r="M104" s="435"/>
      <c r="N104" s="435"/>
      <c r="O104" s="435"/>
      <c r="P104" s="436"/>
      <c r="Q104" s="436"/>
      <c r="R104" s="436"/>
      <c r="S104" s="436"/>
      <c r="T104" s="436"/>
      <c r="U104" s="436"/>
      <c r="V104" s="436"/>
      <c r="W104" s="436"/>
      <c r="X104" s="436"/>
      <c r="Y104" s="436"/>
      <c r="Z104" s="436"/>
      <c r="AA104" s="436"/>
      <c r="AB104" s="436" t="n">
        <v>2</v>
      </c>
      <c r="AC104" s="436"/>
      <c r="AD104" s="436" t="n">
        <v>0.5</v>
      </c>
      <c r="AE104" s="436"/>
      <c r="AF104" s="436"/>
      <c r="AG104" s="436"/>
      <c r="AH104" s="436"/>
      <c r="AI104" s="437"/>
      <c r="AJ104" s="436"/>
      <c r="AK104" s="438"/>
      <c r="AQ104" s="342" t="s">
        <v>1146</v>
      </c>
      <c r="AR104" s="439" t="n">
        <f aca="false">L104^2</f>
        <v>0</v>
      </c>
      <c r="AS104" s="440" t="n">
        <f aca="false">M104^2</f>
        <v>0</v>
      </c>
      <c r="AT104" s="440" t="n">
        <f aca="false">N104^2</f>
        <v>0</v>
      </c>
      <c r="AU104" s="440" t="n">
        <f aca="false">O104^2</f>
        <v>0</v>
      </c>
      <c r="AV104" s="440" t="n">
        <f aca="false">P104^2</f>
        <v>0</v>
      </c>
      <c r="AW104" s="440" t="n">
        <f aca="false">Q104^2</f>
        <v>0</v>
      </c>
      <c r="AX104" s="440" t="n">
        <f aca="false">R104^2</f>
        <v>0</v>
      </c>
      <c r="AY104" s="440" t="n">
        <f aca="false">S104^2</f>
        <v>0</v>
      </c>
      <c r="AZ104" s="440" t="n">
        <f aca="false">T104^2</f>
        <v>0</v>
      </c>
      <c r="BA104" s="440" t="n">
        <f aca="false">U104^2</f>
        <v>0</v>
      </c>
      <c r="BB104" s="440" t="n">
        <f aca="false">V104^2</f>
        <v>0</v>
      </c>
      <c r="BC104" s="440" t="n">
        <f aca="false">W104^2</f>
        <v>0</v>
      </c>
      <c r="BD104" s="440" t="n">
        <f aca="false">X104^2</f>
        <v>0</v>
      </c>
      <c r="BE104" s="440" t="n">
        <f aca="false">Y104^2</f>
        <v>0</v>
      </c>
      <c r="BF104" s="440" t="n">
        <f aca="false">Z104^2</f>
        <v>0</v>
      </c>
      <c r="BG104" s="440" t="n">
        <f aca="false">AA104^2</f>
        <v>0</v>
      </c>
      <c r="BH104" s="440" t="n">
        <f aca="false">AB104^2</f>
        <v>4</v>
      </c>
      <c r="BI104" s="440" t="n">
        <f aca="false">AC104^2</f>
        <v>0</v>
      </c>
      <c r="BJ104" s="440" t="n">
        <f aca="false">AD104^2</f>
        <v>0.25</v>
      </c>
      <c r="BK104" s="440" t="n">
        <f aca="false">AE104^2</f>
        <v>0</v>
      </c>
      <c r="BL104" s="440" t="n">
        <f aca="false">AF104^2</f>
        <v>0</v>
      </c>
      <c r="BM104" s="440" t="n">
        <f aca="false">AG104^2</f>
        <v>0</v>
      </c>
      <c r="BN104" s="440" t="n">
        <f aca="false">AH104^2</f>
        <v>0</v>
      </c>
      <c r="BO104" s="440" t="n">
        <f aca="false">AI104^2</f>
        <v>0</v>
      </c>
      <c r="BP104" s="440" t="n">
        <f aca="false">AJ104^2</f>
        <v>0</v>
      </c>
      <c r="BQ104" s="441" t="n">
        <f aca="false">-SIGN(AK104)*AK104^2</f>
        <v>-0</v>
      </c>
    </row>
    <row r="105" customFormat="false" ht="12.75" hidden="false" customHeight="false" outlineLevel="0" collapsed="false">
      <c r="B105" s="353" t="s">
        <v>1147</v>
      </c>
      <c r="C105" s="354" t="s">
        <v>1148</v>
      </c>
      <c r="D105" s="290" t="str">
        <f aca="false">IF(F105="","",IF(H105="","",ROUND(F105-0.001*298.15*(H105-SUMPRODUCT(L105:AK105*AR$13:BQ$13)),3)))</f>
        <v/>
      </c>
      <c r="E105" s="137" t="str">
        <f aca="false">IF(G105="","",IF(I105="","",ROUND(2*SQRT((0.5*G105)^2+(0.001*298.15)^2*((0.5*I105)^2+SUMPRODUCT(AR105:BQ105*AR$15:BQ$15))),3)))</f>
        <v/>
      </c>
      <c r="F105" s="300"/>
      <c r="G105" s="301"/>
      <c r="H105" s="181" t="s">
        <v>1149</v>
      </c>
      <c r="I105" s="165" t="s">
        <v>728</v>
      </c>
      <c r="J105" s="133"/>
      <c r="K105" s="342" t="s">
        <v>1148</v>
      </c>
      <c r="L105" s="434"/>
      <c r="M105" s="435"/>
      <c r="N105" s="435"/>
      <c r="O105" s="435"/>
      <c r="P105" s="436"/>
      <c r="Q105" s="436"/>
      <c r="R105" s="436" t="n">
        <v>0.5</v>
      </c>
      <c r="S105" s="436"/>
      <c r="T105" s="436"/>
      <c r="U105" s="436"/>
      <c r="V105" s="436"/>
      <c r="W105" s="436"/>
      <c r="X105" s="436"/>
      <c r="Y105" s="436"/>
      <c r="Z105" s="436"/>
      <c r="AA105" s="436"/>
      <c r="AB105" s="436" t="n">
        <v>1</v>
      </c>
      <c r="AC105" s="436"/>
      <c r="AD105" s="436"/>
      <c r="AE105" s="436"/>
      <c r="AF105" s="436"/>
      <c r="AG105" s="436"/>
      <c r="AH105" s="436"/>
      <c r="AI105" s="437"/>
      <c r="AJ105" s="436"/>
      <c r="AK105" s="438"/>
      <c r="AQ105" s="342" t="s">
        <v>1148</v>
      </c>
      <c r="AR105" s="439" t="n">
        <f aca="false">L105^2</f>
        <v>0</v>
      </c>
      <c r="AS105" s="440" t="n">
        <f aca="false">M105^2</f>
        <v>0</v>
      </c>
      <c r="AT105" s="440" t="n">
        <f aca="false">N105^2</f>
        <v>0</v>
      </c>
      <c r="AU105" s="440" t="n">
        <f aca="false">O105^2</f>
        <v>0</v>
      </c>
      <c r="AV105" s="440" t="n">
        <f aca="false">P105^2</f>
        <v>0</v>
      </c>
      <c r="AW105" s="440" t="n">
        <f aca="false">Q105^2</f>
        <v>0</v>
      </c>
      <c r="AX105" s="440" t="n">
        <f aca="false">R105^2</f>
        <v>0.25</v>
      </c>
      <c r="AY105" s="440" t="n">
        <f aca="false">S105^2</f>
        <v>0</v>
      </c>
      <c r="AZ105" s="440" t="n">
        <f aca="false">T105^2</f>
        <v>0</v>
      </c>
      <c r="BA105" s="440" t="n">
        <f aca="false">U105^2</f>
        <v>0</v>
      </c>
      <c r="BB105" s="440" t="n">
        <f aca="false">V105^2</f>
        <v>0</v>
      </c>
      <c r="BC105" s="440" t="n">
        <f aca="false">W105^2</f>
        <v>0</v>
      </c>
      <c r="BD105" s="440" t="n">
        <f aca="false">X105^2</f>
        <v>0</v>
      </c>
      <c r="BE105" s="440" t="n">
        <f aca="false">Y105^2</f>
        <v>0</v>
      </c>
      <c r="BF105" s="440" t="n">
        <f aca="false">Z105^2</f>
        <v>0</v>
      </c>
      <c r="BG105" s="440" t="n">
        <f aca="false">AA105^2</f>
        <v>0</v>
      </c>
      <c r="BH105" s="440" t="n">
        <f aca="false">AB105^2</f>
        <v>1</v>
      </c>
      <c r="BI105" s="440" t="n">
        <f aca="false">AC105^2</f>
        <v>0</v>
      </c>
      <c r="BJ105" s="440" t="n">
        <f aca="false">AD105^2</f>
        <v>0</v>
      </c>
      <c r="BK105" s="440" t="n">
        <f aca="false">AE105^2</f>
        <v>0</v>
      </c>
      <c r="BL105" s="440" t="n">
        <f aca="false">AF105^2</f>
        <v>0</v>
      </c>
      <c r="BM105" s="440" t="n">
        <f aca="false">AG105^2</f>
        <v>0</v>
      </c>
      <c r="BN105" s="440" t="n">
        <f aca="false">AH105^2</f>
        <v>0</v>
      </c>
      <c r="BO105" s="440" t="n">
        <f aca="false">AI105^2</f>
        <v>0</v>
      </c>
      <c r="BP105" s="440" t="n">
        <f aca="false">AJ105^2</f>
        <v>0</v>
      </c>
      <c r="BQ105" s="441" t="n">
        <f aca="false">-SIGN(AK105)*AK105^2</f>
        <v>-0</v>
      </c>
    </row>
    <row r="106" customFormat="false" ht="12.75" hidden="false" customHeight="false" outlineLevel="0" collapsed="false">
      <c r="B106" s="354" t="s">
        <v>1154</v>
      </c>
      <c r="C106" s="354" t="s">
        <v>1154</v>
      </c>
      <c r="D106" s="290" t="str">
        <f aca="false">IF(F106="","",IF(H106="","",ROUND(F106-0.001*298.15*(H106-SUMPRODUCT(L106:AK106*AR$13:BQ$13)),3)))</f>
        <v/>
      </c>
      <c r="E106" s="137" t="str">
        <f aca="false">IF(G106="","",IF(I106="","",ROUND(2*SQRT((0.5*G106)^2+(0.001*298.15)^2*((0.5*I106)^2+SUMPRODUCT(AR106:BQ106*AR$15:BQ$15))),3)))</f>
        <v/>
      </c>
      <c r="F106" s="300"/>
      <c r="G106" s="301"/>
      <c r="H106" s="291"/>
      <c r="I106" s="292"/>
      <c r="J106" s="133"/>
      <c r="K106" s="342" t="s">
        <v>1154</v>
      </c>
      <c r="L106" s="434"/>
      <c r="M106" s="435"/>
      <c r="N106" s="435"/>
      <c r="O106" s="435"/>
      <c r="P106" s="436"/>
      <c r="Q106" s="436"/>
      <c r="R106" s="436"/>
      <c r="S106" s="436"/>
      <c r="T106" s="436"/>
      <c r="U106" s="436"/>
      <c r="V106" s="436"/>
      <c r="W106" s="436"/>
      <c r="X106" s="436" t="n">
        <v>2</v>
      </c>
      <c r="Y106" s="436"/>
      <c r="Z106" s="436"/>
      <c r="AA106" s="436"/>
      <c r="AB106" s="436"/>
      <c r="AC106" s="436"/>
      <c r="AD106" s="436" t="n">
        <v>0.5</v>
      </c>
      <c r="AE106" s="436"/>
      <c r="AF106" s="436"/>
      <c r="AG106" s="436"/>
      <c r="AH106" s="436"/>
      <c r="AI106" s="437"/>
      <c r="AJ106" s="436"/>
      <c r="AK106" s="438"/>
      <c r="AQ106" s="342" t="s">
        <v>1154</v>
      </c>
      <c r="AR106" s="439" t="n">
        <f aca="false">L106^2</f>
        <v>0</v>
      </c>
      <c r="AS106" s="440" t="n">
        <f aca="false">M106^2</f>
        <v>0</v>
      </c>
      <c r="AT106" s="440" t="n">
        <f aca="false">N106^2</f>
        <v>0</v>
      </c>
      <c r="AU106" s="440" t="n">
        <f aca="false">O106^2</f>
        <v>0</v>
      </c>
      <c r="AV106" s="440" t="n">
        <f aca="false">P106^2</f>
        <v>0</v>
      </c>
      <c r="AW106" s="440" t="n">
        <f aca="false">Q106^2</f>
        <v>0</v>
      </c>
      <c r="AX106" s="440" t="n">
        <f aca="false">R106^2</f>
        <v>0</v>
      </c>
      <c r="AY106" s="440" t="n">
        <f aca="false">S106^2</f>
        <v>0</v>
      </c>
      <c r="AZ106" s="440" t="n">
        <f aca="false">T106^2</f>
        <v>0</v>
      </c>
      <c r="BA106" s="440" t="n">
        <f aca="false">U106^2</f>
        <v>0</v>
      </c>
      <c r="BB106" s="440" t="n">
        <f aca="false">V106^2</f>
        <v>0</v>
      </c>
      <c r="BC106" s="440" t="n">
        <f aca="false">W106^2</f>
        <v>0</v>
      </c>
      <c r="BD106" s="440" t="n">
        <f aca="false">X106^2</f>
        <v>4</v>
      </c>
      <c r="BE106" s="440" t="n">
        <f aca="false">Y106^2</f>
        <v>0</v>
      </c>
      <c r="BF106" s="440" t="n">
        <f aca="false">Z106^2</f>
        <v>0</v>
      </c>
      <c r="BG106" s="440" t="n">
        <f aca="false">AA106^2</f>
        <v>0</v>
      </c>
      <c r="BH106" s="440" t="n">
        <f aca="false">AB106^2</f>
        <v>0</v>
      </c>
      <c r="BI106" s="440" t="n">
        <f aca="false">AC106^2</f>
        <v>0</v>
      </c>
      <c r="BJ106" s="440" t="n">
        <f aca="false">AD106^2</f>
        <v>0.25</v>
      </c>
      <c r="BK106" s="440" t="n">
        <f aca="false">AE106^2</f>
        <v>0</v>
      </c>
      <c r="BL106" s="440" t="n">
        <f aca="false">AF106^2</f>
        <v>0</v>
      </c>
      <c r="BM106" s="440" t="n">
        <f aca="false">AG106^2</f>
        <v>0</v>
      </c>
      <c r="BN106" s="440" t="n">
        <f aca="false">AH106^2</f>
        <v>0</v>
      </c>
      <c r="BO106" s="440" t="n">
        <f aca="false">AI106^2</f>
        <v>0</v>
      </c>
      <c r="BP106" s="440" t="n">
        <f aca="false">AJ106^2</f>
        <v>0</v>
      </c>
      <c r="BQ106" s="441" t="n">
        <f aca="false">-SIGN(AK106)*AK106^2</f>
        <v>-0</v>
      </c>
    </row>
    <row r="107" customFormat="false" ht="13.5" hidden="false" customHeight="false" outlineLevel="0" collapsed="false">
      <c r="B107" s="374" t="s">
        <v>1155</v>
      </c>
      <c r="C107" s="375" t="s">
        <v>1156</v>
      </c>
      <c r="D107" s="305" t="str">
        <f aca="false">IF(F107="","",IF(H107="","",ROUND(F107-0.001*298.15*(H107-SUMPRODUCT(L107:AK107*AR$13:BQ$13)),3)))</f>
        <v/>
      </c>
      <c r="E107" s="145" t="str">
        <f aca="false">IF(G107="","",IF(I107="","",ROUND(2*SQRT((0.5*G107)^2+(0.001*298.15)^2*((0.5*I107)^2+SUMPRODUCT(AR107:BQ107*AR$15:BQ$15))),3)))</f>
        <v/>
      </c>
      <c r="F107" s="306"/>
      <c r="G107" s="307"/>
      <c r="H107" s="376" t="s">
        <v>1157</v>
      </c>
      <c r="I107" s="92" t="s">
        <v>728</v>
      </c>
      <c r="J107" s="10"/>
      <c r="K107" s="374" t="s">
        <v>1156</v>
      </c>
      <c r="L107" s="447"/>
      <c r="M107" s="448"/>
      <c r="N107" s="448"/>
      <c r="O107" s="448"/>
      <c r="P107" s="449"/>
      <c r="Q107" s="449"/>
      <c r="R107" s="449" t="n">
        <v>0.5</v>
      </c>
      <c r="S107" s="449"/>
      <c r="T107" s="449"/>
      <c r="U107" s="449"/>
      <c r="V107" s="449"/>
      <c r="W107" s="449"/>
      <c r="X107" s="449" t="n">
        <v>1</v>
      </c>
      <c r="Y107" s="449"/>
      <c r="Z107" s="449"/>
      <c r="AA107" s="449"/>
      <c r="AB107" s="449"/>
      <c r="AC107" s="449"/>
      <c r="AD107" s="449"/>
      <c r="AE107" s="449"/>
      <c r="AF107" s="449"/>
      <c r="AG107" s="449"/>
      <c r="AH107" s="449"/>
      <c r="AI107" s="450"/>
      <c r="AJ107" s="449"/>
      <c r="AK107" s="451"/>
      <c r="AQ107" s="374" t="s">
        <v>1156</v>
      </c>
      <c r="AR107" s="452" t="n">
        <f aca="false">L107^2</f>
        <v>0</v>
      </c>
      <c r="AS107" s="453" t="n">
        <f aca="false">M107^2</f>
        <v>0</v>
      </c>
      <c r="AT107" s="453" t="n">
        <f aca="false">N107^2</f>
        <v>0</v>
      </c>
      <c r="AU107" s="453" t="n">
        <f aca="false">O107^2</f>
        <v>0</v>
      </c>
      <c r="AV107" s="453" t="n">
        <f aca="false">P107^2</f>
        <v>0</v>
      </c>
      <c r="AW107" s="453" t="n">
        <f aca="false">Q107^2</f>
        <v>0</v>
      </c>
      <c r="AX107" s="453" t="n">
        <f aca="false">R107^2</f>
        <v>0.25</v>
      </c>
      <c r="AY107" s="453" t="n">
        <f aca="false">S107^2</f>
        <v>0</v>
      </c>
      <c r="AZ107" s="453" t="n">
        <f aca="false">T107^2</f>
        <v>0</v>
      </c>
      <c r="BA107" s="453" t="n">
        <f aca="false">U107^2</f>
        <v>0</v>
      </c>
      <c r="BB107" s="453" t="n">
        <f aca="false">V107^2</f>
        <v>0</v>
      </c>
      <c r="BC107" s="453" t="n">
        <f aca="false">W107^2</f>
        <v>0</v>
      </c>
      <c r="BD107" s="453" t="n">
        <f aca="false">X107^2</f>
        <v>1</v>
      </c>
      <c r="BE107" s="453" t="n">
        <f aca="false">Y107^2</f>
        <v>0</v>
      </c>
      <c r="BF107" s="453" t="n">
        <f aca="false">Z107^2</f>
        <v>0</v>
      </c>
      <c r="BG107" s="453" t="n">
        <f aca="false">AA107^2</f>
        <v>0</v>
      </c>
      <c r="BH107" s="453" t="n">
        <f aca="false">AB107^2</f>
        <v>0</v>
      </c>
      <c r="BI107" s="453" t="n">
        <f aca="false">AC107^2</f>
        <v>0</v>
      </c>
      <c r="BJ107" s="453" t="n">
        <f aca="false">AD107^2</f>
        <v>0</v>
      </c>
      <c r="BK107" s="453" t="n">
        <f aca="false">AE107^2</f>
        <v>0</v>
      </c>
      <c r="BL107" s="453" t="n">
        <f aca="false">AF107^2</f>
        <v>0</v>
      </c>
      <c r="BM107" s="453" t="n">
        <f aca="false">AG107^2</f>
        <v>0</v>
      </c>
      <c r="BN107" s="453" t="n">
        <f aca="false">AH107^2</f>
        <v>0</v>
      </c>
      <c r="BO107" s="453" t="n">
        <f aca="false">AI107^2</f>
        <v>0</v>
      </c>
      <c r="BP107" s="453" t="n">
        <f aca="false">AJ107^2</f>
        <v>0</v>
      </c>
      <c r="BQ107" s="454" t="n">
        <f aca="false">-SIGN(AK107)*AK107^2</f>
        <v>-0</v>
      </c>
    </row>
    <row r="108" customFormat="false" ht="13.5" hidden="false" customHeight="false" outlineLevel="0" collapsed="false">
      <c r="B108" s="280"/>
      <c r="C108" s="112"/>
      <c r="D108" s="66"/>
      <c r="E108" s="66"/>
      <c r="F108" s="66"/>
      <c r="G108" s="66"/>
      <c r="H108" s="66"/>
      <c r="I108" s="66"/>
      <c r="J108" s="10"/>
      <c r="L108" s="416" t="s">
        <v>32</v>
      </c>
      <c r="M108" s="417" t="s">
        <v>40</v>
      </c>
      <c r="N108" s="418" t="s">
        <v>41</v>
      </c>
      <c r="O108" s="418" t="s">
        <v>46</v>
      </c>
      <c r="P108" s="417" t="s">
        <v>48</v>
      </c>
      <c r="Q108" s="417" t="s">
        <v>49</v>
      </c>
      <c r="R108" s="418" t="s">
        <v>54</v>
      </c>
      <c r="S108" s="418" t="s">
        <v>59</v>
      </c>
      <c r="T108" s="418" t="s">
        <v>66</v>
      </c>
      <c r="U108" s="418" t="s">
        <v>68</v>
      </c>
      <c r="V108" s="418" t="s">
        <v>75</v>
      </c>
      <c r="W108" s="418" t="s">
        <v>82</v>
      </c>
      <c r="X108" s="418" t="s">
        <v>86</v>
      </c>
      <c r="Y108" s="418" t="s">
        <v>89</v>
      </c>
      <c r="Z108" s="417" t="s">
        <v>93</v>
      </c>
      <c r="AA108" s="418" t="s">
        <v>97</v>
      </c>
      <c r="AB108" s="418" t="s">
        <v>99</v>
      </c>
      <c r="AC108" s="417" t="s">
        <v>103</v>
      </c>
      <c r="AD108" s="418" t="s">
        <v>107</v>
      </c>
      <c r="AE108" s="417" t="s">
        <v>110</v>
      </c>
      <c r="AF108" s="418" t="s">
        <v>119</v>
      </c>
      <c r="AG108" s="418" t="s">
        <v>120</v>
      </c>
      <c r="AH108" s="418" t="s">
        <v>125</v>
      </c>
      <c r="AI108" s="417" t="s">
        <v>129</v>
      </c>
      <c r="AJ108" s="418" t="s">
        <v>132</v>
      </c>
      <c r="AK108" s="419" t="s">
        <v>1187</v>
      </c>
      <c r="AQ108" s="73"/>
      <c r="AR108" s="416" t="s">
        <v>32</v>
      </c>
      <c r="AS108" s="417" t="s">
        <v>40</v>
      </c>
      <c r="AT108" s="418" t="s">
        <v>41</v>
      </c>
      <c r="AU108" s="418" t="s">
        <v>46</v>
      </c>
      <c r="AV108" s="417" t="s">
        <v>48</v>
      </c>
      <c r="AW108" s="417" t="s">
        <v>49</v>
      </c>
      <c r="AX108" s="418" t="s">
        <v>54</v>
      </c>
      <c r="AY108" s="418" t="s">
        <v>59</v>
      </c>
      <c r="AZ108" s="418" t="s">
        <v>66</v>
      </c>
      <c r="BA108" s="418" t="s">
        <v>68</v>
      </c>
      <c r="BB108" s="418" t="s">
        <v>75</v>
      </c>
      <c r="BC108" s="418" t="s">
        <v>82</v>
      </c>
      <c r="BD108" s="418" t="s">
        <v>86</v>
      </c>
      <c r="BE108" s="418" t="s">
        <v>89</v>
      </c>
      <c r="BF108" s="417" t="s">
        <v>93</v>
      </c>
      <c r="BG108" s="418" t="s">
        <v>97</v>
      </c>
      <c r="BH108" s="418" t="s">
        <v>99</v>
      </c>
      <c r="BI108" s="417" t="s">
        <v>103</v>
      </c>
      <c r="BJ108" s="418" t="s">
        <v>107</v>
      </c>
      <c r="BK108" s="417" t="s">
        <v>110</v>
      </c>
      <c r="BL108" s="418" t="s">
        <v>119</v>
      </c>
      <c r="BM108" s="418" t="s">
        <v>120</v>
      </c>
      <c r="BN108" s="418" t="s">
        <v>125</v>
      </c>
      <c r="BO108" s="417" t="s">
        <v>129</v>
      </c>
      <c r="BP108" s="418" t="s">
        <v>132</v>
      </c>
      <c r="BQ108" s="419" t="s">
        <v>1187</v>
      </c>
    </row>
    <row r="109" customFormat="false" ht="12.75" hidden="false" customHeight="false" outlineLevel="0" collapsed="false">
      <c r="B109" s="112"/>
      <c r="C109" s="112"/>
      <c r="D109" s="457"/>
      <c r="E109" s="457"/>
      <c r="F109" s="457"/>
      <c r="G109" s="380"/>
      <c r="H109" s="381"/>
      <c r="I109" s="380"/>
      <c r="J109" s="10"/>
      <c r="K109" s="457"/>
      <c r="L109" s="457"/>
      <c r="M109" s="457"/>
      <c r="N109" s="457"/>
      <c r="O109" s="457"/>
      <c r="AQ109" s="457"/>
      <c r="AR109" s="457"/>
      <c r="AS109" s="457"/>
      <c r="AT109" s="457"/>
      <c r="AU109" s="457"/>
    </row>
    <row r="110" customFormat="false" ht="12.75" hidden="false" customHeight="false" outlineLevel="0" collapsed="false">
      <c r="F110" s="73"/>
      <c r="J110" s="45"/>
      <c r="AQ110" s="73"/>
      <c r="AR110" s="73"/>
      <c r="AS110" s="73"/>
      <c r="AT110" s="73"/>
      <c r="AU110" s="73"/>
    </row>
    <row r="111" customFormat="false" ht="12.75" hidden="false" customHeight="false" outlineLevel="0" collapsed="false">
      <c r="A111" s="10"/>
      <c r="B111" s="378"/>
      <c r="C111" s="10" t="s">
        <v>1160</v>
      </c>
      <c r="F111" s="73"/>
      <c r="J111" s="45"/>
      <c r="AQ111" s="73"/>
      <c r="AR111" s="73"/>
      <c r="AS111" s="73"/>
      <c r="AT111" s="73"/>
      <c r="AU111" s="73"/>
    </row>
    <row r="112" customFormat="false" ht="12.75" hidden="false" customHeight="false" outlineLevel="0" collapsed="false">
      <c r="A112" s="10"/>
      <c r="B112" s="379"/>
      <c r="C112" s="112" t="s">
        <v>1161</v>
      </c>
      <c r="D112" s="73"/>
      <c r="E112" s="73"/>
      <c r="F112" s="73"/>
      <c r="J112" s="45"/>
      <c r="AQ112" s="73"/>
      <c r="AR112" s="73"/>
      <c r="AS112" s="73"/>
      <c r="AT112" s="73"/>
      <c r="AU112" s="73"/>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sheetPr filterMode="false">
    <pageSetUpPr fitToPage="false"/>
  </sheetPr>
  <dimension ref="A1:AV11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E86" activeCellId="2" sqref="B16:B122 E16:F122 AE86"/>
    </sheetView>
  </sheetViews>
  <sheetFormatPr defaultRowHeight="12.75" zeroHeight="false" outlineLevelRow="0" outlineLevelCol="0"/>
  <cols>
    <col collapsed="false" customWidth="true" hidden="false" outlineLevel="0" max="6" min="1" style="0" width="10.71"/>
    <col collapsed="false" customWidth="true" hidden="false" outlineLevel="0" max="16" min="7" style="44" width="10.71"/>
    <col collapsed="false" customWidth="true" hidden="false" outlineLevel="0" max="1025" min="17" style="0" width="10.71"/>
  </cols>
  <sheetData>
    <row r="1" customFormat="false" ht="12.75" hidden="false" customHeight="false" outlineLevel="0" collapsed="false">
      <c r="A1" s="9" t="str">
        <f aca="true">MID(CELL("filename",$A$1),   FIND("\[",CELL("filename",$A$1))+2,   FIND("]",CELL("filename",$A$1),FIND("\[",CELL("filename",$A$1))+2)-FIND("\[",CELL("filename",$A$1))-2)</f>
        <v>TDProperties_Rev0_v69.xlsx</v>
      </c>
    </row>
    <row r="2" customFormat="false" ht="12.75" hidden="false" customHeight="false" outlineLevel="0" collapsed="false">
      <c r="A2" s="0" t="str">
        <f aca="true">MID(CELL("filename",A1),FIND("]",CELL("filename",A1))+1,256)</f>
        <v>AGS Species NBS</v>
      </c>
    </row>
    <row r="3" customFormat="false" ht="12.75" hidden="false" customHeight="false" outlineLevel="0" collapsed="false">
      <c r="A3" s="44"/>
    </row>
    <row r="4" customFormat="false" ht="12.75" hidden="false" customHeight="false" outlineLevel="0" collapsed="false">
      <c r="A4" s="281" t="s">
        <v>1197</v>
      </c>
    </row>
    <row r="5" customFormat="false" ht="12.75" hidden="false" customHeight="false" outlineLevel="0" collapsed="false">
      <c r="A5" s="10" t="s">
        <v>150</v>
      </c>
    </row>
    <row r="6" customFormat="false" ht="12.75" hidden="false" customHeight="false" outlineLevel="0" collapsed="false">
      <c r="A6" s="10" t="s">
        <v>775</v>
      </c>
    </row>
    <row r="7" customFormat="false" ht="12.75" hidden="false" customHeight="false" outlineLevel="0" collapsed="false">
      <c r="A7" s="10" t="s">
        <v>1198</v>
      </c>
    </row>
    <row r="8" customFormat="false" ht="14.25" hidden="false" customHeight="false" outlineLevel="0" collapsed="false">
      <c r="A8" s="281"/>
      <c r="R8" s="10" t="s">
        <v>1199</v>
      </c>
      <c r="T8" s="458" t="n">
        <v>0.1094</v>
      </c>
      <c r="U8" s="280" t="s">
        <v>1200</v>
      </c>
      <c r="AI8" s="280" t="s">
        <v>1199</v>
      </c>
      <c r="AJ8" s="71"/>
      <c r="AK8" s="459" t="n">
        <f aca="false">T8/4.184</f>
        <v>0.0261472275334608</v>
      </c>
      <c r="AL8" s="280" t="s">
        <v>1201</v>
      </c>
      <c r="AM8" s="71"/>
      <c r="AN8" s="71"/>
    </row>
    <row r="9" customFormat="false" ht="14.25" hidden="false" customHeight="false" outlineLevel="0" collapsed="false">
      <c r="C9" s="45" t="s">
        <v>1202</v>
      </c>
      <c r="R9" s="10" t="s">
        <v>1203</v>
      </c>
      <c r="T9" s="460" t="n">
        <f aca="false">(298.15/1000)*T8</f>
        <v>0.03261761</v>
      </c>
      <c r="U9" s="280" t="s">
        <v>1204</v>
      </c>
      <c r="AI9" s="280" t="s">
        <v>1203</v>
      </c>
      <c r="AJ9" s="71"/>
      <c r="AK9" s="459" t="n">
        <f aca="false">T9/4.184</f>
        <v>0.00779579588910134</v>
      </c>
      <c r="AL9" s="280" t="s">
        <v>1205</v>
      </c>
      <c r="AM9" s="71"/>
      <c r="AN9" s="71"/>
    </row>
    <row r="10" customFormat="false" ht="14.25" hidden="false" customHeight="false" outlineLevel="0" collapsed="false">
      <c r="C10" s="45" t="s">
        <v>1206</v>
      </c>
      <c r="R10" s="10" t="s">
        <v>1207</v>
      </c>
      <c r="T10" s="460" t="n">
        <f aca="false">-T9/2</f>
        <v>-0.016308805</v>
      </c>
      <c r="U10" s="280" t="s">
        <v>1208</v>
      </c>
      <c r="AI10" s="280" t="s">
        <v>1207</v>
      </c>
      <c r="AJ10" s="71"/>
      <c r="AK10" s="459" t="n">
        <f aca="false">T10/4.184</f>
        <v>-0.00389789794455067</v>
      </c>
      <c r="AL10" s="280" t="s">
        <v>1209</v>
      </c>
      <c r="AM10" s="71"/>
      <c r="AN10" s="71"/>
    </row>
    <row r="11" customFormat="false" ht="12.75" hidden="false" customHeight="false" outlineLevel="0" collapsed="false">
      <c r="C11" s="10" t="s">
        <v>1210</v>
      </c>
    </row>
    <row r="12" customFormat="false" ht="12.75" hidden="false" customHeight="false" outlineLevel="0" collapsed="false">
      <c r="C12" s="10"/>
      <c r="H12" s="45"/>
    </row>
    <row r="13" customFormat="false" ht="12.75" hidden="false" customHeight="false" outlineLevel="0" collapsed="false">
      <c r="C13" s="9" t="s">
        <v>152</v>
      </c>
      <c r="H13" s="9" t="s">
        <v>152</v>
      </c>
      <c r="M13" s="9" t="s">
        <v>152</v>
      </c>
      <c r="T13" s="9" t="s">
        <v>712</v>
      </c>
      <c r="X13" s="44"/>
      <c r="Y13" s="9" t="s">
        <v>712</v>
      </c>
      <c r="Z13" s="44"/>
      <c r="AA13" s="44"/>
      <c r="AB13" s="44"/>
      <c r="AC13" s="44"/>
      <c r="AD13" s="9" t="s">
        <v>152</v>
      </c>
      <c r="AE13" s="44"/>
      <c r="AF13" s="44"/>
      <c r="AG13" s="44"/>
      <c r="AI13" s="9" t="s">
        <v>712</v>
      </c>
      <c r="AM13" s="44"/>
      <c r="AN13" s="9" t="s">
        <v>712</v>
      </c>
      <c r="AO13" s="44"/>
      <c r="AP13" s="44"/>
      <c r="AQ13" s="44"/>
      <c r="AR13" s="44"/>
      <c r="AS13" s="9" t="s">
        <v>712</v>
      </c>
      <c r="AT13" s="44"/>
      <c r="AU13" s="44"/>
      <c r="AV13" s="44"/>
    </row>
    <row r="14" customFormat="false" ht="12.75" hidden="false" customHeight="false" outlineLevel="0" collapsed="false">
      <c r="C14" s="9" t="s">
        <v>159</v>
      </c>
      <c r="H14" s="9" t="s">
        <v>159</v>
      </c>
      <c r="M14" s="9" t="s">
        <v>157</v>
      </c>
      <c r="T14" s="9" t="s">
        <v>157</v>
      </c>
      <c r="X14" s="44"/>
      <c r="Y14" s="9" t="s">
        <v>157</v>
      </c>
      <c r="Z14" s="44"/>
      <c r="AA14" s="44"/>
      <c r="AB14" s="44"/>
      <c r="AC14" s="44"/>
      <c r="AD14" s="9" t="s">
        <v>157</v>
      </c>
      <c r="AE14" s="44"/>
      <c r="AF14" s="44"/>
      <c r="AG14" s="44"/>
      <c r="AI14" s="9" t="s">
        <v>158</v>
      </c>
      <c r="AM14" s="44"/>
      <c r="AN14" s="9" t="s">
        <v>158</v>
      </c>
      <c r="AO14" s="44"/>
      <c r="AP14" s="44"/>
      <c r="AQ14" s="44"/>
      <c r="AR14" s="44"/>
      <c r="AS14" s="9" t="s">
        <v>158</v>
      </c>
      <c r="AT14" s="44"/>
      <c r="AU14" s="44"/>
      <c r="AV14" s="44"/>
    </row>
    <row r="15" customFormat="false" ht="13.5" hidden="false" customHeight="false" outlineLevel="0" collapsed="false">
      <c r="X15" s="44"/>
      <c r="Y15" s="44"/>
      <c r="Z15" s="44"/>
      <c r="AA15" s="44"/>
      <c r="AB15" s="44"/>
      <c r="AC15" s="44"/>
      <c r="AD15" s="44"/>
      <c r="AE15" s="44"/>
      <c r="AF15" s="44"/>
      <c r="AG15" s="44"/>
      <c r="AM15" s="44"/>
      <c r="AN15" s="44"/>
      <c r="AO15" s="44"/>
      <c r="AP15" s="44"/>
      <c r="AQ15" s="44"/>
      <c r="AR15" s="44"/>
      <c r="AS15" s="44"/>
      <c r="AT15" s="44"/>
      <c r="AU15" s="44"/>
      <c r="AV15" s="44"/>
    </row>
    <row r="16" customFormat="false" ht="13.5" hidden="false" customHeight="false" outlineLevel="0" collapsed="false">
      <c r="A16" s="10"/>
      <c r="B16" s="10"/>
      <c r="C16" s="47" t="s">
        <v>1211</v>
      </c>
      <c r="D16" s="461"/>
      <c r="E16" s="461"/>
      <c r="F16" s="268"/>
      <c r="H16" s="15" t="s">
        <v>1212</v>
      </c>
      <c r="I16" s="462"/>
      <c r="J16" s="462"/>
      <c r="K16" s="463"/>
      <c r="M16" s="15" t="s">
        <v>1213</v>
      </c>
      <c r="N16" s="462"/>
      <c r="O16" s="462"/>
      <c r="P16" s="463"/>
      <c r="R16" s="10"/>
      <c r="S16" s="10"/>
      <c r="T16" s="47" t="s">
        <v>1211</v>
      </c>
      <c r="U16" s="461"/>
      <c r="V16" s="461"/>
      <c r="W16" s="268"/>
      <c r="Y16" s="15" t="s">
        <v>1212</v>
      </c>
      <c r="Z16" s="462"/>
      <c r="AA16" s="462"/>
      <c r="AB16" s="463"/>
      <c r="AC16" s="44"/>
      <c r="AD16" s="15" t="s">
        <v>1213</v>
      </c>
      <c r="AE16" s="462"/>
      <c r="AF16" s="462"/>
      <c r="AG16" s="463"/>
      <c r="AI16" s="47" t="s">
        <v>1211</v>
      </c>
      <c r="AJ16" s="461"/>
      <c r="AK16" s="461"/>
      <c r="AL16" s="268"/>
      <c r="AN16" s="15" t="s">
        <v>1212</v>
      </c>
      <c r="AO16" s="462"/>
      <c r="AP16" s="462"/>
      <c r="AQ16" s="463"/>
      <c r="AR16" s="44"/>
      <c r="AS16" s="15" t="s">
        <v>1213</v>
      </c>
      <c r="AT16" s="462"/>
      <c r="AU16" s="462"/>
      <c r="AV16" s="463"/>
    </row>
    <row r="17" customFormat="false" ht="12.75" hidden="false" customHeight="false" outlineLevel="0" collapsed="false">
      <c r="A17" s="10"/>
      <c r="B17" s="10"/>
      <c r="C17" s="11"/>
      <c r="D17" s="11"/>
      <c r="E17" s="11"/>
      <c r="F17" s="11"/>
      <c r="H17" s="11"/>
      <c r="I17" s="11"/>
      <c r="J17" s="11"/>
      <c r="K17" s="11"/>
      <c r="M17" s="11"/>
      <c r="N17" s="11"/>
      <c r="O17" s="11"/>
      <c r="P17" s="11"/>
      <c r="R17" s="50"/>
      <c r="S17" s="50"/>
      <c r="T17" s="11"/>
      <c r="U17" s="11"/>
      <c r="V17" s="11"/>
      <c r="W17" s="11"/>
      <c r="Y17" s="11"/>
      <c r="Z17" s="11"/>
      <c r="AA17" s="11"/>
      <c r="AB17" s="11"/>
      <c r="AC17" s="44"/>
      <c r="AD17" s="11"/>
      <c r="AE17" s="11"/>
      <c r="AF17" s="11"/>
      <c r="AG17" s="11"/>
      <c r="AI17" s="11"/>
      <c r="AJ17" s="11"/>
      <c r="AK17" s="11"/>
      <c r="AL17" s="11"/>
      <c r="AN17" s="11"/>
      <c r="AO17" s="11"/>
      <c r="AP17" s="11"/>
      <c r="AQ17" s="11"/>
      <c r="AR17" s="44"/>
      <c r="AS17" s="11"/>
      <c r="AT17" s="11"/>
      <c r="AU17" s="11"/>
      <c r="AV17" s="11"/>
    </row>
    <row r="18" customFormat="false" ht="14.25" hidden="false" customHeight="false" outlineLevel="0" collapsed="false">
      <c r="C18" s="16" t="s">
        <v>782</v>
      </c>
      <c r="D18" s="113" t="s">
        <v>511</v>
      </c>
      <c r="E18" s="113" t="s">
        <v>512</v>
      </c>
      <c r="F18" s="53" t="s">
        <v>513</v>
      </c>
      <c r="H18" s="16" t="s">
        <v>782</v>
      </c>
      <c r="I18" s="113" t="s">
        <v>511</v>
      </c>
      <c r="J18" s="113" t="s">
        <v>512</v>
      </c>
      <c r="K18" s="53" t="s">
        <v>513</v>
      </c>
      <c r="M18" s="16" t="s">
        <v>782</v>
      </c>
      <c r="N18" s="113" t="s">
        <v>511</v>
      </c>
      <c r="O18" s="113" t="s">
        <v>512</v>
      </c>
      <c r="P18" s="53" t="s">
        <v>513</v>
      </c>
      <c r="R18" s="53" t="s">
        <v>1187</v>
      </c>
      <c r="S18" s="53" t="s">
        <v>1214</v>
      </c>
      <c r="T18" s="16" t="s">
        <v>782</v>
      </c>
      <c r="U18" s="113" t="s">
        <v>511</v>
      </c>
      <c r="V18" s="113" t="s">
        <v>512</v>
      </c>
      <c r="W18" s="53" t="s">
        <v>513</v>
      </c>
      <c r="Y18" s="16" t="s">
        <v>782</v>
      </c>
      <c r="Z18" s="113" t="s">
        <v>511</v>
      </c>
      <c r="AA18" s="113" t="s">
        <v>512</v>
      </c>
      <c r="AB18" s="53" t="s">
        <v>513</v>
      </c>
      <c r="AC18" s="44"/>
      <c r="AD18" s="16" t="s">
        <v>782</v>
      </c>
      <c r="AE18" s="113" t="s">
        <v>511</v>
      </c>
      <c r="AF18" s="113" t="s">
        <v>512</v>
      </c>
      <c r="AG18" s="53" t="s">
        <v>513</v>
      </c>
      <c r="AI18" s="16" t="s">
        <v>782</v>
      </c>
      <c r="AJ18" s="113" t="s">
        <v>511</v>
      </c>
      <c r="AK18" s="113" t="s">
        <v>512</v>
      </c>
      <c r="AL18" s="53" t="s">
        <v>513</v>
      </c>
      <c r="AN18" s="16" t="s">
        <v>782</v>
      </c>
      <c r="AO18" s="113" t="s">
        <v>511</v>
      </c>
      <c r="AP18" s="113" t="s">
        <v>512</v>
      </c>
      <c r="AQ18" s="53" t="s">
        <v>513</v>
      </c>
      <c r="AR18" s="44"/>
      <c r="AS18" s="16" t="s">
        <v>782</v>
      </c>
      <c r="AT18" s="113" t="s">
        <v>511</v>
      </c>
      <c r="AU18" s="113" t="s">
        <v>512</v>
      </c>
      <c r="AV18" s="53" t="s">
        <v>513</v>
      </c>
    </row>
    <row r="19" customFormat="false" ht="15" hidden="false" customHeight="false" outlineLevel="0" collapsed="false">
      <c r="C19" s="21" t="s">
        <v>783</v>
      </c>
      <c r="D19" s="55" t="s">
        <v>514</v>
      </c>
      <c r="E19" s="55" t="s">
        <v>514</v>
      </c>
      <c r="F19" s="55" t="s">
        <v>166</v>
      </c>
      <c r="H19" s="21" t="s">
        <v>783</v>
      </c>
      <c r="I19" s="55" t="s">
        <v>514</v>
      </c>
      <c r="J19" s="55" t="s">
        <v>514</v>
      </c>
      <c r="K19" s="55" t="s">
        <v>166</v>
      </c>
      <c r="M19" s="21" t="s">
        <v>783</v>
      </c>
      <c r="N19" s="55" t="s">
        <v>784</v>
      </c>
      <c r="O19" s="55" t="s">
        <v>784</v>
      </c>
      <c r="P19" s="55" t="s">
        <v>167</v>
      </c>
      <c r="R19" s="464"/>
      <c r="S19" s="464"/>
      <c r="T19" s="21" t="s">
        <v>783</v>
      </c>
      <c r="U19" s="55" t="s">
        <v>784</v>
      </c>
      <c r="V19" s="55" t="s">
        <v>784</v>
      </c>
      <c r="W19" s="55" t="s">
        <v>167</v>
      </c>
      <c r="Y19" s="21" t="s">
        <v>783</v>
      </c>
      <c r="Z19" s="55" t="s">
        <v>784</v>
      </c>
      <c r="AA19" s="55" t="s">
        <v>784</v>
      </c>
      <c r="AB19" s="55" t="s">
        <v>167</v>
      </c>
      <c r="AC19" s="44"/>
      <c r="AD19" s="21" t="s">
        <v>783</v>
      </c>
      <c r="AE19" s="55" t="s">
        <v>784</v>
      </c>
      <c r="AF19" s="55" t="s">
        <v>784</v>
      </c>
      <c r="AG19" s="55" t="s">
        <v>167</v>
      </c>
      <c r="AI19" s="21" t="s">
        <v>783</v>
      </c>
      <c r="AJ19" s="55" t="s">
        <v>514</v>
      </c>
      <c r="AK19" s="55" t="s">
        <v>514</v>
      </c>
      <c r="AL19" s="55" t="s">
        <v>166</v>
      </c>
      <c r="AN19" s="21" t="s">
        <v>783</v>
      </c>
      <c r="AO19" s="55" t="s">
        <v>514</v>
      </c>
      <c r="AP19" s="55" t="s">
        <v>514</v>
      </c>
      <c r="AQ19" s="55" t="s">
        <v>166</v>
      </c>
      <c r="AR19" s="44"/>
      <c r="AS19" s="21" t="s">
        <v>783</v>
      </c>
      <c r="AT19" s="55" t="s">
        <v>514</v>
      </c>
      <c r="AU19" s="55" t="s">
        <v>514</v>
      </c>
      <c r="AV19" s="55" t="s">
        <v>166</v>
      </c>
    </row>
    <row r="20" customFormat="false" ht="12.75" hidden="false" customHeight="false" outlineLevel="0" collapsed="false">
      <c r="C20" s="345" t="s">
        <v>785</v>
      </c>
      <c r="D20" s="465" t="s">
        <v>521</v>
      </c>
      <c r="E20" s="466" t="s">
        <v>521</v>
      </c>
      <c r="F20" s="465" t="s">
        <v>521</v>
      </c>
      <c r="H20" s="345" t="s">
        <v>785</v>
      </c>
      <c r="I20" s="465" t="n">
        <v>0</v>
      </c>
      <c r="J20" s="466" t="n">
        <v>0</v>
      </c>
      <c r="K20" s="465" t="n">
        <v>0</v>
      </c>
      <c r="M20" s="345" t="s">
        <v>785</v>
      </c>
      <c r="N20" s="465" t="n">
        <v>0</v>
      </c>
      <c r="O20" s="466" t="n">
        <v>0</v>
      </c>
      <c r="P20" s="465" t="n">
        <v>0</v>
      </c>
      <c r="Q20" s="10"/>
      <c r="R20" s="467" t="n">
        <v>1</v>
      </c>
      <c r="S20" s="467" t="n">
        <v>0.5</v>
      </c>
      <c r="T20" s="468" t="s">
        <v>785</v>
      </c>
      <c r="U20" s="469" t="n">
        <f aca="false">IF(D20="","",ROUND(4.184*D20+$S20*$T$9+$R20*$T$10,3))</f>
        <v>0</v>
      </c>
      <c r="V20" s="469" t="n">
        <f aca="false">IF(E20="","",ROUND(4.184*E20,3))</f>
        <v>0</v>
      </c>
      <c r="W20" s="469" t="n">
        <f aca="false">IF(F20="","",ROUND(4.184*F20,3))</f>
        <v>0</v>
      </c>
      <c r="Y20" s="345" t="s">
        <v>785</v>
      </c>
      <c r="Z20" s="469" t="n">
        <f aca="false">IF(I20="","",ROUND(4.184*I20+$S20*$T$9+$R20*$T$10,3))</f>
        <v>0</v>
      </c>
      <c r="AA20" s="469" t="n">
        <f aca="false">IF(J20="","",ROUND(4.184*J20,3))</f>
        <v>0</v>
      </c>
      <c r="AB20" s="469" t="n">
        <f aca="false">IF(K20="","",ROUND(4.184*K20,3))</f>
        <v>0</v>
      </c>
      <c r="AC20" s="44"/>
      <c r="AD20" s="345" t="s">
        <v>785</v>
      </c>
      <c r="AE20" s="465" t="n">
        <v>0</v>
      </c>
      <c r="AF20" s="466" t="n">
        <v>0</v>
      </c>
      <c r="AG20" s="465" t="n">
        <v>0</v>
      </c>
      <c r="AI20" s="345" t="s">
        <v>785</v>
      </c>
      <c r="AJ20" s="470" t="n">
        <f aca="false">IF(D20="","",ROUND(D20+$S20*$AK$9+$R20*$AK$10,3))</f>
        <v>0</v>
      </c>
      <c r="AK20" s="471" t="n">
        <f aca="false">IF(E20="","",ROUND(E20,3))</f>
        <v>0</v>
      </c>
      <c r="AL20" s="470" t="n">
        <f aca="false">IF(F20="","",ROUND(F20,3))</f>
        <v>0</v>
      </c>
      <c r="AN20" s="345" t="s">
        <v>785</v>
      </c>
      <c r="AO20" s="470" t="n">
        <f aca="false">IF(I20="","",ROUND(I20+$S20*$AK$9+$R20*$AK$10,3))</f>
        <v>0</v>
      </c>
      <c r="AP20" s="471" t="n">
        <f aca="false">IF(J20="","",ROUND(J20,3))</f>
        <v>0</v>
      </c>
      <c r="AQ20" s="470" t="n">
        <f aca="false">IF(K20="","",ROUND(K20,3))</f>
        <v>0</v>
      </c>
      <c r="AR20" s="44"/>
      <c r="AS20" s="345" t="s">
        <v>785</v>
      </c>
      <c r="AT20" s="470" t="n">
        <f aca="false">IF(N20="","",ROUND(N20/4.184,3))</f>
        <v>0</v>
      </c>
      <c r="AU20" s="471" t="n">
        <f aca="false">IF(O20="","",ROUND(O20/4.184,3))</f>
        <v>0</v>
      </c>
      <c r="AV20" s="470" t="n">
        <f aca="false">IF(P20="","",ROUND(P20/4.184,3))</f>
        <v>0</v>
      </c>
    </row>
    <row r="21" customFormat="false" ht="12.75" hidden="false" customHeight="false" outlineLevel="0" collapsed="false">
      <c r="C21" s="345" t="s">
        <v>787</v>
      </c>
      <c r="D21" s="472" t="n">
        <v>-37.595</v>
      </c>
      <c r="E21" s="473" t="n">
        <v>-54.957</v>
      </c>
      <c r="F21" s="472" t="n">
        <v>-2.519</v>
      </c>
      <c r="H21" s="345" t="s">
        <v>787</v>
      </c>
      <c r="I21" s="472" t="n">
        <v>-37.594</v>
      </c>
      <c r="J21" s="466" t="s">
        <v>1215</v>
      </c>
      <c r="K21" s="472" t="n">
        <v>-2.57</v>
      </c>
      <c r="M21" s="345" t="s">
        <v>787</v>
      </c>
      <c r="N21" s="472" t="n">
        <v>-157.244</v>
      </c>
      <c r="O21" s="473" t="n">
        <v>-229.994</v>
      </c>
      <c r="P21" s="472" t="n">
        <v>-10.75</v>
      </c>
      <c r="Q21" s="10"/>
      <c r="R21" s="474" t="n">
        <v>-1</v>
      </c>
      <c r="S21" s="474" t="n">
        <v>1</v>
      </c>
      <c r="T21" s="160" t="s">
        <v>787</v>
      </c>
      <c r="U21" s="470" t="n">
        <f aca="false">IF(D21="","",ROUND(4.184*D21+$S21*$T$9+$R21*$T$10,3))</f>
        <v>-157.249</v>
      </c>
      <c r="V21" s="470" t="n">
        <f aca="false">IF(E21="","",ROUND(4.184*E21,3))</f>
        <v>-229.94</v>
      </c>
      <c r="W21" s="470" t="n">
        <f aca="false">IF(F21="","",ROUND(4.184*F21,3))</f>
        <v>-10.539</v>
      </c>
      <c r="Y21" s="345" t="s">
        <v>787</v>
      </c>
      <c r="Z21" s="470" t="n">
        <f aca="false">IF(I21="","",ROUND(4.184*I21+$S21*$T$9+$R21*$T$10,3))</f>
        <v>-157.244</v>
      </c>
      <c r="AA21" s="470" t="n">
        <f aca="false">IF(J21="","",ROUND(4.184*J21,3))</f>
        <v>-229.994</v>
      </c>
      <c r="AB21" s="470" t="n">
        <f aca="false">IF(K21="","",ROUND(4.184*K21,3))</f>
        <v>-10.753</v>
      </c>
      <c r="AC21" s="44"/>
      <c r="AD21" s="345" t="s">
        <v>787</v>
      </c>
      <c r="AE21" s="472" t="n">
        <v>-157.244</v>
      </c>
      <c r="AF21" s="473" t="n">
        <v>-229.994</v>
      </c>
      <c r="AG21" s="472" t="n">
        <v>-10.75</v>
      </c>
      <c r="AI21" s="345" t="s">
        <v>787</v>
      </c>
      <c r="AJ21" s="475" t="n">
        <f aca="false">IF(D21="","",ROUND(D21+$S21*$AK$9+$R21*$AK$10,3))</f>
        <v>-37.583</v>
      </c>
      <c r="AK21" s="476" t="n">
        <f aca="false">IF(E21="","",ROUND(E21,3))</f>
        <v>-54.957</v>
      </c>
      <c r="AL21" s="475" t="n">
        <f aca="false">IF(F21="","",ROUND(F21,3))</f>
        <v>-2.519</v>
      </c>
      <c r="AN21" s="345" t="s">
        <v>787</v>
      </c>
      <c r="AO21" s="475" t="n">
        <f aca="false">IF(I21="","",ROUND(I21+$S21*$AK$9+$R21*$AK$10,3))</f>
        <v>-37.582</v>
      </c>
      <c r="AP21" s="471" t="n">
        <f aca="false">IF(J21="","",ROUND(J21,3))</f>
        <v>-54.97</v>
      </c>
      <c r="AQ21" s="475" t="n">
        <f aca="false">IF(K21="","",ROUND(K21,3))</f>
        <v>-2.57</v>
      </c>
      <c r="AR21" s="44"/>
      <c r="AS21" s="345" t="s">
        <v>787</v>
      </c>
      <c r="AT21" s="475" t="n">
        <f aca="false">IF(N21="","",ROUND(N21/4.184,3))</f>
        <v>-37.582</v>
      </c>
      <c r="AU21" s="476" t="n">
        <f aca="false">IF(O21="","",ROUND(O21/4.184,3))</f>
        <v>-54.97</v>
      </c>
      <c r="AV21" s="475" t="n">
        <f aca="false">IF(P21="","",ROUND(P21/4.184,3))</f>
        <v>-2.569</v>
      </c>
    </row>
    <row r="22" customFormat="false" ht="12.75" hidden="false" customHeight="false" outlineLevel="0" collapsed="false">
      <c r="C22" s="345" t="s">
        <v>794</v>
      </c>
      <c r="D22" s="472" t="n">
        <v>-56.6902</v>
      </c>
      <c r="E22" s="473" t="n">
        <v>-68.3174</v>
      </c>
      <c r="F22" s="472" t="n">
        <v>16.716</v>
      </c>
      <c r="H22" s="345" t="s">
        <v>794</v>
      </c>
      <c r="I22" s="472" t="n">
        <v>-56.687</v>
      </c>
      <c r="J22" s="473" t="n">
        <v>-68.315</v>
      </c>
      <c r="K22" s="472" t="n">
        <v>16.71</v>
      </c>
      <c r="M22" s="345" t="s">
        <v>794</v>
      </c>
      <c r="N22" s="472" t="n">
        <v>-237.129</v>
      </c>
      <c r="O22" s="466" t="s">
        <v>795</v>
      </c>
      <c r="P22" s="472" t="n">
        <v>69.91</v>
      </c>
      <c r="Q22" s="10"/>
      <c r="R22" s="474" t="n">
        <v>0</v>
      </c>
      <c r="S22" s="474" t="n">
        <v>1.5</v>
      </c>
      <c r="T22" s="160" t="s">
        <v>794</v>
      </c>
      <c r="U22" s="470" t="n">
        <f aca="false">IF(D22="","",ROUND(4.184*D22+$S22*$T$9+$R22*$T$10,3))</f>
        <v>-237.143</v>
      </c>
      <c r="V22" s="470" t="n">
        <f aca="false">IF(E22="","",ROUND(4.184*E22,3))</f>
        <v>-285.84</v>
      </c>
      <c r="W22" s="470" t="n">
        <f aca="false">IF(F22="","",ROUND(4.184*F22,3))</f>
        <v>69.94</v>
      </c>
      <c r="Y22" s="345" t="s">
        <v>794</v>
      </c>
      <c r="Z22" s="470" t="n">
        <f aca="false">IF(I22="","",ROUND(4.184*I22+$S22*$T$9+$R22*$T$10,3))</f>
        <v>-237.129</v>
      </c>
      <c r="AA22" s="470" t="n">
        <f aca="false">IF(J22="","",ROUND(4.184*J22,3))</f>
        <v>-285.83</v>
      </c>
      <c r="AB22" s="470" t="n">
        <f aca="false">IF(K22="","",ROUND(4.184*K22,3))</f>
        <v>69.915</v>
      </c>
      <c r="AC22" s="44"/>
      <c r="AD22" s="345" t="s">
        <v>794</v>
      </c>
      <c r="AE22" s="472" t="n">
        <v>-237.129</v>
      </c>
      <c r="AF22" s="466" t="s">
        <v>795</v>
      </c>
      <c r="AG22" s="472" t="n">
        <v>69.91</v>
      </c>
      <c r="AI22" s="345" t="s">
        <v>794</v>
      </c>
      <c r="AJ22" s="475" t="n">
        <f aca="false">IF(D22="","",ROUND(D22+$S22*$AK$9+$R22*$AK$10,3))</f>
        <v>-56.679</v>
      </c>
      <c r="AK22" s="476" t="n">
        <f aca="false">IF(E22="","",ROUND(E22,3))</f>
        <v>-68.317</v>
      </c>
      <c r="AL22" s="475" t="n">
        <f aca="false">IF(F22="","",ROUND(F22,3))</f>
        <v>16.716</v>
      </c>
      <c r="AN22" s="345" t="s">
        <v>794</v>
      </c>
      <c r="AO22" s="475" t="n">
        <f aca="false">IF(I22="","",ROUND(I22+$S22*$AK$9+$R22*$AK$10,3))</f>
        <v>-56.675</v>
      </c>
      <c r="AP22" s="476" t="n">
        <f aca="false">IF(J22="","",ROUND(J22,3))</f>
        <v>-68.315</v>
      </c>
      <c r="AQ22" s="475" t="n">
        <f aca="false">IF(K22="","",ROUND(K22,3))</f>
        <v>16.71</v>
      </c>
      <c r="AR22" s="44"/>
      <c r="AS22" s="345" t="s">
        <v>794</v>
      </c>
      <c r="AT22" s="475" t="n">
        <f aca="false">IF(N22="","",ROUND(N22/4.184,3))</f>
        <v>-56.675</v>
      </c>
      <c r="AU22" s="471" t="n">
        <f aca="false">IF(O22="","",ROUND(O22/4.184,3))</f>
        <v>-68.315</v>
      </c>
      <c r="AV22" s="475" t="n">
        <f aca="false">IF(P22="","",ROUND(P22/4.184,3))</f>
        <v>16.709</v>
      </c>
    </row>
    <row r="23" customFormat="false" ht="12.75" hidden="false" customHeight="false" outlineLevel="0" collapsed="false">
      <c r="C23" s="345" t="s">
        <v>802</v>
      </c>
      <c r="D23" s="472" t="n">
        <v>-66.08</v>
      </c>
      <c r="E23" s="473" t="n">
        <v>-78.66</v>
      </c>
      <c r="F23" s="472" t="n">
        <v>-2.3</v>
      </c>
      <c r="H23" s="345" t="s">
        <v>802</v>
      </c>
      <c r="I23" s="472" t="n">
        <v>-66.64</v>
      </c>
      <c r="J23" s="466" t="s">
        <v>1216</v>
      </c>
      <c r="K23" s="472" t="n">
        <v>-3.3</v>
      </c>
      <c r="M23" s="345" t="s">
        <v>802</v>
      </c>
      <c r="N23" s="472" t="n">
        <v>-278.79</v>
      </c>
      <c r="O23" s="473" t="n">
        <v>-332.63</v>
      </c>
      <c r="P23" s="472" t="n">
        <v>-13.8</v>
      </c>
      <c r="Q23" s="10"/>
      <c r="R23" s="474" t="n">
        <v>-1</v>
      </c>
      <c r="S23" s="474" t="n">
        <v>0.5</v>
      </c>
      <c r="T23" s="160" t="s">
        <v>802</v>
      </c>
      <c r="U23" s="470" t="n">
        <f aca="false">IF(D23="","",ROUND(4.184*D23+$S23*$T$9+$R23*$T$10,3))</f>
        <v>-276.446</v>
      </c>
      <c r="V23" s="470" t="n">
        <f aca="false">IF(E23="","",ROUND(4.184*E23,3))</f>
        <v>-329.113</v>
      </c>
      <c r="W23" s="470" t="n">
        <f aca="false">IF(F23="","",ROUND(4.184*F23,3))</f>
        <v>-9.623</v>
      </c>
      <c r="Y23" s="345" t="s">
        <v>802</v>
      </c>
      <c r="Z23" s="470" t="n">
        <f aca="false">IF(I23="","",ROUND(4.184*I23+$S23*$T$9+$R23*$T$10,3))</f>
        <v>-278.789</v>
      </c>
      <c r="AA23" s="470" t="n">
        <f aca="false">IF(J23="","",ROUND(4.184*J23,3))</f>
        <v>-332.628</v>
      </c>
      <c r="AB23" s="470" t="n">
        <f aca="false">IF(K23="","",ROUND(4.184*K23,3))</f>
        <v>-13.807</v>
      </c>
      <c r="AC23" s="44"/>
      <c r="AD23" s="345" t="s">
        <v>802</v>
      </c>
      <c r="AE23" s="472" t="n">
        <v>-278.79</v>
      </c>
      <c r="AF23" s="473" t="n">
        <v>-332.63</v>
      </c>
      <c r="AG23" s="472" t="n">
        <v>-13.8</v>
      </c>
      <c r="AI23" s="345" t="s">
        <v>802</v>
      </c>
      <c r="AJ23" s="475" t="n">
        <f aca="false">IF(D23="","",ROUND(D23+$S23*$AK$9+$R23*$AK$10,3))</f>
        <v>-66.072</v>
      </c>
      <c r="AK23" s="476" t="n">
        <f aca="false">IF(E23="","",ROUND(E23,3))</f>
        <v>-78.66</v>
      </c>
      <c r="AL23" s="475" t="n">
        <f aca="false">IF(F23="","",ROUND(F23,3))</f>
        <v>-2.3</v>
      </c>
      <c r="AN23" s="345" t="s">
        <v>802</v>
      </c>
      <c r="AO23" s="475" t="n">
        <f aca="false">IF(I23="","",ROUND(I23+$S23*$AK$9+$R23*$AK$10,3))</f>
        <v>-66.632</v>
      </c>
      <c r="AP23" s="471" t="n">
        <f aca="false">IF(J23="","",ROUND(J23,3))</f>
        <v>-79.5</v>
      </c>
      <c r="AQ23" s="475" t="n">
        <f aca="false">IF(K23="","",ROUND(K23,3))</f>
        <v>-3.3</v>
      </c>
      <c r="AR23" s="44"/>
      <c r="AS23" s="345" t="s">
        <v>802</v>
      </c>
      <c r="AT23" s="475" t="n">
        <f aca="false">IF(N23="","",ROUND(N23/4.184,3))</f>
        <v>-66.632</v>
      </c>
      <c r="AU23" s="476" t="n">
        <f aca="false">IF(O23="","",ROUND(O23/4.184,3))</f>
        <v>-79.5</v>
      </c>
      <c r="AV23" s="475" t="n">
        <f aca="false">IF(P23="","",ROUND(P23/4.184,3))</f>
        <v>-3.298</v>
      </c>
    </row>
    <row r="24" customFormat="false" ht="12.75" hidden="false" customHeight="false" outlineLevel="0" collapsed="false">
      <c r="C24" s="345" t="s">
        <v>812</v>
      </c>
      <c r="D24" s="465" t="s">
        <v>1217</v>
      </c>
      <c r="E24" s="473" t="n">
        <v>-40.023</v>
      </c>
      <c r="F24" s="472" t="n">
        <v>13.17</v>
      </c>
      <c r="H24" s="345" t="s">
        <v>812</v>
      </c>
      <c r="I24" s="472" t="n">
        <v>-31.372</v>
      </c>
      <c r="J24" s="473" t="n">
        <v>-39.952</v>
      </c>
      <c r="K24" s="472" t="n">
        <v>13.5</v>
      </c>
      <c r="M24" s="345" t="s">
        <v>812</v>
      </c>
      <c r="N24" s="472" t="n">
        <v>-131.228</v>
      </c>
      <c r="O24" s="473" t="n">
        <v>-167.159</v>
      </c>
      <c r="P24" s="472" t="n">
        <v>56.5</v>
      </c>
      <c r="Q24" s="10"/>
      <c r="R24" s="474" t="n">
        <v>-1</v>
      </c>
      <c r="S24" s="474" t="n">
        <v>0.5</v>
      </c>
      <c r="T24" s="160" t="s">
        <v>812</v>
      </c>
      <c r="U24" s="470" t="n">
        <f aca="false">IF(D24="","",ROUND(4.184*D24+$S24*$T$9+$R24*$T$10,3))</f>
        <v>-131.136</v>
      </c>
      <c r="V24" s="470" t="n">
        <f aca="false">IF(E24="","",ROUND(4.184*E24,3))</f>
        <v>-167.456</v>
      </c>
      <c r="W24" s="470" t="n">
        <f aca="false">IF(F24="","",ROUND(4.184*F24,3))</f>
        <v>55.103</v>
      </c>
      <c r="Y24" s="345" t="s">
        <v>812</v>
      </c>
      <c r="Z24" s="470" t="n">
        <f aca="false">IF(I24="","",ROUND(4.184*I24+$S24*$T$9+$R24*$T$10,3))</f>
        <v>-131.228</v>
      </c>
      <c r="AA24" s="470" t="n">
        <f aca="false">IF(J24="","",ROUND(4.184*J24,3))</f>
        <v>-167.159</v>
      </c>
      <c r="AB24" s="470" t="n">
        <f aca="false">IF(K24="","",ROUND(4.184*K24,3))</f>
        <v>56.484</v>
      </c>
      <c r="AC24" s="44"/>
      <c r="AD24" s="345" t="s">
        <v>812</v>
      </c>
      <c r="AE24" s="472" t="n">
        <v>-131.228</v>
      </c>
      <c r="AF24" s="473" t="n">
        <v>-167.159</v>
      </c>
      <c r="AG24" s="472" t="n">
        <v>56.5</v>
      </c>
      <c r="AI24" s="345" t="s">
        <v>812</v>
      </c>
      <c r="AJ24" s="470" t="n">
        <f aca="false">IF(D24="","",ROUND(D24+$S24*$AK$9+$R24*$AK$10,3))</f>
        <v>-31.342</v>
      </c>
      <c r="AK24" s="476" t="n">
        <f aca="false">IF(E24="","",ROUND(E24,3))</f>
        <v>-40.023</v>
      </c>
      <c r="AL24" s="475" t="n">
        <f aca="false">IF(F24="","",ROUND(F24,3))</f>
        <v>13.17</v>
      </c>
      <c r="AN24" s="345" t="s">
        <v>812</v>
      </c>
      <c r="AO24" s="475" t="n">
        <f aca="false">IF(I24="","",ROUND(I24+$S24*$AK$9+$R24*$AK$10,3))</f>
        <v>-31.364</v>
      </c>
      <c r="AP24" s="476" t="n">
        <f aca="false">IF(J24="","",ROUND(J24,3))</f>
        <v>-39.952</v>
      </c>
      <c r="AQ24" s="475" t="n">
        <f aca="false">IF(K24="","",ROUND(K24,3))</f>
        <v>13.5</v>
      </c>
      <c r="AR24" s="44"/>
      <c r="AS24" s="345" t="s">
        <v>812</v>
      </c>
      <c r="AT24" s="475" t="n">
        <f aca="false">IF(N24="","",ROUND(N24/4.184,3))</f>
        <v>-31.364</v>
      </c>
      <c r="AU24" s="476" t="n">
        <f aca="false">IF(O24="","",ROUND(O24/4.184,3))</f>
        <v>-39.952</v>
      </c>
      <c r="AV24" s="475" t="n">
        <f aca="false">IF(P24="","",ROUND(P24/4.184,3))</f>
        <v>13.504</v>
      </c>
    </row>
    <row r="25" customFormat="false" ht="12.75" hidden="false" customHeight="false" outlineLevel="0" collapsed="false">
      <c r="C25" s="345" t="s">
        <v>818</v>
      </c>
      <c r="D25" s="472" t="n">
        <v>-24.574</v>
      </c>
      <c r="E25" s="466" t="s">
        <v>1218</v>
      </c>
      <c r="F25" s="465" t="s">
        <v>1219</v>
      </c>
      <c r="H25" s="345" t="s">
        <v>818</v>
      </c>
      <c r="I25" s="472" t="n">
        <v>-24.85</v>
      </c>
      <c r="J25" s="473" t="n">
        <v>-29.05</v>
      </c>
      <c r="K25" s="472" t="n">
        <v>19.7</v>
      </c>
      <c r="M25" s="345" t="s">
        <v>818</v>
      </c>
      <c r="N25" s="472" t="n">
        <v>-103.96</v>
      </c>
      <c r="O25" s="473" t="n">
        <v>-121.55</v>
      </c>
      <c r="P25" s="472" t="n">
        <v>82.4</v>
      </c>
      <c r="Q25" s="10"/>
      <c r="R25" s="474" t="n">
        <v>-1</v>
      </c>
      <c r="S25" s="474" t="n">
        <v>0</v>
      </c>
      <c r="T25" s="160" t="s">
        <v>818</v>
      </c>
      <c r="U25" s="470" t="n">
        <f aca="false">IF(D25="","",ROUND(4.184*D25+$S25*$T$9+$R25*$T$10,3))</f>
        <v>-102.801</v>
      </c>
      <c r="V25" s="470" t="n">
        <f aca="false">IF(E25="","",ROUND(4.184*E25,3))</f>
        <v>-120.918</v>
      </c>
      <c r="W25" s="470" t="n">
        <f aca="false">IF(F25="","",ROUND(4.184*F25,3))</f>
        <v>80.709</v>
      </c>
      <c r="Y25" s="345" t="s">
        <v>818</v>
      </c>
      <c r="Z25" s="470" t="n">
        <f aca="false">IF(I25="","",ROUND(4.184*I25+$S25*$T$9+$R25*$T$10,3))</f>
        <v>-103.956</v>
      </c>
      <c r="AA25" s="470" t="n">
        <f aca="false">IF(J25="","",ROUND(4.184*J25,3))</f>
        <v>-121.545</v>
      </c>
      <c r="AB25" s="470" t="n">
        <f aca="false">IF(K25="","",ROUND(4.184*K25,3))</f>
        <v>82.425</v>
      </c>
      <c r="AC25" s="44"/>
      <c r="AD25" s="345" t="s">
        <v>818</v>
      </c>
      <c r="AE25" s="472" t="n">
        <v>-103.96</v>
      </c>
      <c r="AF25" s="473" t="n">
        <v>-121.55</v>
      </c>
      <c r="AG25" s="472" t="n">
        <v>82.4</v>
      </c>
      <c r="AI25" s="345" t="s">
        <v>818</v>
      </c>
      <c r="AJ25" s="475" t="n">
        <f aca="false">IF(D25="","",ROUND(D25+$S25*$AK$9+$R25*$AK$10,3))</f>
        <v>-24.57</v>
      </c>
      <c r="AK25" s="471" t="n">
        <f aca="false">IF(E25="","",ROUND(E25,3))</f>
        <v>-28.9</v>
      </c>
      <c r="AL25" s="470" t="n">
        <f aca="false">IF(F25="","",ROUND(F25,3))</f>
        <v>19.29</v>
      </c>
      <c r="AN25" s="345" t="s">
        <v>818</v>
      </c>
      <c r="AO25" s="475" t="n">
        <f aca="false">IF(I25="","",ROUND(I25+$S25*$AK$9+$R25*$AK$10,3))</f>
        <v>-24.846</v>
      </c>
      <c r="AP25" s="476" t="n">
        <f aca="false">IF(J25="","",ROUND(J25,3))</f>
        <v>-29.05</v>
      </c>
      <c r="AQ25" s="475" t="n">
        <f aca="false">IF(K25="","",ROUND(K25,3))</f>
        <v>19.7</v>
      </c>
      <c r="AR25" s="44"/>
      <c r="AS25" s="345" t="s">
        <v>818</v>
      </c>
      <c r="AT25" s="475" t="n">
        <f aca="false">IF(N25="","",ROUND(N25/4.184,3))</f>
        <v>-24.847</v>
      </c>
      <c r="AU25" s="476" t="n">
        <f aca="false">IF(O25="","",ROUND(O25/4.184,3))</f>
        <v>-29.051</v>
      </c>
      <c r="AV25" s="475" t="n">
        <f aca="false">IF(P25="","",ROUND(P25/4.184,3))</f>
        <v>19.694</v>
      </c>
    </row>
    <row r="26" customFormat="false" ht="12.75" hidden="false" customHeight="false" outlineLevel="0" collapsed="false">
      <c r="C26" s="345" t="s">
        <v>825</v>
      </c>
      <c r="D26" s="465" t="s">
        <v>1220</v>
      </c>
      <c r="E26" s="466" t="s">
        <v>1221</v>
      </c>
      <c r="F26" s="465" t="s">
        <v>1222</v>
      </c>
      <c r="H26" s="345" t="s">
        <v>825</v>
      </c>
      <c r="I26" s="465" t="s">
        <v>1223</v>
      </c>
      <c r="J26" s="466" t="s">
        <v>1224</v>
      </c>
      <c r="K26" s="465" t="s">
        <v>179</v>
      </c>
      <c r="M26" s="345" t="s">
        <v>825</v>
      </c>
      <c r="N26" s="465" t="s">
        <v>1225</v>
      </c>
      <c r="O26" s="466" t="s">
        <v>1226</v>
      </c>
      <c r="P26" s="465" t="s">
        <v>1227</v>
      </c>
      <c r="Q26" s="10"/>
      <c r="R26" s="474" t="n">
        <v>-1</v>
      </c>
      <c r="S26" s="474" t="n">
        <v>0</v>
      </c>
      <c r="T26" s="160" t="s">
        <v>825</v>
      </c>
      <c r="U26" s="470" t="n">
        <f aca="false">IF(D26="","",ROUND(4.184*D26+$S26*$T$9+$R26*$T$10,3))</f>
        <v>-51.656</v>
      </c>
      <c r="V26" s="470" t="n">
        <f aca="false">IF(E26="","",ROUND(4.184*E26,3))</f>
        <v>-55.94</v>
      </c>
      <c r="W26" s="470" t="n">
        <f aca="false">IF(F26="","",ROUND(4.184*F26,3))</f>
        <v>109.37</v>
      </c>
      <c r="Y26" s="345" t="s">
        <v>825</v>
      </c>
      <c r="Z26" s="470" t="n">
        <f aca="false">IF(I26="","",ROUND(4.184*I26+$S26*$T$9+$R26*$T$10,3))</f>
        <v>-51.572</v>
      </c>
      <c r="AA26" s="470" t="n">
        <f aca="false">IF(J26="","",ROUND(4.184*J26,3))</f>
        <v>-55.187</v>
      </c>
      <c r="AB26" s="470" t="n">
        <f aca="false">IF(K26="","",ROUND(4.184*K26,3))</f>
        <v>111.294</v>
      </c>
      <c r="AC26" s="44"/>
      <c r="AD26" s="345" t="s">
        <v>825</v>
      </c>
      <c r="AE26" s="465" t="s">
        <v>1225</v>
      </c>
      <c r="AF26" s="466" t="s">
        <v>1226</v>
      </c>
      <c r="AG26" s="465" t="s">
        <v>1227</v>
      </c>
      <c r="AI26" s="345" t="s">
        <v>825</v>
      </c>
      <c r="AJ26" s="470" t="n">
        <f aca="false">IF(D26="","",ROUND(D26+$S26*$AK$9+$R26*$AK$10,3))</f>
        <v>-12.346</v>
      </c>
      <c r="AK26" s="471" t="n">
        <f aca="false">IF(E26="","",ROUND(E26,3))</f>
        <v>-13.37</v>
      </c>
      <c r="AL26" s="470" t="n">
        <f aca="false">IF(F26="","",ROUND(F26,3))</f>
        <v>26.14</v>
      </c>
      <c r="AN26" s="345" t="s">
        <v>825</v>
      </c>
      <c r="AO26" s="470" t="n">
        <f aca="false">IF(I26="","",ROUND(I26+$S26*$AK$9+$R26*$AK$10,3))</f>
        <v>-12.326</v>
      </c>
      <c r="AP26" s="471" t="n">
        <f aca="false">IF(J26="","",ROUND(J26,3))</f>
        <v>-13.19</v>
      </c>
      <c r="AQ26" s="470" t="n">
        <f aca="false">IF(K26="","",ROUND(K26,3))</f>
        <v>26.6</v>
      </c>
      <c r="AR26" s="44"/>
      <c r="AS26" s="345" t="s">
        <v>825</v>
      </c>
      <c r="AT26" s="470" t="n">
        <f aca="false">IF(N26="","",ROUND(N26/4.184,3))</f>
        <v>-12.326</v>
      </c>
      <c r="AU26" s="471" t="n">
        <f aca="false">IF(O26="","",ROUND(O26/4.184,3))</f>
        <v>-13.191</v>
      </c>
      <c r="AV26" s="470" t="n">
        <f aca="false">IF(P26="","",ROUND(P26/4.184,3))</f>
        <v>26.601</v>
      </c>
    </row>
    <row r="27" customFormat="false" ht="12.75" hidden="false" customHeight="false" outlineLevel="0" collapsed="false">
      <c r="C27" s="345" t="s">
        <v>833</v>
      </c>
      <c r="D27" s="472" t="n">
        <v>-177.34</v>
      </c>
      <c r="E27" s="466" t="s">
        <v>1228</v>
      </c>
      <c r="F27" s="472" t="n">
        <v>4.1</v>
      </c>
      <c r="H27" s="345" t="s">
        <v>833</v>
      </c>
      <c r="I27" s="472" t="n">
        <v>-177.97</v>
      </c>
      <c r="J27" s="473" t="n">
        <v>-217.32</v>
      </c>
      <c r="K27" s="472" t="n">
        <v>4.8</v>
      </c>
      <c r="M27" s="345" t="s">
        <v>833</v>
      </c>
      <c r="N27" s="472" t="n">
        <v>-744.53</v>
      </c>
      <c r="O27" s="473" t="n">
        <v>-909.27</v>
      </c>
      <c r="P27" s="472" t="n">
        <v>20.1</v>
      </c>
      <c r="Q27" s="10"/>
      <c r="R27" s="474" t="n">
        <v>-2</v>
      </c>
      <c r="S27" s="474" t="n">
        <v>2</v>
      </c>
      <c r="T27" s="160" t="s">
        <v>833</v>
      </c>
      <c r="U27" s="470" t="n">
        <f aca="false">IF(D27="","",ROUND(4.184*D27+$S27*$T$9+$R27*$T$10,3))</f>
        <v>-741.893</v>
      </c>
      <c r="V27" s="470" t="n">
        <f aca="false">IF(E27="","",ROUND(4.184*E27,3))</f>
        <v>-907.51</v>
      </c>
      <c r="W27" s="470" t="n">
        <f aca="false">IF(F27="","",ROUND(4.184*F27,3))</f>
        <v>17.154</v>
      </c>
      <c r="Y27" s="345" t="s">
        <v>833</v>
      </c>
      <c r="Z27" s="470" t="n">
        <f aca="false">IF(I27="","",ROUND(4.184*I27+$S27*$T$9+$R27*$T$10,3))</f>
        <v>-744.529</v>
      </c>
      <c r="AA27" s="470" t="n">
        <f aca="false">IF(J27="","",ROUND(4.184*J27,3))</f>
        <v>-909.267</v>
      </c>
      <c r="AB27" s="470" t="n">
        <f aca="false">IF(K27="","",ROUND(4.184*K27,3))</f>
        <v>20.083</v>
      </c>
      <c r="AC27" s="44"/>
      <c r="AD27" s="345" t="s">
        <v>833</v>
      </c>
      <c r="AE27" s="472" t="n">
        <v>-744.53</v>
      </c>
      <c r="AF27" s="473" t="n">
        <v>-909.27</v>
      </c>
      <c r="AG27" s="472" t="n">
        <v>20.1</v>
      </c>
      <c r="AI27" s="345" t="s">
        <v>833</v>
      </c>
      <c r="AJ27" s="475" t="n">
        <f aca="false">IF(D27="","",ROUND(D27+$S27*$AK$9+$R27*$AK$10,3))</f>
        <v>-177.317</v>
      </c>
      <c r="AK27" s="471" t="n">
        <f aca="false">IF(E27="","",ROUND(E27,3))</f>
        <v>-216.9</v>
      </c>
      <c r="AL27" s="475" t="n">
        <f aca="false">IF(F27="","",ROUND(F27,3))</f>
        <v>4.1</v>
      </c>
      <c r="AN27" s="345" t="s">
        <v>833</v>
      </c>
      <c r="AO27" s="475" t="n">
        <f aca="false">IF(I27="","",ROUND(I27+$S27*$AK$9+$R27*$AK$10,3))</f>
        <v>-177.947</v>
      </c>
      <c r="AP27" s="476" t="n">
        <f aca="false">IF(J27="","",ROUND(J27,3))</f>
        <v>-217.32</v>
      </c>
      <c r="AQ27" s="475" t="n">
        <f aca="false">IF(K27="","",ROUND(K27,3))</f>
        <v>4.8</v>
      </c>
      <c r="AR27" s="44"/>
      <c r="AS27" s="345" t="s">
        <v>833</v>
      </c>
      <c r="AT27" s="475" t="n">
        <f aca="false">IF(N27="","",ROUND(N27/4.184,3))</f>
        <v>-177.947</v>
      </c>
      <c r="AU27" s="476" t="n">
        <f aca="false">IF(O27="","",ROUND(O27/4.184,3))</f>
        <v>-217.321</v>
      </c>
      <c r="AV27" s="475" t="n">
        <f aca="false">IF(P27="","",ROUND(P27/4.184,3))</f>
        <v>4.804</v>
      </c>
    </row>
    <row r="28" customFormat="false" ht="12.75" hidden="false" customHeight="false" outlineLevel="0" collapsed="false">
      <c r="C28" s="345" t="s">
        <v>840</v>
      </c>
      <c r="D28" s="472" t="n">
        <v>3.01</v>
      </c>
      <c r="E28" s="473" t="n">
        <v>-4.22</v>
      </c>
      <c r="F28" s="472" t="n">
        <v>14.6</v>
      </c>
      <c r="H28" s="345" t="s">
        <v>840</v>
      </c>
      <c r="I28" s="472" t="n">
        <v>2.88</v>
      </c>
      <c r="J28" s="473" t="n">
        <v>-4.2</v>
      </c>
      <c r="K28" s="465" t="s">
        <v>229</v>
      </c>
      <c r="M28" s="345" t="s">
        <v>840</v>
      </c>
      <c r="N28" s="472" t="n">
        <v>12.08</v>
      </c>
      <c r="O28" s="473" t="n">
        <v>-17.6</v>
      </c>
      <c r="P28" s="472" t="n">
        <v>62.8</v>
      </c>
      <c r="Q28" s="10"/>
      <c r="R28" s="474" t="n">
        <v>-1</v>
      </c>
      <c r="S28" s="474" t="n">
        <v>0.5</v>
      </c>
      <c r="T28" s="160" t="s">
        <v>840</v>
      </c>
      <c r="U28" s="470" t="n">
        <f aca="false">IF(D28="","",ROUND(4.184*D28+$S28*$T$9+$R28*$T$10,3))</f>
        <v>12.626</v>
      </c>
      <c r="V28" s="470" t="n">
        <f aca="false">IF(E28="","",ROUND(4.184*E28,3))</f>
        <v>-17.656</v>
      </c>
      <c r="W28" s="470" t="n">
        <f aca="false">IF(F28="","",ROUND(4.184*F28,3))</f>
        <v>61.086</v>
      </c>
      <c r="Y28" s="345" t="s">
        <v>840</v>
      </c>
      <c r="Z28" s="470" t="n">
        <f aca="false">IF(I28="","",ROUND(4.184*I28+$S28*$T$9+$R28*$T$10,3))</f>
        <v>12.083</v>
      </c>
      <c r="AA28" s="470" t="n">
        <f aca="false">IF(J28="","",ROUND(4.184*J28,3))</f>
        <v>-17.573</v>
      </c>
      <c r="AB28" s="470" t="n">
        <f aca="false">IF(K28="","",ROUND(4.184*K28,3))</f>
        <v>62.76</v>
      </c>
      <c r="AC28" s="44"/>
      <c r="AD28" s="345" t="s">
        <v>840</v>
      </c>
      <c r="AE28" s="472" t="n">
        <v>12.08</v>
      </c>
      <c r="AF28" s="473" t="n">
        <v>-17.6</v>
      </c>
      <c r="AG28" s="472" t="n">
        <v>62.8</v>
      </c>
      <c r="AI28" s="345" t="s">
        <v>840</v>
      </c>
      <c r="AJ28" s="475" t="n">
        <f aca="false">IF(D28="","",ROUND(D28+$S28*$AK$9+$R28*$AK$10,3))</f>
        <v>3.018</v>
      </c>
      <c r="AK28" s="476" t="n">
        <f aca="false">IF(E28="","",ROUND(E28,3))</f>
        <v>-4.22</v>
      </c>
      <c r="AL28" s="475" t="n">
        <f aca="false">IF(F28="","",ROUND(F28,3))</f>
        <v>14.6</v>
      </c>
      <c r="AN28" s="345" t="s">
        <v>840</v>
      </c>
      <c r="AO28" s="475" t="n">
        <f aca="false">IF(I28="","",ROUND(I28+$S28*$AK$9+$R28*$AK$10,3))</f>
        <v>2.888</v>
      </c>
      <c r="AP28" s="476" t="n">
        <f aca="false">IF(J28="","",ROUND(J28,3))</f>
        <v>-4.2</v>
      </c>
      <c r="AQ28" s="470" t="n">
        <f aca="false">IF(K28="","",ROUND(K28,3))</f>
        <v>15</v>
      </c>
      <c r="AR28" s="44"/>
      <c r="AS28" s="345" t="s">
        <v>840</v>
      </c>
      <c r="AT28" s="475" t="n">
        <f aca="false">IF(N28="","",ROUND(N28/4.184,3))</f>
        <v>2.887</v>
      </c>
      <c r="AU28" s="476" t="n">
        <f aca="false">IF(O28="","",ROUND(O28/4.184,3))</f>
        <v>-4.207</v>
      </c>
      <c r="AV28" s="475" t="n">
        <f aca="false">IF(P28="","",ROUND(P28/4.184,3))</f>
        <v>15.01</v>
      </c>
    </row>
    <row r="29" customFormat="false" ht="12.75" hidden="false" customHeight="false" outlineLevel="0" collapsed="false">
      <c r="C29" s="345" t="s">
        <v>851</v>
      </c>
      <c r="D29" s="472" t="n">
        <v>-26.41</v>
      </c>
      <c r="E29" s="473" t="n">
        <v>-49.372</v>
      </c>
      <c r="F29" s="465" t="s">
        <v>1229</v>
      </c>
      <c r="H29" s="345" t="s">
        <v>851</v>
      </c>
      <c r="I29" s="472" t="n">
        <v>-26.61</v>
      </c>
      <c r="J29" s="473" t="n">
        <v>-49.56</v>
      </c>
      <c r="K29" s="465" t="s">
        <v>1229</v>
      </c>
      <c r="M29" s="345" t="s">
        <v>851</v>
      </c>
      <c r="N29" s="472" t="n">
        <v>-108.74</v>
      </c>
      <c r="O29" s="466" t="s">
        <v>1230</v>
      </c>
      <c r="P29" s="472" t="n">
        <v>146.4</v>
      </c>
      <c r="Q29" s="10"/>
      <c r="R29" s="474" t="n">
        <v>-1</v>
      </c>
      <c r="S29" s="474" t="n">
        <v>2</v>
      </c>
      <c r="T29" s="160" t="s">
        <v>851</v>
      </c>
      <c r="U29" s="470" t="n">
        <f aca="false">IF(D29="","",ROUND(4.184*D29+$S29*$T$9+$R29*$T$10,3))</f>
        <v>-110.418</v>
      </c>
      <c r="V29" s="470" t="n">
        <f aca="false">IF(E29="","",ROUND(4.184*E29,3))</f>
        <v>-206.572</v>
      </c>
      <c r="W29" s="470" t="n">
        <f aca="false">IF(F29="","",ROUND(4.184*F29,3))</f>
        <v>146.44</v>
      </c>
      <c r="Y29" s="345" t="s">
        <v>851</v>
      </c>
      <c r="Z29" s="470" t="n">
        <f aca="false">IF(I29="","",ROUND(4.184*I29+$S29*$T$9+$R29*$T$10,3))</f>
        <v>-111.255</v>
      </c>
      <c r="AA29" s="470" t="n">
        <f aca="false">IF(J29="","",ROUND(4.184*J29,3))</f>
        <v>-207.359</v>
      </c>
      <c r="AB29" s="470" t="n">
        <f aca="false">IF(K29="","",ROUND(4.184*K29,3))</f>
        <v>146.44</v>
      </c>
      <c r="AC29" s="44"/>
      <c r="AD29" s="345" t="s">
        <v>851</v>
      </c>
      <c r="AE29" s="472" t="n">
        <v>-108.74</v>
      </c>
      <c r="AF29" s="466" t="s">
        <v>1230</v>
      </c>
      <c r="AG29" s="472" t="n">
        <v>146.4</v>
      </c>
      <c r="AI29" s="345" t="s">
        <v>851</v>
      </c>
      <c r="AJ29" s="475" t="n">
        <f aca="false">IF(D29="","",ROUND(D29+$S29*$AK$9+$R29*$AK$10,3))</f>
        <v>-26.391</v>
      </c>
      <c r="AK29" s="476" t="n">
        <f aca="false">IF(E29="","",ROUND(E29,3))</f>
        <v>-49.372</v>
      </c>
      <c r="AL29" s="470" t="n">
        <f aca="false">IF(F29="","",ROUND(F29,3))</f>
        <v>35</v>
      </c>
      <c r="AN29" s="345" t="s">
        <v>851</v>
      </c>
      <c r="AO29" s="475" t="n">
        <f aca="false">IF(I29="","",ROUND(I29+$S29*$AK$9+$R29*$AK$10,3))</f>
        <v>-26.591</v>
      </c>
      <c r="AP29" s="476" t="n">
        <f aca="false">IF(J29="","",ROUND(J29,3))</f>
        <v>-49.56</v>
      </c>
      <c r="AQ29" s="470" t="n">
        <f aca="false">IF(K29="","",ROUND(K29,3))</f>
        <v>35</v>
      </c>
      <c r="AR29" s="44"/>
      <c r="AS29" s="345" t="s">
        <v>851</v>
      </c>
      <c r="AT29" s="475" t="n">
        <f aca="false">IF(N29="","",ROUND(N29/4.184,3))</f>
        <v>-25.989</v>
      </c>
      <c r="AU29" s="471" t="n">
        <f aca="false">IF(O29="","",ROUND(O29/4.184,3))</f>
        <v>-48.996</v>
      </c>
      <c r="AV29" s="475" t="n">
        <f aca="false">IF(P29="","",ROUND(P29/4.184,3))</f>
        <v>34.99</v>
      </c>
    </row>
    <row r="30" customFormat="false" ht="12.75" hidden="false" customHeight="false" outlineLevel="0" collapsed="false">
      <c r="C30" s="345" t="s">
        <v>858</v>
      </c>
      <c r="D30" s="472" t="n">
        <v>-6.37</v>
      </c>
      <c r="E30" s="473" t="n">
        <v>-19.32</v>
      </c>
      <c r="F30" s="472" t="n">
        <v>26.3</v>
      </c>
      <c r="H30" s="345" t="s">
        <v>858</v>
      </c>
      <c r="I30" s="472" t="n">
        <v>-6.35</v>
      </c>
      <c r="J30" s="473" t="n">
        <v>-19.19</v>
      </c>
      <c r="K30" s="472" t="n">
        <v>26.6</v>
      </c>
      <c r="M30" s="345" t="s">
        <v>858</v>
      </c>
      <c r="N30" s="465" t="s">
        <v>1231</v>
      </c>
      <c r="O30" s="473" t="n">
        <v>-80.29</v>
      </c>
      <c r="P30" s="472" t="n">
        <v>111.3</v>
      </c>
      <c r="Q30" s="10"/>
      <c r="R30" s="474" t="n">
        <v>0</v>
      </c>
      <c r="S30" s="474" t="n">
        <v>2</v>
      </c>
      <c r="T30" s="160" t="s">
        <v>858</v>
      </c>
      <c r="U30" s="470" t="n">
        <f aca="false">IF(D30="","",ROUND(4.184*D30+$S30*$T$9+$R30*$T$10,3))</f>
        <v>-26.587</v>
      </c>
      <c r="V30" s="470" t="n">
        <f aca="false">IF(E30="","",ROUND(4.184*E30,3))</f>
        <v>-80.835</v>
      </c>
      <c r="W30" s="470" t="n">
        <f aca="false">IF(F30="","",ROUND(4.184*F30,3))</f>
        <v>110.039</v>
      </c>
      <c r="Y30" s="345" t="s">
        <v>858</v>
      </c>
      <c r="Z30" s="470" t="n">
        <f aca="false">IF(I30="","",ROUND(4.184*I30+$S30*$T$9+$R30*$T$10,3))</f>
        <v>-26.503</v>
      </c>
      <c r="AA30" s="470" t="n">
        <f aca="false">IF(J30="","",ROUND(4.184*J30,3))</f>
        <v>-80.291</v>
      </c>
      <c r="AB30" s="470" t="n">
        <f aca="false">IF(K30="","",ROUND(4.184*K30,3))</f>
        <v>111.294</v>
      </c>
      <c r="AC30" s="44"/>
      <c r="AD30" s="345" t="s">
        <v>858</v>
      </c>
      <c r="AE30" s="465" t="s">
        <v>1231</v>
      </c>
      <c r="AF30" s="473" t="n">
        <v>-80.29</v>
      </c>
      <c r="AG30" s="472" t="n">
        <v>111.3</v>
      </c>
      <c r="AI30" s="345" t="s">
        <v>858</v>
      </c>
      <c r="AJ30" s="475" t="n">
        <f aca="false">IF(D30="","",ROUND(D30+$S30*$AK$9+$R30*$AK$10,3))</f>
        <v>-6.354</v>
      </c>
      <c r="AK30" s="476" t="n">
        <f aca="false">IF(E30="","",ROUND(E30,3))</f>
        <v>-19.32</v>
      </c>
      <c r="AL30" s="475" t="n">
        <f aca="false">IF(F30="","",ROUND(F30,3))</f>
        <v>26.3</v>
      </c>
      <c r="AN30" s="345" t="s">
        <v>858</v>
      </c>
      <c r="AO30" s="475" t="n">
        <f aca="false">IF(I30="","",ROUND(I30+$S30*$AK$9+$R30*$AK$10,3))</f>
        <v>-6.334</v>
      </c>
      <c r="AP30" s="476" t="n">
        <f aca="false">IF(J30="","",ROUND(J30,3))</f>
        <v>-19.19</v>
      </c>
      <c r="AQ30" s="475" t="n">
        <f aca="false">IF(K30="","",ROUND(K30,3))</f>
        <v>26.6</v>
      </c>
      <c r="AR30" s="44"/>
      <c r="AS30" s="345" t="s">
        <v>858</v>
      </c>
      <c r="AT30" s="470" t="n">
        <f aca="false">IF(N30="","",ROUND(N30/4.184,3))</f>
        <v>-6.334</v>
      </c>
      <c r="AU30" s="476" t="n">
        <f aca="false">IF(O30="","",ROUND(O30/4.184,3))</f>
        <v>-19.19</v>
      </c>
      <c r="AV30" s="475" t="n">
        <f aca="false">IF(P30="","",ROUND(P30/4.184,3))</f>
        <v>26.601</v>
      </c>
    </row>
    <row r="31" customFormat="false" ht="12.75" hidden="false" customHeight="false" outlineLevel="0" collapsed="false">
      <c r="C31" s="345" t="s">
        <v>865</v>
      </c>
      <c r="D31" s="465" t="s">
        <v>1232</v>
      </c>
      <c r="E31" s="473" t="n">
        <v>-31.74</v>
      </c>
      <c r="F31" s="472" t="n">
        <v>26.97</v>
      </c>
      <c r="H31" s="345" t="s">
        <v>865</v>
      </c>
      <c r="I31" s="472" t="n">
        <v>-18.97</v>
      </c>
      <c r="J31" s="473" t="n">
        <v>-31.67</v>
      </c>
      <c r="K31" s="472" t="n">
        <v>27.1</v>
      </c>
      <c r="L31" s="45"/>
      <c r="M31" s="345" t="s">
        <v>865</v>
      </c>
      <c r="N31" s="472" t="n">
        <v>-79.31</v>
      </c>
      <c r="O31" s="473" t="n">
        <v>-132.51</v>
      </c>
      <c r="P31" s="472" t="n">
        <v>113.4</v>
      </c>
      <c r="Q31" s="10"/>
      <c r="R31" s="474" t="n">
        <v>1</v>
      </c>
      <c r="S31" s="474" t="n">
        <v>2.5</v>
      </c>
      <c r="T31" s="160" t="s">
        <v>865</v>
      </c>
      <c r="U31" s="470" t="n">
        <f aca="false">IF(D31="","",ROUND(4.184*D31+$S31*$T$9+$R31*$T$10,3))</f>
        <v>-79.431</v>
      </c>
      <c r="V31" s="470" t="n">
        <f aca="false">IF(E31="","",ROUND(4.184*E31,3))</f>
        <v>-132.8</v>
      </c>
      <c r="W31" s="470" t="n">
        <f aca="false">IF(F31="","",ROUND(4.184*F31,3))</f>
        <v>112.842</v>
      </c>
      <c r="Y31" s="345" t="s">
        <v>865</v>
      </c>
      <c r="Z31" s="470" t="n">
        <f aca="false">IF(I31="","",ROUND(4.184*I31+$S31*$T$9+$R31*$T$10,3))</f>
        <v>-79.305</v>
      </c>
      <c r="AA31" s="470" t="n">
        <f aca="false">IF(J31="","",ROUND(4.184*J31,3))</f>
        <v>-132.507</v>
      </c>
      <c r="AB31" s="470" t="n">
        <f aca="false">IF(K31="","",ROUND(4.184*K31,3))</f>
        <v>113.386</v>
      </c>
      <c r="AC31" s="45"/>
      <c r="AD31" s="345" t="s">
        <v>865</v>
      </c>
      <c r="AE31" s="472" t="n">
        <v>-79.31</v>
      </c>
      <c r="AF31" s="473" t="n">
        <v>-132.51</v>
      </c>
      <c r="AG31" s="472" t="n">
        <v>113.4</v>
      </c>
      <c r="AI31" s="345" t="s">
        <v>865</v>
      </c>
      <c r="AJ31" s="470" t="n">
        <f aca="false">IF(D31="","",ROUND(D31+$S31*$AK$9+$R31*$AK$10,3))</f>
        <v>-18.984</v>
      </c>
      <c r="AK31" s="476" t="n">
        <f aca="false">IF(E31="","",ROUND(E31,3))</f>
        <v>-31.74</v>
      </c>
      <c r="AL31" s="475" t="n">
        <f aca="false">IF(F31="","",ROUND(F31,3))</f>
        <v>26.97</v>
      </c>
      <c r="AN31" s="345" t="s">
        <v>865</v>
      </c>
      <c r="AO31" s="475" t="n">
        <f aca="false">IF(I31="","",ROUND(I31+$S31*$AK$9+$R31*$AK$10,3))</f>
        <v>-18.954</v>
      </c>
      <c r="AP31" s="476" t="n">
        <f aca="false">IF(J31="","",ROUND(J31,3))</f>
        <v>-31.67</v>
      </c>
      <c r="AQ31" s="475" t="n">
        <f aca="false">IF(K31="","",ROUND(K31,3))</f>
        <v>27.1</v>
      </c>
      <c r="AR31" s="45"/>
      <c r="AS31" s="345" t="s">
        <v>865</v>
      </c>
      <c r="AT31" s="475" t="n">
        <f aca="false">IF(N31="","",ROUND(N31/4.184,3))</f>
        <v>-18.956</v>
      </c>
      <c r="AU31" s="476" t="n">
        <f aca="false">IF(O31="","",ROUND(O31/4.184,3))</f>
        <v>-31.671</v>
      </c>
      <c r="AV31" s="475" t="n">
        <f aca="false">IF(P31="","",ROUND(P31/4.184,3))</f>
        <v>27.103</v>
      </c>
    </row>
    <row r="32" customFormat="false" ht="12.75" hidden="false" customHeight="false" outlineLevel="0" collapsed="false">
      <c r="C32" s="345" t="s">
        <v>872</v>
      </c>
      <c r="D32" s="297" t="n">
        <v>-261.5</v>
      </c>
      <c r="E32" s="477" t="n">
        <v>-310.4</v>
      </c>
      <c r="F32" s="297" t="n">
        <v>-8.6</v>
      </c>
      <c r="H32" s="345" t="s">
        <v>872</v>
      </c>
      <c r="I32" s="255" t="n">
        <v>-260.34</v>
      </c>
      <c r="J32" s="478" t="n">
        <v>-308.83</v>
      </c>
      <c r="K32" s="292" t="s">
        <v>1233</v>
      </c>
      <c r="L32" s="191"/>
      <c r="M32" s="345" t="s">
        <v>872</v>
      </c>
      <c r="N32" s="255" t="n">
        <v>-1089.15</v>
      </c>
      <c r="O32" s="478" t="n">
        <v>-1292.14</v>
      </c>
      <c r="P32" s="297" t="n">
        <v>-33.5</v>
      </c>
      <c r="Q32" s="10"/>
      <c r="R32" s="474" t="n">
        <v>-1</v>
      </c>
      <c r="S32" s="474" t="n">
        <v>2.5</v>
      </c>
      <c r="T32" s="160" t="s">
        <v>872</v>
      </c>
      <c r="U32" s="294" t="n">
        <f aca="false">IF(D32="","",ROUND(4.184*D32+$S32*$T$9+$R32*$T$10,3))</f>
        <v>-1094.018</v>
      </c>
      <c r="V32" s="294" t="n">
        <f aca="false">IF(E32="","",ROUND(4.184*E32,3))</f>
        <v>-1298.714</v>
      </c>
      <c r="W32" s="294" t="n">
        <f aca="false">IF(F32="","",ROUND(4.184*F32,3))</f>
        <v>-35.982</v>
      </c>
      <c r="Y32" s="345" t="s">
        <v>872</v>
      </c>
      <c r="Z32" s="479" t="n">
        <f aca="false">IF(I32="","",ROUND(4.184*I32+$S32*$T$9+$R32*$T$10,3))</f>
        <v>-1089.165</v>
      </c>
      <c r="AA32" s="479" t="n">
        <f aca="false">IF(J32="","",ROUND(4.184*J32,3))</f>
        <v>-1292.145</v>
      </c>
      <c r="AB32" s="294" t="n">
        <f aca="false">IF(K32="","",ROUND(4.184*K32,3))</f>
        <v>-33.472</v>
      </c>
      <c r="AC32" s="191"/>
      <c r="AD32" s="345" t="s">
        <v>872</v>
      </c>
      <c r="AE32" s="255" t="n">
        <v>-1089.15</v>
      </c>
      <c r="AF32" s="478" t="n">
        <v>-1292.14</v>
      </c>
      <c r="AG32" s="297" t="n">
        <v>-33.5</v>
      </c>
      <c r="AI32" s="345" t="s">
        <v>872</v>
      </c>
      <c r="AJ32" s="298" t="n">
        <f aca="false">IF(D32="","",ROUND(D32+$S32*$AK$9+$R32*$AK$10,3))</f>
        <v>-261.477</v>
      </c>
      <c r="AK32" s="480" t="n">
        <f aca="false">IF(E32="","",ROUND(E32,3))</f>
        <v>-310.4</v>
      </c>
      <c r="AL32" s="298" t="n">
        <f aca="false">IF(F32="","",ROUND(F32,3))</f>
        <v>-8.6</v>
      </c>
      <c r="AN32" s="345" t="s">
        <v>872</v>
      </c>
      <c r="AO32" s="481" t="n">
        <f aca="false">IF(I32="","",ROUND(I32+$S32*$AK$9+$R32*$AK$10,3))</f>
        <v>-260.317</v>
      </c>
      <c r="AP32" s="482" t="n">
        <f aca="false">IF(J32="","",ROUND(J32,3))</f>
        <v>-308.83</v>
      </c>
      <c r="AQ32" s="479" t="n">
        <f aca="false">IF(K32="","",ROUND(K32,3))</f>
        <v>-8</v>
      </c>
      <c r="AR32" s="191"/>
      <c r="AS32" s="345" t="s">
        <v>872</v>
      </c>
      <c r="AT32" s="481" t="n">
        <f aca="false">IF(N32="","",ROUND(N32/4.184,3))</f>
        <v>-260.313</v>
      </c>
      <c r="AU32" s="482" t="n">
        <f aca="false">IF(O32="","",ROUND(O32/4.184,3))</f>
        <v>-308.829</v>
      </c>
      <c r="AV32" s="481" t="n">
        <f aca="false">IF(P32="","",ROUND(P32/4.184,3))</f>
        <v>-8.007</v>
      </c>
    </row>
    <row r="33" customFormat="false" ht="12.75" hidden="false" customHeight="false" outlineLevel="0" collapsed="false">
      <c r="C33" s="345" t="s">
        <v>879</v>
      </c>
      <c r="D33" s="297" t="n">
        <v>-271.3</v>
      </c>
      <c r="E33" s="477" t="n">
        <v>-311.3</v>
      </c>
      <c r="F33" s="297" t="n">
        <v>21.3</v>
      </c>
      <c r="G33" s="10"/>
      <c r="H33" s="345" t="s">
        <v>879</v>
      </c>
      <c r="I33" s="256" t="s">
        <v>1234</v>
      </c>
      <c r="J33" s="478" t="n">
        <v>-309.82</v>
      </c>
      <c r="K33" s="297" t="n">
        <v>21.6</v>
      </c>
      <c r="L33" s="191"/>
      <c r="M33" s="345" t="s">
        <v>879</v>
      </c>
      <c r="N33" s="255" t="n">
        <v>-1130.28</v>
      </c>
      <c r="O33" s="478" t="n">
        <v>-1296.29</v>
      </c>
      <c r="P33" s="297" t="n">
        <v>90.4</v>
      </c>
      <c r="Q33" s="10"/>
      <c r="R33" s="474" t="n">
        <v>-2</v>
      </c>
      <c r="S33" s="474" t="n">
        <v>3</v>
      </c>
      <c r="T33" s="160" t="s">
        <v>879</v>
      </c>
      <c r="U33" s="294" t="n">
        <f aca="false">IF(D33="","",ROUND(4.184*D33+$S33*$T$9+$R33*$T$10,3))</f>
        <v>-1134.989</v>
      </c>
      <c r="V33" s="294" t="n">
        <f aca="false">IF(E33="","",ROUND(4.184*E33,3))</f>
        <v>-1302.479</v>
      </c>
      <c r="W33" s="294" t="n">
        <f aca="false">IF(F33="","",ROUND(4.184*F33,3))</f>
        <v>89.119</v>
      </c>
      <c r="X33" s="10"/>
      <c r="Y33" s="345" t="s">
        <v>879</v>
      </c>
      <c r="Z33" s="479" t="n">
        <f aca="false">IF(I33="","",ROUND(4.184*I33+$S33*$T$9+$R33*$T$10,3))</f>
        <v>-1130.261</v>
      </c>
      <c r="AA33" s="479" t="n">
        <f aca="false">IF(J33="","",ROUND(4.184*J33,3))</f>
        <v>-1296.287</v>
      </c>
      <c r="AB33" s="294" t="n">
        <f aca="false">IF(K33="","",ROUND(4.184*K33,3))</f>
        <v>90.374</v>
      </c>
      <c r="AC33" s="191"/>
      <c r="AD33" s="345" t="s">
        <v>879</v>
      </c>
      <c r="AE33" s="255" t="n">
        <v>-1130.28</v>
      </c>
      <c r="AF33" s="478" t="n">
        <v>-1296.29</v>
      </c>
      <c r="AG33" s="297" t="n">
        <v>90.4</v>
      </c>
      <c r="AI33" s="345" t="s">
        <v>879</v>
      </c>
      <c r="AJ33" s="298" t="n">
        <f aca="false">IF(D33="","",ROUND(D33+$S33*$AK$9+$R33*$AK$10,3))</f>
        <v>-271.269</v>
      </c>
      <c r="AK33" s="480" t="n">
        <f aca="false">IF(E33="","",ROUND(E33,3))</f>
        <v>-311.3</v>
      </c>
      <c r="AL33" s="298" t="n">
        <f aca="false">IF(F33="","",ROUND(F33,3))</f>
        <v>21.3</v>
      </c>
      <c r="AM33" s="10"/>
      <c r="AN33" s="345" t="s">
        <v>879</v>
      </c>
      <c r="AO33" s="479" t="n">
        <f aca="false">IF(I33="","",ROUND(I33+$S33*$AK$9+$R33*$AK$10,3))</f>
        <v>-270.139</v>
      </c>
      <c r="AP33" s="482" t="n">
        <f aca="false">IF(J33="","",ROUND(J33,3))</f>
        <v>-309.82</v>
      </c>
      <c r="AQ33" s="481" t="n">
        <f aca="false">IF(K33="","",ROUND(K33,3))</f>
        <v>21.6</v>
      </c>
      <c r="AR33" s="191"/>
      <c r="AS33" s="345" t="s">
        <v>879</v>
      </c>
      <c r="AT33" s="481" t="n">
        <f aca="false">IF(N33="","",ROUND(N33/4.184,3))</f>
        <v>-270.143</v>
      </c>
      <c r="AU33" s="482" t="n">
        <f aca="false">IF(O33="","",ROUND(O33/4.184,3))</f>
        <v>-309.821</v>
      </c>
      <c r="AV33" s="481" t="n">
        <f aca="false">IF(P33="","",ROUND(P33/4.184,3))</f>
        <v>21.606</v>
      </c>
    </row>
    <row r="34" customFormat="false" ht="12.75" hidden="false" customHeight="false" outlineLevel="0" collapsed="false">
      <c r="C34" s="345" t="s">
        <v>885</v>
      </c>
      <c r="D34" s="472" t="n">
        <v>-92.31</v>
      </c>
      <c r="E34" s="473" t="n">
        <v>-98.69</v>
      </c>
      <c r="F34" s="465" t="s">
        <v>242</v>
      </c>
      <c r="G34" s="10"/>
      <c r="H34" s="345" t="s">
        <v>885</v>
      </c>
      <c r="I34" s="472" t="n">
        <v>-92.26</v>
      </c>
      <c r="J34" s="466" t="s">
        <v>1235</v>
      </c>
      <c r="K34" s="472" t="n">
        <v>28.1</v>
      </c>
      <c r="M34" s="345" t="s">
        <v>885</v>
      </c>
      <c r="N34" s="472" t="n">
        <v>-385.98</v>
      </c>
      <c r="O34" s="466" t="s">
        <v>1236</v>
      </c>
      <c r="P34" s="472" t="n">
        <v>117.6</v>
      </c>
      <c r="Q34" s="10"/>
      <c r="R34" s="474" t="n">
        <v>0</v>
      </c>
      <c r="S34" s="474" t="n">
        <v>1</v>
      </c>
      <c r="T34" s="160" t="s">
        <v>885</v>
      </c>
      <c r="U34" s="470" t="n">
        <f aca="false">IF(D34="","",ROUND(4.184*D34+$S34*$T$9+$R34*$T$10,3))</f>
        <v>-386.192</v>
      </c>
      <c r="V34" s="470" t="n">
        <f aca="false">IF(E34="","",ROUND(4.184*E34,3))</f>
        <v>-412.919</v>
      </c>
      <c r="W34" s="470" t="n">
        <f aca="false">IF(F34="","",ROUND(4.184*F34,3))</f>
        <v>121.336</v>
      </c>
      <c r="X34" s="10"/>
      <c r="Y34" s="345" t="s">
        <v>885</v>
      </c>
      <c r="Z34" s="470" t="n">
        <f aca="false">IF(I34="","",ROUND(4.184*I34+$S34*$T$9+$R34*$T$10,3))</f>
        <v>-385.983</v>
      </c>
      <c r="AA34" s="470" t="n">
        <f aca="false">IF(J34="","",ROUND(4.184*J34,3))</f>
        <v>-413.798</v>
      </c>
      <c r="AB34" s="470" t="n">
        <f aca="false">IF(K34="","",ROUND(4.184*K34,3))</f>
        <v>117.57</v>
      </c>
      <c r="AC34" s="44"/>
      <c r="AD34" s="345" t="s">
        <v>885</v>
      </c>
      <c r="AE34" s="472" t="n">
        <v>-385.98</v>
      </c>
      <c r="AF34" s="466" t="s">
        <v>1236</v>
      </c>
      <c r="AG34" s="472" t="n">
        <v>117.6</v>
      </c>
      <c r="AI34" s="345" t="s">
        <v>885</v>
      </c>
      <c r="AJ34" s="475" t="n">
        <f aca="false">IF(D34="","",ROUND(D34+$S34*$AK$9+$R34*$AK$10,3))</f>
        <v>-92.302</v>
      </c>
      <c r="AK34" s="476" t="n">
        <f aca="false">IF(E34="","",ROUND(E34,3))</f>
        <v>-98.69</v>
      </c>
      <c r="AL34" s="470" t="n">
        <f aca="false">IF(F34="","",ROUND(F34,3))</f>
        <v>29</v>
      </c>
      <c r="AM34" s="10"/>
      <c r="AN34" s="345" t="s">
        <v>885</v>
      </c>
      <c r="AO34" s="475" t="n">
        <f aca="false">IF(I34="","",ROUND(I34+$S34*$AK$9+$R34*$AK$10,3))</f>
        <v>-92.252</v>
      </c>
      <c r="AP34" s="471" t="n">
        <f aca="false">IF(J34="","",ROUND(J34,3))</f>
        <v>-98.9</v>
      </c>
      <c r="AQ34" s="475" t="n">
        <f aca="false">IF(K34="","",ROUND(K34,3))</f>
        <v>28.1</v>
      </c>
      <c r="AR34" s="44"/>
      <c r="AS34" s="345" t="s">
        <v>885</v>
      </c>
      <c r="AT34" s="475" t="n">
        <f aca="false">IF(N34="","",ROUND(N34/4.184,3))</f>
        <v>-92.251</v>
      </c>
      <c r="AU34" s="471" t="n">
        <f aca="false">IF(O34="","",ROUND(O34/4.184,3))</f>
        <v>-98.901</v>
      </c>
      <c r="AV34" s="475" t="n">
        <f aca="false">IF(P34="","",ROUND(P34/4.184,3))</f>
        <v>28.107</v>
      </c>
    </row>
    <row r="35" customFormat="false" ht="12.75" hidden="false" customHeight="false" outlineLevel="0" collapsed="false">
      <c r="B35" s="10"/>
      <c r="C35" s="345" t="s">
        <v>893</v>
      </c>
      <c r="D35" s="465" t="s">
        <v>1237</v>
      </c>
      <c r="E35" s="473" t="n">
        <v>-161.63</v>
      </c>
      <c r="F35" s="472" t="n">
        <v>-12.7</v>
      </c>
      <c r="G35" s="10"/>
      <c r="H35" s="345" t="s">
        <v>893</v>
      </c>
      <c r="I35" s="472" t="n">
        <v>-126.17</v>
      </c>
      <c r="J35" s="473" t="n">
        <v>-161.84</v>
      </c>
      <c r="K35" s="472" t="n">
        <v>-13.6</v>
      </c>
      <c r="M35" s="345" t="s">
        <v>893</v>
      </c>
      <c r="N35" s="472" t="n">
        <v>-527.81</v>
      </c>
      <c r="O35" s="473" t="n">
        <v>-677.14</v>
      </c>
      <c r="P35" s="472" t="n">
        <v>-56.9</v>
      </c>
      <c r="Q35" s="10"/>
      <c r="R35" s="474" t="n">
        <v>-2</v>
      </c>
      <c r="S35" s="474" t="n">
        <v>1.5</v>
      </c>
      <c r="T35" s="160" t="s">
        <v>893</v>
      </c>
      <c r="U35" s="470" t="n">
        <f aca="false">IF(D35="","",ROUND(4.184*D35+$S35*$T$9+$R35*$T$10,3))</f>
        <v>-528.023</v>
      </c>
      <c r="V35" s="470" t="n">
        <f aca="false">IF(E35="","",ROUND(4.184*E35,3))</f>
        <v>-676.26</v>
      </c>
      <c r="W35" s="470" t="n">
        <f aca="false">IF(F35="","",ROUND(4.184*F35,3))</f>
        <v>-53.137</v>
      </c>
      <c r="X35" s="10"/>
      <c r="Y35" s="345" t="s">
        <v>893</v>
      </c>
      <c r="Z35" s="470" t="n">
        <f aca="false">IF(I35="","",ROUND(4.184*I35+$S35*$T$9+$R35*$T$10,3))</f>
        <v>-527.814</v>
      </c>
      <c r="AA35" s="470" t="n">
        <f aca="false">IF(J35="","",ROUND(4.184*J35,3))</f>
        <v>-677.139</v>
      </c>
      <c r="AB35" s="470" t="n">
        <f aca="false">IF(K35="","",ROUND(4.184*K35,3))</f>
        <v>-56.902</v>
      </c>
      <c r="AC35" s="44"/>
      <c r="AD35" s="345" t="s">
        <v>893</v>
      </c>
      <c r="AE35" s="472" t="n">
        <v>-527.81</v>
      </c>
      <c r="AF35" s="473" t="n">
        <v>-677.14</v>
      </c>
      <c r="AG35" s="472" t="n">
        <v>-56.9</v>
      </c>
      <c r="AI35" s="345" t="s">
        <v>893</v>
      </c>
      <c r="AJ35" s="470" t="n">
        <f aca="false">IF(D35="","",ROUND(D35+$S35*$AK$9+$R35*$AK$10,3))</f>
        <v>-126.201</v>
      </c>
      <c r="AK35" s="476" t="n">
        <f aca="false">IF(E35="","",ROUND(E35,3))</f>
        <v>-161.63</v>
      </c>
      <c r="AL35" s="475" t="n">
        <f aca="false">IF(F35="","",ROUND(F35,3))</f>
        <v>-12.7</v>
      </c>
      <c r="AM35" s="10"/>
      <c r="AN35" s="345" t="s">
        <v>893</v>
      </c>
      <c r="AO35" s="475" t="n">
        <f aca="false">IF(I35="","",ROUND(I35+$S35*$AK$9+$R35*$AK$10,3))</f>
        <v>-126.151</v>
      </c>
      <c r="AP35" s="476" t="n">
        <f aca="false">IF(J35="","",ROUND(J35,3))</f>
        <v>-161.84</v>
      </c>
      <c r="AQ35" s="475" t="n">
        <f aca="false">IF(K35="","",ROUND(K35,3))</f>
        <v>-13.6</v>
      </c>
      <c r="AR35" s="44"/>
      <c r="AS35" s="345" t="s">
        <v>893</v>
      </c>
      <c r="AT35" s="475" t="n">
        <f aca="false">IF(N35="","",ROUND(N35/4.184,3))</f>
        <v>-126.15</v>
      </c>
      <c r="AU35" s="476" t="n">
        <f aca="false">IF(O35="","",ROUND(O35/4.184,3))</f>
        <v>-161.84</v>
      </c>
      <c r="AV35" s="475" t="n">
        <f aca="false">IF(P35="","",ROUND(P35/4.184,3))</f>
        <v>-13.599</v>
      </c>
    </row>
    <row r="36" customFormat="false" ht="12.75" hidden="false" customHeight="false" outlineLevel="0" collapsed="false">
      <c r="C36" s="345" t="s">
        <v>902</v>
      </c>
      <c r="D36" s="472" t="n">
        <v>-140.31</v>
      </c>
      <c r="E36" s="473" t="n">
        <v>-165.18</v>
      </c>
      <c r="F36" s="472" t="n">
        <v>22.7</v>
      </c>
      <c r="H36" s="345" t="s">
        <v>902</v>
      </c>
      <c r="I36" s="472" t="n">
        <v>-140.26</v>
      </c>
      <c r="J36" s="473" t="n">
        <v>-165.39</v>
      </c>
      <c r="K36" s="472" t="n">
        <v>21.8</v>
      </c>
      <c r="M36" s="345" t="s">
        <v>902</v>
      </c>
      <c r="N36" s="472" t="n">
        <v>-586.77</v>
      </c>
      <c r="O36" s="473" t="n">
        <v>-691.99</v>
      </c>
      <c r="P36" s="472" t="n">
        <v>91.2</v>
      </c>
      <c r="Q36" s="10"/>
      <c r="R36" s="474" t="n">
        <v>-1</v>
      </c>
      <c r="S36" s="474" t="n">
        <v>2</v>
      </c>
      <c r="T36" s="160" t="s">
        <v>902</v>
      </c>
      <c r="U36" s="470" t="n">
        <f aca="false">IF(D36="","",ROUND(4.184*D36+$S36*$T$9+$R36*$T$10,3))</f>
        <v>-586.975</v>
      </c>
      <c r="V36" s="470" t="n">
        <f aca="false">IF(E36="","",ROUND(4.184*E36,3))</f>
        <v>-691.113</v>
      </c>
      <c r="W36" s="470" t="n">
        <f aca="false">IF(F36="","",ROUND(4.184*F36,3))</f>
        <v>94.977</v>
      </c>
      <c r="Y36" s="345" t="s">
        <v>902</v>
      </c>
      <c r="Z36" s="470" t="n">
        <f aca="false">IF(I36="","",ROUND(4.184*I36+$S36*$T$9+$R36*$T$10,3))</f>
        <v>-586.766</v>
      </c>
      <c r="AA36" s="470" t="n">
        <f aca="false">IF(J36="","",ROUND(4.184*J36,3))</f>
        <v>-691.992</v>
      </c>
      <c r="AB36" s="470" t="n">
        <f aca="false">IF(K36="","",ROUND(4.184*K36,3))</f>
        <v>91.211</v>
      </c>
      <c r="AC36" s="44"/>
      <c r="AD36" s="345" t="s">
        <v>902</v>
      </c>
      <c r="AE36" s="472" t="n">
        <v>-586.77</v>
      </c>
      <c r="AF36" s="473" t="n">
        <v>-691.99</v>
      </c>
      <c r="AG36" s="472" t="n">
        <v>91.2</v>
      </c>
      <c r="AI36" s="345" t="s">
        <v>902</v>
      </c>
      <c r="AJ36" s="475" t="n">
        <f aca="false">IF(D36="","",ROUND(D36+$S36*$AK$9+$R36*$AK$10,3))</f>
        <v>-140.291</v>
      </c>
      <c r="AK36" s="476" t="n">
        <f aca="false">IF(E36="","",ROUND(E36,3))</f>
        <v>-165.18</v>
      </c>
      <c r="AL36" s="475" t="n">
        <f aca="false">IF(F36="","",ROUND(F36,3))</f>
        <v>22.7</v>
      </c>
      <c r="AN36" s="345" t="s">
        <v>902</v>
      </c>
      <c r="AO36" s="475" t="n">
        <f aca="false">IF(I36="","",ROUND(I36+$S36*$AK$9+$R36*$AK$10,3))</f>
        <v>-140.241</v>
      </c>
      <c r="AP36" s="476" t="n">
        <f aca="false">IF(J36="","",ROUND(J36,3))</f>
        <v>-165.39</v>
      </c>
      <c r="AQ36" s="475" t="n">
        <f aca="false">IF(K36="","",ROUND(K36,3))</f>
        <v>21.8</v>
      </c>
      <c r="AR36" s="44"/>
      <c r="AS36" s="345" t="s">
        <v>902</v>
      </c>
      <c r="AT36" s="475" t="n">
        <f aca="false">IF(N36="","",ROUND(N36/4.184,3))</f>
        <v>-140.241</v>
      </c>
      <c r="AU36" s="476" t="n">
        <f aca="false">IF(O36="","",ROUND(O36/4.184,3))</f>
        <v>-165.39</v>
      </c>
      <c r="AV36" s="475" t="n">
        <f aca="false">IF(P36="","",ROUND(P36/4.184,3))</f>
        <v>21.797</v>
      </c>
    </row>
    <row r="37" customFormat="false" ht="12.75" hidden="false" customHeight="false" outlineLevel="0" collapsed="false">
      <c r="B37" s="10"/>
      <c r="C37" s="345" t="s">
        <v>909</v>
      </c>
      <c r="D37" s="297"/>
      <c r="E37" s="477"/>
      <c r="F37" s="297"/>
      <c r="G37" s="10"/>
      <c r="H37" s="345" t="s">
        <v>909</v>
      </c>
      <c r="I37" s="472" t="n">
        <v>-314.7</v>
      </c>
      <c r="J37" s="466" t="s">
        <v>1238</v>
      </c>
      <c r="K37" s="465" t="s">
        <v>1239</v>
      </c>
      <c r="L37" s="87"/>
      <c r="M37" s="345" t="s">
        <v>909</v>
      </c>
      <c r="N37" s="472" t="n">
        <v>-1316.6</v>
      </c>
      <c r="O37" s="473" t="n">
        <v>-1468.6</v>
      </c>
      <c r="P37" s="465" t="s">
        <v>1240</v>
      </c>
      <c r="Q37" s="10"/>
      <c r="R37" s="474" t="n">
        <v>0</v>
      </c>
      <c r="S37" s="474" t="n">
        <v>4</v>
      </c>
      <c r="T37" s="160" t="s">
        <v>909</v>
      </c>
      <c r="U37" s="470" t="str">
        <f aca="false">IF(D37="","",ROUND(4.184*D37+$S37*$T$9+$R37*$T$10,3))</f>
        <v/>
      </c>
      <c r="V37" s="470" t="str">
        <f aca="false">IF(E37="","",ROUND(4.184*E37,3))</f>
        <v/>
      </c>
      <c r="W37" s="470" t="str">
        <f aca="false">IF(F37="","",ROUND(4.184*F37,3))</f>
        <v/>
      </c>
      <c r="X37" s="10"/>
      <c r="Y37" s="345" t="s">
        <v>909</v>
      </c>
      <c r="Z37" s="470" t="n">
        <f aca="false">IF(I37="","",ROUND(4.184*I37+$S37*$T$9+$R37*$T$10,3))</f>
        <v>-1316.574</v>
      </c>
      <c r="AA37" s="470" t="n">
        <f aca="false">IF(J37="","",ROUND(4.184*J37,3))</f>
        <v>-1468.584</v>
      </c>
      <c r="AB37" s="470" t="n">
        <f aca="false">IF(K37="","",ROUND(4.184*K37,3))</f>
        <v>179.912</v>
      </c>
      <c r="AC37" s="87"/>
      <c r="AD37" s="345" t="s">
        <v>909</v>
      </c>
      <c r="AE37" s="472" t="n">
        <v>-1316.6</v>
      </c>
      <c r="AF37" s="473" t="n">
        <v>-1468.6</v>
      </c>
      <c r="AG37" s="465" t="s">
        <v>1240</v>
      </c>
      <c r="AI37" s="345" t="s">
        <v>909</v>
      </c>
      <c r="AJ37" s="298" t="str">
        <f aca="false">IF(D37="","",ROUND(D37+$S37*$AK$9+$R37*$AK$10,3))</f>
        <v/>
      </c>
      <c r="AK37" s="480" t="str">
        <f aca="false">IF(E37="","",ROUND(E37,3))</f>
        <v/>
      </c>
      <c r="AL37" s="298" t="str">
        <f aca="false">IF(F37="","",ROUND(F37,3))</f>
        <v/>
      </c>
      <c r="AM37" s="10"/>
      <c r="AN37" s="345" t="s">
        <v>909</v>
      </c>
      <c r="AO37" s="475" t="n">
        <f aca="false">IF(I37="","",ROUND(I37+$S37*$AK$9+$R37*$AK$10,3))</f>
        <v>-314.669</v>
      </c>
      <c r="AP37" s="471" t="n">
        <f aca="false">IF(J37="","",ROUND(J37,3))</f>
        <v>-351</v>
      </c>
      <c r="AQ37" s="470" t="n">
        <f aca="false">IF(K37="","",ROUND(K37,3))</f>
        <v>43</v>
      </c>
      <c r="AR37" s="87"/>
      <c r="AS37" s="345" t="s">
        <v>909</v>
      </c>
      <c r="AT37" s="475" t="n">
        <f aca="false">IF(N37="","",ROUND(N37/4.184,3))</f>
        <v>-314.675</v>
      </c>
      <c r="AU37" s="476" t="n">
        <f aca="false">IF(O37="","",ROUND(O37/4.184,3))</f>
        <v>-351.004</v>
      </c>
      <c r="AV37" s="470" t="n">
        <f aca="false">IF(P37="","",ROUND(P37/4.184,3))</f>
        <v>43.021</v>
      </c>
    </row>
    <row r="38" customFormat="false" ht="12.75" hidden="false" customHeight="false" outlineLevel="0" collapsed="false">
      <c r="B38" s="10"/>
      <c r="C38" s="345" t="s">
        <v>916</v>
      </c>
      <c r="D38" s="472" t="n">
        <v>-230.24</v>
      </c>
      <c r="E38" s="473" t="n">
        <v>-255.2</v>
      </c>
      <c r="F38" s="472" t="n">
        <v>38.2</v>
      </c>
      <c r="G38" s="10"/>
      <c r="H38" s="345" t="s">
        <v>916</v>
      </c>
      <c r="I38" s="472" t="n">
        <v>-231.56</v>
      </c>
      <c r="J38" s="473" t="n">
        <v>-256.29</v>
      </c>
      <c r="K38" s="472" t="n">
        <v>38.8</v>
      </c>
      <c r="M38" s="345" t="s">
        <v>916</v>
      </c>
      <c r="N38" s="472" t="n">
        <v>-968.75</v>
      </c>
      <c r="O38" s="473" t="n">
        <v>-1072.32</v>
      </c>
      <c r="P38" s="472" t="n">
        <v>162.3</v>
      </c>
      <c r="Q38" s="10"/>
      <c r="R38" s="474" t="n">
        <v>0</v>
      </c>
      <c r="S38" s="474" t="n">
        <v>3</v>
      </c>
      <c r="T38" s="160" t="s">
        <v>916</v>
      </c>
      <c r="U38" s="470" t="n">
        <f aca="false">IF(D38="","",ROUND(4.184*D38+$S38*$T$9+$R38*$T$10,3))</f>
        <v>-963.226</v>
      </c>
      <c r="V38" s="470" t="n">
        <f aca="false">IF(E38="","",ROUND(4.184*E38,3))</f>
        <v>-1067.757</v>
      </c>
      <c r="W38" s="470" t="n">
        <f aca="false">IF(F38="","",ROUND(4.184*F38,3))</f>
        <v>159.829</v>
      </c>
      <c r="X38" s="10"/>
      <c r="Y38" s="345" t="s">
        <v>916</v>
      </c>
      <c r="Z38" s="470" t="n">
        <f aca="false">IF(I38="","",ROUND(4.184*I38+$S38*$T$9+$R38*$T$10,3))</f>
        <v>-968.749</v>
      </c>
      <c r="AA38" s="470" t="n">
        <f aca="false">IF(J38="","",ROUND(4.184*J38,3))</f>
        <v>-1072.317</v>
      </c>
      <c r="AB38" s="470" t="n">
        <f aca="false">IF(K38="","",ROUND(4.184*K38,3))</f>
        <v>162.339</v>
      </c>
      <c r="AC38" s="44"/>
      <c r="AD38" s="345" t="s">
        <v>916</v>
      </c>
      <c r="AE38" s="472" t="n">
        <v>-968.75</v>
      </c>
      <c r="AF38" s="473" t="n">
        <v>-1072.32</v>
      </c>
      <c r="AG38" s="472" t="n">
        <v>162.3</v>
      </c>
      <c r="AI38" s="345" t="s">
        <v>916</v>
      </c>
      <c r="AJ38" s="475" t="n">
        <f aca="false">IF(D38="","",ROUND(D38+$S38*$AK$9+$R38*$AK$10,3))</f>
        <v>-230.217</v>
      </c>
      <c r="AK38" s="476" t="n">
        <f aca="false">IF(E38="","",ROUND(E38,3))</f>
        <v>-255.2</v>
      </c>
      <c r="AL38" s="475" t="n">
        <f aca="false">IF(F38="","",ROUND(F38,3))</f>
        <v>38.2</v>
      </c>
      <c r="AM38" s="10"/>
      <c r="AN38" s="345" t="s">
        <v>916</v>
      </c>
      <c r="AO38" s="475" t="n">
        <f aca="false">IF(I38="","",ROUND(I38+$S38*$AK$9+$R38*$AK$10,3))</f>
        <v>-231.537</v>
      </c>
      <c r="AP38" s="476" t="n">
        <f aca="false">IF(J38="","",ROUND(J38,3))</f>
        <v>-256.29</v>
      </c>
      <c r="AQ38" s="475" t="n">
        <f aca="false">IF(K38="","",ROUND(K38,3))</f>
        <v>38.8</v>
      </c>
      <c r="AR38" s="44"/>
      <c r="AS38" s="345" t="s">
        <v>916</v>
      </c>
      <c r="AT38" s="475" t="n">
        <f aca="false">IF(N38="","",ROUND(N38/4.184,3))</f>
        <v>-231.537</v>
      </c>
      <c r="AU38" s="476" t="n">
        <f aca="false">IF(O38="","",ROUND(O38/4.184,3))</f>
        <v>-256.291</v>
      </c>
      <c r="AV38" s="475" t="n">
        <f aca="false">IF(P38="","",ROUND(P38/4.184,3))</f>
        <v>38.791</v>
      </c>
    </row>
    <row r="39" customFormat="false" ht="12.75" hidden="false" customHeight="false" outlineLevel="0" collapsed="false">
      <c r="B39" s="10"/>
      <c r="C39" s="345" t="s">
        <v>923</v>
      </c>
      <c r="D39" s="292" t="s">
        <v>1241</v>
      </c>
      <c r="E39" s="477" t="n">
        <v>-320.117</v>
      </c>
      <c r="F39" s="297" t="n">
        <v>24.016</v>
      </c>
      <c r="G39" s="10"/>
      <c r="H39" s="345" t="s">
        <v>923</v>
      </c>
      <c r="I39" s="472" t="n">
        <v>-275.65</v>
      </c>
      <c r="J39" s="473" t="n">
        <v>-321.23</v>
      </c>
      <c r="K39" s="472" t="n">
        <v>24.5</v>
      </c>
      <c r="M39" s="345" t="s">
        <v>923</v>
      </c>
      <c r="N39" s="472" t="n">
        <v>-1153.17</v>
      </c>
      <c r="O39" s="473" t="n">
        <v>-1344.03</v>
      </c>
      <c r="P39" s="472" t="n">
        <v>102.5</v>
      </c>
      <c r="Q39" s="10"/>
      <c r="R39" s="474" t="n">
        <v>-1</v>
      </c>
      <c r="S39" s="474" t="n">
        <v>4</v>
      </c>
      <c r="T39" s="160" t="s">
        <v>923</v>
      </c>
      <c r="U39" s="470" t="n">
        <f aca="false">IF(D39="","",ROUND(4.184*D39+$S39*$T$9+$R39*$T$10,3))</f>
        <v>-1147.608</v>
      </c>
      <c r="V39" s="470" t="n">
        <f aca="false">IF(E39="","",ROUND(4.184*E39,3))</f>
        <v>-1339.37</v>
      </c>
      <c r="W39" s="470" t="n">
        <f aca="false">IF(F39="","",ROUND(4.184*F39,3))</f>
        <v>100.483</v>
      </c>
      <c r="X39" s="10"/>
      <c r="Y39" s="345" t="s">
        <v>923</v>
      </c>
      <c r="Z39" s="470" t="n">
        <f aca="false">IF(I39="","",ROUND(4.184*I39+$S39*$T$9+$R39*$T$10,3))</f>
        <v>-1153.173</v>
      </c>
      <c r="AA39" s="470" t="n">
        <f aca="false">IF(J39="","",ROUND(4.184*J39,3))</f>
        <v>-1344.026</v>
      </c>
      <c r="AB39" s="470" t="n">
        <f aca="false">IF(K39="","",ROUND(4.184*K39,3))</f>
        <v>102.508</v>
      </c>
      <c r="AC39" s="44"/>
      <c r="AD39" s="345" t="s">
        <v>923</v>
      </c>
      <c r="AE39" s="472" t="n">
        <v>-1153.17</v>
      </c>
      <c r="AF39" s="473" t="n">
        <v>-1344.03</v>
      </c>
      <c r="AG39" s="472" t="n">
        <v>102.5</v>
      </c>
      <c r="AI39" s="345" t="s">
        <v>923</v>
      </c>
      <c r="AJ39" s="483" t="n">
        <f aca="false">IF(D39="","",ROUND(D39+$S39*$AK$9+$R39*$AK$10,3))</f>
        <v>-274.285</v>
      </c>
      <c r="AK39" s="484" t="n">
        <f aca="false">IF(E39="","",ROUND(E39,3))</f>
        <v>-320.117</v>
      </c>
      <c r="AL39" s="485" t="n">
        <f aca="false">IF(F39="","",ROUND(F39,3))</f>
        <v>24.016</v>
      </c>
      <c r="AM39" s="10"/>
      <c r="AN39" s="345" t="s">
        <v>923</v>
      </c>
      <c r="AO39" s="475" t="n">
        <f aca="false">IF(I39="","",ROUND(I39+$S39*$AK$9+$R39*$AK$10,3))</f>
        <v>-275.615</v>
      </c>
      <c r="AP39" s="476" t="n">
        <f aca="false">IF(J39="","",ROUND(J39,3))</f>
        <v>-321.23</v>
      </c>
      <c r="AQ39" s="475" t="n">
        <f aca="false">IF(K39="","",ROUND(K39,3))</f>
        <v>24.5</v>
      </c>
      <c r="AR39" s="44"/>
      <c r="AS39" s="345" t="s">
        <v>923</v>
      </c>
      <c r="AT39" s="475" t="n">
        <f aca="false">IF(N39="","",ROUND(N39/4.184,3))</f>
        <v>-275.614</v>
      </c>
      <c r="AU39" s="476" t="n">
        <f aca="false">IF(O39="","",ROUND(O39/4.184,3))</f>
        <v>-321.231</v>
      </c>
      <c r="AV39" s="475" t="n">
        <f aca="false">IF(P39="","",ROUND(P39/4.184,3))</f>
        <v>24.498</v>
      </c>
    </row>
    <row r="40" customFormat="false" ht="12.75" hidden="false" customHeight="false" outlineLevel="0" collapsed="false">
      <c r="C40" s="345" t="s">
        <v>924</v>
      </c>
      <c r="D40" s="465" t="s">
        <v>1242</v>
      </c>
      <c r="E40" s="473" t="n">
        <v>-125.4</v>
      </c>
      <c r="F40" s="472" t="n">
        <v>-74.9</v>
      </c>
      <c r="H40" s="345" t="s">
        <v>924</v>
      </c>
      <c r="I40" s="465" t="s">
        <v>1243</v>
      </c>
      <c r="J40" s="466" t="s">
        <v>1244</v>
      </c>
      <c r="K40" s="472" t="n">
        <v>-76.9</v>
      </c>
      <c r="M40" s="345" t="s">
        <v>924</v>
      </c>
      <c r="N40" s="465" t="s">
        <v>1245</v>
      </c>
      <c r="O40" s="466" t="s">
        <v>1246</v>
      </c>
      <c r="P40" s="472" t="n">
        <v>-321.7</v>
      </c>
      <c r="Q40" s="10"/>
      <c r="R40" s="474" t="n">
        <v>3</v>
      </c>
      <c r="S40" s="474" t="n">
        <v>0</v>
      </c>
      <c r="T40" s="160" t="s">
        <v>924</v>
      </c>
      <c r="U40" s="470" t="n">
        <f aca="false">IF(D40="","",ROUND(4.184*D40+$S40*$T$9+$R40*$T$10,3))</f>
        <v>-481.209</v>
      </c>
      <c r="V40" s="470" t="n">
        <f aca="false">IF(E40="","",ROUND(4.184*E40,3))</f>
        <v>-524.674</v>
      </c>
      <c r="W40" s="470" t="n">
        <f aca="false">IF(F40="","",ROUND(4.184*F40,3))</f>
        <v>-313.382</v>
      </c>
      <c r="Y40" s="345" t="s">
        <v>924</v>
      </c>
      <c r="Z40" s="470" t="n">
        <f aca="false">IF(I40="","",ROUND(4.184*I40+$S40*$T$9+$R40*$T$10,3))</f>
        <v>-485.393</v>
      </c>
      <c r="AA40" s="470" t="n">
        <f aca="false">IF(J40="","",ROUND(4.184*J40,3))</f>
        <v>-531.368</v>
      </c>
      <c r="AB40" s="470" t="n">
        <f aca="false">IF(K40="","",ROUND(4.184*K40,3))</f>
        <v>-321.75</v>
      </c>
      <c r="AC40" s="44"/>
      <c r="AD40" s="345" t="s">
        <v>924</v>
      </c>
      <c r="AE40" s="465" t="s">
        <v>1245</v>
      </c>
      <c r="AF40" s="466" t="s">
        <v>1246</v>
      </c>
      <c r="AG40" s="472" t="n">
        <v>-321.7</v>
      </c>
      <c r="AI40" s="345" t="s">
        <v>924</v>
      </c>
      <c r="AJ40" s="470" t="n">
        <f aca="false">IF(D40="","",ROUND(D40+$S40*$AK$9+$R40*$AK$10,3))</f>
        <v>-115.012</v>
      </c>
      <c r="AK40" s="476" t="n">
        <f aca="false">IF(E40="","",ROUND(E40,3))</f>
        <v>-125.4</v>
      </c>
      <c r="AL40" s="475" t="n">
        <f aca="false">IF(F40="","",ROUND(F40,3))</f>
        <v>-74.9</v>
      </c>
      <c r="AN40" s="345" t="s">
        <v>924</v>
      </c>
      <c r="AO40" s="470" t="n">
        <f aca="false">IF(I40="","",ROUND(I40+$S40*$AK$9+$R40*$AK$10,3))</f>
        <v>-116.012</v>
      </c>
      <c r="AP40" s="471" t="n">
        <f aca="false">IF(J40="","",ROUND(J40,3))</f>
        <v>-127</v>
      </c>
      <c r="AQ40" s="475" t="n">
        <f aca="false">IF(K40="","",ROUND(K40,3))</f>
        <v>-76.9</v>
      </c>
      <c r="AR40" s="44"/>
      <c r="AS40" s="345" t="s">
        <v>924</v>
      </c>
      <c r="AT40" s="470" t="n">
        <f aca="false">IF(N40="","",ROUND(N40/4.184,3))</f>
        <v>-115.918</v>
      </c>
      <c r="AU40" s="471" t="n">
        <f aca="false">IF(O40="","",ROUND(O40/4.184,3))</f>
        <v>-126.912</v>
      </c>
      <c r="AV40" s="475" t="n">
        <f aca="false">IF(P40="","",ROUND(P40/4.184,3))</f>
        <v>-76.888</v>
      </c>
    </row>
    <row r="41" customFormat="false" ht="12.75" hidden="false" customHeight="false" outlineLevel="0" collapsed="false">
      <c r="C41" s="345" t="s">
        <v>933</v>
      </c>
      <c r="D41" s="297"/>
      <c r="E41" s="486" t="s">
        <v>1247</v>
      </c>
      <c r="F41" s="297"/>
      <c r="H41" s="345" t="s">
        <v>933</v>
      </c>
      <c r="I41" s="472" t="n">
        <v>-310.2</v>
      </c>
      <c r="J41" s="473" t="n">
        <v>-356.2</v>
      </c>
      <c r="K41" s="465" t="s">
        <v>1248</v>
      </c>
      <c r="M41" s="345" t="s">
        <v>933</v>
      </c>
      <c r="N41" s="472" t="n">
        <v>-1305.3</v>
      </c>
      <c r="O41" s="473" t="n">
        <v>-1502.5</v>
      </c>
      <c r="P41" s="472" t="n">
        <v>102.9</v>
      </c>
      <c r="Q41" s="10"/>
      <c r="R41" s="474" t="n">
        <v>-1</v>
      </c>
      <c r="S41" s="474" t="n">
        <v>4</v>
      </c>
      <c r="T41" s="160" t="s">
        <v>933</v>
      </c>
      <c r="U41" s="470" t="str">
        <f aca="false">IF(D41="","",ROUND(4.184*D41+$S41*$T$9+$R41*$T$10,3))</f>
        <v/>
      </c>
      <c r="V41" s="470" t="n">
        <f aca="false">IF(E41="","",ROUND(4.184*E41,3))</f>
        <v>-1486.303</v>
      </c>
      <c r="W41" s="470" t="str">
        <f aca="false">IF(F41="","",ROUND(4.184*F41,3))</f>
        <v/>
      </c>
      <c r="Y41" s="345" t="s">
        <v>933</v>
      </c>
      <c r="Z41" s="470" t="n">
        <f aca="false">IF(I41="","",ROUND(4.184*I41+$S41*$T$9+$R41*$T$10,3))</f>
        <v>-1297.73</v>
      </c>
      <c r="AA41" s="470" t="n">
        <f aca="false">IF(J41="","",ROUND(4.184*J41,3))</f>
        <v>-1490.341</v>
      </c>
      <c r="AB41" s="470" t="n">
        <f aca="false">IF(K41="","",ROUND(4.184*K41,3))</f>
        <v>117.152</v>
      </c>
      <c r="AC41" s="44"/>
      <c r="AD41" s="345" t="s">
        <v>933</v>
      </c>
      <c r="AE41" s="472" t="n">
        <v>-1305.3</v>
      </c>
      <c r="AF41" s="473" t="n">
        <v>-1502.5</v>
      </c>
      <c r="AG41" s="472" t="n">
        <v>102.9</v>
      </c>
      <c r="AI41" s="345" t="s">
        <v>933</v>
      </c>
      <c r="AJ41" s="298" t="str">
        <f aca="false">IF(D41="","",ROUND(D41+$S41*$AK$9+$R41*$AK$10,3))</f>
        <v/>
      </c>
      <c r="AK41" s="487" t="n">
        <f aca="false">IF(E41="","",ROUND(E41,3))</f>
        <v>-355.235</v>
      </c>
      <c r="AL41" s="298" t="str">
        <f aca="false">IF(F41="","",ROUND(F41,3))</f>
        <v/>
      </c>
      <c r="AN41" s="345" t="s">
        <v>933</v>
      </c>
      <c r="AO41" s="475" t="n">
        <f aca="false">IF(I41="","",ROUND(I41+$S41*$AK$9+$R41*$AK$10,3))</f>
        <v>-310.165</v>
      </c>
      <c r="AP41" s="476" t="n">
        <f aca="false">IF(J41="","",ROUND(J41,3))</f>
        <v>-356.2</v>
      </c>
      <c r="AQ41" s="470" t="n">
        <f aca="false">IF(K41="","",ROUND(K41,3))</f>
        <v>28</v>
      </c>
      <c r="AR41" s="44"/>
      <c r="AS41" s="345" t="s">
        <v>933</v>
      </c>
      <c r="AT41" s="475" t="n">
        <f aca="false">IF(N41="","",ROUND(N41/4.184,3))</f>
        <v>-311.974</v>
      </c>
      <c r="AU41" s="476" t="n">
        <f aca="false">IF(O41="","",ROUND(O41/4.184,3))</f>
        <v>-359.106</v>
      </c>
      <c r="AV41" s="475" t="n">
        <f aca="false">IF(P41="","",ROUND(P41/4.184,3))</f>
        <v>24.594</v>
      </c>
    </row>
    <row r="42" customFormat="false" ht="12.75" hidden="false" customHeight="false" outlineLevel="0" collapsed="false">
      <c r="C42" s="138" t="s">
        <v>934</v>
      </c>
      <c r="D42" s="472" t="n">
        <v>-11.1</v>
      </c>
      <c r="E42" s="473" t="n">
        <v>-15.3</v>
      </c>
      <c r="F42" s="472" t="n">
        <v>-38.1</v>
      </c>
      <c r="H42" s="138" t="s">
        <v>934</v>
      </c>
      <c r="I42" s="465" t="s">
        <v>1249</v>
      </c>
      <c r="J42" s="466" t="s">
        <v>1250</v>
      </c>
      <c r="K42" s="465" t="s">
        <v>1251</v>
      </c>
      <c r="M42" s="138" t="s">
        <v>934</v>
      </c>
      <c r="N42" s="465" t="s">
        <v>1252</v>
      </c>
      <c r="O42" s="466" t="s">
        <v>1253</v>
      </c>
      <c r="P42" s="465" t="s">
        <v>1254</v>
      </c>
      <c r="Q42" s="10"/>
      <c r="R42" s="474" t="n">
        <v>2</v>
      </c>
      <c r="S42" s="474" t="n">
        <v>0</v>
      </c>
      <c r="T42" s="31" t="s">
        <v>934</v>
      </c>
      <c r="U42" s="470" t="n">
        <f aca="false">IF(D42="","",ROUND(4.184*D42+$S42*$T$9+$R42*$T$10,3))</f>
        <v>-46.475</v>
      </c>
      <c r="V42" s="470" t="n">
        <f aca="false">IF(E42="","",ROUND(4.184*E42,3))</f>
        <v>-64.015</v>
      </c>
      <c r="W42" s="470" t="n">
        <f aca="false">IF(F42="","",ROUND(4.184*F42,3))</f>
        <v>-159.41</v>
      </c>
      <c r="Y42" s="138" t="s">
        <v>934</v>
      </c>
      <c r="Z42" s="470" t="n">
        <f aca="false">IF(I42="","",ROUND(4.184*I42+$S42*$T$9+$R42*$T$10,3))</f>
        <v>-45.638</v>
      </c>
      <c r="AA42" s="470" t="n">
        <f aca="false">IF(J42="","",ROUND(4.184*J42,3))</f>
        <v>-53.974</v>
      </c>
      <c r="AB42" s="470" t="n">
        <f aca="false">IF(K42="","",ROUND(4.184*K42,3))</f>
        <v>-128.867</v>
      </c>
      <c r="AC42" s="44"/>
      <c r="AD42" s="138" t="s">
        <v>934</v>
      </c>
      <c r="AE42" s="465" t="s">
        <v>1252</v>
      </c>
      <c r="AF42" s="466" t="s">
        <v>1253</v>
      </c>
      <c r="AG42" s="465" t="s">
        <v>1254</v>
      </c>
      <c r="AI42" s="138" t="s">
        <v>934</v>
      </c>
      <c r="AJ42" s="475" t="n">
        <f aca="false">IF(D42="","",ROUND(D42+$S42*$AK$9+$R42*$AK$10,3))</f>
        <v>-11.108</v>
      </c>
      <c r="AK42" s="476" t="n">
        <f aca="false">IF(E42="","",ROUND(E42,3))</f>
        <v>-15.3</v>
      </c>
      <c r="AL42" s="475" t="n">
        <f aca="false">IF(F42="","",ROUND(F42,3))</f>
        <v>-38.1</v>
      </c>
      <c r="AN42" s="138" t="s">
        <v>934</v>
      </c>
      <c r="AO42" s="470" t="n">
        <f aca="false">IF(I42="","",ROUND(I42+$S42*$AK$9+$R42*$AK$10,3))</f>
        <v>-10.908</v>
      </c>
      <c r="AP42" s="471" t="n">
        <f aca="false">IF(J42="","",ROUND(J42,3))</f>
        <v>-12.9</v>
      </c>
      <c r="AQ42" s="470" t="n">
        <f aca="false">IF(K42="","",ROUND(K42,3))</f>
        <v>-30.8</v>
      </c>
      <c r="AR42" s="44"/>
      <c r="AS42" s="138" t="s">
        <v>934</v>
      </c>
      <c r="AT42" s="470" t="n">
        <f aca="false">IF(N42="","",ROUND(N42/4.184,3))</f>
        <v>-10.899</v>
      </c>
      <c r="AU42" s="471" t="n">
        <f aca="false">IF(O42="","",ROUND(O42/4.184,3))</f>
        <v>-12.906</v>
      </c>
      <c r="AV42" s="470" t="n">
        <f aca="false">IF(P42="","",ROUND(P42/4.184,3))</f>
        <v>-30.808</v>
      </c>
    </row>
    <row r="43" customFormat="false" ht="12.75" hidden="false" customHeight="false" outlineLevel="0" collapsed="false">
      <c r="B43" s="10"/>
      <c r="C43" s="345" t="s">
        <v>941</v>
      </c>
      <c r="D43" s="465" t="s">
        <v>1255</v>
      </c>
      <c r="E43" s="466" t="s">
        <v>1256</v>
      </c>
      <c r="F43" s="472" t="n">
        <v>-27.1</v>
      </c>
      <c r="G43" s="10"/>
      <c r="H43" s="345" t="s">
        <v>941</v>
      </c>
      <c r="I43" s="472" t="n">
        <v>-18.85</v>
      </c>
      <c r="J43" s="473" t="n">
        <v>-21.3</v>
      </c>
      <c r="K43" s="472" t="n">
        <v>-32.9</v>
      </c>
      <c r="M43" s="345" t="s">
        <v>941</v>
      </c>
      <c r="N43" s="465" t="s">
        <v>1257</v>
      </c>
      <c r="O43" s="473" t="n">
        <v>-89.1</v>
      </c>
      <c r="P43" s="472" t="n">
        <v>-137.7</v>
      </c>
      <c r="Q43" s="10"/>
      <c r="R43" s="474" t="n">
        <v>2</v>
      </c>
      <c r="S43" s="474" t="n">
        <v>0</v>
      </c>
      <c r="T43" s="160" t="s">
        <v>941</v>
      </c>
      <c r="U43" s="470" t="n">
        <f aca="false">IF(D43="","",ROUND(4.184*D43+$S43*$T$9+$R43*$T$10,3))</f>
        <v>-84.968</v>
      </c>
      <c r="V43" s="470" t="n">
        <f aca="false">IF(E43="","",ROUND(4.184*E43,3))</f>
        <v>-87.864</v>
      </c>
      <c r="W43" s="470" t="n">
        <f aca="false">IF(F43="","",ROUND(4.184*F43,3))</f>
        <v>-113.386</v>
      </c>
      <c r="X43" s="10"/>
      <c r="Y43" s="345" t="s">
        <v>941</v>
      </c>
      <c r="Z43" s="470" t="n">
        <f aca="false">IF(I43="","",ROUND(4.184*I43+$S43*$T$9+$R43*$T$10,3))</f>
        <v>-78.901</v>
      </c>
      <c r="AA43" s="470" t="n">
        <f aca="false">IF(J43="","",ROUND(4.184*J43,3))</f>
        <v>-89.119</v>
      </c>
      <c r="AB43" s="470" t="n">
        <f aca="false">IF(K43="","",ROUND(4.184*K43,3))</f>
        <v>-137.654</v>
      </c>
      <c r="AC43" s="44"/>
      <c r="AD43" s="345" t="s">
        <v>941</v>
      </c>
      <c r="AE43" s="465" t="s">
        <v>1257</v>
      </c>
      <c r="AF43" s="473" t="n">
        <v>-89.1</v>
      </c>
      <c r="AG43" s="472" t="n">
        <v>-137.7</v>
      </c>
      <c r="AI43" s="345" t="s">
        <v>941</v>
      </c>
      <c r="AJ43" s="470" t="n">
        <f aca="false">IF(D43="","",ROUND(D43+$S43*$AK$9+$R43*$AK$10,3))</f>
        <v>-20.308</v>
      </c>
      <c r="AK43" s="471" t="n">
        <f aca="false">IF(E43="","",ROUND(E43,3))</f>
        <v>-21</v>
      </c>
      <c r="AL43" s="475" t="n">
        <f aca="false">IF(F43="","",ROUND(F43,3))</f>
        <v>-27.1</v>
      </c>
      <c r="AM43" s="10"/>
      <c r="AN43" s="345" t="s">
        <v>941</v>
      </c>
      <c r="AO43" s="475" t="n">
        <f aca="false">IF(I43="","",ROUND(I43+$S43*$AK$9+$R43*$AK$10,3))</f>
        <v>-18.858</v>
      </c>
      <c r="AP43" s="476" t="n">
        <f aca="false">IF(J43="","",ROUND(J43,3))</f>
        <v>-21.3</v>
      </c>
      <c r="AQ43" s="475" t="n">
        <f aca="false">IF(K43="","",ROUND(K43,3))</f>
        <v>-32.9</v>
      </c>
      <c r="AR43" s="44"/>
      <c r="AS43" s="345" t="s">
        <v>941</v>
      </c>
      <c r="AT43" s="470" t="n">
        <f aca="false">IF(N43="","",ROUND(N43/4.184,3))</f>
        <v>-18.858</v>
      </c>
      <c r="AU43" s="476" t="n">
        <f aca="false">IF(O43="","",ROUND(O43/4.184,3))</f>
        <v>-21.295</v>
      </c>
      <c r="AV43" s="475" t="n">
        <f aca="false">IF(P43="","",ROUND(P43/4.184,3))</f>
        <v>-32.911</v>
      </c>
    </row>
    <row r="44" customFormat="false" ht="12.75" hidden="false" customHeight="false" outlineLevel="0" collapsed="false">
      <c r="B44" s="10"/>
      <c r="C44" s="345" t="s">
        <v>948</v>
      </c>
      <c r="D44" s="472" t="n">
        <v>-2.52</v>
      </c>
      <c r="E44" s="473" t="n">
        <v>-11.4</v>
      </c>
      <c r="F44" s="472" t="n">
        <v>-70.1</v>
      </c>
      <c r="G44" s="10"/>
      <c r="H44" s="345" t="s">
        <v>948</v>
      </c>
      <c r="I44" s="472" t="n">
        <v>-1.1</v>
      </c>
      <c r="J44" s="473" t="n">
        <v>-11.6</v>
      </c>
      <c r="K44" s="472" t="n">
        <v>-75.5</v>
      </c>
      <c r="M44" s="345" t="s">
        <v>948</v>
      </c>
      <c r="N44" s="472" t="n">
        <v>-4.7</v>
      </c>
      <c r="O44" s="473" t="n">
        <v>-48.5</v>
      </c>
      <c r="P44" s="472" t="n">
        <v>-315.9</v>
      </c>
      <c r="Q44" s="10"/>
      <c r="R44" s="474" t="n">
        <v>3</v>
      </c>
      <c r="S44" s="474" t="n">
        <v>0</v>
      </c>
      <c r="T44" s="160" t="s">
        <v>948</v>
      </c>
      <c r="U44" s="470" t="n">
        <f aca="false">IF(D44="","",ROUND(4.184*D44+$S44*$T$9+$R44*$T$10,3))</f>
        <v>-10.593</v>
      </c>
      <c r="V44" s="470" t="n">
        <f aca="false">IF(E44="","",ROUND(4.184*E44,3))</f>
        <v>-47.698</v>
      </c>
      <c r="W44" s="470" t="n">
        <f aca="false">IF(F44="","",ROUND(4.184*F44,3))</f>
        <v>-293.298</v>
      </c>
      <c r="X44" s="10"/>
      <c r="Y44" s="345" t="s">
        <v>948</v>
      </c>
      <c r="Z44" s="470" t="n">
        <f aca="false">IF(I44="","",ROUND(4.184*I44+$S44*$T$9+$R44*$T$10,3))</f>
        <v>-4.651</v>
      </c>
      <c r="AA44" s="470" t="n">
        <f aca="false">IF(J44="","",ROUND(4.184*J44,3))</f>
        <v>-48.534</v>
      </c>
      <c r="AB44" s="470" t="n">
        <f aca="false">IF(K44="","",ROUND(4.184*K44,3))</f>
        <v>-315.892</v>
      </c>
      <c r="AC44" s="44"/>
      <c r="AD44" s="345" t="s">
        <v>948</v>
      </c>
      <c r="AE44" s="472" t="n">
        <v>-4.7</v>
      </c>
      <c r="AF44" s="473" t="n">
        <v>-48.5</v>
      </c>
      <c r="AG44" s="472" t="n">
        <v>-315.9</v>
      </c>
      <c r="AI44" s="345" t="s">
        <v>948</v>
      </c>
      <c r="AJ44" s="475" t="n">
        <f aca="false">IF(D44="","",ROUND(D44+$S44*$AK$9+$R44*$AK$10,3))</f>
        <v>-2.532</v>
      </c>
      <c r="AK44" s="476" t="n">
        <f aca="false">IF(E44="","",ROUND(E44,3))</f>
        <v>-11.4</v>
      </c>
      <c r="AL44" s="475" t="n">
        <f aca="false">IF(F44="","",ROUND(F44,3))</f>
        <v>-70.1</v>
      </c>
      <c r="AM44" s="10"/>
      <c r="AN44" s="345" t="s">
        <v>948</v>
      </c>
      <c r="AO44" s="475" t="n">
        <f aca="false">IF(I44="","",ROUND(I44+$S44*$AK$9+$R44*$AK$10,3))</f>
        <v>-1.112</v>
      </c>
      <c r="AP44" s="476" t="n">
        <f aca="false">IF(J44="","",ROUND(J44,3))</f>
        <v>-11.6</v>
      </c>
      <c r="AQ44" s="475" t="n">
        <f aca="false">IF(K44="","",ROUND(K44,3))</f>
        <v>-75.5</v>
      </c>
      <c r="AR44" s="44"/>
      <c r="AS44" s="345" t="s">
        <v>948</v>
      </c>
      <c r="AT44" s="475" t="n">
        <f aca="false">IF(N44="","",ROUND(N44/4.184,3))</f>
        <v>-1.123</v>
      </c>
      <c r="AU44" s="476" t="n">
        <f aca="false">IF(O44="","",ROUND(O44/4.184,3))</f>
        <v>-11.592</v>
      </c>
      <c r="AV44" s="475" t="n">
        <f aca="false">IF(P44="","",ROUND(P44/4.184,3))</f>
        <v>-75.502</v>
      </c>
    </row>
    <row r="45" customFormat="false" ht="12.75" hidden="false" customHeight="false" outlineLevel="0" collapsed="false">
      <c r="C45" s="345" t="s">
        <v>954</v>
      </c>
      <c r="D45" s="472" t="n">
        <v>-108.99</v>
      </c>
      <c r="E45" s="473" t="n">
        <v>-110.41</v>
      </c>
      <c r="F45" s="472" t="n">
        <v>-28.2</v>
      </c>
      <c r="H45" s="345" t="s">
        <v>954</v>
      </c>
      <c r="I45" s="472" t="n">
        <v>-108.7</v>
      </c>
      <c r="J45" s="473" t="n">
        <v>-111.58</v>
      </c>
      <c r="K45" s="465" t="s">
        <v>1258</v>
      </c>
      <c r="M45" s="345" t="s">
        <v>954</v>
      </c>
      <c r="N45" s="472" t="n">
        <v>-454.8</v>
      </c>
      <c r="O45" s="473" t="n">
        <v>-466.85</v>
      </c>
      <c r="P45" s="472" t="n">
        <v>-138.1</v>
      </c>
      <c r="Q45" s="10"/>
      <c r="R45" s="474" t="n">
        <v>2</v>
      </c>
      <c r="S45" s="474" t="n">
        <v>0</v>
      </c>
      <c r="T45" s="160" t="s">
        <v>954</v>
      </c>
      <c r="U45" s="470" t="n">
        <f aca="false">IF(D45="","",ROUND(4.184*D45+$S45*$T$9+$R45*$T$10,3))</f>
        <v>-456.047</v>
      </c>
      <c r="V45" s="470" t="n">
        <f aca="false">IF(E45="","",ROUND(4.184*E45,3))</f>
        <v>-461.955</v>
      </c>
      <c r="W45" s="470" t="n">
        <f aca="false">IF(F45="","",ROUND(4.184*F45,3))</f>
        <v>-117.989</v>
      </c>
      <c r="Y45" s="345" t="s">
        <v>954</v>
      </c>
      <c r="Z45" s="470" t="n">
        <f aca="false">IF(I45="","",ROUND(4.184*I45+$S45*$T$9+$R45*$T$10,3))</f>
        <v>-454.833</v>
      </c>
      <c r="AA45" s="470" t="n">
        <f aca="false">IF(J45="","",ROUND(4.184*J45,3))</f>
        <v>-466.851</v>
      </c>
      <c r="AB45" s="470" t="n">
        <f aca="false">IF(K45="","",ROUND(4.184*K45,3))</f>
        <v>-138.072</v>
      </c>
      <c r="AC45" s="44"/>
      <c r="AD45" s="345" t="s">
        <v>954</v>
      </c>
      <c r="AE45" s="472" t="n">
        <v>-454.8</v>
      </c>
      <c r="AF45" s="473" t="n">
        <v>-466.85</v>
      </c>
      <c r="AG45" s="472" t="n">
        <v>-138.1</v>
      </c>
      <c r="AI45" s="345" t="s">
        <v>954</v>
      </c>
      <c r="AJ45" s="475" t="n">
        <f aca="false">IF(D45="","",ROUND(D45+$S45*$AK$9+$R45*$AK$10,3))</f>
        <v>-108.998</v>
      </c>
      <c r="AK45" s="476" t="n">
        <f aca="false">IF(E45="","",ROUND(E45,3))</f>
        <v>-110.41</v>
      </c>
      <c r="AL45" s="475" t="n">
        <f aca="false">IF(F45="","",ROUND(F45,3))</f>
        <v>-28.2</v>
      </c>
      <c r="AN45" s="345" t="s">
        <v>954</v>
      </c>
      <c r="AO45" s="475" t="n">
        <f aca="false">IF(I45="","",ROUND(I45+$S45*$AK$9+$R45*$AK$10,3))</f>
        <v>-108.708</v>
      </c>
      <c r="AP45" s="476" t="n">
        <f aca="false">IF(J45="","",ROUND(J45,3))</f>
        <v>-111.58</v>
      </c>
      <c r="AQ45" s="470" t="n">
        <f aca="false">IF(K45="","",ROUND(K45,3))</f>
        <v>-33</v>
      </c>
      <c r="AR45" s="44"/>
      <c r="AS45" s="345" t="s">
        <v>954</v>
      </c>
      <c r="AT45" s="475" t="n">
        <f aca="false">IF(N45="","",ROUND(N45/4.184,3))</f>
        <v>-108.7</v>
      </c>
      <c r="AU45" s="476" t="n">
        <f aca="false">IF(O45="","",ROUND(O45/4.184,3))</f>
        <v>-111.58</v>
      </c>
      <c r="AV45" s="475" t="n">
        <f aca="false">IF(P45="","",ROUND(P45/4.184,3))</f>
        <v>-33.007</v>
      </c>
    </row>
    <row r="46" customFormat="false" ht="12.75" hidden="false" customHeight="false" outlineLevel="0" collapsed="false">
      <c r="C46" s="345" t="s">
        <v>963</v>
      </c>
      <c r="D46" s="472" t="n">
        <v>-132.18</v>
      </c>
      <c r="E46" s="473" t="n">
        <v>-129.77</v>
      </c>
      <c r="F46" s="472" t="n">
        <v>-13.2</v>
      </c>
      <c r="H46" s="345" t="s">
        <v>963</v>
      </c>
      <c r="I46" s="465" t="s">
        <v>1259</v>
      </c>
      <c r="J46" s="473" t="n">
        <v>-129.74</v>
      </c>
      <c r="K46" s="472" t="n">
        <v>-12.7</v>
      </c>
      <c r="M46" s="345" t="s">
        <v>963</v>
      </c>
      <c r="N46" s="472" t="n">
        <v>-553.58</v>
      </c>
      <c r="O46" s="473" t="n">
        <v>-542.83</v>
      </c>
      <c r="P46" s="472" t="n">
        <v>-53.1</v>
      </c>
      <c r="Q46" s="10"/>
      <c r="R46" s="474" t="n">
        <v>2</v>
      </c>
      <c r="S46" s="474" t="n">
        <v>0</v>
      </c>
      <c r="T46" s="160" t="s">
        <v>963</v>
      </c>
      <c r="U46" s="470" t="n">
        <f aca="false">IF(D46="","",ROUND(4.184*D46+$S46*$T$9+$R46*$T$10,3))</f>
        <v>-553.074</v>
      </c>
      <c r="V46" s="470" t="n">
        <f aca="false">IF(E46="","",ROUND(4.184*E46,3))</f>
        <v>-542.958</v>
      </c>
      <c r="W46" s="470" t="n">
        <f aca="false">IF(F46="","",ROUND(4.184*F46,3))</f>
        <v>-55.229</v>
      </c>
      <c r="Y46" s="345" t="s">
        <v>963</v>
      </c>
      <c r="Z46" s="470" t="n">
        <f aca="false">IF(I46="","",ROUND(4.184*I46+$S46*$T$9+$R46*$T$10,3))</f>
        <v>-553.576</v>
      </c>
      <c r="AA46" s="470" t="n">
        <f aca="false">IF(J46="","",ROUND(4.184*J46,3))</f>
        <v>-542.832</v>
      </c>
      <c r="AB46" s="470" t="n">
        <f aca="false">IF(K46="","",ROUND(4.184*K46,3))</f>
        <v>-53.137</v>
      </c>
      <c r="AC46" s="44"/>
      <c r="AD46" s="345" t="s">
        <v>963</v>
      </c>
      <c r="AE46" s="472" t="n">
        <v>-553.58</v>
      </c>
      <c r="AF46" s="473" t="n">
        <v>-542.83</v>
      </c>
      <c r="AG46" s="472" t="n">
        <v>-53.1</v>
      </c>
      <c r="AI46" s="345" t="s">
        <v>963</v>
      </c>
      <c r="AJ46" s="475" t="n">
        <f aca="false">IF(D46="","",ROUND(D46+$S46*$AK$9+$R46*$AK$10,3))</f>
        <v>-132.188</v>
      </c>
      <c r="AK46" s="476" t="n">
        <f aca="false">IF(E46="","",ROUND(E46,3))</f>
        <v>-129.77</v>
      </c>
      <c r="AL46" s="475" t="n">
        <f aca="false">IF(F46="","",ROUND(F46,3))</f>
        <v>-13.2</v>
      </c>
      <c r="AN46" s="345" t="s">
        <v>963</v>
      </c>
      <c r="AO46" s="470" t="n">
        <f aca="false">IF(I46="","",ROUND(I46+$S46*$AK$9+$R46*$AK$10,3))</f>
        <v>-132.308</v>
      </c>
      <c r="AP46" s="476" t="n">
        <f aca="false">IF(J46="","",ROUND(J46,3))</f>
        <v>-129.74</v>
      </c>
      <c r="AQ46" s="475" t="n">
        <f aca="false">IF(K46="","",ROUND(K46,3))</f>
        <v>-12.7</v>
      </c>
      <c r="AR46" s="44"/>
      <c r="AS46" s="345" t="s">
        <v>963</v>
      </c>
      <c r="AT46" s="475" t="n">
        <f aca="false">IF(N46="","",ROUND(N46/4.184,3))</f>
        <v>-132.309</v>
      </c>
      <c r="AU46" s="476" t="n">
        <f aca="false">IF(O46="","",ROUND(O46/4.184,3))</f>
        <v>-129.739</v>
      </c>
      <c r="AV46" s="475" t="n">
        <f aca="false">IF(P46="","",ROUND(P46/4.184,3))</f>
        <v>-12.691</v>
      </c>
    </row>
    <row r="47" customFormat="false" ht="12.75" hidden="false" customHeight="false" outlineLevel="0" collapsed="false">
      <c r="C47" s="345" t="s">
        <v>970</v>
      </c>
      <c r="D47" s="472" t="n">
        <v>-133.2</v>
      </c>
      <c r="E47" s="473" t="n">
        <v>-130.38</v>
      </c>
      <c r="F47" s="472" t="n">
        <v>-9.4</v>
      </c>
      <c r="G47" s="10"/>
      <c r="H47" s="345" t="s">
        <v>970</v>
      </c>
      <c r="I47" s="472" t="n">
        <v>-133.71</v>
      </c>
      <c r="J47" s="473" t="n">
        <v>-130.45</v>
      </c>
      <c r="K47" s="472" t="n">
        <v>-7.8</v>
      </c>
      <c r="M47" s="345" t="s">
        <v>970</v>
      </c>
      <c r="N47" s="472" t="n">
        <v>-559.48</v>
      </c>
      <c r="O47" s="466" t="s">
        <v>1260</v>
      </c>
      <c r="P47" s="472" t="n">
        <v>-32.6</v>
      </c>
      <c r="Q47" s="10"/>
      <c r="R47" s="474" t="n">
        <v>2</v>
      </c>
      <c r="S47" s="474" t="n">
        <v>0</v>
      </c>
      <c r="T47" s="160" t="s">
        <v>970</v>
      </c>
      <c r="U47" s="470" t="n">
        <f aca="false">IF(D47="","",ROUND(4.184*D47+$S47*$T$9+$R47*$T$10,3))</f>
        <v>-557.341</v>
      </c>
      <c r="V47" s="470" t="n">
        <f aca="false">IF(E47="","",ROUND(4.184*E47,3))</f>
        <v>-545.51</v>
      </c>
      <c r="W47" s="470" t="n">
        <f aca="false">IF(F47="","",ROUND(4.184*F47,3))</f>
        <v>-39.33</v>
      </c>
      <c r="X47" s="10"/>
      <c r="Y47" s="345" t="s">
        <v>970</v>
      </c>
      <c r="Z47" s="470" t="n">
        <f aca="false">IF(I47="","",ROUND(4.184*I47+$S47*$T$9+$R47*$T$10,3))</f>
        <v>-559.475</v>
      </c>
      <c r="AA47" s="470" t="n">
        <f aca="false">IF(J47="","",ROUND(4.184*J47,3))</f>
        <v>-545.803</v>
      </c>
      <c r="AB47" s="470" t="n">
        <f aca="false">IF(K47="","",ROUND(4.184*K47,3))</f>
        <v>-32.635</v>
      </c>
      <c r="AC47" s="44"/>
      <c r="AD47" s="345" t="s">
        <v>970</v>
      </c>
      <c r="AE47" s="472" t="n">
        <v>-559.48</v>
      </c>
      <c r="AF47" s="466" t="s">
        <v>1260</v>
      </c>
      <c r="AG47" s="472" t="n">
        <v>-32.6</v>
      </c>
      <c r="AI47" s="345" t="s">
        <v>970</v>
      </c>
      <c r="AJ47" s="475" t="n">
        <f aca="false">IF(D47="","",ROUND(D47+$S47*$AK$9+$R47*$AK$10,3))</f>
        <v>-133.208</v>
      </c>
      <c r="AK47" s="476" t="n">
        <f aca="false">IF(E47="","",ROUND(E47,3))</f>
        <v>-130.38</v>
      </c>
      <c r="AL47" s="475" t="n">
        <f aca="false">IF(F47="","",ROUND(F47,3))</f>
        <v>-9.4</v>
      </c>
      <c r="AM47" s="10"/>
      <c r="AN47" s="345" t="s">
        <v>970</v>
      </c>
      <c r="AO47" s="475" t="n">
        <f aca="false">IF(I47="","",ROUND(I47+$S47*$AK$9+$R47*$AK$10,3))</f>
        <v>-133.718</v>
      </c>
      <c r="AP47" s="476" t="n">
        <f aca="false">IF(J47="","",ROUND(J47,3))</f>
        <v>-130.45</v>
      </c>
      <c r="AQ47" s="475" t="n">
        <f aca="false">IF(K47="","",ROUND(K47,3))</f>
        <v>-7.8</v>
      </c>
      <c r="AR47" s="44"/>
      <c r="AS47" s="345" t="s">
        <v>970</v>
      </c>
      <c r="AT47" s="475" t="n">
        <f aca="false">IF(N47="","",ROUND(N47/4.184,3))</f>
        <v>-133.719</v>
      </c>
      <c r="AU47" s="471" t="n">
        <f aca="false">IF(O47="","",ROUND(O47/4.184,3))</f>
        <v>-130.449</v>
      </c>
      <c r="AV47" s="475" t="n">
        <f aca="false">IF(P47="","",ROUND(P47/4.184,3))</f>
        <v>-7.792</v>
      </c>
    </row>
    <row r="48" customFormat="false" ht="12.75" hidden="false" customHeight="false" outlineLevel="0" collapsed="false">
      <c r="B48" s="10"/>
      <c r="C48" s="345" t="s">
        <v>975</v>
      </c>
      <c r="D48" s="465" t="s">
        <v>1261</v>
      </c>
      <c r="E48" s="473" t="n">
        <v>-128.67</v>
      </c>
      <c r="F48" s="465" t="s">
        <v>1262</v>
      </c>
      <c r="G48" s="10"/>
      <c r="H48" s="345" t="s">
        <v>975</v>
      </c>
      <c r="I48" s="472" t="n">
        <v>-134.02</v>
      </c>
      <c r="J48" s="466" t="s">
        <v>1263</v>
      </c>
      <c r="K48" s="472" t="n">
        <v>2.3</v>
      </c>
      <c r="L48" s="45"/>
      <c r="M48" s="345" t="s">
        <v>975</v>
      </c>
      <c r="N48" s="465" t="s">
        <v>1264</v>
      </c>
      <c r="O48" s="466" t="s">
        <v>1265</v>
      </c>
      <c r="P48" s="465" t="s">
        <v>1266</v>
      </c>
      <c r="Q48" s="10"/>
      <c r="R48" s="474" t="n">
        <v>2</v>
      </c>
      <c r="S48" s="474" t="n">
        <v>0</v>
      </c>
      <c r="T48" s="160" t="s">
        <v>975</v>
      </c>
      <c r="U48" s="470" t="n">
        <f aca="false">IF(D48="","",ROUND(4.184*D48+$S48*$T$9+$R48*$T$10,3))</f>
        <v>-560.689</v>
      </c>
      <c r="V48" s="470" t="n">
        <f aca="false">IF(E48="","",ROUND(4.184*E48,3))</f>
        <v>-538.355</v>
      </c>
      <c r="W48" s="470" t="n">
        <f aca="false">IF(F48="","",ROUND(4.184*F48,3))</f>
        <v>12.552</v>
      </c>
      <c r="X48" s="10"/>
      <c r="Y48" s="345" t="s">
        <v>975</v>
      </c>
      <c r="Z48" s="470" t="n">
        <f aca="false">IF(I48="","",ROUND(4.184*I48+$S48*$T$9+$R48*$T$10,3))</f>
        <v>-560.772</v>
      </c>
      <c r="AA48" s="470" t="n">
        <f aca="false">IF(J48="","",ROUND(4.184*J48,3))</f>
        <v>-537.644</v>
      </c>
      <c r="AB48" s="470" t="n">
        <f aca="false">IF(K48="","",ROUND(4.184*K48,3))</f>
        <v>9.623</v>
      </c>
      <c r="AC48" s="45"/>
      <c r="AD48" s="345" t="s">
        <v>975</v>
      </c>
      <c r="AE48" s="465" t="s">
        <v>1264</v>
      </c>
      <c r="AF48" s="466" t="s">
        <v>1265</v>
      </c>
      <c r="AG48" s="465" t="s">
        <v>1266</v>
      </c>
      <c r="AI48" s="345" t="s">
        <v>975</v>
      </c>
      <c r="AJ48" s="470" t="n">
        <f aca="false">IF(D48="","",ROUND(D48+$S48*$AK$9+$R48*$AK$10,3))</f>
        <v>-134.008</v>
      </c>
      <c r="AK48" s="476" t="n">
        <f aca="false">IF(E48="","",ROUND(E48,3))</f>
        <v>-128.67</v>
      </c>
      <c r="AL48" s="470" t="n">
        <f aca="false">IF(F48="","",ROUND(F48,3))</f>
        <v>3</v>
      </c>
      <c r="AM48" s="10"/>
      <c r="AN48" s="345" t="s">
        <v>975</v>
      </c>
      <c r="AO48" s="475" t="n">
        <f aca="false">IF(I48="","",ROUND(I48+$S48*$AK$9+$R48*$AK$10,3))</f>
        <v>-134.028</v>
      </c>
      <c r="AP48" s="471" t="n">
        <f aca="false">IF(J48="","",ROUND(J48,3))</f>
        <v>-128.5</v>
      </c>
      <c r="AQ48" s="475" t="n">
        <f aca="false">IF(K48="","",ROUND(K48,3))</f>
        <v>2.3</v>
      </c>
      <c r="AR48" s="45"/>
      <c r="AS48" s="345" t="s">
        <v>975</v>
      </c>
      <c r="AT48" s="470" t="n">
        <f aca="false">IF(N48="","",ROUND(N48/4.184,3))</f>
        <v>-134.027</v>
      </c>
      <c r="AU48" s="471" t="n">
        <f aca="false">IF(O48="","",ROUND(O48/4.184,3))</f>
        <v>-128.499</v>
      </c>
      <c r="AV48" s="470" t="n">
        <f aca="false">IF(P48="","",ROUND(P48/4.184,3))</f>
        <v>2.294</v>
      </c>
    </row>
    <row r="49" customFormat="false" ht="12.75" hidden="false" customHeight="false" outlineLevel="0" collapsed="false">
      <c r="B49" s="10"/>
      <c r="C49" s="345" t="s">
        <v>981</v>
      </c>
      <c r="D49" s="465" t="s">
        <v>1267</v>
      </c>
      <c r="E49" s="466" t="s">
        <v>1268</v>
      </c>
      <c r="F49" s="465" t="s">
        <v>1269</v>
      </c>
      <c r="G49" s="10"/>
      <c r="H49" s="345" t="s">
        <v>981</v>
      </c>
      <c r="I49" s="472" t="n">
        <v>-134.2</v>
      </c>
      <c r="J49" s="473" t="n">
        <v>-126.1</v>
      </c>
      <c r="K49" s="465" t="s">
        <v>1269</v>
      </c>
      <c r="L49" s="45"/>
      <c r="M49" s="345" t="s">
        <v>981</v>
      </c>
      <c r="N49" s="465" t="s">
        <v>1270</v>
      </c>
      <c r="O49" s="466" t="s">
        <v>1271</v>
      </c>
      <c r="P49" s="465" t="s">
        <v>1272</v>
      </c>
      <c r="Q49" s="10"/>
      <c r="R49" s="474" t="n">
        <v>2</v>
      </c>
      <c r="S49" s="474" t="n">
        <v>0</v>
      </c>
      <c r="T49" s="160" t="s">
        <v>981</v>
      </c>
      <c r="U49" s="470" t="n">
        <f aca="false">IF(D49="","",ROUND(4.184*D49+$S49*$T$9+$R49*$T$10,3))</f>
        <v>-562.781</v>
      </c>
      <c r="V49" s="470" t="n">
        <f aca="false">IF(E49="","",ROUND(4.184*E49,3))</f>
        <v>-527.184</v>
      </c>
      <c r="W49" s="470" t="n">
        <f aca="false">IF(F49="","",ROUND(4.184*F49,3))</f>
        <v>54.392</v>
      </c>
      <c r="X49" s="10"/>
      <c r="Y49" s="345" t="s">
        <v>981</v>
      </c>
      <c r="Z49" s="470" t="n">
        <f aca="false">IF(I49="","",ROUND(4.184*I49+$S49*$T$9+$R49*$T$10,3))</f>
        <v>-561.525</v>
      </c>
      <c r="AA49" s="470" t="n">
        <f aca="false">IF(J49="","",ROUND(4.184*J49,3))</f>
        <v>-527.602</v>
      </c>
      <c r="AB49" s="470" t="n">
        <f aca="false">IF(K49="","",ROUND(4.184*K49,3))</f>
        <v>54.392</v>
      </c>
      <c r="AC49" s="45"/>
      <c r="AD49" s="345" t="s">
        <v>981</v>
      </c>
      <c r="AE49" s="465" t="s">
        <v>1270</v>
      </c>
      <c r="AF49" s="466" t="s">
        <v>1271</v>
      </c>
      <c r="AG49" s="465" t="s">
        <v>1272</v>
      </c>
      <c r="AI49" s="345" t="s">
        <v>981</v>
      </c>
      <c r="AJ49" s="470" t="n">
        <f aca="false">IF(D49="","",ROUND(D49+$S49*$AK$9+$R49*$AK$10,3))</f>
        <v>-134.508</v>
      </c>
      <c r="AK49" s="471" t="n">
        <f aca="false">IF(E49="","",ROUND(E49,3))</f>
        <v>-126</v>
      </c>
      <c r="AL49" s="470" t="n">
        <f aca="false">IF(F49="","",ROUND(F49,3))</f>
        <v>13</v>
      </c>
      <c r="AM49" s="10"/>
      <c r="AN49" s="345" t="s">
        <v>981</v>
      </c>
      <c r="AO49" s="475" t="n">
        <f aca="false">IF(I49="","",ROUND(I49+$S49*$AK$9+$R49*$AK$10,3))</f>
        <v>-134.208</v>
      </c>
      <c r="AP49" s="476" t="n">
        <f aca="false">IF(J49="","",ROUND(J49,3))</f>
        <v>-126.1</v>
      </c>
      <c r="AQ49" s="470" t="n">
        <f aca="false">IF(K49="","",ROUND(K49,3))</f>
        <v>13</v>
      </c>
      <c r="AR49" s="45"/>
      <c r="AS49" s="345" t="s">
        <v>981</v>
      </c>
      <c r="AT49" s="470" t="n">
        <f aca="false">IF(N49="","",ROUND(N49/4.184,3))</f>
        <v>-134.202</v>
      </c>
      <c r="AU49" s="471" t="n">
        <f aca="false">IF(O49="","",ROUND(O49/4.184,3))</f>
        <v>-126.099</v>
      </c>
      <c r="AV49" s="470" t="n">
        <f aca="false">IF(P49="","",ROUND(P49/4.184,3))</f>
        <v>12.906</v>
      </c>
    </row>
    <row r="50" customFormat="false" ht="12.75" hidden="false" customHeight="false" outlineLevel="0" collapsed="false">
      <c r="C50" s="345" t="s">
        <v>982</v>
      </c>
      <c r="D50" s="472" t="n">
        <v>-70.22</v>
      </c>
      <c r="E50" s="473" t="n">
        <v>-66.554</v>
      </c>
      <c r="F50" s="472" t="n">
        <v>3.4</v>
      </c>
      <c r="G50" s="10"/>
      <c r="H50" s="345" t="s">
        <v>982</v>
      </c>
      <c r="I50" s="465" t="s">
        <v>1273</v>
      </c>
      <c r="J50" s="473" t="n">
        <v>-66.56</v>
      </c>
      <c r="K50" s="472" t="n">
        <v>3.2</v>
      </c>
      <c r="M50" s="345" t="s">
        <v>982</v>
      </c>
      <c r="N50" s="465" t="s">
        <v>1274</v>
      </c>
      <c r="O50" s="473" t="n">
        <v>-278.49</v>
      </c>
      <c r="P50" s="472" t="n">
        <v>13.4</v>
      </c>
      <c r="Q50" s="10"/>
      <c r="R50" s="474" t="n">
        <v>1</v>
      </c>
      <c r="S50" s="474" t="n">
        <v>0</v>
      </c>
      <c r="T50" s="160" t="s">
        <v>982</v>
      </c>
      <c r="U50" s="470" t="n">
        <f aca="false">IF(D50="","",ROUND(4.184*D50+$S50*$T$9+$R50*$T$10,3))</f>
        <v>-293.817</v>
      </c>
      <c r="V50" s="470" t="n">
        <f aca="false">IF(E50="","",ROUND(4.184*E50,3))</f>
        <v>-278.462</v>
      </c>
      <c r="W50" s="470" t="n">
        <f aca="false">IF(F50="","",ROUND(4.184*F50,3))</f>
        <v>14.226</v>
      </c>
      <c r="X50" s="10"/>
      <c r="Y50" s="345" t="s">
        <v>982</v>
      </c>
      <c r="Z50" s="470" t="n">
        <f aca="false">IF(I50="","",ROUND(4.184*I50+$S50*$T$9+$R50*$T$10,3))</f>
        <v>-293.315</v>
      </c>
      <c r="AA50" s="470" t="n">
        <f aca="false">IF(J50="","",ROUND(4.184*J50,3))</f>
        <v>-278.487</v>
      </c>
      <c r="AB50" s="470" t="n">
        <f aca="false">IF(K50="","",ROUND(4.184*K50,3))</f>
        <v>13.389</v>
      </c>
      <c r="AC50" s="44"/>
      <c r="AD50" s="345" t="s">
        <v>982</v>
      </c>
      <c r="AE50" s="465" t="s">
        <v>1274</v>
      </c>
      <c r="AF50" s="473" t="n">
        <v>-278.49</v>
      </c>
      <c r="AG50" s="472" t="n">
        <v>13.4</v>
      </c>
      <c r="AI50" s="345" t="s">
        <v>982</v>
      </c>
      <c r="AJ50" s="475" t="n">
        <f aca="false">IF(D50="","",ROUND(D50+$S50*$AK$9+$R50*$AK$10,3))</f>
        <v>-70.224</v>
      </c>
      <c r="AK50" s="476" t="n">
        <f aca="false">IF(E50="","",ROUND(E50,3))</f>
        <v>-66.554</v>
      </c>
      <c r="AL50" s="475" t="n">
        <f aca="false">IF(F50="","",ROUND(F50,3))</f>
        <v>3.4</v>
      </c>
      <c r="AM50" s="10"/>
      <c r="AN50" s="345" t="s">
        <v>982</v>
      </c>
      <c r="AO50" s="470" t="n">
        <f aca="false">IF(I50="","",ROUND(I50+$S50*$AK$9+$R50*$AK$10,3))</f>
        <v>-70.104</v>
      </c>
      <c r="AP50" s="476" t="n">
        <f aca="false">IF(J50="","",ROUND(J50,3))</f>
        <v>-66.56</v>
      </c>
      <c r="AQ50" s="475" t="n">
        <f aca="false">IF(K50="","",ROUND(K50,3))</f>
        <v>3.2</v>
      </c>
      <c r="AR50" s="44"/>
      <c r="AS50" s="345" t="s">
        <v>982</v>
      </c>
      <c r="AT50" s="470" t="n">
        <f aca="false">IF(N50="","",ROUND(N50/4.184,3))</f>
        <v>-70.103</v>
      </c>
      <c r="AU50" s="476" t="n">
        <f aca="false">IF(O50="","",ROUND(O50/4.184,3))</f>
        <v>-66.561</v>
      </c>
      <c r="AV50" s="475" t="n">
        <f aca="false">IF(P50="","",ROUND(P50/4.184,3))</f>
        <v>3.203</v>
      </c>
    </row>
    <row r="51" customFormat="false" ht="12.75" hidden="false" customHeight="false" outlineLevel="0" collapsed="false">
      <c r="C51" s="345" t="s">
        <v>989</v>
      </c>
      <c r="D51" s="472" t="n">
        <v>-62.589</v>
      </c>
      <c r="E51" s="473" t="n">
        <v>-57.279</v>
      </c>
      <c r="F51" s="472" t="n">
        <v>14.4</v>
      </c>
      <c r="H51" s="345" t="s">
        <v>989</v>
      </c>
      <c r="I51" s="472" t="n">
        <v>-62.593</v>
      </c>
      <c r="J51" s="473" t="n">
        <v>-57.39</v>
      </c>
      <c r="K51" s="472" t="n">
        <v>14.1</v>
      </c>
      <c r="M51" s="345" t="s">
        <v>989</v>
      </c>
      <c r="N51" s="472" t="n">
        <v>-261.905</v>
      </c>
      <c r="O51" s="473" t="n">
        <v>-240.12</v>
      </c>
      <c r="P51" s="465" t="s">
        <v>1275</v>
      </c>
      <c r="Q51" s="10"/>
      <c r="R51" s="474" t="n">
        <v>1</v>
      </c>
      <c r="S51" s="474" t="n">
        <v>0</v>
      </c>
      <c r="T51" s="160" t="s">
        <v>989</v>
      </c>
      <c r="U51" s="470" t="n">
        <f aca="false">IF(D51="","",ROUND(4.184*D51+$S51*$T$9+$R51*$T$10,3))</f>
        <v>-261.889</v>
      </c>
      <c r="V51" s="470" t="n">
        <f aca="false">IF(E51="","",ROUND(4.184*E51,3))</f>
        <v>-239.655</v>
      </c>
      <c r="W51" s="470" t="n">
        <f aca="false">IF(F51="","",ROUND(4.184*F51,3))</f>
        <v>60.25</v>
      </c>
      <c r="Y51" s="345" t="s">
        <v>989</v>
      </c>
      <c r="Z51" s="470" t="n">
        <f aca="false">IF(I51="","",ROUND(4.184*I51+$S51*$T$9+$R51*$T$10,3))</f>
        <v>-261.905</v>
      </c>
      <c r="AA51" s="470" t="n">
        <f aca="false">IF(J51="","",ROUND(4.184*J51,3))</f>
        <v>-240.12</v>
      </c>
      <c r="AB51" s="470" t="n">
        <f aca="false">IF(K51="","",ROUND(4.184*K51,3))</f>
        <v>58.994</v>
      </c>
      <c r="AC51" s="44"/>
      <c r="AD51" s="345" t="s">
        <v>989</v>
      </c>
      <c r="AE51" s="472" t="n">
        <v>-261.905</v>
      </c>
      <c r="AF51" s="473" t="n">
        <v>-240.12</v>
      </c>
      <c r="AG51" s="465" t="s">
        <v>1275</v>
      </c>
      <c r="AI51" s="345" t="s">
        <v>989</v>
      </c>
      <c r="AJ51" s="475" t="n">
        <f aca="false">IF(D51="","",ROUND(D51+$S51*$AK$9+$R51*$AK$10,3))</f>
        <v>-62.593</v>
      </c>
      <c r="AK51" s="476" t="n">
        <f aca="false">IF(E51="","",ROUND(E51,3))</f>
        <v>-57.279</v>
      </c>
      <c r="AL51" s="475" t="n">
        <f aca="false">IF(F51="","",ROUND(F51,3))</f>
        <v>14.4</v>
      </c>
      <c r="AN51" s="345" t="s">
        <v>989</v>
      </c>
      <c r="AO51" s="475" t="n">
        <f aca="false">IF(I51="","",ROUND(I51+$S51*$AK$9+$R51*$AK$10,3))</f>
        <v>-62.597</v>
      </c>
      <c r="AP51" s="476" t="n">
        <f aca="false">IF(J51="","",ROUND(J51,3))</f>
        <v>-57.39</v>
      </c>
      <c r="AQ51" s="475" t="n">
        <f aca="false">IF(K51="","",ROUND(K51,3))</f>
        <v>14.1</v>
      </c>
      <c r="AR51" s="44"/>
      <c r="AS51" s="345" t="s">
        <v>989</v>
      </c>
      <c r="AT51" s="475" t="n">
        <f aca="false">IF(N51="","",ROUND(N51/4.184,3))</f>
        <v>-62.597</v>
      </c>
      <c r="AU51" s="476" t="n">
        <f aca="false">IF(O51="","",ROUND(O51/4.184,3))</f>
        <v>-57.39</v>
      </c>
      <c r="AV51" s="470" t="n">
        <f aca="false">IF(P51="","",ROUND(P51/4.184,3))</f>
        <v>14.101</v>
      </c>
    </row>
    <row r="52" customFormat="false" ht="12.75" hidden="false" customHeight="false" outlineLevel="0" collapsed="false">
      <c r="C52" s="354" t="s">
        <v>998</v>
      </c>
      <c r="D52" s="488" t="n">
        <v>-67.466</v>
      </c>
      <c r="E52" s="489" t="n">
        <v>-60.04</v>
      </c>
      <c r="F52" s="488" t="n">
        <v>24.5</v>
      </c>
      <c r="H52" s="354" t="s">
        <v>998</v>
      </c>
      <c r="I52" s="490" t="s">
        <v>1276</v>
      </c>
      <c r="J52" s="489" t="n">
        <v>-60.32</v>
      </c>
      <c r="K52" s="488" t="n">
        <v>24.5</v>
      </c>
      <c r="M52" s="354" t="s">
        <v>998</v>
      </c>
      <c r="N52" s="488" t="n">
        <v>-283.27</v>
      </c>
      <c r="O52" s="489" t="n">
        <v>-252.38</v>
      </c>
      <c r="P52" s="488" t="n">
        <v>102.5</v>
      </c>
      <c r="Q52" s="10"/>
      <c r="R52" s="474" t="n">
        <v>1</v>
      </c>
      <c r="S52" s="474" t="n">
        <v>0</v>
      </c>
      <c r="T52" s="328" t="s">
        <v>998</v>
      </c>
      <c r="U52" s="470" t="n">
        <f aca="false">IF(D52="","",ROUND(4.184*D52+$S52*$T$9+$R52*$T$10,3))</f>
        <v>-282.294</v>
      </c>
      <c r="V52" s="470" t="n">
        <f aca="false">IF(E52="","",ROUND(4.184*E52,3))</f>
        <v>-251.207</v>
      </c>
      <c r="W52" s="470" t="n">
        <f aca="false">IF(F52="","",ROUND(4.184*F52,3))</f>
        <v>102.508</v>
      </c>
      <c r="Y52" s="354" t="s">
        <v>998</v>
      </c>
      <c r="Z52" s="470" t="n">
        <f aca="false">IF(I52="","",ROUND(4.184*I52+$S52*$T$9+$R52*$T$10,3))</f>
        <v>-283.273</v>
      </c>
      <c r="AA52" s="470" t="n">
        <f aca="false">IF(J52="","",ROUND(4.184*J52,3))</f>
        <v>-252.379</v>
      </c>
      <c r="AB52" s="470" t="n">
        <f aca="false">IF(K52="","",ROUND(4.184*K52,3))</f>
        <v>102.508</v>
      </c>
      <c r="AC52" s="44"/>
      <c r="AD52" s="354" t="s">
        <v>998</v>
      </c>
      <c r="AE52" s="488" t="n">
        <v>-283.27</v>
      </c>
      <c r="AF52" s="489" t="n">
        <v>-252.38</v>
      </c>
      <c r="AG52" s="488" t="n">
        <v>102.5</v>
      </c>
      <c r="AI52" s="354" t="s">
        <v>998</v>
      </c>
      <c r="AJ52" s="491" t="n">
        <f aca="false">IF(D52="","",ROUND(D52+$S52*$AK$9+$R52*$AK$10,3))</f>
        <v>-67.47</v>
      </c>
      <c r="AK52" s="492" t="n">
        <f aca="false">IF(E52="","",ROUND(E52,3))</f>
        <v>-60.04</v>
      </c>
      <c r="AL52" s="491" t="n">
        <f aca="false">IF(F52="","",ROUND(F52,3))</f>
        <v>24.5</v>
      </c>
      <c r="AN52" s="354" t="s">
        <v>998</v>
      </c>
      <c r="AO52" s="493" t="n">
        <f aca="false">IF(I52="","",ROUND(I52+$S52*$AK$9+$R52*$AK$10,3))</f>
        <v>-67.704</v>
      </c>
      <c r="AP52" s="492" t="n">
        <f aca="false">IF(J52="","",ROUND(J52,3))</f>
        <v>-60.32</v>
      </c>
      <c r="AQ52" s="491" t="n">
        <f aca="false">IF(K52="","",ROUND(K52,3))</f>
        <v>24.5</v>
      </c>
      <c r="AR52" s="44"/>
      <c r="AS52" s="354" t="s">
        <v>998</v>
      </c>
      <c r="AT52" s="491" t="n">
        <f aca="false">IF(N52="","",ROUND(N52/4.184,3))</f>
        <v>-67.703</v>
      </c>
      <c r="AU52" s="492" t="n">
        <f aca="false">IF(O52="","",ROUND(O52/4.184,3))</f>
        <v>-60.32</v>
      </c>
      <c r="AV52" s="491" t="n">
        <f aca="false">IF(P52="","",ROUND(P52/4.184,3))</f>
        <v>24.498</v>
      </c>
    </row>
    <row r="53" customFormat="false" ht="12.75" hidden="false" customHeight="false" outlineLevel="0" collapsed="false">
      <c r="C53" s="354" t="s">
        <v>1005</v>
      </c>
      <c r="D53" s="490" t="s">
        <v>1277</v>
      </c>
      <c r="E53" s="494" t="s">
        <v>1278</v>
      </c>
      <c r="F53" s="490" t="s">
        <v>1279</v>
      </c>
      <c r="H53" s="354" t="s">
        <v>1005</v>
      </c>
      <c r="I53" s="488" t="n">
        <v>-67.87</v>
      </c>
      <c r="J53" s="489" t="n">
        <v>-60.03</v>
      </c>
      <c r="K53" s="488" t="n">
        <v>29.04</v>
      </c>
      <c r="M53" s="354" t="s">
        <v>1005</v>
      </c>
      <c r="N53" s="490" t="s">
        <v>1280</v>
      </c>
      <c r="O53" s="494" t="s">
        <v>1281</v>
      </c>
      <c r="P53" s="490" t="s">
        <v>1282</v>
      </c>
      <c r="Q53" s="10"/>
      <c r="R53" s="474" t="n">
        <v>1</v>
      </c>
      <c r="S53" s="474" t="n">
        <v>0</v>
      </c>
      <c r="T53" s="328" t="s">
        <v>1005</v>
      </c>
      <c r="U53" s="470" t="n">
        <f aca="false">IF(D53="","",ROUND(4.184*D53+$S53*$T$9+$R53*$T$10,3))</f>
        <v>-282.227</v>
      </c>
      <c r="V53" s="470" t="n">
        <f aca="false">IF(E53="","",ROUND(4.184*E53,3))</f>
        <v>-246.438</v>
      </c>
      <c r="W53" s="470" t="n">
        <f aca="false">IF(F53="","",ROUND(4.184*F53,3))</f>
        <v>124.265</v>
      </c>
      <c r="Y53" s="354" t="s">
        <v>1005</v>
      </c>
      <c r="Z53" s="470" t="n">
        <f aca="false">IF(I53="","",ROUND(4.184*I53+$S53*$T$9+$R53*$T$10,3))</f>
        <v>-283.984</v>
      </c>
      <c r="AA53" s="470" t="n">
        <f aca="false">IF(J53="","",ROUND(4.184*J53,3))</f>
        <v>-251.166</v>
      </c>
      <c r="AB53" s="470" t="n">
        <f aca="false">IF(K53="","",ROUND(4.184*K53,3))</f>
        <v>121.503</v>
      </c>
      <c r="AC53" s="44"/>
      <c r="AD53" s="354" t="s">
        <v>1005</v>
      </c>
      <c r="AE53" s="490" t="s">
        <v>1280</v>
      </c>
      <c r="AF53" s="494" t="s">
        <v>1281</v>
      </c>
      <c r="AG53" s="490" t="s">
        <v>1282</v>
      </c>
      <c r="AI53" s="354" t="s">
        <v>1005</v>
      </c>
      <c r="AJ53" s="493" t="n">
        <f aca="false">IF(D53="","",ROUND(D53+$S53*$AK$9+$R53*$AK$10,3))</f>
        <v>-67.454</v>
      </c>
      <c r="AK53" s="495" t="n">
        <f aca="false">IF(E53="","",ROUND(E53,3))</f>
        <v>-58.9</v>
      </c>
      <c r="AL53" s="493" t="n">
        <f aca="false">IF(F53="","",ROUND(F53,3))</f>
        <v>29.7</v>
      </c>
      <c r="AN53" s="354" t="s">
        <v>1005</v>
      </c>
      <c r="AO53" s="491" t="n">
        <f aca="false">IF(I53="","",ROUND(I53+$S53*$AK$9+$R53*$AK$10,3))</f>
        <v>-67.874</v>
      </c>
      <c r="AP53" s="492" t="n">
        <f aca="false">IF(J53="","",ROUND(J53,3))</f>
        <v>-60.03</v>
      </c>
      <c r="AQ53" s="491" t="n">
        <f aca="false">IF(K53="","",ROUND(K53,3))</f>
        <v>29.04</v>
      </c>
      <c r="AR53" s="44"/>
      <c r="AS53" s="354" t="s">
        <v>1005</v>
      </c>
      <c r="AT53" s="493" t="n">
        <f aca="false">IF(N53="","",ROUND(N53/4.184,3))</f>
        <v>-67.873</v>
      </c>
      <c r="AU53" s="495" t="n">
        <f aca="false">IF(O53="","",ROUND(O53/4.184,3))</f>
        <v>-60.031</v>
      </c>
      <c r="AV53" s="493" t="n">
        <f aca="false">IF(P53="","",ROUND(P53/4.184,3))</f>
        <v>29.039</v>
      </c>
    </row>
    <row r="54" customFormat="false" ht="13.5" hidden="false" customHeight="false" outlineLevel="0" collapsed="false">
      <c r="C54" s="375" t="s">
        <v>1012</v>
      </c>
      <c r="D54" s="496" t="s">
        <v>1283</v>
      </c>
      <c r="E54" s="497" t="s">
        <v>1284</v>
      </c>
      <c r="F54" s="496" t="s">
        <v>176</v>
      </c>
      <c r="H54" s="375" t="s">
        <v>1012</v>
      </c>
      <c r="I54" s="498" t="n">
        <v>-69.79</v>
      </c>
      <c r="J54" s="499" t="n">
        <v>-61.73</v>
      </c>
      <c r="K54" s="496" t="s">
        <v>667</v>
      </c>
      <c r="M54" s="375" t="s">
        <v>1012</v>
      </c>
      <c r="N54" s="496" t="s">
        <v>1285</v>
      </c>
      <c r="O54" s="497" t="s">
        <v>1286</v>
      </c>
      <c r="P54" s="496" t="s">
        <v>1287</v>
      </c>
      <c r="Q54" s="10"/>
      <c r="R54" s="474" t="n">
        <v>1</v>
      </c>
      <c r="S54" s="474" t="n">
        <v>0</v>
      </c>
      <c r="T54" s="162" t="s">
        <v>1012</v>
      </c>
      <c r="U54" s="500" t="n">
        <f aca="false">IF(D54="","",ROUND(4.184*D54+$S54*$T$9+$R54*$T$10,3))</f>
        <v>-282.06</v>
      </c>
      <c r="V54" s="500" t="n">
        <f aca="false">IF(E54="","",ROUND(4.184*E54,3))</f>
        <v>-247.693</v>
      </c>
      <c r="W54" s="500" t="n">
        <f aca="false">IF(F54="","",ROUND(4.184*F54,3))</f>
        <v>133.051</v>
      </c>
      <c r="Y54" s="375" t="s">
        <v>1012</v>
      </c>
      <c r="Z54" s="500" t="n">
        <f aca="false">IF(I54="","",ROUND(4.184*I54+$S54*$T$9+$R54*$T$10,3))</f>
        <v>-292.018</v>
      </c>
      <c r="AA54" s="500" t="n">
        <f aca="false">IF(J54="","",ROUND(4.184*J54,3))</f>
        <v>-258.278</v>
      </c>
      <c r="AB54" s="500" t="n">
        <f aca="false">IF(K54="","",ROUND(4.184*K54,3))</f>
        <v>133.051</v>
      </c>
      <c r="AC54" s="44"/>
      <c r="AD54" s="375" t="s">
        <v>1012</v>
      </c>
      <c r="AE54" s="496" t="s">
        <v>1285</v>
      </c>
      <c r="AF54" s="497" t="s">
        <v>1286</v>
      </c>
      <c r="AG54" s="496" t="s">
        <v>1287</v>
      </c>
      <c r="AI54" s="375" t="s">
        <v>1012</v>
      </c>
      <c r="AJ54" s="500" t="n">
        <f aca="false">IF(D54="","",ROUND(D54+$S54*$AK$9+$R54*$AK$10,3))</f>
        <v>-67.414</v>
      </c>
      <c r="AK54" s="501" t="n">
        <f aca="false">IF(E54="","",ROUND(E54,3))</f>
        <v>-59.2</v>
      </c>
      <c r="AL54" s="500" t="n">
        <f aca="false">IF(F54="","",ROUND(F54,3))</f>
        <v>31.8</v>
      </c>
      <c r="AN54" s="375" t="s">
        <v>1012</v>
      </c>
      <c r="AO54" s="502" t="n">
        <f aca="false">IF(I54="","",ROUND(I54+$S54*$AK$9+$R54*$AK$10,3))</f>
        <v>-69.794</v>
      </c>
      <c r="AP54" s="503" t="n">
        <f aca="false">IF(J54="","",ROUND(J54,3))</f>
        <v>-61.73</v>
      </c>
      <c r="AQ54" s="500" t="n">
        <f aca="false">IF(K54="","",ROUND(K54,3))</f>
        <v>31.8</v>
      </c>
      <c r="AR54" s="44"/>
      <c r="AS54" s="375" t="s">
        <v>1012</v>
      </c>
      <c r="AT54" s="500" t="n">
        <f aca="false">IF(N54="","",ROUND(N54/4.184,3))</f>
        <v>-69.794</v>
      </c>
      <c r="AU54" s="501" t="n">
        <f aca="false">IF(O54="","",ROUND(O54/4.184,3))</f>
        <v>-61.73</v>
      </c>
      <c r="AV54" s="500" t="n">
        <f aca="false">IF(P54="","",ROUND(P54/4.184,3))</f>
        <v>31.8</v>
      </c>
    </row>
    <row r="55" customFormat="false" ht="12.75" hidden="false" customHeight="false" outlineLevel="0" collapsed="false">
      <c r="C55" s="280"/>
      <c r="D55" s="274"/>
      <c r="E55" s="274"/>
      <c r="F55" s="274"/>
      <c r="H55" s="280"/>
      <c r="I55" s="504"/>
      <c r="J55" s="504"/>
      <c r="K55" s="274"/>
      <c r="M55" s="280"/>
      <c r="N55" s="274"/>
      <c r="O55" s="274"/>
      <c r="P55" s="274"/>
      <c r="Q55" s="10"/>
      <c r="T55" s="280"/>
      <c r="U55" s="274"/>
      <c r="V55" s="274"/>
      <c r="W55" s="274"/>
      <c r="Y55" s="280"/>
      <c r="Z55" s="504"/>
      <c r="AA55" s="504"/>
      <c r="AB55" s="274"/>
      <c r="AC55" s="44"/>
      <c r="AD55" s="280"/>
      <c r="AE55" s="274"/>
      <c r="AF55" s="274"/>
      <c r="AG55" s="274"/>
      <c r="AI55" s="280"/>
      <c r="AJ55" s="274"/>
      <c r="AK55" s="274"/>
      <c r="AL55" s="274"/>
      <c r="AN55" s="280"/>
      <c r="AO55" s="504"/>
      <c r="AP55" s="504"/>
      <c r="AQ55" s="274"/>
      <c r="AR55" s="44"/>
      <c r="AS55" s="280"/>
      <c r="AT55" s="274"/>
      <c r="AU55" s="274"/>
      <c r="AV55" s="274"/>
    </row>
    <row r="56" customFormat="false" ht="12.75" hidden="false" customHeight="false" outlineLevel="0" collapsed="false">
      <c r="C56" s="280"/>
      <c r="D56" s="274"/>
      <c r="E56" s="274"/>
      <c r="F56" s="274"/>
      <c r="H56" s="280"/>
      <c r="I56" s="504"/>
      <c r="J56" s="504"/>
      <c r="K56" s="274"/>
      <c r="M56" s="345" t="s">
        <v>851</v>
      </c>
      <c r="N56" s="505" t="s">
        <v>1288</v>
      </c>
      <c r="O56" s="506" t="s">
        <v>1289</v>
      </c>
      <c r="P56" s="472" t="n">
        <v>146.4</v>
      </c>
      <c r="Q56" s="507" t="s">
        <v>1290</v>
      </c>
      <c r="T56" s="280"/>
      <c r="U56" s="274"/>
      <c r="V56" s="274"/>
      <c r="W56" s="274"/>
      <c r="Y56" s="280"/>
      <c r="Z56" s="504"/>
      <c r="AA56" s="504"/>
      <c r="AB56" s="274"/>
      <c r="AC56" s="44"/>
      <c r="AD56" s="280"/>
      <c r="AE56" s="274"/>
      <c r="AF56" s="274"/>
      <c r="AG56" s="274"/>
      <c r="AI56" s="280"/>
      <c r="AJ56" s="274"/>
      <c r="AK56" s="274"/>
      <c r="AL56" s="274"/>
      <c r="AN56" s="280"/>
      <c r="AO56" s="504"/>
      <c r="AP56" s="504"/>
      <c r="AQ56" s="274"/>
      <c r="AR56" s="44"/>
      <c r="AS56" s="280"/>
      <c r="AT56" s="274"/>
      <c r="AU56" s="274"/>
      <c r="AV56" s="274"/>
    </row>
    <row r="57" customFormat="false" ht="12.75" hidden="false" customHeight="false" outlineLevel="0" collapsed="false">
      <c r="C57" s="280"/>
      <c r="D57" s="274"/>
      <c r="E57" s="274"/>
      <c r="F57" s="274"/>
      <c r="H57" s="280"/>
      <c r="I57" s="504"/>
      <c r="J57" s="504"/>
      <c r="K57" s="274"/>
      <c r="M57" s="280"/>
      <c r="N57" s="274"/>
      <c r="O57" s="274"/>
      <c r="P57" s="274"/>
      <c r="Q57" s="10"/>
      <c r="T57" s="280"/>
      <c r="U57" s="274"/>
      <c r="V57" s="274"/>
      <c r="W57" s="274"/>
      <c r="Y57" s="280"/>
      <c r="Z57" s="504"/>
      <c r="AA57" s="504"/>
      <c r="AB57" s="274"/>
      <c r="AC57" s="44"/>
      <c r="AD57" s="280"/>
      <c r="AE57" s="274"/>
      <c r="AF57" s="274"/>
      <c r="AG57" s="274"/>
      <c r="AI57" s="280"/>
      <c r="AJ57" s="274"/>
      <c r="AK57" s="274"/>
      <c r="AL57" s="274"/>
      <c r="AN57" s="280"/>
      <c r="AO57" s="504"/>
      <c r="AP57" s="504"/>
      <c r="AQ57" s="274"/>
      <c r="AR57" s="44"/>
      <c r="AS57" s="280"/>
      <c r="AT57" s="274"/>
      <c r="AU57" s="274"/>
      <c r="AV57" s="274"/>
    </row>
    <row r="58" customFormat="false" ht="13.5" hidden="false" customHeight="false" outlineLevel="0" collapsed="false">
      <c r="C58" s="280"/>
      <c r="D58" s="274"/>
      <c r="E58" s="274"/>
      <c r="F58" s="274"/>
      <c r="H58" s="280"/>
      <c r="I58" s="504"/>
      <c r="J58" s="504"/>
      <c r="K58" s="274"/>
      <c r="M58" s="280"/>
      <c r="N58" s="274"/>
      <c r="O58" s="274"/>
      <c r="P58" s="274"/>
      <c r="Q58" s="10"/>
      <c r="T58" s="280"/>
      <c r="U58" s="274"/>
      <c r="V58" s="274"/>
      <c r="W58" s="274"/>
      <c r="Y58" s="280"/>
      <c r="Z58" s="504"/>
      <c r="AA58" s="504"/>
      <c r="AB58" s="274"/>
      <c r="AC58" s="44"/>
      <c r="AD58" s="280"/>
      <c r="AE58" s="274"/>
      <c r="AF58" s="274"/>
      <c r="AG58" s="274"/>
      <c r="AI58" s="280"/>
      <c r="AJ58" s="274"/>
      <c r="AK58" s="274"/>
      <c r="AL58" s="274"/>
      <c r="AN58" s="280"/>
      <c r="AO58" s="504"/>
      <c r="AP58" s="504"/>
      <c r="AQ58" s="274"/>
      <c r="AR58" s="44"/>
      <c r="AS58" s="280"/>
      <c r="AT58" s="274"/>
      <c r="AU58" s="274"/>
      <c r="AV58" s="274"/>
    </row>
    <row r="59" customFormat="false" ht="12.75" hidden="false" customHeight="false" outlineLevel="0" collapsed="false">
      <c r="C59" s="11" t="s">
        <v>1020</v>
      </c>
      <c r="D59" s="11"/>
      <c r="E59" s="11"/>
      <c r="F59" s="11"/>
      <c r="H59" s="11" t="s">
        <v>1020</v>
      </c>
      <c r="I59" s="11"/>
      <c r="J59" s="11"/>
      <c r="K59" s="11"/>
      <c r="M59" s="11" t="s">
        <v>1020</v>
      </c>
      <c r="N59" s="11"/>
      <c r="O59" s="11"/>
      <c r="P59" s="11"/>
      <c r="Q59" s="10"/>
      <c r="T59" s="11" t="s">
        <v>1020</v>
      </c>
      <c r="U59" s="11"/>
      <c r="V59" s="11"/>
      <c r="W59" s="11"/>
      <c r="Y59" s="11" t="s">
        <v>1020</v>
      </c>
      <c r="Z59" s="11"/>
      <c r="AA59" s="11"/>
      <c r="AB59" s="11"/>
      <c r="AC59" s="44"/>
      <c r="AD59" s="11" t="s">
        <v>1020</v>
      </c>
      <c r="AE59" s="11"/>
      <c r="AF59" s="11"/>
      <c r="AG59" s="11"/>
      <c r="AI59" s="11" t="s">
        <v>1020</v>
      </c>
      <c r="AJ59" s="11"/>
      <c r="AK59" s="11"/>
      <c r="AL59" s="11"/>
      <c r="AN59" s="11" t="s">
        <v>1020</v>
      </c>
      <c r="AO59" s="11"/>
      <c r="AP59" s="11"/>
      <c r="AQ59" s="11"/>
      <c r="AR59" s="44"/>
      <c r="AS59" s="11" t="s">
        <v>1020</v>
      </c>
      <c r="AT59" s="11"/>
      <c r="AU59" s="11"/>
      <c r="AV59" s="11"/>
    </row>
    <row r="60" customFormat="false" ht="14.25" hidden="false" customHeight="false" outlineLevel="0" collapsed="false">
      <c r="C60" s="16" t="s">
        <v>782</v>
      </c>
      <c r="D60" s="113" t="s">
        <v>511</v>
      </c>
      <c r="E60" s="113" t="s">
        <v>512</v>
      </c>
      <c r="F60" s="53" t="s">
        <v>513</v>
      </c>
      <c r="H60" s="16" t="s">
        <v>782</v>
      </c>
      <c r="I60" s="113" t="s">
        <v>511</v>
      </c>
      <c r="J60" s="113" t="s">
        <v>512</v>
      </c>
      <c r="K60" s="53" t="s">
        <v>513</v>
      </c>
      <c r="M60" s="16" t="s">
        <v>782</v>
      </c>
      <c r="N60" s="113" t="s">
        <v>511</v>
      </c>
      <c r="O60" s="113" t="s">
        <v>512</v>
      </c>
      <c r="P60" s="53" t="s">
        <v>513</v>
      </c>
      <c r="Q60" s="10"/>
      <c r="T60" s="16" t="s">
        <v>782</v>
      </c>
      <c r="U60" s="113" t="s">
        <v>511</v>
      </c>
      <c r="V60" s="113" t="s">
        <v>512</v>
      </c>
      <c r="W60" s="53" t="s">
        <v>513</v>
      </c>
      <c r="Y60" s="16" t="s">
        <v>782</v>
      </c>
      <c r="Z60" s="113" t="s">
        <v>511</v>
      </c>
      <c r="AA60" s="113" t="s">
        <v>512</v>
      </c>
      <c r="AB60" s="53" t="s">
        <v>513</v>
      </c>
      <c r="AC60" s="44"/>
      <c r="AD60" s="16" t="s">
        <v>782</v>
      </c>
      <c r="AE60" s="113" t="s">
        <v>511</v>
      </c>
      <c r="AF60" s="113" t="s">
        <v>512</v>
      </c>
      <c r="AG60" s="53" t="s">
        <v>513</v>
      </c>
      <c r="AI60" s="16" t="s">
        <v>782</v>
      </c>
      <c r="AJ60" s="113" t="s">
        <v>511</v>
      </c>
      <c r="AK60" s="113" t="s">
        <v>512</v>
      </c>
      <c r="AL60" s="53" t="s">
        <v>513</v>
      </c>
      <c r="AN60" s="16" t="s">
        <v>782</v>
      </c>
      <c r="AO60" s="113" t="s">
        <v>511</v>
      </c>
      <c r="AP60" s="113" t="s">
        <v>512</v>
      </c>
      <c r="AQ60" s="53" t="s">
        <v>513</v>
      </c>
      <c r="AR60" s="44"/>
      <c r="AS60" s="16" t="s">
        <v>782</v>
      </c>
      <c r="AT60" s="113" t="s">
        <v>511</v>
      </c>
      <c r="AU60" s="113" t="s">
        <v>512</v>
      </c>
      <c r="AV60" s="53" t="s">
        <v>513</v>
      </c>
    </row>
    <row r="61" customFormat="false" ht="15" hidden="false" customHeight="false" outlineLevel="0" collapsed="false">
      <c r="C61" s="21" t="s">
        <v>783</v>
      </c>
      <c r="D61" s="55" t="s">
        <v>514</v>
      </c>
      <c r="E61" s="55" t="s">
        <v>514</v>
      </c>
      <c r="F61" s="55" t="s">
        <v>166</v>
      </c>
      <c r="H61" s="21" t="s">
        <v>783</v>
      </c>
      <c r="I61" s="55" t="s">
        <v>514</v>
      </c>
      <c r="J61" s="55" t="s">
        <v>514</v>
      </c>
      <c r="K61" s="55" t="s">
        <v>166</v>
      </c>
      <c r="M61" s="21" t="s">
        <v>783</v>
      </c>
      <c r="N61" s="55" t="s">
        <v>784</v>
      </c>
      <c r="O61" s="55" t="s">
        <v>784</v>
      </c>
      <c r="P61" s="55" t="s">
        <v>167</v>
      </c>
      <c r="Q61" s="10"/>
      <c r="T61" s="21" t="s">
        <v>783</v>
      </c>
      <c r="U61" s="55" t="s">
        <v>784</v>
      </c>
      <c r="V61" s="55" t="s">
        <v>784</v>
      </c>
      <c r="W61" s="55" t="s">
        <v>167</v>
      </c>
      <c r="Y61" s="21" t="s">
        <v>783</v>
      </c>
      <c r="Z61" s="55" t="s">
        <v>784</v>
      </c>
      <c r="AA61" s="55" t="s">
        <v>784</v>
      </c>
      <c r="AB61" s="55" t="s">
        <v>167</v>
      </c>
      <c r="AC61" s="44"/>
      <c r="AD61" s="21" t="s">
        <v>783</v>
      </c>
      <c r="AE61" s="55" t="s">
        <v>784</v>
      </c>
      <c r="AF61" s="55" t="s">
        <v>784</v>
      </c>
      <c r="AG61" s="55" t="s">
        <v>167</v>
      </c>
      <c r="AI61" s="21" t="s">
        <v>783</v>
      </c>
      <c r="AJ61" s="55" t="s">
        <v>514</v>
      </c>
      <c r="AK61" s="55" t="s">
        <v>514</v>
      </c>
      <c r="AL61" s="55" t="s">
        <v>166</v>
      </c>
      <c r="AN61" s="21" t="s">
        <v>783</v>
      </c>
      <c r="AO61" s="55" t="s">
        <v>514</v>
      </c>
      <c r="AP61" s="55" t="s">
        <v>514</v>
      </c>
      <c r="AQ61" s="55" t="s">
        <v>166</v>
      </c>
      <c r="AR61" s="44"/>
      <c r="AS61" s="21" t="s">
        <v>783</v>
      </c>
      <c r="AT61" s="55" t="s">
        <v>514</v>
      </c>
      <c r="AU61" s="55" t="s">
        <v>514</v>
      </c>
      <c r="AV61" s="55" t="s">
        <v>166</v>
      </c>
    </row>
    <row r="62" customFormat="false" ht="12.75" hidden="false" customHeight="false" outlineLevel="0" collapsed="false">
      <c r="C62" s="310" t="s">
        <v>1021</v>
      </c>
      <c r="D62" s="508"/>
      <c r="E62" s="508"/>
      <c r="F62" s="508"/>
      <c r="G62" s="45"/>
      <c r="H62" s="310" t="s">
        <v>1021</v>
      </c>
      <c r="I62" s="509" t="n">
        <f aca="false">ROUND(I37-2*I22,3)</f>
        <v>-201.326</v>
      </c>
      <c r="J62" s="509" t="n">
        <f aca="false">ROUND(J37-2*J22,3)</f>
        <v>-214.37</v>
      </c>
      <c r="K62" s="509" t="n">
        <f aca="false">ROUND(K37-2*K22,3)</f>
        <v>9.58</v>
      </c>
      <c r="L62" s="45"/>
      <c r="M62" s="310" t="s">
        <v>1021</v>
      </c>
      <c r="N62" s="509" t="n">
        <f aca="false">ROUND(N37-2*N22,3)</f>
        <v>-842.342</v>
      </c>
      <c r="O62" s="509" t="n">
        <f aca="false">ROUND(O37-2*O22,3)</f>
        <v>-896.94</v>
      </c>
      <c r="P62" s="509" t="n">
        <f aca="false">ROUND(P37-2*P22,3)</f>
        <v>40.18</v>
      </c>
      <c r="Q62" s="10"/>
      <c r="T62" s="310" t="s">
        <v>1021</v>
      </c>
      <c r="U62" s="509"/>
      <c r="V62" s="509"/>
      <c r="W62" s="509"/>
      <c r="X62" s="45"/>
      <c r="Y62" s="310" t="s">
        <v>1021</v>
      </c>
      <c r="Z62" s="509" t="n">
        <f aca="false">ROUND(Z37-2*Z22,3)</f>
        <v>-842.316</v>
      </c>
      <c r="AA62" s="509" t="n">
        <f aca="false">ROUND(AA37-2*AA22,3)</f>
        <v>-896.924</v>
      </c>
      <c r="AB62" s="509" t="n">
        <f aca="false">ROUND(AB37-2*AB22,3)</f>
        <v>40.082</v>
      </c>
      <c r="AC62" s="45"/>
      <c r="AD62" s="310" t="s">
        <v>1021</v>
      </c>
      <c r="AE62" s="509" t="n">
        <f aca="false">ROUND(AE37-2*AE22,3)</f>
        <v>-842.342</v>
      </c>
      <c r="AF62" s="509" t="n">
        <f aca="false">ROUND(AF37-2*AF22,3)</f>
        <v>-896.94</v>
      </c>
      <c r="AG62" s="509" t="n">
        <f aca="false">ROUND(AG37-2*AG22,3)</f>
        <v>40.18</v>
      </c>
      <c r="AI62" s="310" t="s">
        <v>1021</v>
      </c>
      <c r="AJ62" s="508"/>
      <c r="AK62" s="508"/>
      <c r="AL62" s="508"/>
      <c r="AM62" s="45"/>
      <c r="AN62" s="310" t="s">
        <v>1021</v>
      </c>
      <c r="AO62" s="509" t="n">
        <f aca="false">ROUND(AO37-2*AO22,3)</f>
        <v>-201.319</v>
      </c>
      <c r="AP62" s="509" t="n">
        <f aca="false">ROUND(AP37-2*AP22,3)</f>
        <v>-214.37</v>
      </c>
      <c r="AQ62" s="509" t="n">
        <f aca="false">ROUND(AQ37-2*AQ22,3)</f>
        <v>9.58</v>
      </c>
      <c r="AR62" s="45"/>
      <c r="AS62" s="310" t="s">
        <v>1021</v>
      </c>
      <c r="AT62" s="509" t="n">
        <f aca="false">ROUND(AT37-2*AT22,3)</f>
        <v>-201.325</v>
      </c>
      <c r="AU62" s="509" t="n">
        <f aca="false">ROUND(AU37-2*AU22,3)</f>
        <v>-214.374</v>
      </c>
      <c r="AV62" s="509" t="n">
        <f aca="false">ROUND(AV37-2*AV22,3)</f>
        <v>9.603</v>
      </c>
    </row>
    <row r="63" customFormat="false" ht="12.75" hidden="false" customHeight="false" outlineLevel="0" collapsed="false">
      <c r="C63" s="313" t="s">
        <v>1022</v>
      </c>
      <c r="D63" s="315" t="n">
        <f aca="false">ROUND(D39-2*D22,3)</f>
        <v>-160.94</v>
      </c>
      <c r="E63" s="315" t="n">
        <f aca="false">ROUND(E39-2*E22,3)</f>
        <v>-183.482</v>
      </c>
      <c r="F63" s="315" t="n">
        <f aca="false">ROUND(F39-2*F22,3)</f>
        <v>-9.416</v>
      </c>
      <c r="G63" s="45"/>
      <c r="H63" s="313" t="s">
        <v>1022</v>
      </c>
      <c r="I63" s="510" t="n">
        <f aca="false">ROUND(I39-2*I22,3)</f>
        <v>-162.276</v>
      </c>
      <c r="J63" s="510" t="n">
        <f aca="false">ROUND(J39-2*J22,3)</f>
        <v>-184.6</v>
      </c>
      <c r="K63" s="510" t="n">
        <f aca="false">ROUND(K39-2*K22,3)</f>
        <v>-8.92</v>
      </c>
      <c r="L63" s="45"/>
      <c r="M63" s="313" t="s">
        <v>1022</v>
      </c>
      <c r="N63" s="510" t="n">
        <f aca="false">ROUND(N39-2*N22,3)</f>
        <v>-678.912</v>
      </c>
      <c r="O63" s="510" t="n">
        <f aca="false">ROUND(O39-2*O22,3)</f>
        <v>-772.37</v>
      </c>
      <c r="P63" s="510" t="n">
        <f aca="false">ROUND(P39-2*P22,3)</f>
        <v>-37.32</v>
      </c>
      <c r="Q63" s="10"/>
      <c r="T63" s="313" t="s">
        <v>1022</v>
      </c>
      <c r="U63" s="315" t="n">
        <f aca="false">ROUND(U39-2*U22,3)</f>
        <v>-673.322</v>
      </c>
      <c r="V63" s="315" t="n">
        <f aca="false">ROUND(V39-2*V22,3)</f>
        <v>-767.69</v>
      </c>
      <c r="W63" s="315" t="n">
        <f aca="false">ROUND(W39-2*W22,3)</f>
        <v>-39.397</v>
      </c>
      <c r="X63" s="45"/>
      <c r="Y63" s="313" t="s">
        <v>1022</v>
      </c>
      <c r="Z63" s="510" t="n">
        <f aca="false">ROUND(Z39-2*Z22,3)</f>
        <v>-678.915</v>
      </c>
      <c r="AA63" s="510" t="n">
        <f aca="false">ROUND(AA39-2*AA22,3)</f>
        <v>-772.366</v>
      </c>
      <c r="AB63" s="510" t="n">
        <f aca="false">ROUND(AB39-2*AB22,3)</f>
        <v>-37.322</v>
      </c>
      <c r="AC63" s="45"/>
      <c r="AD63" s="313" t="s">
        <v>1022</v>
      </c>
      <c r="AE63" s="510" t="n">
        <f aca="false">ROUND(AE39-2*AE22,3)</f>
        <v>-678.912</v>
      </c>
      <c r="AF63" s="510" t="n">
        <f aca="false">ROUND(AF39-2*AF22,3)</f>
        <v>-772.37</v>
      </c>
      <c r="AG63" s="510" t="n">
        <f aca="false">ROUND(AG39-2*AG22,3)</f>
        <v>-37.32</v>
      </c>
      <c r="AI63" s="313" t="s">
        <v>1022</v>
      </c>
      <c r="AJ63" s="315" t="n">
        <f aca="false">ROUND(AJ39-2*AJ22,3)</f>
        <v>-160.927</v>
      </c>
      <c r="AK63" s="315" t="n">
        <f aca="false">ROUND(AK39-2*AK22,3)</f>
        <v>-183.483</v>
      </c>
      <c r="AL63" s="315" t="n">
        <f aca="false">ROUND(AL39-2*AL22,3)</f>
        <v>-9.416</v>
      </c>
      <c r="AM63" s="45"/>
      <c r="AN63" s="313" t="s">
        <v>1022</v>
      </c>
      <c r="AO63" s="510" t="n">
        <f aca="false">ROUND(AO39-2*AO22,3)</f>
        <v>-162.265</v>
      </c>
      <c r="AP63" s="510" t="n">
        <f aca="false">ROUND(AP39-2*AP22,3)</f>
        <v>-184.6</v>
      </c>
      <c r="AQ63" s="510" t="n">
        <f aca="false">ROUND(AQ39-2*AQ22,3)</f>
        <v>-8.92</v>
      </c>
      <c r="AR63" s="45"/>
      <c r="AS63" s="313" t="s">
        <v>1022</v>
      </c>
      <c r="AT63" s="510" t="n">
        <f aca="false">ROUND(AT39-2*AT22,3)</f>
        <v>-162.264</v>
      </c>
      <c r="AU63" s="510" t="n">
        <f aca="false">ROUND(AU39-2*AU22,3)</f>
        <v>-184.601</v>
      </c>
      <c r="AV63" s="510" t="n">
        <f aca="false">ROUND(AV39-2*AV22,3)</f>
        <v>-8.92</v>
      </c>
    </row>
    <row r="64" customFormat="false" ht="13.5" hidden="false" customHeight="false" outlineLevel="0" collapsed="false">
      <c r="C64" s="317" t="s">
        <v>1023</v>
      </c>
      <c r="D64" s="511"/>
      <c r="E64" s="154" t="n">
        <v>-218.6</v>
      </c>
      <c r="F64" s="511"/>
      <c r="G64" s="45"/>
      <c r="H64" s="317" t="s">
        <v>1023</v>
      </c>
      <c r="I64" s="512" t="n">
        <f aca="false">ROUND(I41-2*I22,3)</f>
        <v>-196.826</v>
      </c>
      <c r="J64" s="512" t="n">
        <f aca="false">ROUND(J41-2*J22,3)</f>
        <v>-219.57</v>
      </c>
      <c r="K64" s="512" t="n">
        <f aca="false">ROUND(K41-2*K22,3)</f>
        <v>-5.42</v>
      </c>
      <c r="L64" s="45"/>
      <c r="M64" s="317" t="s">
        <v>1023</v>
      </c>
      <c r="N64" s="512" t="n">
        <f aca="false">ROUND(N41-2*N22,3)</f>
        <v>-831.042</v>
      </c>
      <c r="O64" s="512" t="n">
        <f aca="false">ROUND(O41-2*O22,3)</f>
        <v>-930.84</v>
      </c>
      <c r="P64" s="512" t="n">
        <f aca="false">ROUND(P41-2*P22,3)</f>
        <v>-36.92</v>
      </c>
      <c r="Q64" s="10"/>
      <c r="T64" s="317" t="s">
        <v>1023</v>
      </c>
      <c r="U64" s="502"/>
      <c r="V64" s="500" t="n">
        <f aca="false">ROUND(V41-2*V22,3)</f>
        <v>-914.623</v>
      </c>
      <c r="W64" s="502"/>
      <c r="X64" s="45"/>
      <c r="Y64" s="317" t="s">
        <v>1023</v>
      </c>
      <c r="Z64" s="512" t="n">
        <f aca="false">ROUND(Z41-2*Z22,3)</f>
        <v>-823.472</v>
      </c>
      <c r="AA64" s="512" t="n">
        <f aca="false">ROUND(AA41-2*AA22,3)</f>
        <v>-918.681</v>
      </c>
      <c r="AB64" s="512" t="n">
        <f aca="false">ROUND(AB41-2*AB22,3)</f>
        <v>-22.678</v>
      </c>
      <c r="AC64" s="45"/>
      <c r="AD64" s="317" t="s">
        <v>1023</v>
      </c>
      <c r="AE64" s="512" t="n">
        <f aca="false">ROUND(AE41-2*AE22,3)</f>
        <v>-831.042</v>
      </c>
      <c r="AF64" s="512" t="n">
        <f aca="false">ROUND(AF41-2*AF22,3)</f>
        <v>-930.84</v>
      </c>
      <c r="AG64" s="512" t="n">
        <f aca="false">ROUND(AG41-2*AG22,3)</f>
        <v>-36.92</v>
      </c>
      <c r="AI64" s="317" t="s">
        <v>1023</v>
      </c>
      <c r="AJ64" s="511"/>
      <c r="AK64" s="309" t="n">
        <f aca="false">ROUND(AK41-2*AK22,3)</f>
        <v>-218.601</v>
      </c>
      <c r="AL64" s="511"/>
      <c r="AM64" s="45"/>
      <c r="AN64" s="317" t="s">
        <v>1023</v>
      </c>
      <c r="AO64" s="512" t="n">
        <f aca="false">ROUND(AO41-2*AO22,3)</f>
        <v>-196.815</v>
      </c>
      <c r="AP64" s="512" t="n">
        <f aca="false">ROUND(AP41-2*AP22,3)</f>
        <v>-219.57</v>
      </c>
      <c r="AQ64" s="512" t="n">
        <f aca="false">ROUND(AQ41-2*AQ22,3)</f>
        <v>-5.42</v>
      </c>
      <c r="AR64" s="45"/>
      <c r="AS64" s="317" t="s">
        <v>1023</v>
      </c>
      <c r="AT64" s="512" t="n">
        <f aca="false">ROUND(AT41-2*AT22,3)</f>
        <v>-198.624</v>
      </c>
      <c r="AU64" s="512" t="n">
        <f aca="false">ROUND(AU41-2*AU22,3)</f>
        <v>-222.476</v>
      </c>
      <c r="AV64" s="512" t="n">
        <f aca="false">ROUND(AV41-2*AV22,3)</f>
        <v>-8.824</v>
      </c>
    </row>
    <row r="65" customFormat="false" ht="12.75" hidden="false" customHeight="false" outlineLevel="0" collapsed="false">
      <c r="C65" s="513" t="s">
        <v>1291</v>
      </c>
      <c r="D65" s="514" t="n">
        <v>-217.63</v>
      </c>
      <c r="E65" s="514" t="n">
        <v>-251.8</v>
      </c>
      <c r="F65" s="514" t="n">
        <v>7.3</v>
      </c>
      <c r="H65" s="513" t="s">
        <v>1023</v>
      </c>
      <c r="I65" s="515" t="s">
        <v>1292</v>
      </c>
      <c r="J65" s="515" t="s">
        <v>1293</v>
      </c>
      <c r="K65" s="515" t="s">
        <v>1294</v>
      </c>
      <c r="M65" s="516" t="s">
        <v>1295</v>
      </c>
      <c r="N65" s="517" t="s">
        <v>1296</v>
      </c>
      <c r="O65" s="517" t="s">
        <v>1297</v>
      </c>
      <c r="P65" s="517" t="s">
        <v>1298</v>
      </c>
      <c r="Q65" s="10"/>
      <c r="T65" s="280"/>
      <c r="U65" s="274"/>
      <c r="V65" s="274"/>
      <c r="W65" s="274"/>
      <c r="Y65" s="280"/>
      <c r="Z65" s="504"/>
      <c r="AA65" s="504"/>
      <c r="AB65" s="274"/>
      <c r="AC65" s="44"/>
      <c r="AD65" s="280"/>
      <c r="AE65" s="274"/>
      <c r="AF65" s="274"/>
      <c r="AG65" s="274"/>
      <c r="AI65" s="280"/>
      <c r="AJ65" s="274"/>
      <c r="AK65" s="274"/>
      <c r="AL65" s="274"/>
      <c r="AN65" s="280"/>
      <c r="AO65" s="274"/>
      <c r="AP65" s="274"/>
      <c r="AQ65" s="274"/>
      <c r="AR65" s="44"/>
      <c r="AS65" s="280"/>
      <c r="AT65" s="274"/>
      <c r="AU65" s="274"/>
      <c r="AV65" s="274"/>
    </row>
    <row r="66" customFormat="false" ht="12.75" hidden="false" customHeight="false" outlineLevel="0" collapsed="false">
      <c r="C66" s="516" t="s">
        <v>923</v>
      </c>
      <c r="D66" s="518" t="n">
        <f aca="false">ROUND(D65+D22,3)</f>
        <v>-274.32</v>
      </c>
      <c r="E66" s="518" t="n">
        <f aca="false">ROUND(E65+E22,3)</f>
        <v>-320.117</v>
      </c>
      <c r="F66" s="518" t="n">
        <f aca="false">ROUND(F65+F22,3)</f>
        <v>24.016</v>
      </c>
      <c r="H66" s="516" t="s">
        <v>1295</v>
      </c>
      <c r="I66" s="517" t="s">
        <v>1299</v>
      </c>
      <c r="J66" s="517" t="s">
        <v>1300</v>
      </c>
      <c r="K66" s="517" t="s">
        <v>1301</v>
      </c>
      <c r="M66" s="280"/>
      <c r="N66" s="274"/>
      <c r="O66" s="274"/>
      <c r="P66" s="274"/>
      <c r="Q66" s="10"/>
      <c r="T66" s="280"/>
      <c r="U66" s="274"/>
      <c r="V66" s="274"/>
      <c r="W66" s="274"/>
      <c r="Y66" s="280"/>
      <c r="Z66" s="504"/>
      <c r="AA66" s="504"/>
      <c r="AB66" s="274"/>
      <c r="AC66" s="44"/>
      <c r="AD66" s="280"/>
      <c r="AE66" s="274"/>
      <c r="AF66" s="274"/>
      <c r="AG66" s="274"/>
      <c r="AI66" s="280"/>
      <c r="AJ66" s="274"/>
      <c r="AK66" s="274"/>
      <c r="AL66" s="274"/>
      <c r="AN66" s="280"/>
      <c r="AO66" s="274"/>
      <c r="AP66" s="274"/>
      <c r="AQ66" s="274"/>
      <c r="AR66" s="44"/>
      <c r="AS66" s="280"/>
      <c r="AT66" s="274"/>
      <c r="AU66" s="274"/>
      <c r="AV66" s="274"/>
    </row>
    <row r="67" customFormat="false" ht="12.75" hidden="false" customHeight="false" outlineLevel="0" collapsed="false">
      <c r="C67" s="516" t="s">
        <v>933</v>
      </c>
      <c r="D67" s="388"/>
      <c r="E67" s="518" t="n">
        <f aca="false">ROUND(E64+2*E22,3)</f>
        <v>-355.235</v>
      </c>
      <c r="F67" s="388"/>
      <c r="H67" s="280"/>
      <c r="I67" s="504"/>
      <c r="J67" s="504"/>
      <c r="K67" s="274"/>
      <c r="M67" s="280"/>
      <c r="N67" s="274"/>
      <c r="O67" s="274"/>
      <c r="P67" s="274"/>
      <c r="Q67" s="10"/>
      <c r="T67" s="280"/>
      <c r="U67" s="274"/>
      <c r="V67" s="274"/>
      <c r="W67" s="274"/>
      <c r="Y67" s="280"/>
      <c r="Z67" s="504"/>
      <c r="AA67" s="504"/>
      <c r="AB67" s="274"/>
      <c r="AC67" s="44"/>
      <c r="AD67" s="280"/>
      <c r="AE67" s="274"/>
      <c r="AF67" s="274"/>
      <c r="AG67" s="274"/>
      <c r="AI67" s="280"/>
      <c r="AJ67" s="274"/>
      <c r="AK67" s="274"/>
      <c r="AL67" s="274"/>
      <c r="AN67" s="280"/>
      <c r="AO67" s="504"/>
      <c r="AP67" s="504"/>
      <c r="AQ67" s="274"/>
      <c r="AR67" s="44"/>
      <c r="AS67" s="280"/>
      <c r="AT67" s="274"/>
      <c r="AU67" s="274"/>
      <c r="AV67" s="274"/>
    </row>
    <row r="68" customFormat="false" ht="13.5" hidden="false" customHeight="false" outlineLevel="0" collapsed="false">
      <c r="C68" s="516" t="s">
        <v>1295</v>
      </c>
      <c r="D68" s="517" t="s">
        <v>1302</v>
      </c>
      <c r="E68" s="517" t="s">
        <v>1303</v>
      </c>
      <c r="F68" s="517" t="s">
        <v>1304</v>
      </c>
      <c r="H68" s="280"/>
      <c r="I68" s="504"/>
      <c r="J68" s="504"/>
      <c r="K68" s="274"/>
      <c r="M68" s="280"/>
      <c r="N68" s="274"/>
      <c r="O68" s="274"/>
      <c r="P68" s="274"/>
      <c r="Q68" s="10"/>
      <c r="T68" s="274"/>
      <c r="U68" s="274"/>
      <c r="V68" s="274"/>
      <c r="W68" s="274"/>
      <c r="Y68" s="280"/>
      <c r="Z68" s="504"/>
      <c r="AA68" s="504"/>
      <c r="AB68" s="274"/>
      <c r="AC68" s="44"/>
      <c r="AD68" s="280"/>
      <c r="AE68" s="274"/>
      <c r="AF68" s="274"/>
      <c r="AG68" s="274"/>
      <c r="AI68" s="274"/>
      <c r="AJ68" s="274"/>
      <c r="AK68" s="274"/>
      <c r="AL68" s="274"/>
      <c r="AN68" s="280"/>
      <c r="AO68" s="504"/>
      <c r="AP68" s="504"/>
      <c r="AQ68" s="274"/>
      <c r="AR68" s="44"/>
      <c r="AS68" s="280"/>
      <c r="AT68" s="274"/>
      <c r="AU68" s="274"/>
      <c r="AV68" s="274"/>
    </row>
    <row r="69" customFormat="false" ht="12.75" hidden="false" customHeight="false" outlineLevel="0" collapsed="false">
      <c r="C69" s="11"/>
      <c r="D69" s="11"/>
      <c r="E69" s="11"/>
      <c r="F69" s="11"/>
      <c r="H69" s="11"/>
      <c r="I69" s="11"/>
      <c r="J69" s="11"/>
      <c r="K69" s="11"/>
      <c r="M69" s="519"/>
      <c r="N69" s="11"/>
      <c r="O69" s="11"/>
      <c r="P69" s="11"/>
      <c r="Q69" s="10"/>
      <c r="R69" s="520" t="s">
        <v>1024</v>
      </c>
      <c r="S69" s="50"/>
      <c r="T69" s="11"/>
      <c r="U69" s="11"/>
      <c r="V69" s="11"/>
      <c r="W69" s="11"/>
      <c r="Y69" s="11"/>
      <c r="Z69" s="11"/>
      <c r="AA69" s="11"/>
      <c r="AB69" s="11"/>
      <c r="AC69" s="44"/>
      <c r="AD69" s="519"/>
      <c r="AE69" s="11"/>
      <c r="AF69" s="11"/>
      <c r="AG69" s="11"/>
      <c r="AI69" s="11"/>
      <c r="AJ69" s="11"/>
      <c r="AK69" s="11"/>
      <c r="AL69" s="11"/>
      <c r="AN69" s="11"/>
      <c r="AO69" s="11"/>
      <c r="AP69" s="11"/>
      <c r="AQ69" s="11"/>
      <c r="AR69" s="44"/>
      <c r="AS69" s="519"/>
      <c r="AT69" s="11"/>
      <c r="AU69" s="11"/>
      <c r="AV69" s="11"/>
    </row>
    <row r="70" customFormat="false" ht="14.25" hidden="false" customHeight="false" outlineLevel="0" collapsed="false">
      <c r="C70" s="16" t="s">
        <v>1024</v>
      </c>
      <c r="D70" s="113" t="s">
        <v>511</v>
      </c>
      <c r="E70" s="113" t="s">
        <v>512</v>
      </c>
      <c r="F70" s="53" t="s">
        <v>513</v>
      </c>
      <c r="H70" s="16" t="s">
        <v>1024</v>
      </c>
      <c r="I70" s="113" t="s">
        <v>511</v>
      </c>
      <c r="J70" s="113" t="s">
        <v>512</v>
      </c>
      <c r="K70" s="53" t="s">
        <v>513</v>
      </c>
      <c r="M70" s="521" t="s">
        <v>1024</v>
      </c>
      <c r="N70" s="113" t="s">
        <v>511</v>
      </c>
      <c r="O70" s="113" t="s">
        <v>512</v>
      </c>
      <c r="P70" s="53" t="s">
        <v>513</v>
      </c>
      <c r="Q70" s="10"/>
      <c r="R70" s="522" t="s">
        <v>1305</v>
      </c>
      <c r="S70" s="53" t="s">
        <v>1214</v>
      </c>
      <c r="T70" s="16" t="s">
        <v>1024</v>
      </c>
      <c r="U70" s="113" t="s">
        <v>511</v>
      </c>
      <c r="V70" s="113" t="s">
        <v>512</v>
      </c>
      <c r="W70" s="53" t="s">
        <v>513</v>
      </c>
      <c r="Y70" s="16" t="s">
        <v>1024</v>
      </c>
      <c r="Z70" s="113" t="s">
        <v>511</v>
      </c>
      <c r="AA70" s="113" t="s">
        <v>512</v>
      </c>
      <c r="AB70" s="53" t="s">
        <v>513</v>
      </c>
      <c r="AC70" s="44"/>
      <c r="AD70" s="521" t="s">
        <v>1024</v>
      </c>
      <c r="AE70" s="113" t="s">
        <v>511</v>
      </c>
      <c r="AF70" s="113" t="s">
        <v>512</v>
      </c>
      <c r="AG70" s="53" t="s">
        <v>513</v>
      </c>
      <c r="AI70" s="16" t="s">
        <v>1024</v>
      </c>
      <c r="AJ70" s="113" t="s">
        <v>511</v>
      </c>
      <c r="AK70" s="113" t="s">
        <v>512</v>
      </c>
      <c r="AL70" s="53" t="s">
        <v>513</v>
      </c>
      <c r="AN70" s="16" t="s">
        <v>1024</v>
      </c>
      <c r="AO70" s="113" t="s">
        <v>511</v>
      </c>
      <c r="AP70" s="113" t="s">
        <v>512</v>
      </c>
      <c r="AQ70" s="53" t="s">
        <v>513</v>
      </c>
      <c r="AR70" s="44"/>
      <c r="AS70" s="521" t="s">
        <v>1024</v>
      </c>
      <c r="AT70" s="113" t="s">
        <v>511</v>
      </c>
      <c r="AU70" s="113" t="s">
        <v>512</v>
      </c>
      <c r="AV70" s="53" t="s">
        <v>513</v>
      </c>
    </row>
    <row r="71" customFormat="false" ht="15" hidden="false" customHeight="false" outlineLevel="0" collapsed="false">
      <c r="C71" s="21" t="s">
        <v>783</v>
      </c>
      <c r="D71" s="55" t="s">
        <v>514</v>
      </c>
      <c r="E71" s="55" t="s">
        <v>514</v>
      </c>
      <c r="F71" s="55" t="s">
        <v>166</v>
      </c>
      <c r="H71" s="21" t="s">
        <v>783</v>
      </c>
      <c r="I71" s="55" t="s">
        <v>514</v>
      </c>
      <c r="J71" s="55" t="s">
        <v>514</v>
      </c>
      <c r="K71" s="55" t="s">
        <v>166</v>
      </c>
      <c r="M71" s="523" t="s">
        <v>783</v>
      </c>
      <c r="N71" s="55" t="s">
        <v>784</v>
      </c>
      <c r="O71" s="55" t="s">
        <v>784</v>
      </c>
      <c r="P71" s="55" t="s">
        <v>167</v>
      </c>
      <c r="Q71" s="10"/>
      <c r="R71" s="524" t="s">
        <v>28</v>
      </c>
      <c r="S71" s="464"/>
      <c r="T71" s="21" t="s">
        <v>783</v>
      </c>
      <c r="U71" s="55" t="s">
        <v>784</v>
      </c>
      <c r="V71" s="55" t="s">
        <v>784</v>
      </c>
      <c r="W71" s="55" t="s">
        <v>167</v>
      </c>
      <c r="Y71" s="21" t="s">
        <v>783</v>
      </c>
      <c r="Z71" s="55" t="s">
        <v>784</v>
      </c>
      <c r="AA71" s="55" t="s">
        <v>784</v>
      </c>
      <c r="AB71" s="55" t="s">
        <v>167</v>
      </c>
      <c r="AC71" s="44"/>
      <c r="AD71" s="523" t="s">
        <v>783</v>
      </c>
      <c r="AE71" s="55" t="s">
        <v>784</v>
      </c>
      <c r="AF71" s="55" t="s">
        <v>784</v>
      </c>
      <c r="AG71" s="55" t="s">
        <v>167</v>
      </c>
      <c r="AI71" s="21" t="s">
        <v>783</v>
      </c>
      <c r="AJ71" s="55" t="s">
        <v>514</v>
      </c>
      <c r="AK71" s="55" t="s">
        <v>514</v>
      </c>
      <c r="AL71" s="55" t="s">
        <v>166</v>
      </c>
      <c r="AN71" s="21" t="s">
        <v>783</v>
      </c>
      <c r="AO71" s="55" t="s">
        <v>514</v>
      </c>
      <c r="AP71" s="55" t="s">
        <v>514</v>
      </c>
      <c r="AQ71" s="55" t="s">
        <v>166</v>
      </c>
      <c r="AR71" s="44"/>
      <c r="AS71" s="523" t="s">
        <v>783</v>
      </c>
      <c r="AT71" s="55" t="s">
        <v>514</v>
      </c>
      <c r="AU71" s="55" t="s">
        <v>514</v>
      </c>
      <c r="AV71" s="55" t="s">
        <v>166</v>
      </c>
    </row>
    <row r="72" customFormat="false" ht="12.75" hidden="false" customHeight="false" outlineLevel="0" collapsed="false">
      <c r="C72" s="525" t="s">
        <v>1025</v>
      </c>
      <c r="D72" s="526" t="s">
        <v>521</v>
      </c>
      <c r="E72" s="527" t="s">
        <v>521</v>
      </c>
      <c r="F72" s="526" t="n">
        <v>49.003</v>
      </c>
      <c r="H72" s="525" t="s">
        <v>1025</v>
      </c>
      <c r="I72" s="526" t="n">
        <v>0</v>
      </c>
      <c r="J72" s="527" t="n">
        <v>0</v>
      </c>
      <c r="K72" s="526" t="n">
        <v>49.003</v>
      </c>
      <c r="M72" s="525" t="s">
        <v>1025</v>
      </c>
      <c r="N72" s="526" t="n">
        <v>0</v>
      </c>
      <c r="O72" s="527" t="n">
        <v>0</v>
      </c>
      <c r="P72" s="526" t="n">
        <v>205.138</v>
      </c>
      <c r="Q72" s="10"/>
      <c r="R72" s="528" t="n">
        <v>1</v>
      </c>
      <c r="S72" s="529" t="n">
        <v>1</v>
      </c>
      <c r="T72" s="530" t="s">
        <v>1025</v>
      </c>
      <c r="U72" s="469" t="n">
        <f aca="false">IF(D72="","",ROUND(4.184*D72+($S72-$R72)*$T$9,3))</f>
        <v>0</v>
      </c>
      <c r="V72" s="469" t="n">
        <f aca="false">IF(E72="","",ROUND(4.184*E72,3))</f>
        <v>0</v>
      </c>
      <c r="W72" s="469" t="n">
        <f aca="false">IF(F72="","",ROUND(4.184*F72+$R72*$T$8,3))</f>
        <v>205.138</v>
      </c>
      <c r="Y72" s="525" t="s">
        <v>1025</v>
      </c>
      <c r="Z72" s="469" t="n">
        <f aca="false">IF(I72="","",ROUND(4.184*I72+($S72-$R72)*$T$9,3))</f>
        <v>0</v>
      </c>
      <c r="AA72" s="469" t="n">
        <f aca="false">IF(J72="","",ROUND(4.184*J72,3))</f>
        <v>0</v>
      </c>
      <c r="AB72" s="469" t="n">
        <f aca="false">IF(K72="","",ROUND(4.184*K72+$R72*$T$8,3))</f>
        <v>205.138</v>
      </c>
      <c r="AC72" s="44"/>
      <c r="AD72" s="525" t="s">
        <v>1025</v>
      </c>
      <c r="AE72" s="526" t="n">
        <v>0</v>
      </c>
      <c r="AF72" s="527" t="n">
        <v>0</v>
      </c>
      <c r="AG72" s="526" t="n">
        <v>205.138</v>
      </c>
      <c r="AI72" s="525" t="s">
        <v>1025</v>
      </c>
      <c r="AJ72" s="469" t="n">
        <f aca="false">IF(D72="","",ROUND(D72+($S72-$R72)*$AK$9,3))</f>
        <v>0</v>
      </c>
      <c r="AK72" s="531" t="n">
        <f aca="false">IF(E72="","",ROUND(E72,3))</f>
        <v>0</v>
      </c>
      <c r="AL72" s="469" t="n">
        <f aca="false">IF(F72="","",ROUND(F72+$R72*$AK$8,3))</f>
        <v>49.029</v>
      </c>
      <c r="AN72" s="525" t="s">
        <v>1025</v>
      </c>
      <c r="AO72" s="469" t="n">
        <f aca="false">IF(I72="","",ROUND(I72+($S72-$R72)*$AK$9,3))</f>
        <v>0</v>
      </c>
      <c r="AP72" s="531" t="n">
        <f aca="false">IF(J72="","",ROUND(J72,3))</f>
        <v>0</v>
      </c>
      <c r="AQ72" s="469" t="n">
        <f aca="false">IF(K72="","",ROUND(K72+$R72*$AK$8,3))</f>
        <v>49.029</v>
      </c>
      <c r="AR72" s="44"/>
      <c r="AS72" s="525" t="s">
        <v>1025</v>
      </c>
      <c r="AT72" s="469" t="n">
        <f aca="false">IF(N72="","",ROUND(N72/4.184,3))</f>
        <v>0</v>
      </c>
      <c r="AU72" s="531" t="n">
        <f aca="false">IF(O72="","",ROUND(O72/4.184,3))</f>
        <v>0</v>
      </c>
      <c r="AV72" s="469" t="n">
        <f aca="false">IF(P72="","",ROUND(P72/4.184,3))</f>
        <v>49.029</v>
      </c>
    </row>
    <row r="73" customFormat="false" ht="12.75" hidden="false" customHeight="false" outlineLevel="0" collapsed="false">
      <c r="C73" s="354" t="s">
        <v>1026</v>
      </c>
      <c r="D73" s="465" t="s">
        <v>521</v>
      </c>
      <c r="E73" s="466" t="s">
        <v>521</v>
      </c>
      <c r="F73" s="465" t="s">
        <v>1306</v>
      </c>
      <c r="H73" s="354" t="s">
        <v>1026</v>
      </c>
      <c r="I73" s="465" t="s">
        <v>786</v>
      </c>
      <c r="J73" s="466" t="s">
        <v>786</v>
      </c>
      <c r="K73" s="465" t="s">
        <v>1307</v>
      </c>
      <c r="M73" s="354" t="s">
        <v>1026</v>
      </c>
      <c r="N73" s="465" t="s">
        <v>786</v>
      </c>
      <c r="O73" s="466" t="s">
        <v>786</v>
      </c>
      <c r="P73" s="465" t="s">
        <v>1308</v>
      </c>
      <c r="Q73" s="10"/>
      <c r="R73" s="532" t="n">
        <v>1</v>
      </c>
      <c r="S73" s="533" t="n">
        <v>1</v>
      </c>
      <c r="T73" s="534" t="s">
        <v>1026</v>
      </c>
      <c r="U73" s="470" t="n">
        <f aca="false">IF(D73="","",ROUND(4.184*D73+($S73-$R73)*$T$9,3))</f>
        <v>0</v>
      </c>
      <c r="V73" s="470" t="n">
        <f aca="false">IF(E73="","",ROUND(4.184*E73,3))</f>
        <v>0</v>
      </c>
      <c r="W73" s="470" t="n">
        <f aca="false">IF(F73="","",ROUND(4.184*F73+$R73*$T$8,3))</f>
        <v>130.696</v>
      </c>
      <c r="Y73" s="354" t="s">
        <v>1026</v>
      </c>
      <c r="Z73" s="470" t="n">
        <f aca="false">IF(I73="","",ROUND(4.184*I73+($S73-$R73)*$T$9,3))</f>
        <v>0</v>
      </c>
      <c r="AA73" s="470" t="n">
        <f aca="false">IF(J73="","",ROUND(4.184*J73,3))</f>
        <v>0</v>
      </c>
      <c r="AB73" s="470" t="n">
        <f aca="false">IF(K73="","",ROUND(4.184*K73+$R73*$T$8,3))</f>
        <v>130.667</v>
      </c>
      <c r="AC73" s="44"/>
      <c r="AD73" s="354" t="s">
        <v>1026</v>
      </c>
      <c r="AE73" s="465" t="s">
        <v>786</v>
      </c>
      <c r="AF73" s="466" t="s">
        <v>786</v>
      </c>
      <c r="AG73" s="465" t="s">
        <v>1308</v>
      </c>
      <c r="AI73" s="354" t="s">
        <v>1026</v>
      </c>
      <c r="AJ73" s="470" t="n">
        <f aca="false">IF(D73="","",ROUND(D73+($S73-$R73)*$AK$9,3))</f>
        <v>0</v>
      </c>
      <c r="AK73" s="471" t="n">
        <f aca="false">IF(E73="","",ROUND(E73,3))</f>
        <v>0</v>
      </c>
      <c r="AL73" s="470" t="n">
        <f aca="false">IF(F73="","",ROUND(F73+$R73*$AK$8,3))</f>
        <v>31.237</v>
      </c>
      <c r="AN73" s="354" t="s">
        <v>1026</v>
      </c>
      <c r="AO73" s="470" t="n">
        <f aca="false">IF(I73="","",ROUND(I73+($S73-$R73)*$AK$9,3))</f>
        <v>0</v>
      </c>
      <c r="AP73" s="471" t="n">
        <f aca="false">IF(J73="","",ROUND(J73,3))</f>
        <v>0</v>
      </c>
      <c r="AQ73" s="470" t="n">
        <f aca="false">IF(K73="","",ROUND(K73+$R73*$AK$8,3))</f>
        <v>31.23</v>
      </c>
      <c r="AR73" s="44"/>
      <c r="AS73" s="354" t="s">
        <v>1026</v>
      </c>
      <c r="AT73" s="470" t="n">
        <f aca="false">IF(N73="","",ROUND(N73/4.184,3))</f>
        <v>0</v>
      </c>
      <c r="AU73" s="471" t="n">
        <f aca="false">IF(O73="","",ROUND(O73/4.184,3))</f>
        <v>0</v>
      </c>
      <c r="AV73" s="470" t="n">
        <f aca="false">IF(P73="","",ROUND(P73/4.184,3))</f>
        <v>31.234</v>
      </c>
    </row>
    <row r="74" customFormat="false" ht="12.75" hidden="false" customHeight="false" outlineLevel="0" collapsed="false">
      <c r="C74" s="345" t="s">
        <v>1027</v>
      </c>
      <c r="D74" s="465" t="s">
        <v>1309</v>
      </c>
      <c r="E74" s="466" t="s">
        <v>1310</v>
      </c>
      <c r="F74" s="465" t="s">
        <v>1311</v>
      </c>
      <c r="H74" s="345" t="s">
        <v>1027</v>
      </c>
      <c r="I74" s="465" t="s">
        <v>1312</v>
      </c>
      <c r="J74" s="466" t="s">
        <v>1313</v>
      </c>
      <c r="K74" s="465" t="s">
        <v>1314</v>
      </c>
      <c r="M74" s="345" t="s">
        <v>1027</v>
      </c>
      <c r="N74" s="465" t="s">
        <v>1315</v>
      </c>
      <c r="O74" s="466" t="s">
        <v>1316</v>
      </c>
      <c r="P74" s="465" t="s">
        <v>1317</v>
      </c>
      <c r="Q74" s="10"/>
      <c r="R74" s="532" t="n">
        <v>1</v>
      </c>
      <c r="S74" s="533" t="n">
        <v>1.5</v>
      </c>
      <c r="T74" s="535" t="s">
        <v>1027</v>
      </c>
      <c r="U74" s="470" t="n">
        <f aca="false">IF(D74="","",ROUND(4.184*D74+($S74-$R74)*$T$9,3))</f>
        <v>-228.579</v>
      </c>
      <c r="V74" s="470" t="n">
        <f aca="false">IF(E74="","",ROUND(4.184*E74,3))</f>
        <v>-241.826</v>
      </c>
      <c r="W74" s="470" t="n">
        <f aca="false">IF(F74="","",ROUND(4.184*F74+$R74*$T$8,3))</f>
        <v>188.833</v>
      </c>
      <c r="Y74" s="345" t="s">
        <v>1027</v>
      </c>
      <c r="Z74" s="470" t="n">
        <f aca="false">IF(I74="","",ROUND(4.184*I74+($S74-$R74)*$T$9,3))</f>
        <v>-228.572</v>
      </c>
      <c r="AA74" s="470" t="n">
        <f aca="false">IF(J74="","",ROUND(4.184*J74,3))</f>
        <v>-241.818</v>
      </c>
      <c r="AB74" s="470" t="n">
        <f aca="false">IF(K74="","",ROUND(4.184*K74+$R74*$T$8,3))</f>
        <v>188.448</v>
      </c>
      <c r="AC74" s="44"/>
      <c r="AD74" s="345" t="s">
        <v>1027</v>
      </c>
      <c r="AE74" s="465" t="s">
        <v>1315</v>
      </c>
      <c r="AF74" s="466" t="s">
        <v>1316</v>
      </c>
      <c r="AG74" s="465" t="s">
        <v>1317</v>
      </c>
      <c r="AI74" s="345" t="s">
        <v>1027</v>
      </c>
      <c r="AJ74" s="470" t="n">
        <f aca="false">IF(D74="","",ROUND(D74+($S74-$R74)*$AK$9,3))</f>
        <v>-54.632</v>
      </c>
      <c r="AK74" s="471" t="n">
        <f aca="false">IF(E74="","",ROUND(E74,3))</f>
        <v>-57.798</v>
      </c>
      <c r="AL74" s="470" t="n">
        <f aca="false">IF(F74="","",ROUND(F74+$R74*$AK$8,3))</f>
        <v>45.132</v>
      </c>
      <c r="AN74" s="345" t="s">
        <v>1027</v>
      </c>
      <c r="AO74" s="470" t="n">
        <f aca="false">IF(I74="","",ROUND(I74+($S74-$R74)*$AK$9,3))</f>
        <v>-54.63</v>
      </c>
      <c r="AP74" s="471" t="n">
        <f aca="false">IF(J74="","",ROUND(J74,3))</f>
        <v>-57.796</v>
      </c>
      <c r="AQ74" s="470" t="n">
        <f aca="false">IF(K74="","",ROUND(K74+$R74*$AK$8,3))</f>
        <v>45.04</v>
      </c>
      <c r="AR74" s="44"/>
      <c r="AS74" s="345" t="s">
        <v>1027</v>
      </c>
      <c r="AT74" s="470" t="n">
        <f aca="false">IF(N74="","",ROUND(N74/4.184,3))</f>
        <v>-54.63</v>
      </c>
      <c r="AU74" s="471" t="n">
        <f aca="false">IF(O74="","",ROUND(O74/4.184,3))</f>
        <v>-57.796</v>
      </c>
      <c r="AV74" s="470" t="n">
        <f aca="false">IF(P74="","",ROUND(P74/4.184,3))</f>
        <v>45.13</v>
      </c>
    </row>
    <row r="75" customFormat="false" ht="13.5" hidden="false" customHeight="false" outlineLevel="0" collapsed="false">
      <c r="C75" s="375" t="s">
        <v>1031</v>
      </c>
      <c r="D75" s="496" t="s">
        <v>1318</v>
      </c>
      <c r="E75" s="497" t="s">
        <v>1319</v>
      </c>
      <c r="F75" s="496" t="s">
        <v>1320</v>
      </c>
      <c r="H75" s="375" t="s">
        <v>1031</v>
      </c>
      <c r="I75" s="496" t="s">
        <v>1321</v>
      </c>
      <c r="J75" s="497" t="s">
        <v>1322</v>
      </c>
      <c r="K75" s="496" t="s">
        <v>1323</v>
      </c>
      <c r="M75" s="375" t="s">
        <v>1031</v>
      </c>
      <c r="N75" s="496" t="s">
        <v>1324</v>
      </c>
      <c r="O75" s="497" t="s">
        <v>1325</v>
      </c>
      <c r="P75" s="496" t="s">
        <v>1326</v>
      </c>
      <c r="Q75" s="10"/>
      <c r="R75" s="536" t="n">
        <v>1</v>
      </c>
      <c r="S75" s="537" t="n">
        <v>1</v>
      </c>
      <c r="T75" s="538" t="s">
        <v>1031</v>
      </c>
      <c r="U75" s="500" t="n">
        <f aca="false">IF(D75="","",ROUND(4.184*D75+($S75-$R75)*$T$9,3))</f>
        <v>-394.383</v>
      </c>
      <c r="V75" s="500" t="n">
        <f aca="false">IF(E75="","",ROUND(4.184*E75,3))</f>
        <v>-393.513</v>
      </c>
      <c r="W75" s="500" t="n">
        <f aca="false">IF(F75="","",ROUND(4.184*F75+$R75*$T$8,3))</f>
        <v>213.749</v>
      </c>
      <c r="Y75" s="375" t="s">
        <v>1031</v>
      </c>
      <c r="Z75" s="500" t="n">
        <f aca="false">IF(I75="","",ROUND(4.184*I75+($S75-$R75)*$T$9,3))</f>
        <v>-394.359</v>
      </c>
      <c r="AA75" s="500" t="n">
        <f aca="false">IF(J75="","",ROUND(4.184*J75,3))</f>
        <v>-393.509</v>
      </c>
      <c r="AB75" s="500" t="n">
        <f aca="false">IF(K75="","",ROUND(4.184*K75+$R75*$T$8,3))</f>
        <v>213.744</v>
      </c>
      <c r="AC75" s="44"/>
      <c r="AD75" s="375" t="s">
        <v>1031</v>
      </c>
      <c r="AE75" s="496" t="s">
        <v>1324</v>
      </c>
      <c r="AF75" s="497" t="s">
        <v>1325</v>
      </c>
      <c r="AG75" s="496" t="s">
        <v>1326</v>
      </c>
      <c r="AI75" s="375" t="s">
        <v>1031</v>
      </c>
      <c r="AJ75" s="500" t="n">
        <f aca="false">IF(D75="","",ROUND(D75+($S75-$R75)*$AK$9,3))</f>
        <v>-94.26</v>
      </c>
      <c r="AK75" s="501" t="n">
        <f aca="false">IF(E75="","",ROUND(E75,3))</f>
        <v>-94.052</v>
      </c>
      <c r="AL75" s="500" t="n">
        <f aca="false">IF(F75="","",ROUND(F75+$R75*$AK$8,3))</f>
        <v>51.087</v>
      </c>
      <c r="AN75" s="375" t="s">
        <v>1031</v>
      </c>
      <c r="AO75" s="500" t="n">
        <f aca="false">IF(I75="","",ROUND(I75+($S75-$R75)*$AK$9,3))</f>
        <v>-94.254</v>
      </c>
      <c r="AP75" s="501" t="n">
        <f aca="false">IF(J75="","",ROUND(J75,3))</f>
        <v>-94.051</v>
      </c>
      <c r="AQ75" s="500" t="n">
        <f aca="false">IF(K75="","",ROUND(K75+$R75*$AK$8,3))</f>
        <v>51.086</v>
      </c>
      <c r="AR75" s="44"/>
      <c r="AS75" s="375" t="s">
        <v>1031</v>
      </c>
      <c r="AT75" s="500" t="n">
        <f aca="false">IF(N75="","",ROUND(N75/4.184,3))</f>
        <v>-94.254</v>
      </c>
      <c r="AU75" s="501" t="n">
        <f aca="false">IF(O75="","",ROUND(O75/4.184,3))</f>
        <v>-94.051</v>
      </c>
      <c r="AV75" s="500" t="n">
        <f aca="false">IF(P75="","",ROUND(P75/4.184,3))</f>
        <v>51.085</v>
      </c>
    </row>
    <row r="76" customFormat="false" ht="12.75" hidden="false" customHeight="false" outlineLevel="0" collapsed="false">
      <c r="C76" s="280"/>
      <c r="D76" s="274"/>
      <c r="E76" s="274"/>
      <c r="F76" s="274"/>
      <c r="H76" s="280"/>
      <c r="I76" s="504"/>
      <c r="J76" s="504"/>
      <c r="K76" s="274"/>
      <c r="M76" s="280"/>
      <c r="N76" s="274"/>
      <c r="O76" s="274"/>
      <c r="P76" s="274"/>
      <c r="Q76" s="10"/>
      <c r="T76" s="280"/>
      <c r="U76" s="274"/>
      <c r="V76" s="274"/>
      <c r="W76" s="274"/>
      <c r="Y76" s="280"/>
      <c r="Z76" s="504"/>
      <c r="AA76" s="504"/>
      <c r="AB76" s="274"/>
      <c r="AC76" s="44"/>
      <c r="AD76" s="280"/>
      <c r="AE76" s="274"/>
      <c r="AF76" s="274"/>
      <c r="AG76" s="274"/>
      <c r="AI76" s="280"/>
      <c r="AJ76" s="274"/>
      <c r="AK76" s="274"/>
      <c r="AL76" s="274"/>
      <c r="AN76" s="280"/>
      <c r="AO76" s="504"/>
      <c r="AP76" s="504"/>
      <c r="AQ76" s="274"/>
      <c r="AR76" s="44"/>
      <c r="AS76" s="280"/>
      <c r="AT76" s="274"/>
      <c r="AU76" s="274"/>
      <c r="AV76" s="274"/>
    </row>
    <row r="77" customFormat="false" ht="12.75" hidden="false" customHeight="false" outlineLevel="0" collapsed="false">
      <c r="C77" s="280"/>
      <c r="D77" s="274"/>
      <c r="E77" s="274"/>
      <c r="F77" s="274"/>
      <c r="H77" s="280"/>
      <c r="I77" s="504"/>
      <c r="J77" s="504"/>
      <c r="K77" s="274"/>
      <c r="M77" s="280"/>
      <c r="N77" s="274"/>
      <c r="O77" s="274"/>
      <c r="P77" s="274"/>
      <c r="Q77" s="10"/>
      <c r="T77" s="280"/>
      <c r="U77" s="274"/>
      <c r="V77" s="274"/>
      <c r="W77" s="274"/>
      <c r="Y77" s="280"/>
      <c r="Z77" s="504"/>
      <c r="AA77" s="504"/>
      <c r="AB77" s="274"/>
      <c r="AC77" s="44"/>
      <c r="AD77" s="280"/>
      <c r="AE77" s="274"/>
      <c r="AF77" s="274"/>
      <c r="AG77" s="274"/>
      <c r="AI77" s="280"/>
      <c r="AJ77" s="274"/>
      <c r="AK77" s="274"/>
      <c r="AL77" s="274"/>
      <c r="AN77" s="280"/>
      <c r="AO77" s="504"/>
      <c r="AP77" s="504"/>
      <c r="AQ77" s="274"/>
      <c r="AR77" s="44"/>
      <c r="AS77" s="280"/>
      <c r="AT77" s="274"/>
      <c r="AU77" s="274"/>
      <c r="AV77" s="274"/>
    </row>
    <row r="78" customFormat="false" ht="12.75" hidden="false" customHeight="false" outlineLevel="0" collapsed="false">
      <c r="C78" s="280"/>
      <c r="D78" s="274"/>
      <c r="E78" s="274"/>
      <c r="F78" s="274"/>
      <c r="H78" s="280"/>
      <c r="I78" s="504"/>
      <c r="J78" s="504"/>
      <c r="K78" s="274"/>
      <c r="M78" s="280"/>
      <c r="N78" s="274"/>
      <c r="O78" s="274"/>
      <c r="P78" s="274"/>
      <c r="Q78" s="10"/>
      <c r="T78" s="280"/>
      <c r="U78" s="274"/>
      <c r="V78" s="274"/>
      <c r="W78" s="274"/>
      <c r="Y78" s="280"/>
      <c r="Z78" s="504"/>
      <c r="AA78" s="504"/>
      <c r="AB78" s="274"/>
      <c r="AC78" s="44"/>
      <c r="AD78" s="280"/>
      <c r="AE78" s="274"/>
      <c r="AF78" s="274"/>
      <c r="AG78" s="274"/>
      <c r="AI78" s="280"/>
      <c r="AJ78" s="274"/>
      <c r="AK78" s="274"/>
      <c r="AL78" s="274"/>
      <c r="AN78" s="280"/>
      <c r="AO78" s="504"/>
      <c r="AP78" s="504"/>
      <c r="AQ78" s="274"/>
      <c r="AR78" s="44"/>
      <c r="AS78" s="280"/>
      <c r="AT78" s="274"/>
      <c r="AU78" s="274"/>
      <c r="AV78" s="274"/>
    </row>
    <row r="79" customFormat="false" ht="13.5" hidden="false" customHeight="false" outlineLevel="0" collapsed="false">
      <c r="C79" s="280"/>
      <c r="D79" s="274"/>
      <c r="E79" s="274"/>
      <c r="F79" s="274"/>
      <c r="H79" s="280"/>
      <c r="I79" s="504"/>
      <c r="J79" s="504"/>
      <c r="K79" s="274"/>
      <c r="M79" s="280"/>
      <c r="N79" s="274"/>
      <c r="O79" s="274"/>
      <c r="P79" s="274"/>
      <c r="Q79" s="10"/>
      <c r="T79" s="280"/>
      <c r="U79" s="274"/>
      <c r="V79" s="274"/>
      <c r="W79" s="274"/>
      <c r="Y79" s="280"/>
      <c r="Z79" s="504"/>
      <c r="AA79" s="504"/>
      <c r="AB79" s="274"/>
      <c r="AC79" s="44"/>
      <c r="AD79" s="280"/>
      <c r="AE79" s="274"/>
      <c r="AF79" s="274"/>
      <c r="AG79" s="274"/>
      <c r="AI79" s="280"/>
      <c r="AJ79" s="274"/>
      <c r="AK79" s="274"/>
      <c r="AL79" s="274"/>
      <c r="AN79" s="280"/>
      <c r="AO79" s="504"/>
      <c r="AP79" s="504"/>
      <c r="AQ79" s="274"/>
      <c r="AR79" s="44"/>
      <c r="AS79" s="280"/>
      <c r="AT79" s="274"/>
      <c r="AU79" s="274"/>
      <c r="AV79" s="274"/>
    </row>
    <row r="80" customFormat="false" ht="12.75" hidden="false" customHeight="false" outlineLevel="0" collapsed="false">
      <c r="B80" s="11"/>
      <c r="C80" s="11"/>
      <c r="D80" s="11"/>
      <c r="E80" s="11"/>
      <c r="F80" s="11"/>
      <c r="H80" s="11"/>
      <c r="I80" s="11"/>
      <c r="J80" s="11"/>
      <c r="K80" s="11"/>
      <c r="M80" s="11"/>
      <c r="N80" s="11"/>
      <c r="O80" s="11"/>
      <c r="P80" s="11"/>
      <c r="Q80" s="10"/>
      <c r="S80" s="50"/>
      <c r="T80" s="11"/>
      <c r="U80" s="11"/>
      <c r="V80" s="11"/>
      <c r="W80" s="11"/>
      <c r="Y80" s="11"/>
      <c r="Z80" s="11"/>
      <c r="AA80" s="11"/>
      <c r="AB80" s="11"/>
      <c r="AC80" s="44"/>
      <c r="AD80" s="11"/>
      <c r="AE80" s="11"/>
      <c r="AF80" s="11"/>
      <c r="AG80" s="11"/>
      <c r="AI80" s="11"/>
      <c r="AJ80" s="11"/>
      <c r="AK80" s="11"/>
      <c r="AL80" s="11"/>
      <c r="AN80" s="11"/>
      <c r="AO80" s="11"/>
      <c r="AP80" s="11"/>
      <c r="AQ80" s="11"/>
      <c r="AR80" s="44"/>
      <c r="AS80" s="11"/>
      <c r="AT80" s="11"/>
      <c r="AU80" s="11"/>
      <c r="AV80" s="11"/>
    </row>
    <row r="81" customFormat="false" ht="14.25" hidden="false" customHeight="false" outlineLevel="0" collapsed="false">
      <c r="B81" s="16" t="s">
        <v>1039</v>
      </c>
      <c r="C81" s="16" t="s">
        <v>1039</v>
      </c>
      <c r="D81" s="113" t="s">
        <v>511</v>
      </c>
      <c r="E81" s="113" t="s">
        <v>512</v>
      </c>
      <c r="F81" s="53" t="s">
        <v>513</v>
      </c>
      <c r="H81" s="16" t="s">
        <v>1039</v>
      </c>
      <c r="I81" s="113" t="s">
        <v>511</v>
      </c>
      <c r="J81" s="113" t="s">
        <v>512</v>
      </c>
      <c r="K81" s="53" t="s">
        <v>513</v>
      </c>
      <c r="M81" s="16" t="s">
        <v>1039</v>
      </c>
      <c r="N81" s="113" t="s">
        <v>511</v>
      </c>
      <c r="O81" s="113" t="s">
        <v>512</v>
      </c>
      <c r="P81" s="53" t="s">
        <v>513</v>
      </c>
      <c r="Q81" s="10"/>
      <c r="S81" s="53" t="s">
        <v>1214</v>
      </c>
      <c r="T81" s="16" t="s">
        <v>1039</v>
      </c>
      <c r="U81" s="113" t="s">
        <v>511</v>
      </c>
      <c r="V81" s="113" t="s">
        <v>512</v>
      </c>
      <c r="W81" s="53" t="s">
        <v>513</v>
      </c>
      <c r="Y81" s="16" t="s">
        <v>1039</v>
      </c>
      <c r="Z81" s="113" t="s">
        <v>511</v>
      </c>
      <c r="AA81" s="113" t="s">
        <v>512</v>
      </c>
      <c r="AB81" s="53" t="s">
        <v>513</v>
      </c>
      <c r="AC81" s="44"/>
      <c r="AD81" s="16" t="s">
        <v>1039</v>
      </c>
      <c r="AE81" s="113" t="s">
        <v>511</v>
      </c>
      <c r="AF81" s="113" t="s">
        <v>512</v>
      </c>
      <c r="AG81" s="53" t="s">
        <v>513</v>
      </c>
      <c r="AI81" s="16" t="s">
        <v>1039</v>
      </c>
      <c r="AJ81" s="113" t="s">
        <v>511</v>
      </c>
      <c r="AK81" s="113" t="s">
        <v>512</v>
      </c>
      <c r="AL81" s="53" t="s">
        <v>513</v>
      </c>
      <c r="AN81" s="16" t="s">
        <v>1039</v>
      </c>
      <c r="AO81" s="113" t="s">
        <v>511</v>
      </c>
      <c r="AP81" s="113" t="s">
        <v>512</v>
      </c>
      <c r="AQ81" s="53" t="s">
        <v>513</v>
      </c>
      <c r="AR81" s="44"/>
      <c r="AS81" s="16" t="s">
        <v>1039</v>
      </c>
      <c r="AT81" s="113" t="s">
        <v>511</v>
      </c>
      <c r="AU81" s="113" t="s">
        <v>512</v>
      </c>
      <c r="AV81" s="53" t="s">
        <v>513</v>
      </c>
    </row>
    <row r="82" customFormat="false" ht="15" hidden="false" customHeight="false" outlineLevel="0" collapsed="false">
      <c r="B82" s="21" t="s">
        <v>1040</v>
      </c>
      <c r="C82" s="21" t="s">
        <v>783</v>
      </c>
      <c r="D82" s="55" t="s">
        <v>514</v>
      </c>
      <c r="E82" s="55" t="s">
        <v>514</v>
      </c>
      <c r="F82" s="55" t="s">
        <v>166</v>
      </c>
      <c r="H82" s="21" t="s">
        <v>783</v>
      </c>
      <c r="I82" s="55" t="s">
        <v>514</v>
      </c>
      <c r="J82" s="55" t="s">
        <v>514</v>
      </c>
      <c r="K82" s="55" t="s">
        <v>166</v>
      </c>
      <c r="M82" s="21" t="s">
        <v>783</v>
      </c>
      <c r="N82" s="55" t="s">
        <v>784</v>
      </c>
      <c r="O82" s="55" t="s">
        <v>784</v>
      </c>
      <c r="P82" s="55" t="s">
        <v>167</v>
      </c>
      <c r="S82" s="464"/>
      <c r="T82" s="21" t="s">
        <v>783</v>
      </c>
      <c r="U82" s="55" t="s">
        <v>784</v>
      </c>
      <c r="V82" s="55" t="s">
        <v>784</v>
      </c>
      <c r="W82" s="55" t="s">
        <v>167</v>
      </c>
      <c r="Y82" s="21" t="s">
        <v>783</v>
      </c>
      <c r="Z82" s="55" t="s">
        <v>784</v>
      </c>
      <c r="AA82" s="55" t="s">
        <v>784</v>
      </c>
      <c r="AB82" s="55" t="s">
        <v>167</v>
      </c>
      <c r="AC82" s="44"/>
      <c r="AD82" s="21" t="s">
        <v>783</v>
      </c>
      <c r="AE82" s="55" t="s">
        <v>784</v>
      </c>
      <c r="AF82" s="55" t="s">
        <v>784</v>
      </c>
      <c r="AG82" s="55" t="s">
        <v>167</v>
      </c>
      <c r="AI82" s="21" t="s">
        <v>783</v>
      </c>
      <c r="AJ82" s="55" t="s">
        <v>514</v>
      </c>
      <c r="AK82" s="55" t="s">
        <v>514</v>
      </c>
      <c r="AL82" s="55" t="s">
        <v>166</v>
      </c>
      <c r="AN82" s="21" t="s">
        <v>783</v>
      </c>
      <c r="AO82" s="55" t="s">
        <v>514</v>
      </c>
      <c r="AP82" s="55" t="s">
        <v>514</v>
      </c>
      <c r="AQ82" s="55" t="s">
        <v>166</v>
      </c>
      <c r="AR82" s="44"/>
      <c r="AS82" s="21" t="s">
        <v>783</v>
      </c>
      <c r="AT82" s="55" t="s">
        <v>514</v>
      </c>
      <c r="AU82" s="55" t="s">
        <v>514</v>
      </c>
      <c r="AV82" s="55" t="s">
        <v>166</v>
      </c>
    </row>
    <row r="83" customFormat="false" ht="12.75" hidden="false" customHeight="false" outlineLevel="0" collapsed="false">
      <c r="B83" s="335" t="s">
        <v>187</v>
      </c>
      <c r="C83" s="335" t="s">
        <v>187</v>
      </c>
      <c r="D83" s="337" t="s">
        <v>521</v>
      </c>
      <c r="E83" s="539" t="s">
        <v>521</v>
      </c>
      <c r="F83" s="337" t="n">
        <v>10.6</v>
      </c>
      <c r="H83" s="335" t="s">
        <v>187</v>
      </c>
      <c r="I83" s="540" t="n">
        <v>0</v>
      </c>
      <c r="J83" s="541" t="n">
        <v>0</v>
      </c>
      <c r="K83" s="540" t="n">
        <v>9.82</v>
      </c>
      <c r="M83" s="335" t="s">
        <v>187</v>
      </c>
      <c r="N83" s="542" t="n">
        <v>0</v>
      </c>
      <c r="O83" s="543" t="n">
        <v>0</v>
      </c>
      <c r="P83" s="542" t="n">
        <v>41.09</v>
      </c>
      <c r="Q83" s="10"/>
      <c r="S83" s="467" t="n">
        <v>0</v>
      </c>
      <c r="T83" s="544" t="s">
        <v>187</v>
      </c>
      <c r="U83" s="469" t="n">
        <f aca="false">IF(D83="","",ROUND(4.184*D83+$S83*$T$9,3))</f>
        <v>0</v>
      </c>
      <c r="V83" s="469" t="n">
        <f aca="false">IF(E83="","",ROUND(4.184*E83,3))</f>
        <v>0</v>
      </c>
      <c r="W83" s="469" t="n">
        <f aca="false">IF(F83="","",ROUND(4.184*F83,3))</f>
        <v>44.35</v>
      </c>
      <c r="Y83" s="335" t="s">
        <v>187</v>
      </c>
      <c r="Z83" s="469" t="n">
        <f aca="false">IF(I83="","",ROUND(4.184*I83+$S83*$T$9,3))</f>
        <v>0</v>
      </c>
      <c r="AA83" s="469" t="n">
        <f aca="false">IF(J83="","",ROUND(4.184*J83,3))</f>
        <v>0</v>
      </c>
      <c r="AB83" s="469" t="n">
        <f aca="false">IF(K83="","",ROUND(4.184*K83,3))</f>
        <v>41.087</v>
      </c>
      <c r="AC83" s="44"/>
      <c r="AD83" s="335" t="s">
        <v>187</v>
      </c>
      <c r="AE83" s="542" t="n">
        <v>0</v>
      </c>
      <c r="AF83" s="543" t="n">
        <v>0</v>
      </c>
      <c r="AG83" s="542" t="n">
        <v>41.09</v>
      </c>
      <c r="AH83" s="87"/>
      <c r="AI83" s="335" t="s">
        <v>187</v>
      </c>
      <c r="AJ83" s="312" t="n">
        <f aca="false">IF(D83="","",ROUND(D83+$S83*$AK$9,3))</f>
        <v>0</v>
      </c>
      <c r="AK83" s="545" t="n">
        <f aca="false">IF(E83="","",ROUND(E83,3))</f>
        <v>0</v>
      </c>
      <c r="AL83" s="312" t="n">
        <f aca="false">IF(F83="","",ROUND(F83,3))</f>
        <v>10.6</v>
      </c>
      <c r="AN83" s="335" t="s">
        <v>187</v>
      </c>
      <c r="AO83" s="508" t="n">
        <f aca="false">IF(I83="","",ROUND(I83+$S83*$AK$9,3))</f>
        <v>0</v>
      </c>
      <c r="AP83" s="546" t="n">
        <f aca="false">IF(J83="","",ROUND(J83,3))</f>
        <v>0</v>
      </c>
      <c r="AQ83" s="508" t="n">
        <f aca="false">IF(K83="","",ROUND(K83,3))</f>
        <v>9.82</v>
      </c>
      <c r="AR83" s="44"/>
      <c r="AS83" s="335" t="s">
        <v>187</v>
      </c>
      <c r="AT83" s="547" t="n">
        <f aca="false">IF(N83="","",ROUND(N83/4.184,3))</f>
        <v>0</v>
      </c>
      <c r="AU83" s="548" t="n">
        <f aca="false">IF(O83="","",ROUND(O83/4.184,3))</f>
        <v>0</v>
      </c>
      <c r="AV83" s="547" t="n">
        <f aca="false">IF(P83="","",ROUND(P83/4.184,3))</f>
        <v>9.821</v>
      </c>
    </row>
    <row r="84" customFormat="false" ht="12.75" hidden="false" customHeight="false" outlineLevel="0" collapsed="false">
      <c r="B84" s="342" t="s">
        <v>188</v>
      </c>
      <c r="C84" s="342" t="s">
        <v>188</v>
      </c>
      <c r="D84" s="292"/>
      <c r="E84" s="549" t="n">
        <v>-4.4</v>
      </c>
      <c r="F84" s="292"/>
      <c r="H84" s="342" t="s">
        <v>188</v>
      </c>
      <c r="I84" s="297" t="n">
        <v>-2.9</v>
      </c>
      <c r="J84" s="477" t="n">
        <v>-4.2</v>
      </c>
      <c r="K84" s="297" t="n">
        <v>5.45</v>
      </c>
      <c r="M84" s="342" t="s">
        <v>188</v>
      </c>
      <c r="N84" s="472" t="n">
        <v>-12.1</v>
      </c>
      <c r="O84" s="473" t="n">
        <v>-17.6</v>
      </c>
      <c r="P84" s="465" t="s">
        <v>1327</v>
      </c>
      <c r="Q84" s="10"/>
      <c r="S84" s="474" t="n">
        <v>0</v>
      </c>
      <c r="T84" s="550" t="s">
        <v>188</v>
      </c>
      <c r="U84" s="470" t="str">
        <f aca="false">IF(D84="","",ROUND(4.184*D84+$S84*$T$9,3))</f>
        <v/>
      </c>
      <c r="V84" s="470" t="n">
        <f aca="false">IF(E84="","",ROUND(4.184*E84,3))</f>
        <v>-18.41</v>
      </c>
      <c r="W84" s="470" t="str">
        <f aca="false">IF(F84="","",ROUND(4.184*F84,3))</f>
        <v/>
      </c>
      <c r="Y84" s="342" t="s">
        <v>188</v>
      </c>
      <c r="Z84" s="470" t="n">
        <f aca="false">IF(I84="","",ROUND(4.184*I84+$S84*$T$9,3))</f>
        <v>-12.134</v>
      </c>
      <c r="AA84" s="470" t="n">
        <f aca="false">IF(J84="","",ROUND(4.184*J84,3))</f>
        <v>-17.573</v>
      </c>
      <c r="AB84" s="470" t="n">
        <f aca="false">IF(K84="","",ROUND(4.184*K84,3))</f>
        <v>22.803</v>
      </c>
      <c r="AC84" s="44"/>
      <c r="AD84" s="342" t="s">
        <v>188</v>
      </c>
      <c r="AE84" s="472" t="n">
        <v>-12.1</v>
      </c>
      <c r="AF84" s="473" t="n">
        <v>-17.6</v>
      </c>
      <c r="AG84" s="465" t="s">
        <v>1327</v>
      </c>
      <c r="AH84" s="87"/>
      <c r="AI84" s="342" t="s">
        <v>188</v>
      </c>
      <c r="AJ84" s="294" t="str">
        <f aca="false">IF(D84="","",ROUND(D84+$S84*$AK$9,3))</f>
        <v/>
      </c>
      <c r="AK84" s="551" t="n">
        <f aca="false">IF(E84="","",ROUND(E84,3))</f>
        <v>-4.4</v>
      </c>
      <c r="AL84" s="294" t="str">
        <f aca="false">IF(F84="","",ROUND(F84,3))</f>
        <v/>
      </c>
      <c r="AN84" s="342" t="s">
        <v>188</v>
      </c>
      <c r="AO84" s="298" t="n">
        <f aca="false">IF(I84="","",ROUND(I84+$S84*$AK$9,3))</f>
        <v>-2.9</v>
      </c>
      <c r="AP84" s="480" t="n">
        <f aca="false">IF(J84="","",ROUND(J84,3))</f>
        <v>-4.2</v>
      </c>
      <c r="AQ84" s="298" t="n">
        <f aca="false">IF(K84="","",ROUND(K84,3))</f>
        <v>5.45</v>
      </c>
      <c r="AR84" s="44"/>
      <c r="AS84" s="342" t="s">
        <v>188</v>
      </c>
      <c r="AT84" s="475" t="n">
        <f aca="false">IF(N84="","",ROUND(N84/4.184,3))</f>
        <v>-2.892</v>
      </c>
      <c r="AU84" s="476" t="n">
        <f aca="false">IF(O84="","",ROUND(O84/4.184,3))</f>
        <v>-4.207</v>
      </c>
      <c r="AV84" s="470" t="n">
        <f aca="false">IF(P84="","",ROUND(P84/4.184,3))</f>
        <v>5.449</v>
      </c>
    </row>
    <row r="85" customFormat="false" ht="12.75" hidden="false" customHeight="false" outlineLevel="0" collapsed="false">
      <c r="B85" s="345" t="s">
        <v>1041</v>
      </c>
      <c r="C85" s="345" t="s">
        <v>1041</v>
      </c>
      <c r="D85" s="292"/>
      <c r="E85" s="552" t="s">
        <v>1328</v>
      </c>
      <c r="F85" s="292"/>
      <c r="H85" s="345" t="s">
        <v>1041</v>
      </c>
      <c r="I85" s="292" t="s">
        <v>1329</v>
      </c>
      <c r="J85" s="549" t="s">
        <v>1330</v>
      </c>
      <c r="K85" s="292" t="s">
        <v>1331</v>
      </c>
      <c r="M85" s="345" t="s">
        <v>1041</v>
      </c>
      <c r="N85" s="472" t="s">
        <v>1332</v>
      </c>
      <c r="O85" s="466" t="s">
        <v>1333</v>
      </c>
      <c r="P85" s="465" t="s">
        <v>1334</v>
      </c>
      <c r="Q85" s="10"/>
      <c r="S85" s="474" t="n">
        <v>5</v>
      </c>
      <c r="T85" s="535" t="s">
        <v>1041</v>
      </c>
      <c r="U85" s="470" t="str">
        <f aca="false">IF(D85="","",ROUND(4.184*D85+$S85*$T$9,3))</f>
        <v/>
      </c>
      <c r="V85" s="479" t="n">
        <f aca="false">IF(E85="","",ROUND(4.184*E85,3))</f>
        <v>-3012.48</v>
      </c>
      <c r="W85" s="470" t="str">
        <f aca="false">IF(F85="","",ROUND(4.184*F85,3))</f>
        <v/>
      </c>
      <c r="Y85" s="345" t="s">
        <v>1041</v>
      </c>
      <c r="Z85" s="470" t="n">
        <f aca="false">IF(I85="","",ROUND(4.184*I85+$S85*$T$9,3))</f>
        <v>-2697.68</v>
      </c>
      <c r="AA85" s="470" t="n">
        <f aca="false">IF(J85="","",ROUND(4.184*J85,3))</f>
        <v>-2984.029</v>
      </c>
      <c r="AB85" s="470" t="n">
        <f aca="false">IF(K85="","",ROUND(4.184*K85,3))</f>
        <v>228.865</v>
      </c>
      <c r="AC85" s="44"/>
      <c r="AD85" s="345" t="s">
        <v>1041</v>
      </c>
      <c r="AE85" s="472" t="s">
        <v>1332</v>
      </c>
      <c r="AF85" s="466" t="s">
        <v>1333</v>
      </c>
      <c r="AG85" s="465" t="s">
        <v>1334</v>
      </c>
      <c r="AH85" s="87"/>
      <c r="AI85" s="345" t="s">
        <v>1041</v>
      </c>
      <c r="AJ85" s="294" t="str">
        <f aca="false">IF(D85="","",ROUND(D85+$S85*$AK$9,3))</f>
        <v/>
      </c>
      <c r="AK85" s="553" t="n">
        <f aca="false">IF(E85="","",ROUND(E85,3))</f>
        <v>-720</v>
      </c>
      <c r="AL85" s="294" t="str">
        <f aca="false">IF(F85="","",ROUND(F85,3))</f>
        <v/>
      </c>
      <c r="AN85" s="345" t="s">
        <v>1041</v>
      </c>
      <c r="AO85" s="294" t="n">
        <f aca="false">IF(I85="","",ROUND(I85+$S85*$AK$9,3))</f>
        <v>-644.761</v>
      </c>
      <c r="AP85" s="551" t="n">
        <f aca="false">IF(J85="","",ROUND(J85,3))</f>
        <v>-713.2</v>
      </c>
      <c r="AQ85" s="294" t="n">
        <f aca="false">IF(K85="","",ROUND(K85,3))</f>
        <v>54.7</v>
      </c>
      <c r="AR85" s="44"/>
      <c r="AS85" s="345" t="s">
        <v>1041</v>
      </c>
      <c r="AT85" s="475" t="n">
        <f aca="false">IF(N85="","",ROUND(N85/4.184,3))</f>
        <v>-644.766</v>
      </c>
      <c r="AU85" s="471" t="n">
        <f aca="false">IF(O85="","",ROUND(O85/4.184,3))</f>
        <v>-713.193</v>
      </c>
      <c r="AV85" s="470" t="n">
        <f aca="false">IF(P85="","",ROUND(P85/4.184,3))</f>
        <v>54.699</v>
      </c>
    </row>
    <row r="86" customFormat="false" ht="12.75" hidden="false" customHeight="false" outlineLevel="0" collapsed="false">
      <c r="A86" s="10"/>
      <c r="B86" s="342" t="s">
        <v>1042</v>
      </c>
      <c r="C86" s="345" t="s">
        <v>1043</v>
      </c>
      <c r="D86" s="292"/>
      <c r="E86" s="549"/>
      <c r="F86" s="292"/>
      <c r="G86" s="10"/>
      <c r="H86" s="345" t="s">
        <v>1043</v>
      </c>
      <c r="I86" s="297" t="n">
        <v>-204.75</v>
      </c>
      <c r="J86" s="477" t="n">
        <v>-217.72</v>
      </c>
      <c r="K86" s="292" t="s">
        <v>417</v>
      </c>
      <c r="L86" s="45"/>
      <c r="M86" s="345" t="s">
        <v>1043</v>
      </c>
      <c r="N86" s="472" t="n">
        <v>-856.64</v>
      </c>
      <c r="O86" s="473" t="n">
        <v>-910.94</v>
      </c>
      <c r="P86" s="472" t="n">
        <v>41.84</v>
      </c>
      <c r="Q86" s="10"/>
      <c r="S86" s="474" t="n">
        <v>1</v>
      </c>
      <c r="T86" s="535" t="s">
        <v>1043</v>
      </c>
      <c r="U86" s="470" t="str">
        <f aca="false">IF(D86="","",ROUND(4.184*D86+$S86*$T$9,3))</f>
        <v/>
      </c>
      <c r="V86" s="470" t="str">
        <f aca="false">IF(E86="","",ROUND(4.184*E86,3))</f>
        <v/>
      </c>
      <c r="W86" s="470" t="str">
        <f aca="false">IF(F86="","",ROUND(4.184*F86,3))</f>
        <v/>
      </c>
      <c r="X86" s="10"/>
      <c r="Y86" s="345" t="s">
        <v>1043</v>
      </c>
      <c r="Z86" s="470" t="n">
        <f aca="false">IF(I86="","",ROUND(4.184*I86+$S86*$T$9,3))</f>
        <v>-856.641</v>
      </c>
      <c r="AA86" s="470" t="n">
        <f aca="false">IF(J86="","",ROUND(4.184*J86,3))</f>
        <v>-910.94</v>
      </c>
      <c r="AB86" s="470" t="n">
        <f aca="false">IF(K86="","",ROUND(4.184*K86,3))</f>
        <v>41.84</v>
      </c>
      <c r="AC86" s="45"/>
      <c r="AD86" s="345" t="s">
        <v>1043</v>
      </c>
      <c r="AE86" s="472" t="n">
        <v>-856.64</v>
      </c>
      <c r="AF86" s="473" t="n">
        <v>-910.94</v>
      </c>
      <c r="AG86" s="472" t="n">
        <v>41.84</v>
      </c>
      <c r="AH86" s="87"/>
      <c r="AI86" s="345" t="s">
        <v>1043</v>
      </c>
      <c r="AJ86" s="294" t="str">
        <f aca="false">IF(D86="","",ROUND(D86+$S86*$AK$9,3))</f>
        <v/>
      </c>
      <c r="AK86" s="551" t="str">
        <f aca="false">IF(E86="","",ROUND(E86,3))</f>
        <v/>
      </c>
      <c r="AL86" s="294" t="str">
        <f aca="false">IF(F86="","",ROUND(F86,3))</f>
        <v/>
      </c>
      <c r="AM86" s="10"/>
      <c r="AN86" s="345" t="s">
        <v>1043</v>
      </c>
      <c r="AO86" s="298" t="n">
        <f aca="false">IF(I86="","",ROUND(I86+$S86*$AK$9,3))</f>
        <v>-204.742</v>
      </c>
      <c r="AP86" s="480" t="n">
        <f aca="false">IF(J86="","",ROUND(J86,3))</f>
        <v>-217.72</v>
      </c>
      <c r="AQ86" s="294" t="n">
        <f aca="false">IF(K86="","",ROUND(K86,3))</f>
        <v>10</v>
      </c>
      <c r="AR86" s="45"/>
      <c r="AS86" s="345" t="s">
        <v>1043</v>
      </c>
      <c r="AT86" s="475" t="n">
        <f aca="false">IF(N86="","",ROUND(N86/4.184,3))</f>
        <v>-204.742</v>
      </c>
      <c r="AU86" s="476" t="n">
        <f aca="false">IF(O86="","",ROUND(O86/4.184,3))</f>
        <v>-217.72</v>
      </c>
      <c r="AV86" s="475" t="n">
        <f aca="false">IF(P86="","",ROUND(P86/4.184,3))</f>
        <v>10</v>
      </c>
    </row>
    <row r="87" customFormat="false" ht="12.75" hidden="false" customHeight="false" outlineLevel="0" collapsed="false">
      <c r="B87" s="345" t="s">
        <v>1050</v>
      </c>
      <c r="C87" s="345" t="s">
        <v>1050</v>
      </c>
      <c r="D87" s="292" t="s">
        <v>1335</v>
      </c>
      <c r="E87" s="549" t="s">
        <v>1336</v>
      </c>
      <c r="F87" s="292" t="s">
        <v>1337</v>
      </c>
      <c r="G87" s="10"/>
      <c r="H87" s="345" t="s">
        <v>1050</v>
      </c>
      <c r="I87" s="292" t="s">
        <v>1338</v>
      </c>
      <c r="J87" s="549" t="s">
        <v>1339</v>
      </c>
      <c r="K87" s="292" t="s">
        <v>1340</v>
      </c>
      <c r="L87" s="45"/>
      <c r="M87" s="345" t="s">
        <v>1050</v>
      </c>
      <c r="N87" s="472" t="s">
        <v>1341</v>
      </c>
      <c r="O87" s="473" t="s">
        <v>1342</v>
      </c>
      <c r="P87" s="472" t="s">
        <v>1053</v>
      </c>
      <c r="Q87" s="10"/>
      <c r="S87" s="474" t="n">
        <v>1.5</v>
      </c>
      <c r="T87" s="535" t="s">
        <v>1050</v>
      </c>
      <c r="U87" s="470" t="n">
        <f aca="false">IF(D87="","",ROUND(4.184*D87+$S87*$T$9,3))</f>
        <v>-1184.023</v>
      </c>
      <c r="V87" s="470" t="n">
        <f aca="false">IF(E87="","",ROUND(4.184*E87,3))</f>
        <v>-1263.568</v>
      </c>
      <c r="W87" s="470" t="n">
        <f aca="false">IF(F87="","",ROUND(4.184*F87,3))</f>
        <v>54.015</v>
      </c>
      <c r="X87" s="10"/>
      <c r="Y87" s="345" t="s">
        <v>1050</v>
      </c>
      <c r="Z87" s="470" t="n">
        <f aca="false">IF(I87="","",ROUND(4.184*I87+$S87*$T$9,3))</f>
        <v>-1193.646</v>
      </c>
      <c r="AA87" s="470" t="n">
        <f aca="false">IF(J87="","",ROUND(4.184*J87,3))</f>
        <v>-1272.773</v>
      </c>
      <c r="AB87" s="470" t="n">
        <f aca="false">IF(K87="","",ROUND(4.184*K87,3))</f>
        <v>53.974</v>
      </c>
      <c r="AC87" s="45"/>
      <c r="AD87" s="345" t="s">
        <v>1050</v>
      </c>
      <c r="AE87" s="472" t="s">
        <v>1341</v>
      </c>
      <c r="AF87" s="473" t="s">
        <v>1342</v>
      </c>
      <c r="AG87" s="472" t="s">
        <v>1053</v>
      </c>
      <c r="AH87" s="87"/>
      <c r="AI87" s="345" t="s">
        <v>1050</v>
      </c>
      <c r="AJ87" s="294" t="n">
        <f aca="false">IF(D87="","",ROUND(D87+$S87*$AK$9,3))</f>
        <v>-282.988</v>
      </c>
      <c r="AK87" s="551" t="n">
        <f aca="false">IF(E87="","",ROUND(E87,3))</f>
        <v>-302</v>
      </c>
      <c r="AL87" s="294" t="n">
        <f aca="false">IF(F87="","",ROUND(F87,3))</f>
        <v>12.91</v>
      </c>
      <c r="AM87" s="10"/>
      <c r="AN87" s="345" t="s">
        <v>1050</v>
      </c>
      <c r="AO87" s="294" t="n">
        <f aca="false">IF(I87="","",ROUND(I87+$S87*$AK$9,3))</f>
        <v>-285.288</v>
      </c>
      <c r="AP87" s="551" t="n">
        <f aca="false">IF(J87="","",ROUND(J87,3))</f>
        <v>-304.2</v>
      </c>
      <c r="AQ87" s="294" t="n">
        <f aca="false">IF(K87="","",ROUND(K87,3))</f>
        <v>12.9</v>
      </c>
      <c r="AR87" s="45"/>
      <c r="AS87" s="345" t="s">
        <v>1050</v>
      </c>
      <c r="AT87" s="475" t="n">
        <f aca="false">IF(N87="","",ROUND(N87/4.184,3))</f>
        <v>-285.289</v>
      </c>
      <c r="AU87" s="476" t="n">
        <f aca="false">IF(O87="","",ROUND(O87/4.184,3))</f>
        <v>-304.199</v>
      </c>
      <c r="AV87" s="475" t="n">
        <f aca="false">IF(P87="","",ROUND(P87/4.184,3))</f>
        <v>12.899</v>
      </c>
    </row>
    <row r="88" customFormat="false" ht="12.75" hidden="false" customHeight="false" outlineLevel="0" collapsed="false">
      <c r="B88" s="345" t="s">
        <v>1058</v>
      </c>
      <c r="C88" s="345" t="s">
        <v>1059</v>
      </c>
      <c r="D88" s="292" t="s">
        <v>1343</v>
      </c>
      <c r="E88" s="549" t="s">
        <v>1344</v>
      </c>
      <c r="F88" s="292" t="s">
        <v>1345</v>
      </c>
      <c r="G88" s="10"/>
      <c r="H88" s="345" t="s">
        <v>1059</v>
      </c>
      <c r="I88" s="292" t="s">
        <v>1346</v>
      </c>
      <c r="J88" s="549" t="s">
        <v>1347</v>
      </c>
      <c r="K88" s="292" t="s">
        <v>1348</v>
      </c>
      <c r="L88" s="45"/>
      <c r="M88" s="345" t="s">
        <v>1059</v>
      </c>
      <c r="N88" s="472" t="s">
        <v>1349</v>
      </c>
      <c r="O88" s="473" t="s">
        <v>1350</v>
      </c>
      <c r="P88" s="472" t="s">
        <v>1351</v>
      </c>
      <c r="Q88" s="10"/>
      <c r="S88" s="474" t="n">
        <v>3</v>
      </c>
      <c r="T88" s="535" t="s">
        <v>1059</v>
      </c>
      <c r="U88" s="470" t="n">
        <f aca="false">IF(D88="","",ROUND(4.184*D88+$S88*$T$9,3))</f>
        <v>-963.059</v>
      </c>
      <c r="V88" s="470" t="n">
        <f aca="false">IF(E88="","",ROUND(4.184*E88,3))</f>
        <v>-1088.677</v>
      </c>
      <c r="W88" s="470" t="n">
        <f aca="false">IF(F88="","",ROUND(4.184*F88,3))</f>
        <v>89.579</v>
      </c>
      <c r="X88" s="10"/>
      <c r="Y88" s="345" t="s">
        <v>1059</v>
      </c>
      <c r="Z88" s="470" t="n">
        <f aca="false">IF(I88="","",ROUND(4.184*I88+$S88*$T$9,3))</f>
        <v>-968.917</v>
      </c>
      <c r="AA88" s="470" t="n">
        <f aca="false">IF(J88="","",ROUND(4.184*J88,3))</f>
        <v>-1094.325</v>
      </c>
      <c r="AB88" s="470" t="n">
        <f aca="false">IF(K88="","",ROUND(4.184*K88,3))</f>
        <v>88.826</v>
      </c>
      <c r="AC88" s="45"/>
      <c r="AD88" s="345" t="s">
        <v>1059</v>
      </c>
      <c r="AE88" s="472" t="s">
        <v>1349</v>
      </c>
      <c r="AF88" s="473" t="s">
        <v>1350</v>
      </c>
      <c r="AG88" s="472" t="s">
        <v>1351</v>
      </c>
      <c r="AH88" s="87"/>
      <c r="AI88" s="345" t="s">
        <v>1059</v>
      </c>
      <c r="AJ88" s="294" t="n">
        <f aca="false">IF(D88="","",ROUND(D88+$S88*$AK$9,3))</f>
        <v>-230.177</v>
      </c>
      <c r="AK88" s="551" t="n">
        <f aca="false">IF(E88="","",ROUND(E88,3))</f>
        <v>-260.2</v>
      </c>
      <c r="AL88" s="294" t="n">
        <f aca="false">IF(F88="","",ROUND(F88,3))</f>
        <v>21.41</v>
      </c>
      <c r="AM88" s="10"/>
      <c r="AN88" s="345" t="s">
        <v>1059</v>
      </c>
      <c r="AO88" s="294" t="n">
        <f aca="false">IF(I88="","",ROUND(I88+$S88*$AK$9,3))</f>
        <v>-231.577</v>
      </c>
      <c r="AP88" s="551" t="n">
        <f aca="false">IF(J88="","",ROUND(J88,3))</f>
        <v>-261.55</v>
      </c>
      <c r="AQ88" s="294" t="n">
        <f aca="false">IF(K88="","",ROUND(K88,3))</f>
        <v>21.23</v>
      </c>
      <c r="AR88" s="45"/>
      <c r="AS88" s="345" t="s">
        <v>1059</v>
      </c>
      <c r="AT88" s="475" t="n">
        <f aca="false">IF(N88="","",ROUND(N88/4.184,3))</f>
        <v>-231.577</v>
      </c>
      <c r="AU88" s="476" t="n">
        <f aca="false">IF(O88="","",ROUND(O88/4.184,3))</f>
        <v>-261.551</v>
      </c>
      <c r="AV88" s="475" t="n">
        <f aca="false">IF(P88="","",ROUND(P88/4.184,3))</f>
        <v>21.231</v>
      </c>
    </row>
    <row r="89" customFormat="false" ht="12.75" hidden="false" customHeight="false" outlineLevel="0" collapsed="false">
      <c r="B89" s="342" t="s">
        <v>1066</v>
      </c>
      <c r="C89" s="345" t="s">
        <v>1067</v>
      </c>
      <c r="D89" s="292" t="n">
        <v>-376.77</v>
      </c>
      <c r="E89" s="549" t="n">
        <v>-399.09</v>
      </c>
      <c r="F89" s="292" t="n">
        <v>12.186</v>
      </c>
      <c r="G89" s="10"/>
      <c r="H89" s="345" t="s">
        <v>1067</v>
      </c>
      <c r="I89" s="297" t="n">
        <v>-378.2</v>
      </c>
      <c r="J89" s="477" t="n">
        <v>-400.5</v>
      </c>
      <c r="K89" s="297" t="n">
        <v>12.17</v>
      </c>
      <c r="L89" s="191"/>
      <c r="M89" s="345" t="s">
        <v>1067</v>
      </c>
      <c r="N89" s="472" t="n">
        <v>-1582.3</v>
      </c>
      <c r="O89" s="473" t="n">
        <v>-1675.7</v>
      </c>
      <c r="P89" s="472" t="n">
        <v>50.92</v>
      </c>
      <c r="Q89" s="10"/>
      <c r="S89" s="474" t="n">
        <v>1.5</v>
      </c>
      <c r="T89" s="535" t="s">
        <v>1067</v>
      </c>
      <c r="U89" s="470" t="n">
        <f aca="false">IF(D89="","",ROUND(4.184*D89+$S89*$T$9,3))</f>
        <v>-1576.357</v>
      </c>
      <c r="V89" s="470" t="n">
        <f aca="false">IF(E89="","",ROUND(4.184*E89,3))</f>
        <v>-1669.793</v>
      </c>
      <c r="W89" s="470" t="n">
        <f aca="false">IF(F89="","",ROUND(4.184*F89,3))</f>
        <v>50.986</v>
      </c>
      <c r="X89" s="10"/>
      <c r="Y89" s="345" t="s">
        <v>1067</v>
      </c>
      <c r="Z89" s="470" t="n">
        <f aca="false">IF(I89="","",ROUND(4.184*I89+$S89*$T$9,3))</f>
        <v>-1582.34</v>
      </c>
      <c r="AA89" s="470" t="n">
        <f aca="false">IF(J89="","",ROUND(4.184*J89,3))</f>
        <v>-1675.692</v>
      </c>
      <c r="AB89" s="470" t="n">
        <f aca="false">IF(K89="","",ROUND(4.184*K89,3))</f>
        <v>50.919</v>
      </c>
      <c r="AC89" s="191"/>
      <c r="AD89" s="345" t="s">
        <v>1067</v>
      </c>
      <c r="AE89" s="472" t="n">
        <v>-1582.3</v>
      </c>
      <c r="AF89" s="473" t="n">
        <v>-1675.7</v>
      </c>
      <c r="AG89" s="472" t="n">
        <v>50.92</v>
      </c>
      <c r="AH89" s="87"/>
      <c r="AI89" s="345" t="s">
        <v>1067</v>
      </c>
      <c r="AJ89" s="294" t="n">
        <f aca="false">IF(D89="","",ROUND(D89+$S89*$AK$9,3))</f>
        <v>-376.758</v>
      </c>
      <c r="AK89" s="551" t="n">
        <f aca="false">IF(E89="","",ROUND(E89,3))</f>
        <v>-399.09</v>
      </c>
      <c r="AL89" s="294" t="n">
        <f aca="false">IF(F89="","",ROUND(F89,3))</f>
        <v>12.186</v>
      </c>
      <c r="AM89" s="10"/>
      <c r="AN89" s="345" t="s">
        <v>1067</v>
      </c>
      <c r="AO89" s="298" t="n">
        <f aca="false">IF(I89="","",ROUND(I89+$S89*$AK$9,3))</f>
        <v>-378.188</v>
      </c>
      <c r="AP89" s="480" t="n">
        <f aca="false">IF(J89="","",ROUND(J89,3))</f>
        <v>-400.5</v>
      </c>
      <c r="AQ89" s="298" t="n">
        <f aca="false">IF(K89="","",ROUND(K89,3))</f>
        <v>12.17</v>
      </c>
      <c r="AR89" s="191"/>
      <c r="AS89" s="345" t="s">
        <v>1067</v>
      </c>
      <c r="AT89" s="475" t="n">
        <f aca="false">IF(N89="","",ROUND(N89/4.184,3))</f>
        <v>-378.179</v>
      </c>
      <c r="AU89" s="476" t="n">
        <f aca="false">IF(O89="","",ROUND(O89/4.184,3))</f>
        <v>-400.502</v>
      </c>
      <c r="AV89" s="475" t="n">
        <f aca="false">IF(P89="","",ROUND(P89/4.184,3))</f>
        <v>12.17</v>
      </c>
    </row>
    <row r="90" customFormat="false" ht="12.75" hidden="false" customHeight="false" outlineLevel="0" collapsed="false">
      <c r="B90" s="342" t="s">
        <v>1075</v>
      </c>
      <c r="C90" s="345" t="s">
        <v>1076</v>
      </c>
      <c r="D90" s="292"/>
      <c r="E90" s="549"/>
      <c r="F90" s="292"/>
      <c r="G90" s="10"/>
      <c r="H90" s="345" t="s">
        <v>1076</v>
      </c>
      <c r="I90" s="554" t="n">
        <v>-273.35</v>
      </c>
      <c r="J90" s="555" t="n">
        <v>-306.25</v>
      </c>
      <c r="K90" s="554" t="n">
        <v>16.755</v>
      </c>
      <c r="L90" s="191"/>
      <c r="M90" s="345" t="s">
        <v>1076</v>
      </c>
      <c r="N90" s="554" t="n">
        <v>-1155.105</v>
      </c>
      <c r="O90" s="555" t="n">
        <v>-1293.335</v>
      </c>
      <c r="P90" s="556" t="n">
        <v>68.45</v>
      </c>
      <c r="Q90" s="10"/>
      <c r="S90" s="474" t="n">
        <v>3</v>
      </c>
      <c r="T90" s="535" t="s">
        <v>1076</v>
      </c>
      <c r="U90" s="470" t="str">
        <f aca="false">IF(D90="","",ROUND(4.184*D90+$S90*$T$9,3))</f>
        <v/>
      </c>
      <c r="V90" s="470" t="str">
        <f aca="false">IF(E90="","",ROUND(4.184*E90,3))</f>
        <v/>
      </c>
      <c r="W90" s="470" t="str">
        <f aca="false">IF(F90="","",ROUND(4.184*F90,3))</f>
        <v/>
      </c>
      <c r="X90" s="10"/>
      <c r="Y90" s="345" t="s">
        <v>1076</v>
      </c>
      <c r="Z90" s="470" t="n">
        <f aca="false">IF(I90="","",ROUND(4.184*I90+$S90*$T$9,3))</f>
        <v>-1143.599</v>
      </c>
      <c r="AA90" s="470" t="n">
        <f aca="false">IF(J90="","",ROUND(4.184*J90,3))</f>
        <v>-1281.35</v>
      </c>
      <c r="AB90" s="470" t="n">
        <f aca="false">IF(K90="","",ROUND(4.184*K90,3))</f>
        <v>70.103</v>
      </c>
      <c r="AC90" s="191"/>
      <c r="AD90" s="345" t="s">
        <v>1076</v>
      </c>
      <c r="AE90" s="472" t="n">
        <v>-1155.105</v>
      </c>
      <c r="AF90" s="473" t="n">
        <v>-1293.335</v>
      </c>
      <c r="AG90" s="465" t="n">
        <v>68.45</v>
      </c>
      <c r="AH90" s="87"/>
      <c r="AI90" s="345" t="s">
        <v>1076</v>
      </c>
      <c r="AJ90" s="294" t="str">
        <f aca="false">IF(D90="","",ROUND(D90+$S90*$AK$9,3))</f>
        <v/>
      </c>
      <c r="AK90" s="551" t="str">
        <f aca="false">IF(E90="","",ROUND(E90,3))</f>
        <v/>
      </c>
      <c r="AL90" s="294" t="str">
        <f aca="false">IF(F90="","",ROUND(F90,3))</f>
        <v/>
      </c>
      <c r="AM90" s="10"/>
      <c r="AN90" s="345" t="s">
        <v>1076</v>
      </c>
      <c r="AO90" s="298" t="n">
        <f aca="false">IF(I90="","",ROUND(I90+$S90*$AK$9,3))</f>
        <v>-273.327</v>
      </c>
      <c r="AP90" s="480" t="n">
        <f aca="false">IF(J90="","",ROUND(J90,3))</f>
        <v>-306.25</v>
      </c>
      <c r="AQ90" s="298" t="n">
        <f aca="false">IF(K90="","",ROUND(K90,3))</f>
        <v>16.755</v>
      </c>
      <c r="AR90" s="191"/>
      <c r="AS90" s="345" t="s">
        <v>1076</v>
      </c>
      <c r="AT90" s="475" t="n">
        <f aca="false">IF(N90="","",ROUND(N90/4.184,3))</f>
        <v>-276.077</v>
      </c>
      <c r="AU90" s="476" t="n">
        <f aca="false">IF(O90="","",ROUND(O90/4.184,3))</f>
        <v>-309.114</v>
      </c>
      <c r="AV90" s="470" t="n">
        <f aca="false">IF(P90="","",ROUND(P90/4.184,3))</f>
        <v>16.36</v>
      </c>
    </row>
    <row r="91" customFormat="false" ht="12.75" hidden="false" customHeight="false" outlineLevel="0" collapsed="false">
      <c r="B91" s="342" t="s">
        <v>1080</v>
      </c>
      <c r="C91" s="345" t="s">
        <v>1080</v>
      </c>
      <c r="D91" s="256" t="n">
        <v>-542.4</v>
      </c>
      <c r="E91" s="552" t="n">
        <v>-641.1</v>
      </c>
      <c r="F91" s="256" t="s">
        <v>1352</v>
      </c>
      <c r="G91" s="133"/>
      <c r="H91" s="345" t="s">
        <v>1080</v>
      </c>
      <c r="I91" s="292"/>
      <c r="J91" s="549" t="s">
        <v>1353</v>
      </c>
      <c r="K91" s="292"/>
      <c r="L91" s="191"/>
      <c r="M91" s="345" t="s">
        <v>1080</v>
      </c>
      <c r="N91" s="465" t="s">
        <v>1354</v>
      </c>
      <c r="O91" s="466" t="s">
        <v>1355</v>
      </c>
      <c r="P91" s="465" t="s">
        <v>1356</v>
      </c>
      <c r="Q91" s="10"/>
      <c r="S91" s="474" t="n">
        <v>10.5</v>
      </c>
      <c r="T91" s="535" t="s">
        <v>1080</v>
      </c>
      <c r="U91" s="479" t="n">
        <f aca="false">IF(D91="","",ROUND(4.184*D91+$S91*$T$9,3))</f>
        <v>-2269.059</v>
      </c>
      <c r="V91" s="479" t="n">
        <f aca="false">IF(E91="","",ROUND(4.184*E91,3))</f>
        <v>-2682.362</v>
      </c>
      <c r="W91" s="479" t="n">
        <f aca="false">IF(F91="","",ROUND(4.184*F91,3))</f>
        <v>376.56</v>
      </c>
      <c r="X91" s="133"/>
      <c r="Y91" s="345" t="s">
        <v>1080</v>
      </c>
      <c r="Z91" s="470" t="str">
        <f aca="false">IF(I91="","",ROUND(4.184*I91+$S91*$T$9,3))</f>
        <v/>
      </c>
      <c r="AA91" s="470" t="n">
        <f aca="false">IF(J91="","",ROUND(4.184*J91,3))</f>
        <v>-2691.567</v>
      </c>
      <c r="AB91" s="470" t="str">
        <f aca="false">IF(K91="","",ROUND(4.184*K91,3))</f>
        <v/>
      </c>
      <c r="AC91" s="191"/>
      <c r="AD91" s="345" t="s">
        <v>1080</v>
      </c>
      <c r="AE91" s="465" t="s">
        <v>1354</v>
      </c>
      <c r="AF91" s="466" t="s">
        <v>1355</v>
      </c>
      <c r="AG91" s="465" t="s">
        <v>1356</v>
      </c>
      <c r="AH91" s="87"/>
      <c r="AI91" s="345" t="s">
        <v>1080</v>
      </c>
      <c r="AJ91" s="479" t="n">
        <f aca="false">IF(D91="","",ROUND(D91+$S91*$AK$9,3))</f>
        <v>-542.318</v>
      </c>
      <c r="AK91" s="553" t="n">
        <f aca="false">IF(E91="","",ROUND(E91,3))</f>
        <v>-641.1</v>
      </c>
      <c r="AL91" s="479" t="n">
        <f aca="false">IF(F91="","",ROUND(F91,3))</f>
        <v>90</v>
      </c>
      <c r="AM91" s="133"/>
      <c r="AN91" s="345" t="s">
        <v>1080</v>
      </c>
      <c r="AO91" s="294" t="str">
        <f aca="false">IF(I91="","",ROUND(I91+$S91*$AK$9,3))</f>
        <v/>
      </c>
      <c r="AP91" s="551" t="n">
        <f aca="false">IF(J91="","",ROUND(J91,3))</f>
        <v>-643.3</v>
      </c>
      <c r="AQ91" s="294" t="str">
        <f aca="false">IF(K91="","",ROUND(K91,3))</f>
        <v/>
      </c>
      <c r="AR91" s="191"/>
      <c r="AS91" s="345" t="s">
        <v>1080</v>
      </c>
      <c r="AT91" s="470" t="n">
        <f aca="false">IF(N91="","",ROUND(N91/4.184,3))</f>
        <v>-540.416</v>
      </c>
      <c r="AU91" s="471" t="n">
        <f aca="false">IF(O91="","",ROUND(O91/4.184,3))</f>
        <v>-643.308</v>
      </c>
      <c r="AV91" s="470" t="n">
        <f aca="false">IF(P91="","",ROUND(P91/4.184,3))</f>
        <v>76.004</v>
      </c>
    </row>
    <row r="92" customFormat="false" ht="12.75" hidden="false" customHeight="false" outlineLevel="0" collapsed="false">
      <c r="B92" s="342" t="s">
        <v>1084</v>
      </c>
      <c r="C92" s="345" t="s">
        <v>1085</v>
      </c>
      <c r="D92" s="292" t="n">
        <v>-607.8</v>
      </c>
      <c r="E92" s="549" t="n">
        <v>-642.2</v>
      </c>
      <c r="F92" s="292" t="s">
        <v>1357</v>
      </c>
      <c r="G92" s="133"/>
      <c r="H92" s="345" t="s">
        <v>1085</v>
      </c>
      <c r="I92" s="292" t="s">
        <v>1358</v>
      </c>
      <c r="J92" s="549" t="s">
        <v>1359</v>
      </c>
      <c r="K92" s="292" t="s">
        <v>1360</v>
      </c>
      <c r="L92" s="191"/>
      <c r="M92" s="345" t="s">
        <v>1085</v>
      </c>
      <c r="N92" s="465" t="s">
        <v>1361</v>
      </c>
      <c r="O92" s="466" t="s">
        <v>1362</v>
      </c>
      <c r="P92" s="465" t="s">
        <v>1363</v>
      </c>
      <c r="Q92" s="10"/>
      <c r="S92" s="474" t="n">
        <v>2.5</v>
      </c>
      <c r="T92" s="535" t="s">
        <v>1085</v>
      </c>
      <c r="U92" s="470" t="n">
        <f aca="false">IF(D92="","",ROUND(4.184*D92+$S92*$T$9,3))</f>
        <v>-2542.954</v>
      </c>
      <c r="V92" s="470" t="n">
        <f aca="false">IF(E92="","",ROUND(4.184*E92,3))</f>
        <v>-2686.965</v>
      </c>
      <c r="W92" s="470" t="n">
        <f aca="false">IF(F92="","",ROUND(4.184*F92,3))</f>
        <v>104.6</v>
      </c>
      <c r="X92" s="133"/>
      <c r="Y92" s="345" t="s">
        <v>1085</v>
      </c>
      <c r="Z92" s="470" t="n">
        <f aca="false">IF(I92="","",ROUND(4.184*I92+$S92*$T$9,3))</f>
        <v>-2597.346</v>
      </c>
      <c r="AA92" s="470" t="n">
        <f aca="false">IF(J92="","",ROUND(4.184*J92,3))</f>
        <v>-2744.286</v>
      </c>
      <c r="AB92" s="470" t="n">
        <f aca="false">IF(K92="","",ROUND(4.184*K92,3))</f>
        <v>93.22</v>
      </c>
      <c r="AC92" s="191"/>
      <c r="AD92" s="345" t="s">
        <v>1085</v>
      </c>
      <c r="AE92" s="465" t="s">
        <v>1361</v>
      </c>
      <c r="AF92" s="466" t="s">
        <v>1362</v>
      </c>
      <c r="AG92" s="465" t="s">
        <v>1363</v>
      </c>
      <c r="AH92" s="87"/>
      <c r="AI92" s="345" t="s">
        <v>1085</v>
      </c>
      <c r="AJ92" s="294" t="n">
        <f aca="false">IF(D92="","",ROUND(D92+$S92*$AK$9,3))</f>
        <v>-607.781</v>
      </c>
      <c r="AK92" s="551" t="n">
        <f aca="false">IF(E92="","",ROUND(E92,3))</f>
        <v>-642.2</v>
      </c>
      <c r="AL92" s="294" t="n">
        <f aca="false">IF(F92="","",ROUND(F92,3))</f>
        <v>25</v>
      </c>
      <c r="AM92" s="133"/>
      <c r="AN92" s="345" t="s">
        <v>1085</v>
      </c>
      <c r="AO92" s="294" t="n">
        <f aca="false">IF(I92="","",ROUND(I92+$S92*$AK$9,3))</f>
        <v>-620.781</v>
      </c>
      <c r="AP92" s="551" t="n">
        <f aca="false">IF(J92="","",ROUND(J92,3))</f>
        <v>-655.9</v>
      </c>
      <c r="AQ92" s="294" t="n">
        <f aca="false">IF(K92="","",ROUND(K92,3))</f>
        <v>22.28</v>
      </c>
      <c r="AR92" s="191"/>
      <c r="AS92" s="345" t="s">
        <v>1085</v>
      </c>
      <c r="AT92" s="470" t="n">
        <f aca="false">IF(N92="","",ROUND(N92/4.184,3))</f>
        <v>-583.81</v>
      </c>
      <c r="AU92" s="471" t="n">
        <f aca="false">IF(O92="","",ROUND(O92/4.184,3))</f>
        <v>-619.089</v>
      </c>
      <c r="AV92" s="470" t="n">
        <f aca="false">IF(P92="","",ROUND(P92/4.184,3))</f>
        <v>22.28</v>
      </c>
    </row>
    <row r="93" customFormat="false" ht="12.75" hidden="false" customHeight="false" outlineLevel="0" collapsed="false">
      <c r="B93" s="353" t="s">
        <v>1086</v>
      </c>
      <c r="C93" s="354" t="s">
        <v>1087</v>
      </c>
      <c r="D93" s="301" t="s">
        <v>1364</v>
      </c>
      <c r="E93" s="557" t="s">
        <v>1365</v>
      </c>
      <c r="F93" s="301" t="s">
        <v>1366</v>
      </c>
      <c r="G93" s="133"/>
      <c r="H93" s="354" t="s">
        <v>1087</v>
      </c>
      <c r="I93" s="301" t="s">
        <v>1367</v>
      </c>
      <c r="J93" s="557" t="s">
        <v>1368</v>
      </c>
      <c r="K93" s="301" t="s">
        <v>1369</v>
      </c>
      <c r="L93" s="191"/>
      <c r="M93" s="354" t="s">
        <v>1087</v>
      </c>
      <c r="N93" s="490" t="s">
        <v>1370</v>
      </c>
      <c r="O93" s="494" t="s">
        <v>1371</v>
      </c>
      <c r="P93" s="490" t="s">
        <v>1372</v>
      </c>
      <c r="Q93" s="10"/>
      <c r="S93" s="558" t="n">
        <v>1.5</v>
      </c>
      <c r="T93" s="534" t="s">
        <v>1087</v>
      </c>
      <c r="U93" s="470" t="n">
        <f aca="false">IF(D93="","",ROUND(4.184*D93+$S93*$T$9,3))</f>
        <v>-740.937</v>
      </c>
      <c r="V93" s="470" t="n">
        <f aca="false">IF(E93="","",ROUND(4.184*E93,3))</f>
        <v>-822.156</v>
      </c>
      <c r="W93" s="470" t="n">
        <f aca="false">IF(F93="","",ROUND(4.184*F93,3))</f>
        <v>89.956</v>
      </c>
      <c r="X93" s="133"/>
      <c r="Y93" s="354" t="s">
        <v>1087</v>
      </c>
      <c r="Z93" s="470" t="n">
        <f aca="false">IF(I93="","",ROUND(4.184*I93+$S93*$T$9,3))</f>
        <v>-742.193</v>
      </c>
      <c r="AA93" s="470" t="n">
        <f aca="false">IF(J93="","",ROUND(4.184*J93,3))</f>
        <v>-824.248</v>
      </c>
      <c r="AB93" s="470" t="n">
        <f aca="false">IF(K93="","",ROUND(4.184*K93,3))</f>
        <v>87.404</v>
      </c>
      <c r="AC93" s="191"/>
      <c r="AD93" s="354" t="s">
        <v>1087</v>
      </c>
      <c r="AE93" s="490" t="s">
        <v>1370</v>
      </c>
      <c r="AF93" s="494" t="s">
        <v>1371</v>
      </c>
      <c r="AG93" s="490" t="s">
        <v>1372</v>
      </c>
      <c r="AH93" s="87"/>
      <c r="AI93" s="354" t="s">
        <v>1087</v>
      </c>
      <c r="AJ93" s="303" t="n">
        <f aca="false">IF(D93="","",ROUND(D93+$S93*$AK$9,3))</f>
        <v>-177.088</v>
      </c>
      <c r="AK93" s="559" t="n">
        <f aca="false">IF(E93="","",ROUND(E93,3))</f>
        <v>-196.5</v>
      </c>
      <c r="AL93" s="303" t="n">
        <f aca="false">IF(F93="","",ROUND(F93,3))</f>
        <v>21.5</v>
      </c>
      <c r="AM93" s="133"/>
      <c r="AN93" s="354" t="s">
        <v>1087</v>
      </c>
      <c r="AO93" s="303" t="n">
        <f aca="false">IF(I93="","",ROUND(I93+$S93*$AK$9,3))</f>
        <v>-177.388</v>
      </c>
      <c r="AP93" s="559" t="n">
        <f aca="false">IF(J93="","",ROUND(J93,3))</f>
        <v>-197</v>
      </c>
      <c r="AQ93" s="303" t="n">
        <f aca="false">IF(K93="","",ROUND(K93,3))</f>
        <v>20.89</v>
      </c>
      <c r="AR93" s="191"/>
      <c r="AS93" s="354" t="s">
        <v>1087</v>
      </c>
      <c r="AT93" s="493" t="n">
        <f aca="false">IF(N93="","",ROUND(N93/4.184,3))</f>
        <v>-177.39</v>
      </c>
      <c r="AU93" s="495" t="n">
        <f aca="false">IF(O93="","",ROUND(O93/4.184,3))</f>
        <v>-196.989</v>
      </c>
      <c r="AV93" s="493" t="n">
        <f aca="false">IF(P93="","",ROUND(P93/4.184,3))</f>
        <v>20.889</v>
      </c>
    </row>
    <row r="94" customFormat="false" ht="12.75" hidden="false" customHeight="false" outlineLevel="0" collapsed="false">
      <c r="B94" s="353" t="s">
        <v>1093</v>
      </c>
      <c r="C94" s="354" t="s">
        <v>1094</v>
      </c>
      <c r="D94" s="301" t="s">
        <v>1373</v>
      </c>
      <c r="E94" s="557" t="s">
        <v>1374</v>
      </c>
      <c r="F94" s="301" t="s">
        <v>1229</v>
      </c>
      <c r="G94" s="133"/>
      <c r="H94" s="354" t="s">
        <v>1094</v>
      </c>
      <c r="I94" s="301" t="s">
        <v>1375</v>
      </c>
      <c r="J94" s="557" t="s">
        <v>1376</v>
      </c>
      <c r="K94" s="301" t="s">
        <v>1229</v>
      </c>
      <c r="L94" s="191"/>
      <c r="M94" s="354" t="s">
        <v>1094</v>
      </c>
      <c r="N94" s="490" t="s">
        <v>1377</v>
      </c>
      <c r="O94" s="494" t="s">
        <v>1378</v>
      </c>
      <c r="P94" s="490" t="s">
        <v>1379</v>
      </c>
      <c r="Q94" s="10"/>
      <c r="S94" s="558" t="n">
        <v>2</v>
      </c>
      <c r="T94" s="534" t="s">
        <v>1094</v>
      </c>
      <c r="U94" s="470" t="n">
        <f aca="false">IF(D94="","",ROUND(4.184*D94+$S94*$T$9,3))</f>
        <v>-1014.136</v>
      </c>
      <c r="V94" s="470" t="n">
        <f aca="false">IF(E94="","",ROUND(4.184*E94,3))</f>
        <v>-1117.128</v>
      </c>
      <c r="W94" s="470" t="n">
        <f aca="false">IF(F94="","",ROUND(4.184*F94,3))</f>
        <v>146.44</v>
      </c>
      <c r="X94" s="133"/>
      <c r="Y94" s="354" t="s">
        <v>1094</v>
      </c>
      <c r="Z94" s="470" t="n">
        <f aca="false">IF(I94="","",ROUND(4.184*I94+$S94*$T$9,3))</f>
        <v>-1015.392</v>
      </c>
      <c r="AA94" s="470" t="n">
        <f aca="false">IF(J94="","",ROUND(4.184*J94,3))</f>
        <v>-1118.383</v>
      </c>
      <c r="AB94" s="470" t="n">
        <f aca="false">IF(K94="","",ROUND(4.184*K94,3))</f>
        <v>146.44</v>
      </c>
      <c r="AC94" s="191"/>
      <c r="AD94" s="354" t="s">
        <v>1094</v>
      </c>
      <c r="AE94" s="490" t="s">
        <v>1377</v>
      </c>
      <c r="AF94" s="494" t="s">
        <v>1378</v>
      </c>
      <c r="AG94" s="490" t="s">
        <v>1379</v>
      </c>
      <c r="AH94" s="87"/>
      <c r="AI94" s="354" t="s">
        <v>1094</v>
      </c>
      <c r="AJ94" s="303" t="n">
        <f aca="false">IF(D94="","",ROUND(D94+$S94*$AK$9,3))</f>
        <v>-242.384</v>
      </c>
      <c r="AK94" s="559" t="n">
        <f aca="false">IF(E94="","",ROUND(E94,3))</f>
        <v>-267</v>
      </c>
      <c r="AL94" s="303" t="n">
        <f aca="false">IF(F94="","",ROUND(F94,3))</f>
        <v>35</v>
      </c>
      <c r="AM94" s="133"/>
      <c r="AN94" s="354" t="s">
        <v>1094</v>
      </c>
      <c r="AO94" s="303" t="n">
        <f aca="false">IF(I94="","",ROUND(I94+$S94*$AK$9,3))</f>
        <v>-242.684</v>
      </c>
      <c r="AP94" s="559" t="n">
        <f aca="false">IF(J94="","",ROUND(J94,3))</f>
        <v>-267.3</v>
      </c>
      <c r="AQ94" s="303" t="n">
        <f aca="false">IF(K94="","",ROUND(K94,3))</f>
        <v>35</v>
      </c>
      <c r="AR94" s="191"/>
      <c r="AS94" s="354" t="s">
        <v>1094</v>
      </c>
      <c r="AT94" s="493" t="n">
        <f aca="false">IF(N94="","",ROUND(N94/4.184,3))</f>
        <v>-242.686</v>
      </c>
      <c r="AU94" s="495" t="n">
        <f aca="false">IF(O94="","",ROUND(O94/4.184,3))</f>
        <v>-267.304</v>
      </c>
      <c r="AV94" s="493" t="n">
        <f aca="false">IF(P94="","",ROUND(P94/4.184,3))</f>
        <v>34.99</v>
      </c>
    </row>
    <row r="95" customFormat="false" ht="12.75" hidden="false" customHeight="false" outlineLevel="0" collapsed="false">
      <c r="B95" s="353" t="s">
        <v>1100</v>
      </c>
      <c r="C95" s="354" t="s">
        <v>1101</v>
      </c>
      <c r="D95" s="301" t="s">
        <v>1380</v>
      </c>
      <c r="E95" s="557" t="s">
        <v>1381</v>
      </c>
      <c r="F95" s="301" t="s">
        <v>1382</v>
      </c>
      <c r="G95" s="133"/>
      <c r="H95" s="354" t="s">
        <v>1101</v>
      </c>
      <c r="I95" s="301" t="s">
        <v>1383</v>
      </c>
      <c r="J95" s="557" t="s">
        <v>1384</v>
      </c>
      <c r="K95" s="301" t="s">
        <v>1385</v>
      </c>
      <c r="L95" s="191"/>
      <c r="M95" s="354" t="s">
        <v>1101</v>
      </c>
      <c r="N95" s="490" t="s">
        <v>1386</v>
      </c>
      <c r="O95" s="494" t="s">
        <v>1387</v>
      </c>
      <c r="P95" s="490" t="s">
        <v>1388</v>
      </c>
      <c r="Q95" s="10"/>
      <c r="S95" s="558" t="n">
        <v>2</v>
      </c>
      <c r="T95" s="534" t="s">
        <v>1101</v>
      </c>
      <c r="U95" s="470" t="n">
        <f aca="false">IF(D95="","",ROUND(4.184*D95+$S95*$T$9,3))</f>
        <v>-1337.978</v>
      </c>
      <c r="V95" s="470" t="n">
        <f aca="false">IF(E95="","",ROUND(4.184*E95,3))</f>
        <v>-1438.041</v>
      </c>
      <c r="W95" s="470" t="n">
        <f aca="false">IF(F95="","",ROUND(4.184*F95,3))</f>
        <v>148.114</v>
      </c>
      <c r="X95" s="133"/>
      <c r="Y95" s="354" t="s">
        <v>1101</v>
      </c>
      <c r="Z95" s="470" t="n">
        <f aca="false">IF(I95="","",ROUND(4.184*I95+$S95*$T$9,3))</f>
        <v>-1378.981</v>
      </c>
      <c r="AA95" s="470" t="n">
        <f aca="false">IF(J95="","",ROUND(4.184*J95,3))</f>
        <v>-1479.881</v>
      </c>
      <c r="AB95" s="470" t="n">
        <f aca="false">IF(K95="","",ROUND(4.184*K95,3))</f>
        <v>145.185</v>
      </c>
      <c r="AC95" s="191"/>
      <c r="AD95" s="354" t="s">
        <v>1101</v>
      </c>
      <c r="AE95" s="490" t="s">
        <v>1386</v>
      </c>
      <c r="AF95" s="494" t="s">
        <v>1387</v>
      </c>
      <c r="AG95" s="490" t="s">
        <v>1388</v>
      </c>
      <c r="AH95" s="87"/>
      <c r="AI95" s="354" t="s">
        <v>1101</v>
      </c>
      <c r="AJ95" s="303" t="n">
        <f aca="false">IF(D95="","",ROUND(D95+$S95*$AK$9,3))</f>
        <v>-319.784</v>
      </c>
      <c r="AK95" s="559" t="n">
        <f aca="false">IF(E95="","",ROUND(E95,3))</f>
        <v>-343.7</v>
      </c>
      <c r="AL95" s="303" t="n">
        <f aca="false">IF(F95="","",ROUND(F95,3))</f>
        <v>35.4</v>
      </c>
      <c r="AM95" s="133"/>
      <c r="AN95" s="354" t="s">
        <v>1101</v>
      </c>
      <c r="AO95" s="303" t="n">
        <f aca="false">IF(I95="","",ROUND(I95+$S95*$AK$9,3))</f>
        <v>-329.584</v>
      </c>
      <c r="AP95" s="559" t="n">
        <f aca="false">IF(J95="","",ROUND(J95,3))</f>
        <v>-353.7</v>
      </c>
      <c r="AQ95" s="303" t="n">
        <f aca="false">IF(K95="","",ROUND(K95,3))</f>
        <v>34.7</v>
      </c>
      <c r="AR95" s="191"/>
      <c r="AS95" s="354" t="s">
        <v>1101</v>
      </c>
      <c r="AT95" s="493" t="n">
        <f aca="false">IF(N95="","",ROUND(N95/4.184,3))</f>
        <v>-329.589</v>
      </c>
      <c r="AU95" s="495" t="n">
        <f aca="false">IF(O95="","",ROUND(O95/4.184,3))</f>
        <v>-353.705</v>
      </c>
      <c r="AV95" s="493" t="n">
        <f aca="false">IF(P95="","",ROUND(P95/4.184,3))</f>
        <v>34.704</v>
      </c>
    </row>
    <row r="96" customFormat="false" ht="12.75" hidden="false" customHeight="false" outlineLevel="0" collapsed="false">
      <c r="B96" s="353" t="s">
        <v>1107</v>
      </c>
      <c r="C96" s="354" t="s">
        <v>1108</v>
      </c>
      <c r="D96" s="301" t="s">
        <v>1389</v>
      </c>
      <c r="E96" s="557" t="s">
        <v>1390</v>
      </c>
      <c r="F96" s="301" t="s">
        <v>1391</v>
      </c>
      <c r="G96" s="133"/>
      <c r="H96" s="354" t="s">
        <v>1108</v>
      </c>
      <c r="I96" s="301" t="s">
        <v>1392</v>
      </c>
      <c r="J96" s="557" t="s">
        <v>1393</v>
      </c>
      <c r="K96" s="301" t="s">
        <v>1394</v>
      </c>
      <c r="L96" s="191"/>
      <c r="M96" s="354" t="s">
        <v>1108</v>
      </c>
      <c r="N96" s="490" t="s">
        <v>1395</v>
      </c>
      <c r="O96" s="494" t="s">
        <v>1396</v>
      </c>
      <c r="P96" s="490" t="s">
        <v>1397</v>
      </c>
      <c r="Q96" s="10"/>
      <c r="S96" s="558" t="n">
        <v>0.5</v>
      </c>
      <c r="T96" s="534" t="s">
        <v>1108</v>
      </c>
      <c r="U96" s="470" t="n">
        <f aca="false">IF(D96="","",ROUND(4.184*D96+$S96*$T$9,3))</f>
        <v>-569.552</v>
      </c>
      <c r="V96" s="470" t="n">
        <f aca="false">IF(E96="","",ROUND(4.184*E96,3))</f>
        <v>-601.827</v>
      </c>
      <c r="W96" s="470" t="n">
        <f aca="false">IF(F96="","",ROUND(4.184*F96,3))</f>
        <v>26.778</v>
      </c>
      <c r="X96" s="133"/>
      <c r="Y96" s="354" t="s">
        <v>1108</v>
      </c>
      <c r="Z96" s="470" t="n">
        <f aca="false">IF(I96="","",ROUND(4.184*I96+$S96*$T$9,3))</f>
        <v>-569.426</v>
      </c>
      <c r="AA96" s="470" t="n">
        <f aca="false">IF(J96="","",ROUND(4.184*J96,3))</f>
        <v>-601.701</v>
      </c>
      <c r="AB96" s="470" t="n">
        <f aca="false">IF(K96="","",ROUND(4.184*K96,3))</f>
        <v>26.945</v>
      </c>
      <c r="AC96" s="191"/>
      <c r="AD96" s="354" t="s">
        <v>1108</v>
      </c>
      <c r="AE96" s="490" t="s">
        <v>1395</v>
      </c>
      <c r="AF96" s="494" t="s">
        <v>1396</v>
      </c>
      <c r="AG96" s="490" t="s">
        <v>1397</v>
      </c>
      <c r="AH96" s="87"/>
      <c r="AI96" s="354" t="s">
        <v>1108</v>
      </c>
      <c r="AJ96" s="303" t="n">
        <f aca="false">IF(D96="","",ROUND(D96+$S96*$AK$9,3))</f>
        <v>-136.126</v>
      </c>
      <c r="AK96" s="559" t="n">
        <f aca="false">IF(E96="","",ROUND(E96,3))</f>
        <v>-143.84</v>
      </c>
      <c r="AL96" s="303" t="n">
        <f aca="false">IF(F96="","",ROUND(F96,3))</f>
        <v>6.4</v>
      </c>
      <c r="AM96" s="133"/>
      <c r="AN96" s="354" t="s">
        <v>1108</v>
      </c>
      <c r="AO96" s="303" t="n">
        <f aca="false">IF(I96="","",ROUND(I96+$S96*$AK$9,3))</f>
        <v>-136.096</v>
      </c>
      <c r="AP96" s="559" t="n">
        <f aca="false">IF(J96="","",ROUND(J96,3))</f>
        <v>-143.81</v>
      </c>
      <c r="AQ96" s="303" t="n">
        <f aca="false">IF(K96="","",ROUND(K96,3))</f>
        <v>6.44</v>
      </c>
      <c r="AR96" s="191"/>
      <c r="AS96" s="354" t="s">
        <v>1108</v>
      </c>
      <c r="AT96" s="493" t="n">
        <f aca="false">IF(N96="","",ROUND(N96/4.184,3))</f>
        <v>-136.097</v>
      </c>
      <c r="AU96" s="495" t="n">
        <f aca="false">IF(O96="","",ROUND(O96/4.184,3))</f>
        <v>-143.81</v>
      </c>
      <c r="AV96" s="493" t="n">
        <f aca="false">IF(P96="","",ROUND(P96/4.184,3))</f>
        <v>6.439</v>
      </c>
    </row>
    <row r="97" customFormat="false" ht="12.75" hidden="false" customHeight="false" outlineLevel="0" collapsed="false">
      <c r="B97" s="353" t="s">
        <v>1114</v>
      </c>
      <c r="C97" s="354" t="s">
        <v>1115</v>
      </c>
      <c r="D97" s="301" t="s">
        <v>1398</v>
      </c>
      <c r="E97" s="557" t="s">
        <v>1171</v>
      </c>
      <c r="F97" s="301" t="s">
        <v>1399</v>
      </c>
      <c r="G97" s="133"/>
      <c r="H97" s="354" t="s">
        <v>1115</v>
      </c>
      <c r="I97" s="301" t="s">
        <v>1400</v>
      </c>
      <c r="J97" s="557" t="s">
        <v>1401</v>
      </c>
      <c r="K97" s="301" t="s">
        <v>1402</v>
      </c>
      <c r="L97" s="191"/>
      <c r="M97" s="354" t="s">
        <v>1115</v>
      </c>
      <c r="N97" s="490" t="s">
        <v>1403</v>
      </c>
      <c r="O97" s="494" t="s">
        <v>1404</v>
      </c>
      <c r="P97" s="490" t="s">
        <v>1118</v>
      </c>
      <c r="Q97" s="10"/>
      <c r="S97" s="558" t="n">
        <v>2</v>
      </c>
      <c r="T97" s="534" t="s">
        <v>1115</v>
      </c>
      <c r="U97" s="470" t="n">
        <f aca="false">IF(D97="","",ROUND(4.184*D97+$S97*$T$9,3))</f>
        <v>-833.68</v>
      </c>
      <c r="V97" s="470" t="n">
        <f aca="false">IF(E97="","",ROUND(4.184*E97,3))</f>
        <v>-924.664</v>
      </c>
      <c r="W97" s="470" t="n">
        <f aca="false">IF(F97="","",ROUND(4.184*F97,3))</f>
        <v>63.137</v>
      </c>
      <c r="X97" s="133"/>
      <c r="Y97" s="354" t="s">
        <v>1115</v>
      </c>
      <c r="Z97" s="470" t="n">
        <f aca="false">IF(I97="","",ROUND(4.184*I97+$S97*$T$9,3))</f>
        <v>-833.513</v>
      </c>
      <c r="AA97" s="470" t="n">
        <f aca="false">IF(J97="","",ROUND(4.184*J97,3))</f>
        <v>-924.538</v>
      </c>
      <c r="AB97" s="470" t="n">
        <f aca="false">IF(K97="","",ROUND(4.184*K97,3))</f>
        <v>63.178</v>
      </c>
      <c r="AC97" s="191"/>
      <c r="AD97" s="354" t="s">
        <v>1115</v>
      </c>
      <c r="AE97" s="490" t="s">
        <v>1403</v>
      </c>
      <c r="AF97" s="494" t="s">
        <v>1404</v>
      </c>
      <c r="AG97" s="490" t="s">
        <v>1118</v>
      </c>
      <c r="AH97" s="87"/>
      <c r="AI97" s="354" t="s">
        <v>1115</v>
      </c>
      <c r="AJ97" s="303" t="n">
        <f aca="false">IF(D97="","",ROUND(D97+$S97*$AK$9,3))</f>
        <v>-199.254</v>
      </c>
      <c r="AK97" s="559" t="n">
        <f aca="false">IF(E97="","",ROUND(E97,3))</f>
        <v>-221</v>
      </c>
      <c r="AL97" s="303" t="n">
        <f aca="false">IF(F97="","",ROUND(F97,3))</f>
        <v>15.09</v>
      </c>
      <c r="AM97" s="133"/>
      <c r="AN97" s="354" t="s">
        <v>1115</v>
      </c>
      <c r="AO97" s="303" t="n">
        <f aca="false">IF(I97="","",ROUND(I97+$S97*$AK$9,3))</f>
        <v>-199.214</v>
      </c>
      <c r="AP97" s="559" t="n">
        <f aca="false">IF(J97="","",ROUND(J97,3))</f>
        <v>-220.97</v>
      </c>
      <c r="AQ97" s="303" t="n">
        <f aca="false">IF(K97="","",ROUND(K97,3))</f>
        <v>15.1</v>
      </c>
      <c r="AR97" s="191"/>
      <c r="AS97" s="354" t="s">
        <v>1115</v>
      </c>
      <c r="AT97" s="493" t="n">
        <f aca="false">IF(N97="","",ROUND(N97/4.184,3))</f>
        <v>-199.214</v>
      </c>
      <c r="AU97" s="495" t="n">
        <f aca="false">IF(O97="","",ROUND(O97/4.184,3))</f>
        <v>-220.97</v>
      </c>
      <c r="AV97" s="493" t="n">
        <f aca="false">IF(P97="","",ROUND(P97/4.184,3))</f>
        <v>15.1</v>
      </c>
    </row>
    <row r="98" customFormat="false" ht="12.75" hidden="false" customHeight="false" outlineLevel="0" collapsed="false">
      <c r="B98" s="353" t="s">
        <v>1119</v>
      </c>
      <c r="C98" s="354" t="s">
        <v>1120</v>
      </c>
      <c r="D98" s="301" t="s">
        <v>1405</v>
      </c>
      <c r="E98" s="557" t="s">
        <v>1406</v>
      </c>
      <c r="F98" s="301" t="s">
        <v>1407</v>
      </c>
      <c r="G98" s="133"/>
      <c r="H98" s="354" t="s">
        <v>1120</v>
      </c>
      <c r="I98" s="301" t="s">
        <v>1408</v>
      </c>
      <c r="J98" s="557" t="s">
        <v>1409</v>
      </c>
      <c r="K98" s="301" t="s">
        <v>1407</v>
      </c>
      <c r="L98" s="191"/>
      <c r="M98" s="354" t="s">
        <v>1120</v>
      </c>
      <c r="N98" s="490" t="s">
        <v>1410</v>
      </c>
      <c r="O98" s="494" t="s">
        <v>1411</v>
      </c>
      <c r="P98" s="490" t="s">
        <v>1412</v>
      </c>
      <c r="Q98" s="10"/>
      <c r="S98" s="558" t="n">
        <v>1.5</v>
      </c>
      <c r="T98" s="534" t="s">
        <v>1120</v>
      </c>
      <c r="U98" s="470" t="n">
        <f aca="false">IF(D98="","",ROUND(4.184*D98+$S98*$T$9,3))</f>
        <v>-1029.215</v>
      </c>
      <c r="V98" s="470" t="n">
        <f aca="false">IF(E98="","",ROUND(4.184*E98,3))</f>
        <v>-1112.944</v>
      </c>
      <c r="W98" s="470" t="n">
        <f aca="false">IF(F98="","",ROUND(4.184*F98,3))</f>
        <v>65.689</v>
      </c>
      <c r="X98" s="133"/>
      <c r="Y98" s="354" t="s">
        <v>1120</v>
      </c>
      <c r="Z98" s="470" t="n">
        <f aca="false">IF(I98="","",ROUND(4.184*I98+$S98*$T$9,3))</f>
        <v>-1012.061</v>
      </c>
      <c r="AA98" s="470" t="n">
        <f aca="false">IF(J98="","",ROUND(4.184*J98,3))</f>
        <v>-1095.79</v>
      </c>
      <c r="AB98" s="470" t="n">
        <f aca="false">IF(K98="","",ROUND(4.184*K98,3))</f>
        <v>65.689</v>
      </c>
      <c r="AC98" s="191"/>
      <c r="AD98" s="354" t="s">
        <v>1120</v>
      </c>
      <c r="AE98" s="490" t="s">
        <v>1410</v>
      </c>
      <c r="AF98" s="494" t="s">
        <v>1411</v>
      </c>
      <c r="AG98" s="490" t="s">
        <v>1412</v>
      </c>
      <c r="AH98" s="87"/>
      <c r="AI98" s="354" t="s">
        <v>1120</v>
      </c>
      <c r="AJ98" s="303" t="n">
        <f aca="false">IF(D98="","",ROUND(D98+$S98*$AK$9,3))</f>
        <v>-245.988</v>
      </c>
      <c r="AK98" s="559" t="n">
        <f aca="false">IF(E98="","",ROUND(E98,3))</f>
        <v>-266</v>
      </c>
      <c r="AL98" s="303" t="n">
        <f aca="false">IF(F98="","",ROUND(F98,3))</f>
        <v>15.7</v>
      </c>
      <c r="AM98" s="133"/>
      <c r="AN98" s="354" t="s">
        <v>1120</v>
      </c>
      <c r="AO98" s="303" t="n">
        <f aca="false">IF(I98="","",ROUND(I98+$S98*$AK$9,3))</f>
        <v>-241.888</v>
      </c>
      <c r="AP98" s="559" t="n">
        <f aca="false">IF(J98="","",ROUND(J98,3))</f>
        <v>-261.9</v>
      </c>
      <c r="AQ98" s="303" t="n">
        <f aca="false">IF(K98="","",ROUND(K98,3))</f>
        <v>15.7</v>
      </c>
      <c r="AR98" s="191"/>
      <c r="AS98" s="354" t="s">
        <v>1120</v>
      </c>
      <c r="AT98" s="493" t="n">
        <f aca="false">IF(N98="","",ROUND(N98/4.184,3))</f>
        <v>-241.898</v>
      </c>
      <c r="AU98" s="495" t="n">
        <f aca="false">IF(O98="","",ROUND(O98/4.184,3))</f>
        <v>-261.902</v>
      </c>
      <c r="AV98" s="493" t="n">
        <f aca="false">IF(P98="","",ROUND(P98/4.184,3))</f>
        <v>15.703</v>
      </c>
    </row>
    <row r="99" customFormat="false" ht="12.75" hidden="false" customHeight="false" outlineLevel="0" collapsed="false">
      <c r="B99" s="353" t="s">
        <v>1121</v>
      </c>
      <c r="C99" s="354" t="s">
        <v>1122</v>
      </c>
      <c r="D99" s="560" t="s">
        <v>1413</v>
      </c>
      <c r="E99" s="561" t="s">
        <v>1414</v>
      </c>
      <c r="F99" s="301" t="s">
        <v>1415</v>
      </c>
      <c r="G99" s="133"/>
      <c r="H99" s="354" t="s">
        <v>1122</v>
      </c>
      <c r="I99" s="301" t="s">
        <v>1416</v>
      </c>
      <c r="J99" s="557" t="s">
        <v>1417</v>
      </c>
      <c r="K99" s="301" t="s">
        <v>1418</v>
      </c>
      <c r="L99" s="191"/>
      <c r="M99" s="354" t="s">
        <v>1122</v>
      </c>
      <c r="N99" s="490" t="s">
        <v>1419</v>
      </c>
      <c r="O99" s="494" t="s">
        <v>1420</v>
      </c>
      <c r="P99" s="490" t="s">
        <v>1421</v>
      </c>
      <c r="Q99" s="10"/>
      <c r="S99" s="558" t="n">
        <v>2</v>
      </c>
      <c r="T99" s="534" t="s">
        <v>1122</v>
      </c>
      <c r="U99" s="479" t="n">
        <f aca="false">IF(D99="","",ROUND(4.184*D99+$S99*$T$9,3))</f>
        <v>-1923.738</v>
      </c>
      <c r="V99" s="479" t="n">
        <f aca="false">IF(E99="","",ROUND(4.184*E99,3))</f>
        <v>-2042.629</v>
      </c>
      <c r="W99" s="470" t="n">
        <f aca="false">IF(F99="","",ROUND(4.184*F99,3))</f>
        <v>94.977</v>
      </c>
      <c r="X99" s="133"/>
      <c r="Y99" s="354" t="s">
        <v>1122</v>
      </c>
      <c r="Z99" s="294" t="n">
        <f aca="false">IF(I99="","",ROUND(4.184*I99+$S99*$T$9,3))</f>
        <v>-2055.116</v>
      </c>
      <c r="AA99" s="294" t="n">
        <f aca="false">IF(J99="","",ROUND(4.184*J99,3))</f>
        <v>-2174.006</v>
      </c>
      <c r="AB99" s="470" t="n">
        <f aca="false">IF(K99="","",ROUND(4.184*K99,3))</f>
        <v>95.144</v>
      </c>
      <c r="AC99" s="191"/>
      <c r="AD99" s="354" t="s">
        <v>1122</v>
      </c>
      <c r="AE99" s="490" t="s">
        <v>1419</v>
      </c>
      <c r="AF99" s="494" t="s">
        <v>1420</v>
      </c>
      <c r="AG99" s="490" t="s">
        <v>1421</v>
      </c>
      <c r="AH99" s="87"/>
      <c r="AI99" s="354" t="s">
        <v>1122</v>
      </c>
      <c r="AJ99" s="562" t="n">
        <f aca="false">IF(D99="","",ROUND(D99+$S99*$AK$9,3))</f>
        <v>-459.784</v>
      </c>
      <c r="AK99" s="563" t="n">
        <f aca="false">IF(E99="","",ROUND(E99,3))</f>
        <v>-488.2</v>
      </c>
      <c r="AL99" s="303" t="n">
        <f aca="false">IF(F99="","",ROUND(F99,3))</f>
        <v>22.7</v>
      </c>
      <c r="AM99" s="133"/>
      <c r="AN99" s="354" t="s">
        <v>1122</v>
      </c>
      <c r="AO99" s="303" t="n">
        <f aca="false">IF(I99="","",ROUND(I99+$S99*$AK$9,3))</f>
        <v>-491.184</v>
      </c>
      <c r="AP99" s="559" t="n">
        <f aca="false">IF(J99="","",ROUND(J99,3))</f>
        <v>-519.6</v>
      </c>
      <c r="AQ99" s="303" t="n">
        <f aca="false">IF(K99="","",ROUND(K99,3))</f>
        <v>22.74</v>
      </c>
      <c r="AR99" s="191"/>
      <c r="AS99" s="354" t="s">
        <v>1122</v>
      </c>
      <c r="AT99" s="493" t="n">
        <f aca="false">IF(N99="","",ROUND(N99/4.184,3))</f>
        <v>-491.181</v>
      </c>
      <c r="AU99" s="495" t="n">
        <f aca="false">IF(O99="","",ROUND(O99/4.184,3))</f>
        <v>-519.598</v>
      </c>
      <c r="AV99" s="493" t="n">
        <f aca="false">IF(P99="","",ROUND(P99/4.184,3))</f>
        <v>22.739</v>
      </c>
    </row>
    <row r="100" customFormat="false" ht="12.75" hidden="false" customHeight="false" outlineLevel="0" collapsed="false">
      <c r="B100" s="353" t="s">
        <v>1123</v>
      </c>
      <c r="C100" s="354" t="s">
        <v>1124</v>
      </c>
      <c r="D100" s="301" t="s">
        <v>1422</v>
      </c>
      <c r="E100" s="557" t="s">
        <v>1423</v>
      </c>
      <c r="F100" s="301" t="s">
        <v>500</v>
      </c>
      <c r="G100" s="133"/>
      <c r="H100" s="354" t="s">
        <v>1124</v>
      </c>
      <c r="I100" s="301" t="s">
        <v>1424</v>
      </c>
      <c r="J100" s="557" t="s">
        <v>1425</v>
      </c>
      <c r="K100" s="301" t="s">
        <v>535</v>
      </c>
      <c r="L100" s="191"/>
      <c r="M100" s="354" t="s">
        <v>1124</v>
      </c>
      <c r="N100" s="490" t="s">
        <v>1426</v>
      </c>
      <c r="O100" s="494" t="s">
        <v>1427</v>
      </c>
      <c r="P100" s="490" t="s">
        <v>1428</v>
      </c>
      <c r="Q100" s="10"/>
      <c r="S100" s="558" t="n">
        <v>0.5</v>
      </c>
      <c r="T100" s="534" t="s">
        <v>1124</v>
      </c>
      <c r="U100" s="470" t="n">
        <f aca="false">IF(D100="","",ROUND(4.184*D100+$S100*$T$9,3))</f>
        <v>-604.153</v>
      </c>
      <c r="V100" s="470" t="n">
        <f aca="false">IF(E100="","",ROUND(4.184*E100,3))</f>
        <v>-635.55</v>
      </c>
      <c r="W100" s="470" t="n">
        <f aca="false">IF(F100="","",ROUND(4.184*F100,3))</f>
        <v>39.748</v>
      </c>
      <c r="X100" s="133"/>
      <c r="Y100" s="354" t="s">
        <v>1124</v>
      </c>
      <c r="Z100" s="470" t="n">
        <f aca="false">IF(I100="","",ROUND(4.184*I100+$S100*$T$9,3))</f>
        <v>-604.028</v>
      </c>
      <c r="AA100" s="470" t="n">
        <f aca="false">IF(J100="","",ROUND(4.184*J100,3))</f>
        <v>-635.089</v>
      </c>
      <c r="AB100" s="470" t="n">
        <f aca="false">IF(K100="","",ROUND(4.184*K100,3))</f>
        <v>39.748</v>
      </c>
      <c r="AC100" s="191"/>
      <c r="AD100" s="354" t="s">
        <v>1124</v>
      </c>
      <c r="AE100" s="490" t="s">
        <v>1426</v>
      </c>
      <c r="AF100" s="494" t="s">
        <v>1427</v>
      </c>
      <c r="AG100" s="490" t="s">
        <v>1428</v>
      </c>
      <c r="AH100" s="87"/>
      <c r="AI100" s="354" t="s">
        <v>1124</v>
      </c>
      <c r="AJ100" s="303" t="n">
        <f aca="false">IF(D100="","",ROUND(D100+$S100*$AK$9,3))</f>
        <v>-144.396</v>
      </c>
      <c r="AK100" s="559" t="n">
        <f aca="false">IF(E100="","",ROUND(E100,3))</f>
        <v>-151.9</v>
      </c>
      <c r="AL100" s="303" t="n">
        <f aca="false">IF(F100="","",ROUND(F100,3))</f>
        <v>9.5</v>
      </c>
      <c r="AM100" s="133"/>
      <c r="AN100" s="354" t="s">
        <v>1124</v>
      </c>
      <c r="AO100" s="303" t="n">
        <f aca="false">IF(I100="","",ROUND(I100+$S100*$AK$9,3))</f>
        <v>-144.366</v>
      </c>
      <c r="AP100" s="559" t="n">
        <f aca="false">IF(J100="","",ROUND(J100,3))</f>
        <v>-151.79</v>
      </c>
      <c r="AQ100" s="303" t="n">
        <f aca="false">IF(K100="","",ROUND(K100,3))</f>
        <v>9.5</v>
      </c>
      <c r="AR100" s="191"/>
      <c r="AS100" s="354" t="s">
        <v>1124</v>
      </c>
      <c r="AT100" s="493" t="n">
        <f aca="false">IF(N100="","",ROUND(N100/4.184,3))</f>
        <v>-144.367</v>
      </c>
      <c r="AU100" s="495" t="n">
        <f aca="false">IF(O100="","",ROUND(O100/4.184,3))</f>
        <v>-151.79</v>
      </c>
      <c r="AV100" s="493" t="n">
        <f aca="false">IF(P100="","",ROUND(P100/4.184,3))</f>
        <v>9.5</v>
      </c>
    </row>
    <row r="101" customFormat="false" ht="12.75" hidden="false" customHeight="false" outlineLevel="0" collapsed="false">
      <c r="B101" s="353" t="s">
        <v>1134</v>
      </c>
      <c r="C101" s="354" t="s">
        <v>1135</v>
      </c>
      <c r="D101" s="301" t="s">
        <v>1429</v>
      </c>
      <c r="E101" s="557" t="s">
        <v>1179</v>
      </c>
      <c r="F101" s="301" t="s">
        <v>1430</v>
      </c>
      <c r="G101" s="133"/>
      <c r="H101" s="354" t="s">
        <v>1135</v>
      </c>
      <c r="I101" s="301" t="s">
        <v>1431</v>
      </c>
      <c r="J101" s="557" t="s">
        <v>1432</v>
      </c>
      <c r="K101" s="301" t="s">
        <v>1433</v>
      </c>
      <c r="L101" s="191"/>
      <c r="M101" s="354" t="s">
        <v>1135</v>
      </c>
      <c r="N101" s="490" t="s">
        <v>1434</v>
      </c>
      <c r="O101" s="494" t="s">
        <v>1435</v>
      </c>
      <c r="P101" s="490" t="s">
        <v>1138</v>
      </c>
      <c r="Q101" s="10"/>
      <c r="S101" s="558" t="n">
        <v>2</v>
      </c>
      <c r="T101" s="534" t="s">
        <v>1135</v>
      </c>
      <c r="U101" s="470" t="n">
        <f aca="false">IF(D101="","",ROUND(4.184*D101+$S101*$T$9,3))</f>
        <v>-896.691</v>
      </c>
      <c r="V101" s="470" t="n">
        <f aca="false">IF(E101="","",ROUND(4.184*E101,3))</f>
        <v>-986.587</v>
      </c>
      <c r="W101" s="470" t="n">
        <f aca="false">IF(F101="","",ROUND(4.184*F101,3))</f>
        <v>76.149</v>
      </c>
      <c r="X101" s="133"/>
      <c r="Y101" s="354" t="s">
        <v>1135</v>
      </c>
      <c r="Z101" s="470" t="n">
        <f aca="false">IF(I101="","",ROUND(4.184*I101+$S101*$T$9,3))</f>
        <v>-898.491</v>
      </c>
      <c r="AA101" s="470" t="n">
        <f aca="false">IF(J101="","",ROUND(4.184*J101,3))</f>
        <v>-986.085</v>
      </c>
      <c r="AB101" s="470" t="n">
        <f aca="false">IF(K101="","",ROUND(4.184*K101,3))</f>
        <v>83.387</v>
      </c>
      <c r="AC101" s="191"/>
      <c r="AD101" s="354" t="s">
        <v>1135</v>
      </c>
      <c r="AE101" s="490" t="s">
        <v>1434</v>
      </c>
      <c r="AF101" s="494" t="s">
        <v>1435</v>
      </c>
      <c r="AG101" s="490" t="s">
        <v>1138</v>
      </c>
      <c r="AH101" s="87"/>
      <c r="AI101" s="354" t="s">
        <v>1135</v>
      </c>
      <c r="AJ101" s="303" t="n">
        <f aca="false">IF(D101="","",ROUND(D101+$S101*$AK$9,3))</f>
        <v>-214.314</v>
      </c>
      <c r="AK101" s="559" t="n">
        <f aca="false">IF(E101="","",ROUND(E101,3))</f>
        <v>-235.8</v>
      </c>
      <c r="AL101" s="303" t="n">
        <f aca="false">IF(F101="","",ROUND(F101,3))</f>
        <v>18.2</v>
      </c>
      <c r="AM101" s="133"/>
      <c r="AN101" s="354" t="s">
        <v>1135</v>
      </c>
      <c r="AO101" s="303" t="n">
        <f aca="false">IF(I101="","",ROUND(I101+$S101*$AK$9,3))</f>
        <v>-214.744</v>
      </c>
      <c r="AP101" s="559" t="n">
        <f aca="false">IF(J101="","",ROUND(J101,3))</f>
        <v>-235.68</v>
      </c>
      <c r="AQ101" s="303" t="n">
        <f aca="false">IF(K101="","",ROUND(K101,3))</f>
        <v>19.93</v>
      </c>
      <c r="AR101" s="191"/>
      <c r="AS101" s="354" t="s">
        <v>1135</v>
      </c>
      <c r="AT101" s="493" t="n">
        <f aca="false">IF(N101="","",ROUND(N101/4.184,3))</f>
        <v>-214.744</v>
      </c>
      <c r="AU101" s="495" t="n">
        <f aca="false">IF(O101="","",ROUND(O101/4.184,3))</f>
        <v>-235.681</v>
      </c>
      <c r="AV101" s="493" t="n">
        <f aca="false">IF(P101="","",ROUND(P101/4.184,3))</f>
        <v>19.931</v>
      </c>
    </row>
    <row r="102" customFormat="false" ht="12.75" hidden="false" customHeight="false" outlineLevel="0" collapsed="false">
      <c r="B102" s="353" t="s">
        <v>1139</v>
      </c>
      <c r="C102" s="354" t="s">
        <v>1140</v>
      </c>
      <c r="D102" s="301" t="n">
        <v>-269.78</v>
      </c>
      <c r="E102" s="557" t="n">
        <v>-288.45</v>
      </c>
      <c r="F102" s="301" t="n">
        <v>22.2</v>
      </c>
      <c r="G102" s="133"/>
      <c r="H102" s="354" t="s">
        <v>1140</v>
      </c>
      <c r="I102" s="301" t="s">
        <v>1436</v>
      </c>
      <c r="J102" s="557" t="n">
        <v>-288.46</v>
      </c>
      <c r="K102" s="301" t="n">
        <v>22.2</v>
      </c>
      <c r="L102" s="191"/>
      <c r="M102" s="354" t="s">
        <v>1140</v>
      </c>
      <c r="N102" s="490" t="n">
        <v>-1128.79</v>
      </c>
      <c r="O102" s="494" t="n">
        <v>-1206.92</v>
      </c>
      <c r="P102" s="490" t="n">
        <v>92.9</v>
      </c>
      <c r="Q102" s="10"/>
      <c r="S102" s="558" t="n">
        <v>1.5</v>
      </c>
      <c r="T102" s="534" t="s">
        <v>1140</v>
      </c>
      <c r="U102" s="470" t="n">
        <f aca="false">IF(D102="","",ROUND(4.184*D102+$S102*$T$9,3))</f>
        <v>-1128.711</v>
      </c>
      <c r="V102" s="470" t="n">
        <f aca="false">IF(E102="","",ROUND(4.184*E102,3))</f>
        <v>-1206.875</v>
      </c>
      <c r="W102" s="470" t="n">
        <f aca="false">IF(F102="","",ROUND(4.184*F102,3))</f>
        <v>92.885</v>
      </c>
      <c r="X102" s="133"/>
      <c r="Y102" s="354" t="s">
        <v>1140</v>
      </c>
      <c r="Z102" s="470" t="n">
        <f aca="false">IF(I102="","",ROUND(4.184*I102+$S102*$T$9,3))</f>
        <v>-1128.794</v>
      </c>
      <c r="AA102" s="470" t="n">
        <f aca="false">IF(J102="","",ROUND(4.184*J102,3))</f>
        <v>-1206.917</v>
      </c>
      <c r="AB102" s="470" t="n">
        <f aca="false">IF(K102="","",ROUND(4.184*K102,3))</f>
        <v>92.885</v>
      </c>
      <c r="AC102" s="191"/>
      <c r="AD102" s="354" t="s">
        <v>1140</v>
      </c>
      <c r="AE102" s="490" t="n">
        <v>-1128.79</v>
      </c>
      <c r="AF102" s="494" t="n">
        <v>-1206.92</v>
      </c>
      <c r="AG102" s="490" t="n">
        <v>92.9</v>
      </c>
      <c r="AH102" s="87"/>
      <c r="AI102" s="354" t="s">
        <v>1140</v>
      </c>
      <c r="AJ102" s="303" t="n">
        <f aca="false">IF(D102="","",ROUND(D102+$S102*$AK$9,3))</f>
        <v>-269.768</v>
      </c>
      <c r="AK102" s="559" t="n">
        <f aca="false">IF(E102="","",ROUND(E102,3))</f>
        <v>-288.45</v>
      </c>
      <c r="AL102" s="303" t="n">
        <f aca="false">IF(F102="","",ROUND(F102,3))</f>
        <v>22.2</v>
      </c>
      <c r="AM102" s="133"/>
      <c r="AN102" s="354" t="s">
        <v>1140</v>
      </c>
      <c r="AO102" s="303" t="n">
        <f aca="false">IF(I102="","",ROUND(I102+$S102*$AK$9,3))</f>
        <v>-269.788</v>
      </c>
      <c r="AP102" s="559" t="n">
        <f aca="false">IF(J102="","",ROUND(J102,3))</f>
        <v>-288.46</v>
      </c>
      <c r="AQ102" s="303" t="n">
        <f aca="false">IF(K102="","",ROUND(K102,3))</f>
        <v>22.2</v>
      </c>
      <c r="AR102" s="191"/>
      <c r="AS102" s="354" t="s">
        <v>1140</v>
      </c>
      <c r="AT102" s="493" t="n">
        <f aca="false">IF(N102="","",ROUND(N102/4.184,3))</f>
        <v>-269.787</v>
      </c>
      <c r="AU102" s="495" t="n">
        <f aca="false">IF(O102="","",ROUND(O102/4.184,3))</f>
        <v>-288.461</v>
      </c>
      <c r="AV102" s="493" t="n">
        <f aca="false">IF(P102="","",ROUND(P102/4.184,3))</f>
        <v>22.204</v>
      </c>
    </row>
    <row r="103" customFormat="false" ht="12.75" hidden="false" customHeight="false" outlineLevel="0" collapsed="false">
      <c r="B103" s="353" t="s">
        <v>1144</v>
      </c>
      <c r="C103" s="354" t="s">
        <v>1145</v>
      </c>
      <c r="D103" s="560" t="s">
        <v>1437</v>
      </c>
      <c r="E103" s="561" t="s">
        <v>1438</v>
      </c>
      <c r="F103" s="301" t="s">
        <v>1439</v>
      </c>
      <c r="G103" s="133"/>
      <c r="H103" s="354" t="s">
        <v>1145</v>
      </c>
      <c r="I103" s="301" t="s">
        <v>1440</v>
      </c>
      <c r="J103" s="557" t="s">
        <v>1441</v>
      </c>
      <c r="K103" s="301" t="s">
        <v>1442</v>
      </c>
      <c r="L103" s="191"/>
      <c r="M103" s="354" t="s">
        <v>1145</v>
      </c>
      <c r="N103" s="490" t="s">
        <v>1443</v>
      </c>
      <c r="O103" s="494" t="s">
        <v>1444</v>
      </c>
      <c r="P103" s="490" t="s">
        <v>1445</v>
      </c>
      <c r="Q103" s="10"/>
      <c r="S103" s="558" t="n">
        <v>1.5</v>
      </c>
      <c r="T103" s="534" t="s">
        <v>1145</v>
      </c>
      <c r="U103" s="479" t="n">
        <f aca="false">IF(D103="","",ROUND(4.184*D103+$S103*$T$9,3))</f>
        <v>-1498.66</v>
      </c>
      <c r="V103" s="479" t="n">
        <f aca="false">IF(E103="","",ROUND(4.184*E103,3))</f>
        <v>-1584.062</v>
      </c>
      <c r="W103" s="470" t="n">
        <f aca="false">IF(F103="","",ROUND(4.184*F103,3))</f>
        <v>82.006</v>
      </c>
      <c r="X103" s="133"/>
      <c r="Y103" s="354" t="s">
        <v>1145</v>
      </c>
      <c r="Z103" s="470" t="n">
        <f aca="false">IF(I103="","",ROUND(4.184*I103+$S103*$T$9,3))</f>
        <v>-1549.663</v>
      </c>
      <c r="AA103" s="470" t="n">
        <f aca="false">IF(J103="","",ROUND(4.184*J103,3))</f>
        <v>-1634.94</v>
      </c>
      <c r="AB103" s="470" t="n">
        <f aca="false">IF(K103="","",ROUND(4.184*K103,3))</f>
        <v>81.923</v>
      </c>
      <c r="AC103" s="191"/>
      <c r="AD103" s="354" t="s">
        <v>1145</v>
      </c>
      <c r="AE103" s="490" t="s">
        <v>1443</v>
      </c>
      <c r="AF103" s="494" t="s">
        <v>1444</v>
      </c>
      <c r="AG103" s="490" t="s">
        <v>1445</v>
      </c>
      <c r="AH103" s="87"/>
      <c r="AI103" s="354" t="s">
        <v>1145</v>
      </c>
      <c r="AJ103" s="562" t="n">
        <f aca="false">IF(D103="","",ROUND(D103+$S103*$AK$9,3))</f>
        <v>-358.188</v>
      </c>
      <c r="AK103" s="563" t="n">
        <f aca="false">IF(E103="","",ROUND(E103,3))</f>
        <v>-378.6</v>
      </c>
      <c r="AL103" s="303" t="n">
        <f aca="false">IF(F103="","",ROUND(F103,3))</f>
        <v>19.6</v>
      </c>
      <c r="AM103" s="133"/>
      <c r="AN103" s="354" t="s">
        <v>1145</v>
      </c>
      <c r="AO103" s="303" t="n">
        <f aca="false">IF(I103="","",ROUND(I103+$S103*$AK$9,3))</f>
        <v>-370.378</v>
      </c>
      <c r="AP103" s="559" t="n">
        <f aca="false">IF(J103="","",ROUND(J103,3))</f>
        <v>-390.76</v>
      </c>
      <c r="AQ103" s="303" t="n">
        <f aca="false">IF(K103="","",ROUND(K103,3))</f>
        <v>19.58</v>
      </c>
      <c r="AR103" s="191"/>
      <c r="AS103" s="354" t="s">
        <v>1145</v>
      </c>
      <c r="AT103" s="493" t="n">
        <f aca="false">IF(N103="","",ROUND(N103/4.184,3))</f>
        <v>-370.378</v>
      </c>
      <c r="AU103" s="495" t="n">
        <f aca="false">IF(O103="","",ROUND(O103/4.184,3))</f>
        <v>-390.76</v>
      </c>
      <c r="AV103" s="493" t="n">
        <f aca="false">IF(P103="","",ROUND(P103/4.184,3))</f>
        <v>19.579</v>
      </c>
    </row>
    <row r="104" customFormat="false" ht="12.75" hidden="false" customHeight="false" outlineLevel="0" collapsed="false">
      <c r="B104" s="354" t="s">
        <v>1146</v>
      </c>
      <c r="C104" s="354" t="s">
        <v>1146</v>
      </c>
      <c r="D104" s="301" t="s">
        <v>1446</v>
      </c>
      <c r="E104" s="557" t="s">
        <v>1447</v>
      </c>
      <c r="F104" s="301" t="s">
        <v>1448</v>
      </c>
      <c r="G104" s="133"/>
      <c r="H104" s="354" t="s">
        <v>1146</v>
      </c>
      <c r="I104" s="301" t="s">
        <v>1449</v>
      </c>
      <c r="J104" s="557" t="s">
        <v>1450</v>
      </c>
      <c r="K104" s="301" t="s">
        <v>1451</v>
      </c>
      <c r="L104" s="191"/>
      <c r="M104" s="354" t="s">
        <v>1146</v>
      </c>
      <c r="N104" s="490" t="s">
        <v>1452</v>
      </c>
      <c r="O104" s="494" t="s">
        <v>1453</v>
      </c>
      <c r="P104" s="490" t="s">
        <v>1454</v>
      </c>
      <c r="Q104" s="10"/>
      <c r="S104" s="558" t="n">
        <v>0.5</v>
      </c>
      <c r="T104" s="534" t="s">
        <v>1146</v>
      </c>
      <c r="U104" s="470" t="n">
        <f aca="false">IF(D104="","",ROUND(4.184*D104+$S104*$T$9,3))</f>
        <v>-376.544</v>
      </c>
      <c r="V104" s="470" t="n">
        <f aca="false">IF(E104="","",ROUND(4.184*E104,3))</f>
        <v>-415.89</v>
      </c>
      <c r="W104" s="470" t="n">
        <f aca="false">IF(F104="","",ROUND(4.184*F104,3))</f>
        <v>72.802</v>
      </c>
      <c r="X104" s="133"/>
      <c r="Y104" s="354" t="s">
        <v>1146</v>
      </c>
      <c r="Z104" s="470" t="n">
        <f aca="false">IF(I104="","",ROUND(4.184*I104+$S104*$T$9,3))</f>
        <v>-375.456</v>
      </c>
      <c r="AA104" s="470" t="n">
        <f aca="false">IF(J104="","",ROUND(4.184*J104,3))</f>
        <v>-414.216</v>
      </c>
      <c r="AB104" s="470" t="n">
        <f aca="false">IF(K104="","",ROUND(4.184*K104,3))</f>
        <v>75.061</v>
      </c>
      <c r="AC104" s="191"/>
      <c r="AD104" s="354" t="s">
        <v>1146</v>
      </c>
      <c r="AE104" s="490" t="s">
        <v>1452</v>
      </c>
      <c r="AF104" s="494" t="s">
        <v>1453</v>
      </c>
      <c r="AG104" s="490" t="s">
        <v>1454</v>
      </c>
      <c r="AH104" s="87"/>
      <c r="AI104" s="354" t="s">
        <v>1146</v>
      </c>
      <c r="AJ104" s="303" t="n">
        <f aca="false">IF(D104="","",ROUND(D104+$S104*$AK$9,3))</f>
        <v>-89.996</v>
      </c>
      <c r="AK104" s="559" t="n">
        <f aca="false">IF(E104="","",ROUND(E104,3))</f>
        <v>-99.4</v>
      </c>
      <c r="AL104" s="303" t="n">
        <f aca="false">IF(F104="","",ROUND(F104,3))</f>
        <v>17.4</v>
      </c>
      <c r="AM104" s="133"/>
      <c r="AN104" s="354" t="s">
        <v>1146</v>
      </c>
      <c r="AO104" s="303" t="n">
        <f aca="false">IF(I104="","",ROUND(I104+$S104*$AK$9,3))</f>
        <v>-89.736</v>
      </c>
      <c r="AP104" s="559" t="n">
        <f aca="false">IF(J104="","",ROUND(J104,3))</f>
        <v>-99</v>
      </c>
      <c r="AQ104" s="303" t="n">
        <f aca="false">IF(K104="","",ROUND(K104,3))</f>
        <v>17.94</v>
      </c>
      <c r="AR104" s="191"/>
      <c r="AS104" s="354" t="s">
        <v>1146</v>
      </c>
      <c r="AT104" s="493" t="n">
        <f aca="false">IF(N104="","",ROUND(N104/4.184,3))</f>
        <v>-89.737</v>
      </c>
      <c r="AU104" s="495" t="n">
        <f aca="false">IF(O104="","",ROUND(O104/4.184,3))</f>
        <v>-99.001</v>
      </c>
      <c r="AV104" s="493" t="n">
        <f aca="false">IF(P104="","",ROUND(P104/4.184,3))</f>
        <v>17.94</v>
      </c>
    </row>
    <row r="105" customFormat="false" ht="12.75" hidden="false" customHeight="false" outlineLevel="0" collapsed="false">
      <c r="A105" s="10"/>
      <c r="B105" s="353" t="s">
        <v>1147</v>
      </c>
      <c r="C105" s="354" t="s">
        <v>1148</v>
      </c>
      <c r="D105" s="301" t="s">
        <v>1455</v>
      </c>
      <c r="E105" s="557" t="s">
        <v>1456</v>
      </c>
      <c r="F105" s="301" t="s">
        <v>1457</v>
      </c>
      <c r="G105" s="133"/>
      <c r="H105" s="354" t="s">
        <v>1148</v>
      </c>
      <c r="I105" s="301" t="s">
        <v>1458</v>
      </c>
      <c r="J105" s="557" t="s">
        <v>1459</v>
      </c>
      <c r="K105" s="301" t="s">
        <v>1460</v>
      </c>
      <c r="L105" s="191"/>
      <c r="M105" s="354" t="s">
        <v>1148</v>
      </c>
      <c r="N105" s="490" t="s">
        <v>1461</v>
      </c>
      <c r="O105" s="494" t="s">
        <v>1462</v>
      </c>
      <c r="P105" s="490" t="s">
        <v>1149</v>
      </c>
      <c r="Q105" s="10"/>
      <c r="R105" s="10"/>
      <c r="S105" s="558" t="n">
        <v>0.5</v>
      </c>
      <c r="T105" s="534" t="s">
        <v>1148</v>
      </c>
      <c r="U105" s="470" t="n">
        <f aca="false">IF(D105="","",ROUND(4.184*D105+$S105*$T$9,3))</f>
        <v>-384.012</v>
      </c>
      <c r="V105" s="470" t="n">
        <f aca="false">IF(E105="","",ROUND(4.184*E105,3))</f>
        <v>-411.003</v>
      </c>
      <c r="W105" s="470" t="n">
        <f aca="false">IF(F105="","",ROUND(4.184*F105,3))</f>
        <v>72.383</v>
      </c>
      <c r="X105" s="133"/>
      <c r="Y105" s="354" t="s">
        <v>1148</v>
      </c>
      <c r="Z105" s="470" t="n">
        <f aca="false">IF(I105="","",ROUND(4.184*I105+$S105*$T$9,3))</f>
        <v>-384.138</v>
      </c>
      <c r="AA105" s="470" t="n">
        <f aca="false">IF(J105="","",ROUND(4.184*J105,3))</f>
        <v>-411.153</v>
      </c>
      <c r="AB105" s="470" t="n">
        <f aca="false">IF(K105="","",ROUND(4.184*K105,3))</f>
        <v>72.132</v>
      </c>
      <c r="AC105" s="191"/>
      <c r="AD105" s="354" t="s">
        <v>1148</v>
      </c>
      <c r="AE105" s="490" t="s">
        <v>1461</v>
      </c>
      <c r="AF105" s="494" t="s">
        <v>1462</v>
      </c>
      <c r="AG105" s="490" t="s">
        <v>1149</v>
      </c>
      <c r="AH105" s="87"/>
      <c r="AI105" s="354" t="s">
        <v>1148</v>
      </c>
      <c r="AJ105" s="303" t="n">
        <f aca="false">IF(D105="","",ROUND(D105+$S105*$AK$9,3))</f>
        <v>-91.781</v>
      </c>
      <c r="AK105" s="559" t="n">
        <f aca="false">IF(E105="","",ROUND(E105,3))</f>
        <v>-98.232</v>
      </c>
      <c r="AL105" s="303" t="n">
        <f aca="false">IF(F105="","",ROUND(F105,3))</f>
        <v>17.3</v>
      </c>
      <c r="AM105" s="133"/>
      <c r="AN105" s="354" t="s">
        <v>1148</v>
      </c>
      <c r="AO105" s="303" t="n">
        <f aca="false">IF(I105="","",ROUND(I105+$S105*$AK$9,3))</f>
        <v>-91.811</v>
      </c>
      <c r="AP105" s="559" t="n">
        <f aca="false">IF(J105="","",ROUND(J105,3))</f>
        <v>-98.268</v>
      </c>
      <c r="AQ105" s="303" t="n">
        <f aca="false">IF(K105="","",ROUND(K105,3))</f>
        <v>17.24</v>
      </c>
      <c r="AR105" s="191"/>
      <c r="AS105" s="354" t="s">
        <v>1148</v>
      </c>
      <c r="AT105" s="493" t="n">
        <f aca="false">IF(N105="","",ROUND(N105/4.184,3))</f>
        <v>-91.811</v>
      </c>
      <c r="AU105" s="495" t="n">
        <f aca="false">IF(O105="","",ROUND(O105/4.184,3))</f>
        <v>-98.268</v>
      </c>
      <c r="AV105" s="493" t="n">
        <f aca="false">IF(P105="","",ROUND(P105/4.184,3))</f>
        <v>17.239</v>
      </c>
    </row>
    <row r="106" customFormat="false" ht="12.75" hidden="false" customHeight="false" outlineLevel="0" collapsed="false">
      <c r="B106" s="354" t="s">
        <v>1154</v>
      </c>
      <c r="C106" s="354" t="s">
        <v>1154</v>
      </c>
      <c r="D106" s="292"/>
      <c r="E106" s="557" t="s">
        <v>1463</v>
      </c>
      <c r="F106" s="292"/>
      <c r="G106" s="133"/>
      <c r="H106" s="354" t="s">
        <v>1154</v>
      </c>
      <c r="I106" s="301"/>
      <c r="J106" s="557" t="s">
        <v>1463</v>
      </c>
      <c r="K106" s="301"/>
      <c r="L106" s="191"/>
      <c r="M106" s="354" t="s">
        <v>1154</v>
      </c>
      <c r="N106" s="490"/>
      <c r="O106" s="494" t="s">
        <v>1464</v>
      </c>
      <c r="P106" s="490"/>
      <c r="Q106" s="10"/>
      <c r="S106" s="558" t="n">
        <v>0.5</v>
      </c>
      <c r="T106" s="534" t="s">
        <v>1154</v>
      </c>
      <c r="U106" s="470" t="str">
        <f aca="false">IF(D106="","",ROUND(4.184*D106+$S106*$T$9,3))</f>
        <v/>
      </c>
      <c r="V106" s="470" t="n">
        <f aca="false">IF(E106="","",ROUND(4.184*E106,3))</f>
        <v>-361.498</v>
      </c>
      <c r="W106" s="470" t="str">
        <f aca="false">IF(F106="","",ROUND(4.184*F106,3))</f>
        <v/>
      </c>
      <c r="X106" s="133"/>
      <c r="Y106" s="354" t="s">
        <v>1154</v>
      </c>
      <c r="Z106" s="470" t="str">
        <f aca="false">IF(I106="","",ROUND(4.184*I106+$S106*$T$9,3))</f>
        <v/>
      </c>
      <c r="AA106" s="470" t="n">
        <f aca="false">IF(J106="","",ROUND(4.184*J106,3))</f>
        <v>-361.498</v>
      </c>
      <c r="AB106" s="470" t="str">
        <f aca="false">IF(K106="","",ROUND(4.184*K106,3))</f>
        <v/>
      </c>
      <c r="AC106" s="191"/>
      <c r="AD106" s="354" t="s">
        <v>1154</v>
      </c>
      <c r="AE106" s="490"/>
      <c r="AF106" s="494" t="s">
        <v>1464</v>
      </c>
      <c r="AG106" s="490"/>
      <c r="AH106" s="87"/>
      <c r="AI106" s="354" t="s">
        <v>1154</v>
      </c>
      <c r="AJ106" s="294" t="str">
        <f aca="false">IF(D106="","",ROUND(D106+$S106*$AK$9,3))</f>
        <v/>
      </c>
      <c r="AK106" s="559" t="n">
        <f aca="false">IF(E106="","",ROUND(E106,3))</f>
        <v>-86.4</v>
      </c>
      <c r="AL106" s="294" t="str">
        <f aca="false">IF(F106="","",ROUND(F106,3))</f>
        <v/>
      </c>
      <c r="AM106" s="133"/>
      <c r="AN106" s="354" t="s">
        <v>1154</v>
      </c>
      <c r="AO106" s="303" t="str">
        <f aca="false">IF(I106="","",ROUND(I106+$S106*$AK$9,3))</f>
        <v/>
      </c>
      <c r="AP106" s="559" t="n">
        <f aca="false">IF(J106="","",ROUND(J106,3))</f>
        <v>-86.4</v>
      </c>
      <c r="AQ106" s="303" t="str">
        <f aca="false">IF(K106="","",ROUND(K106,3))</f>
        <v/>
      </c>
      <c r="AR106" s="191"/>
      <c r="AS106" s="354" t="s">
        <v>1154</v>
      </c>
      <c r="AT106" s="493" t="str">
        <f aca="false">IF(N106="","",ROUND(N106/4.184,3))</f>
        <v/>
      </c>
      <c r="AU106" s="495" t="n">
        <f aca="false">IF(O106="","",ROUND(O106/4.184,3))</f>
        <v>-86.401</v>
      </c>
      <c r="AV106" s="493" t="str">
        <f aca="false">IF(P106="","",ROUND(P106/4.184,3))</f>
        <v/>
      </c>
    </row>
    <row r="107" customFormat="false" ht="13.5" hidden="false" customHeight="false" outlineLevel="0" collapsed="false">
      <c r="B107" s="374" t="s">
        <v>1155</v>
      </c>
      <c r="C107" s="375" t="s">
        <v>1156</v>
      </c>
      <c r="D107" s="307" t="s">
        <v>1465</v>
      </c>
      <c r="E107" s="564" t="s">
        <v>1466</v>
      </c>
      <c r="F107" s="307" t="s">
        <v>1467</v>
      </c>
      <c r="G107" s="10"/>
      <c r="H107" s="375" t="s">
        <v>1156</v>
      </c>
      <c r="I107" s="307" t="s">
        <v>1468</v>
      </c>
      <c r="J107" s="564" t="s">
        <v>1469</v>
      </c>
      <c r="K107" s="307" t="s">
        <v>1470</v>
      </c>
      <c r="L107" s="45"/>
      <c r="M107" s="375" t="s">
        <v>1156</v>
      </c>
      <c r="N107" s="498" t="s">
        <v>1471</v>
      </c>
      <c r="O107" s="499" t="s">
        <v>1472</v>
      </c>
      <c r="P107" s="498" t="s">
        <v>1473</v>
      </c>
      <c r="Q107" s="10"/>
      <c r="S107" s="565" t="n">
        <v>0.5</v>
      </c>
      <c r="T107" s="538" t="s">
        <v>1156</v>
      </c>
      <c r="U107" s="500" t="n">
        <f aca="false">IF(D107="","",ROUND(4.184*D107+$S107*$T$9,3))</f>
        <v>-408.309</v>
      </c>
      <c r="V107" s="500" t="n">
        <f aca="false">IF(E107="","",ROUND(4.184*E107,3))</f>
        <v>-435.868</v>
      </c>
      <c r="W107" s="500" t="n">
        <f aca="false">IF(F107="","",ROUND(4.184*F107,3))</f>
        <v>82.676</v>
      </c>
      <c r="X107" s="10"/>
      <c r="Y107" s="375" t="s">
        <v>1156</v>
      </c>
      <c r="Z107" s="500" t="n">
        <f aca="false">IF(I107="","",ROUND(4.184*I107+$S107*$T$9,3))</f>
        <v>-409.137</v>
      </c>
      <c r="AA107" s="500" t="n">
        <f aca="false">IF(J107="","",ROUND(4.184*J107,3))</f>
        <v>-436.747</v>
      </c>
      <c r="AB107" s="500" t="n">
        <f aca="false">IF(K107="","",ROUND(4.184*K107,3))</f>
        <v>82.592</v>
      </c>
      <c r="AC107" s="45"/>
      <c r="AD107" s="375" t="s">
        <v>1156</v>
      </c>
      <c r="AE107" s="498" t="s">
        <v>1471</v>
      </c>
      <c r="AF107" s="499" t="s">
        <v>1472</v>
      </c>
      <c r="AG107" s="498" t="s">
        <v>1473</v>
      </c>
      <c r="AH107" s="87"/>
      <c r="AI107" s="375" t="s">
        <v>1156</v>
      </c>
      <c r="AJ107" s="309" t="n">
        <f aca="false">IF(D107="","",ROUND(D107+$S107*$AK$9,3))</f>
        <v>-97.588</v>
      </c>
      <c r="AK107" s="566" t="n">
        <f aca="false">IF(E107="","",ROUND(E107,3))</f>
        <v>-104.175</v>
      </c>
      <c r="AL107" s="309" t="n">
        <f aca="false">IF(F107="","",ROUND(F107,3))</f>
        <v>19.76</v>
      </c>
      <c r="AM107" s="10"/>
      <c r="AN107" s="375" t="s">
        <v>1156</v>
      </c>
      <c r="AO107" s="309" t="n">
        <f aca="false">IF(I107="","",ROUND(I107+$S107*$AK$9,3))</f>
        <v>-97.786</v>
      </c>
      <c r="AP107" s="566" t="n">
        <f aca="false">IF(J107="","",ROUND(J107,3))</f>
        <v>-104.385</v>
      </c>
      <c r="AQ107" s="309" t="n">
        <f aca="false">IF(K107="","",ROUND(K107,3))</f>
        <v>19.74</v>
      </c>
      <c r="AR107" s="45"/>
      <c r="AS107" s="375" t="s">
        <v>1156</v>
      </c>
      <c r="AT107" s="502" t="n">
        <f aca="false">IF(N107="","",ROUND(N107/4.184,3))</f>
        <v>-97.787</v>
      </c>
      <c r="AU107" s="503" t="n">
        <f aca="false">IF(O107="","",ROUND(O107/4.184,3))</f>
        <v>-104.385</v>
      </c>
      <c r="AV107" s="502" t="n">
        <f aca="false">IF(P107="","",ROUND(P107/4.184,3))</f>
        <v>19.739</v>
      </c>
    </row>
    <row r="108" customFormat="false" ht="12.75" hidden="false" customHeight="false" outlineLevel="0" collapsed="false">
      <c r="B108" s="280"/>
      <c r="C108" s="280"/>
      <c r="D108" s="274"/>
      <c r="E108" s="274"/>
      <c r="F108" s="274"/>
      <c r="G108" s="10"/>
      <c r="H108" s="280"/>
      <c r="I108" s="274"/>
      <c r="J108" s="504"/>
      <c r="K108" s="504"/>
      <c r="L108" s="45"/>
      <c r="M108" s="280"/>
      <c r="N108" s="504"/>
      <c r="O108" s="504"/>
      <c r="P108" s="504"/>
      <c r="Q108" s="10"/>
    </row>
    <row r="109" customFormat="false" ht="12.75" hidden="false" customHeight="false" outlineLevel="0" collapsed="false">
      <c r="C109" s="84" t="s">
        <v>1474</v>
      </c>
      <c r="H109" s="84" t="s">
        <v>1475</v>
      </c>
      <c r="M109" s="84" t="s">
        <v>1475</v>
      </c>
    </row>
    <row r="110" customFormat="false" ht="14.25" hidden="false" customHeight="false" outlineLevel="0" collapsed="false">
      <c r="C110" s="84" t="s">
        <v>1476</v>
      </c>
      <c r="H110" s="84" t="s">
        <v>1477</v>
      </c>
      <c r="M110" s="84" t="s">
        <v>1478</v>
      </c>
    </row>
    <row r="111" customFormat="false" ht="12.75" hidden="false" customHeight="false" outlineLevel="0" collapsed="false">
      <c r="H111" s="84" t="s">
        <v>1479</v>
      </c>
      <c r="M111" s="84" t="s">
        <v>1479</v>
      </c>
    </row>
    <row r="112" customFormat="false" ht="12.75" hidden="false" customHeight="false" outlineLevel="0" collapsed="false">
      <c r="B112" s="378"/>
      <c r="C112" s="10" t="s">
        <v>1480</v>
      </c>
      <c r="H112" s="345" t="s">
        <v>1481</v>
      </c>
      <c r="I112" s="62" t="n">
        <v>-546.7</v>
      </c>
      <c r="J112" s="136" t="n">
        <v>-612.5</v>
      </c>
      <c r="K112" s="62" t="n">
        <v>33.51</v>
      </c>
      <c r="M112" s="345" t="s">
        <v>1481</v>
      </c>
      <c r="N112" s="62" t="n">
        <v>-2310.21</v>
      </c>
      <c r="O112" s="136" t="n">
        <v>-2586.67</v>
      </c>
      <c r="P112" s="62" t="s">
        <v>1482</v>
      </c>
    </row>
    <row r="113" customFormat="false" ht="12.75" hidden="false" customHeight="false" outlineLevel="0" collapsed="false">
      <c r="B113" s="379"/>
      <c r="C113" s="112" t="s">
        <v>1483</v>
      </c>
      <c r="H113" s="345" t="s">
        <v>1076</v>
      </c>
      <c r="I113" s="567" t="n">
        <f aca="false">I112/2</f>
        <v>-273.35</v>
      </c>
      <c r="J113" s="567" t="n">
        <f aca="false">J112/2</f>
        <v>-306.25</v>
      </c>
      <c r="K113" s="567" t="n">
        <f aca="false">K112/2</f>
        <v>16.755</v>
      </c>
      <c r="M113" s="345" t="s">
        <v>1076</v>
      </c>
      <c r="N113" s="567" t="n">
        <f aca="false">N112/2</f>
        <v>-1155.105</v>
      </c>
      <c r="O113" s="567" t="n">
        <f aca="false">O112/2</f>
        <v>-1293.335</v>
      </c>
      <c r="P113" s="567" t="n">
        <f aca="false">P112/2</f>
        <v>68.45</v>
      </c>
    </row>
    <row r="115" customFormat="false" ht="12.75" hidden="false" customHeight="false" outlineLevel="0" collapsed="false">
      <c r="H115" s="45"/>
    </row>
    <row r="116" customFormat="false" ht="12.75" hidden="false" customHeight="false" outlineLevel="0" collapsed="false">
      <c r="H116" s="345" t="s">
        <v>1043</v>
      </c>
      <c r="I116" s="297" t="n">
        <v>-204.75</v>
      </c>
      <c r="J116" s="477" t="n">
        <v>-217.72</v>
      </c>
      <c r="K116" s="292" t="s">
        <v>417</v>
      </c>
    </row>
    <row r="117" customFormat="false" ht="12.75" hidden="false" customHeight="false" outlineLevel="0" collapsed="false">
      <c r="H117" s="45"/>
      <c r="I117" s="191" t="n">
        <f aca="false">4.184*I116</f>
        <v>-856.674</v>
      </c>
      <c r="J117" s="191" t="n">
        <f aca="false">4.184*J116</f>
        <v>-910.94048</v>
      </c>
      <c r="K117" s="191" t="n">
        <f aca="false">4.184*K116</f>
        <v>41.84</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sheetPr filterMode="false">
    <pageSetUpPr fitToPage="false"/>
  </sheetPr>
  <dimension ref="A1:AV11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2" activeCellId="2" sqref="B16:B122 E16:F122 A12"/>
    </sheetView>
  </sheetViews>
  <sheetFormatPr defaultRowHeight="12.75" zeroHeight="false" outlineLevelRow="0" outlineLevelCol="0"/>
  <cols>
    <col collapsed="false" customWidth="true" hidden="false" outlineLevel="0" max="6" min="1" style="0" width="10.71"/>
    <col collapsed="false" customWidth="true" hidden="false" outlineLevel="0" max="7" min="7" style="44" width="10.71"/>
    <col collapsed="false" customWidth="true" hidden="false" outlineLevel="0" max="11" min="8" style="0" width="10.71"/>
    <col collapsed="false" customWidth="true" hidden="false" outlineLevel="0" max="21" min="12" style="44" width="10.71"/>
    <col collapsed="false" customWidth="true" hidden="false" outlineLevel="0" max="1025" min="22" style="0" width="10.71"/>
  </cols>
  <sheetData>
    <row r="1" customFormat="false" ht="12.75" hidden="false" customHeight="false" outlineLevel="0" collapsed="false">
      <c r="A1" s="9" t="str">
        <f aca="true">MID(CELL("filename",$A$1),   FIND("\[",CELL("filename",$A$1))+2,   FIND("]",CELL("filename",$A$1),FIND("\[",CELL("filename",$A$1))+2)-FIND("\[",CELL("filename",$A$1))-2)</f>
        <v>TDProperties_Rev0_v69.xlsx</v>
      </c>
    </row>
    <row r="2" customFormat="false" ht="12.75" hidden="false" customHeight="false" outlineLevel="0" collapsed="false">
      <c r="A2" s="0" t="str">
        <f aca="true">MID(CELL("filename",A1),FIND("]",CELL("filename",A1))+1,256)</f>
        <v>AGS Species USGS</v>
      </c>
    </row>
    <row r="3" customFormat="false" ht="12.75" hidden="false" customHeight="false" outlineLevel="0" collapsed="false">
      <c r="A3" s="44"/>
    </row>
    <row r="4" customFormat="false" ht="12.75" hidden="false" customHeight="false" outlineLevel="0" collapsed="false">
      <c r="A4" s="281" t="s">
        <v>1484</v>
      </c>
    </row>
    <row r="5" customFormat="false" ht="12.75" hidden="false" customHeight="false" outlineLevel="0" collapsed="false">
      <c r="A5" s="10" t="s">
        <v>150</v>
      </c>
      <c r="T5" s="10"/>
    </row>
    <row r="6" customFormat="false" ht="12.75" hidden="false" customHeight="false" outlineLevel="0" collapsed="false">
      <c r="A6" s="10" t="s">
        <v>775</v>
      </c>
    </row>
    <row r="7" customFormat="false" ht="12.75" hidden="false" customHeight="false" outlineLevel="0" collapsed="false">
      <c r="A7" s="10" t="s">
        <v>1198</v>
      </c>
    </row>
    <row r="8" customFormat="false" ht="14.25" hidden="false" customHeight="false" outlineLevel="0" collapsed="false">
      <c r="A8" s="45"/>
      <c r="C8" s="10" t="s">
        <v>1485</v>
      </c>
      <c r="M8" s="45" t="s">
        <v>1486</v>
      </c>
      <c r="R8" s="10" t="s">
        <v>1199</v>
      </c>
      <c r="T8" s="458" t="n">
        <v>0.1094</v>
      </c>
      <c r="U8" s="280" t="s">
        <v>1200</v>
      </c>
      <c r="AI8" s="280" t="s">
        <v>1199</v>
      </c>
      <c r="AJ8" s="71"/>
      <c r="AK8" s="459" t="n">
        <f aca="false">T8/4.184</f>
        <v>0.0261472275334608</v>
      </c>
      <c r="AL8" s="280" t="s">
        <v>1201</v>
      </c>
      <c r="AM8" s="71"/>
      <c r="AN8" s="71"/>
    </row>
    <row r="9" customFormat="false" ht="14.25" hidden="false" customHeight="false" outlineLevel="0" collapsed="false">
      <c r="A9" s="45"/>
      <c r="C9" s="10" t="s">
        <v>1487</v>
      </c>
      <c r="H9" s="10" t="s">
        <v>1488</v>
      </c>
      <c r="M9" s="45" t="s">
        <v>1489</v>
      </c>
      <c r="R9" s="10" t="s">
        <v>1203</v>
      </c>
      <c r="T9" s="460" t="n">
        <f aca="false">(298.15/1000)*T8</f>
        <v>0.03261761</v>
      </c>
      <c r="U9" s="280" t="s">
        <v>1204</v>
      </c>
      <c r="AI9" s="280" t="s">
        <v>1203</v>
      </c>
      <c r="AJ9" s="71"/>
      <c r="AK9" s="459" t="n">
        <f aca="false">T9/4.184</f>
        <v>0.00779579588910134</v>
      </c>
      <c r="AL9" s="280" t="s">
        <v>1205</v>
      </c>
      <c r="AM9" s="71"/>
      <c r="AN9" s="71"/>
    </row>
    <row r="10" customFormat="false" ht="14.25" hidden="false" customHeight="false" outlineLevel="0" collapsed="false">
      <c r="A10" s="45"/>
      <c r="C10" s="10" t="s">
        <v>1490</v>
      </c>
      <c r="H10" s="10" t="s">
        <v>1491</v>
      </c>
      <c r="M10" s="45" t="s">
        <v>1492</v>
      </c>
      <c r="R10" s="10" t="s">
        <v>1207</v>
      </c>
      <c r="T10" s="460" t="n">
        <f aca="false">-T9/2</f>
        <v>-0.016308805</v>
      </c>
      <c r="U10" s="280" t="s">
        <v>1208</v>
      </c>
      <c r="AI10" s="280" t="s">
        <v>1207</v>
      </c>
      <c r="AJ10" s="71"/>
      <c r="AK10" s="459" t="n">
        <f aca="false">T10/4.184</f>
        <v>-0.00389789794455067</v>
      </c>
      <c r="AL10" s="280" t="s">
        <v>1209</v>
      </c>
      <c r="AM10" s="71"/>
      <c r="AN10" s="71"/>
    </row>
    <row r="11" customFormat="false" ht="12.75" hidden="false" customHeight="false" outlineLevel="0" collapsed="false">
      <c r="C11" s="10" t="s">
        <v>1493</v>
      </c>
      <c r="H11" s="10" t="s">
        <v>1494</v>
      </c>
      <c r="M11" s="240" t="s">
        <v>1495</v>
      </c>
    </row>
    <row r="12" customFormat="false" ht="12.75" hidden="false" customHeight="false" outlineLevel="0" collapsed="false">
      <c r="C12" s="10"/>
      <c r="H12" s="10"/>
      <c r="M12" s="45"/>
    </row>
    <row r="13" customFormat="false" ht="12.75" hidden="false" customHeight="false" outlineLevel="0" collapsed="false">
      <c r="C13" s="9" t="s">
        <v>152</v>
      </c>
      <c r="H13" s="9" t="s">
        <v>152</v>
      </c>
      <c r="I13" s="44"/>
      <c r="J13" s="44"/>
      <c r="K13" s="44"/>
      <c r="M13" s="9" t="s">
        <v>152</v>
      </c>
      <c r="T13" s="9" t="s">
        <v>712</v>
      </c>
      <c r="X13" s="44"/>
      <c r="Y13" s="9" t="s">
        <v>152</v>
      </c>
      <c r="Z13" s="44"/>
      <c r="AA13" s="44"/>
      <c r="AB13" s="44"/>
      <c r="AC13" s="44"/>
      <c r="AD13" s="9" t="s">
        <v>152</v>
      </c>
      <c r="AE13" s="44"/>
      <c r="AF13" s="44"/>
      <c r="AG13" s="44"/>
      <c r="AI13" s="9" t="s">
        <v>712</v>
      </c>
      <c r="AM13" s="44"/>
      <c r="AN13" s="9" t="s">
        <v>712</v>
      </c>
      <c r="AO13" s="44"/>
      <c r="AP13" s="44"/>
      <c r="AQ13" s="44"/>
      <c r="AR13" s="44"/>
      <c r="AS13" s="9" t="s">
        <v>712</v>
      </c>
      <c r="AT13" s="44"/>
      <c r="AU13" s="44"/>
      <c r="AV13" s="44"/>
    </row>
    <row r="14" customFormat="false" ht="12.75" hidden="false" customHeight="false" outlineLevel="0" collapsed="false">
      <c r="C14" s="9" t="s">
        <v>159</v>
      </c>
      <c r="H14" s="9" t="s">
        <v>157</v>
      </c>
      <c r="I14" s="44"/>
      <c r="J14" s="44"/>
      <c r="K14" s="44"/>
      <c r="M14" s="9" t="s">
        <v>157</v>
      </c>
      <c r="T14" s="9" t="s">
        <v>157</v>
      </c>
      <c r="X14" s="44"/>
      <c r="Y14" s="9" t="s">
        <v>157</v>
      </c>
      <c r="Z14" s="44"/>
      <c r="AA14" s="44"/>
      <c r="AB14" s="44"/>
      <c r="AC14" s="44"/>
      <c r="AD14" s="9" t="s">
        <v>157</v>
      </c>
      <c r="AE14" s="44"/>
      <c r="AF14" s="44"/>
      <c r="AG14" s="44"/>
      <c r="AI14" s="9" t="s">
        <v>158</v>
      </c>
      <c r="AM14" s="44"/>
      <c r="AN14" s="9" t="s">
        <v>158</v>
      </c>
      <c r="AO14" s="44"/>
      <c r="AP14" s="44"/>
      <c r="AQ14" s="44"/>
      <c r="AR14" s="44"/>
      <c r="AS14" s="9" t="s">
        <v>158</v>
      </c>
      <c r="AT14" s="44"/>
      <c r="AU14" s="44"/>
      <c r="AV14" s="44"/>
    </row>
    <row r="15" customFormat="false" ht="13.5" hidden="false" customHeight="false" outlineLevel="0" collapsed="false">
      <c r="C15" s="10"/>
      <c r="X15" s="44"/>
      <c r="AC15" s="44"/>
      <c r="AD15" s="44"/>
      <c r="AE15" s="44"/>
      <c r="AF15" s="44"/>
      <c r="AG15" s="44"/>
      <c r="AM15" s="44"/>
      <c r="AN15" s="44"/>
      <c r="AO15" s="44"/>
      <c r="AP15" s="44"/>
      <c r="AQ15" s="44"/>
      <c r="AR15" s="44"/>
      <c r="AS15" s="44"/>
      <c r="AT15" s="44"/>
      <c r="AU15" s="44"/>
      <c r="AV15" s="44"/>
    </row>
    <row r="16" customFormat="false" ht="13.5" hidden="false" customHeight="false" outlineLevel="0" collapsed="false">
      <c r="C16" s="47" t="s">
        <v>1496</v>
      </c>
      <c r="D16" s="461"/>
      <c r="E16" s="461"/>
      <c r="F16" s="268"/>
      <c r="G16" s="455"/>
      <c r="H16" s="15" t="s">
        <v>1497</v>
      </c>
      <c r="I16" s="124"/>
      <c r="J16" s="124"/>
      <c r="K16" s="125"/>
      <c r="M16" s="47" t="s">
        <v>1498</v>
      </c>
      <c r="N16" s="568"/>
      <c r="O16" s="568"/>
      <c r="P16" s="569"/>
      <c r="R16" s="10"/>
      <c r="S16" s="10"/>
      <c r="T16" s="47" t="s">
        <v>1496</v>
      </c>
      <c r="U16" s="461"/>
      <c r="V16" s="461"/>
      <c r="W16" s="268"/>
      <c r="X16" s="455"/>
      <c r="Y16" s="15" t="s">
        <v>1497</v>
      </c>
      <c r="Z16" s="124"/>
      <c r="AA16" s="124"/>
      <c r="AB16" s="125"/>
      <c r="AC16" s="44"/>
      <c r="AD16" s="47" t="s">
        <v>1498</v>
      </c>
      <c r="AE16" s="568"/>
      <c r="AF16" s="568"/>
      <c r="AG16" s="569"/>
      <c r="AI16" s="47" t="s">
        <v>1496</v>
      </c>
      <c r="AJ16" s="461"/>
      <c r="AK16" s="461"/>
      <c r="AL16" s="268"/>
      <c r="AN16" s="15" t="s">
        <v>1497</v>
      </c>
      <c r="AO16" s="462"/>
      <c r="AP16" s="462"/>
      <c r="AQ16" s="463"/>
      <c r="AR16" s="44"/>
      <c r="AS16" s="15" t="s">
        <v>1498</v>
      </c>
      <c r="AT16" s="462"/>
      <c r="AU16" s="462"/>
      <c r="AV16" s="463"/>
    </row>
    <row r="17" customFormat="false" ht="12.75" hidden="false" customHeight="false" outlineLevel="0" collapsed="false">
      <c r="C17" s="11"/>
      <c r="D17" s="11"/>
      <c r="E17" s="11"/>
      <c r="F17" s="11"/>
      <c r="G17" s="455"/>
      <c r="H17" s="11"/>
      <c r="I17" s="11"/>
      <c r="J17" s="11"/>
      <c r="K17" s="11"/>
      <c r="M17" s="11"/>
      <c r="N17" s="11"/>
      <c r="O17" s="11"/>
      <c r="P17" s="11"/>
      <c r="R17" s="50"/>
      <c r="S17" s="50"/>
      <c r="T17" s="11"/>
      <c r="U17" s="11"/>
      <c r="V17" s="11"/>
      <c r="W17" s="11"/>
      <c r="Y17" s="11"/>
      <c r="Z17" s="11"/>
      <c r="AA17" s="11"/>
      <c r="AB17" s="11"/>
      <c r="AD17" s="11"/>
      <c r="AE17" s="11"/>
      <c r="AF17" s="11"/>
      <c r="AG17" s="11"/>
      <c r="AI17" s="11"/>
      <c r="AJ17" s="11"/>
      <c r="AK17" s="11"/>
      <c r="AL17" s="11"/>
      <c r="AN17" s="11"/>
      <c r="AO17" s="11"/>
      <c r="AP17" s="11"/>
      <c r="AQ17" s="11"/>
      <c r="AR17" s="44"/>
      <c r="AS17" s="11"/>
      <c r="AT17" s="11"/>
      <c r="AU17" s="11"/>
      <c r="AV17" s="11"/>
    </row>
    <row r="18" customFormat="false" ht="14.25" hidden="false" customHeight="false" outlineLevel="0" collapsed="false">
      <c r="C18" s="16" t="s">
        <v>782</v>
      </c>
      <c r="D18" s="113" t="s">
        <v>511</v>
      </c>
      <c r="E18" s="113" t="s">
        <v>512</v>
      </c>
      <c r="F18" s="53" t="s">
        <v>513</v>
      </c>
      <c r="G18" s="455"/>
      <c r="H18" s="16" t="s">
        <v>782</v>
      </c>
      <c r="I18" s="113" t="s">
        <v>511</v>
      </c>
      <c r="J18" s="113" t="s">
        <v>512</v>
      </c>
      <c r="K18" s="53" t="s">
        <v>513</v>
      </c>
      <c r="M18" s="16" t="s">
        <v>782</v>
      </c>
      <c r="N18" s="113" t="s">
        <v>511</v>
      </c>
      <c r="O18" s="113" t="s">
        <v>512</v>
      </c>
      <c r="P18" s="53" t="s">
        <v>513</v>
      </c>
      <c r="R18" s="53" t="s">
        <v>1187</v>
      </c>
      <c r="S18" s="53" t="s">
        <v>1214</v>
      </c>
      <c r="T18" s="16" t="s">
        <v>782</v>
      </c>
      <c r="U18" s="113" t="s">
        <v>511</v>
      </c>
      <c r="V18" s="113" t="s">
        <v>512</v>
      </c>
      <c r="W18" s="53" t="s">
        <v>513</v>
      </c>
      <c r="Y18" s="16" t="s">
        <v>782</v>
      </c>
      <c r="Z18" s="113" t="s">
        <v>511</v>
      </c>
      <c r="AA18" s="113" t="s">
        <v>512</v>
      </c>
      <c r="AB18" s="53" t="s">
        <v>513</v>
      </c>
      <c r="AD18" s="16" t="s">
        <v>782</v>
      </c>
      <c r="AE18" s="113" t="s">
        <v>511</v>
      </c>
      <c r="AF18" s="113" t="s">
        <v>512</v>
      </c>
      <c r="AG18" s="53" t="s">
        <v>513</v>
      </c>
      <c r="AI18" s="16" t="s">
        <v>782</v>
      </c>
      <c r="AJ18" s="113" t="s">
        <v>511</v>
      </c>
      <c r="AK18" s="113" t="s">
        <v>512</v>
      </c>
      <c r="AL18" s="53" t="s">
        <v>513</v>
      </c>
      <c r="AN18" s="16" t="s">
        <v>782</v>
      </c>
      <c r="AO18" s="113" t="s">
        <v>511</v>
      </c>
      <c r="AP18" s="113" t="s">
        <v>512</v>
      </c>
      <c r="AQ18" s="53" t="s">
        <v>513</v>
      </c>
      <c r="AR18" s="44"/>
      <c r="AS18" s="16" t="s">
        <v>782</v>
      </c>
      <c r="AT18" s="113" t="s">
        <v>511</v>
      </c>
      <c r="AU18" s="113" t="s">
        <v>512</v>
      </c>
      <c r="AV18" s="53" t="s">
        <v>513</v>
      </c>
    </row>
    <row r="19" customFormat="false" ht="15" hidden="false" customHeight="false" outlineLevel="0" collapsed="false">
      <c r="C19" s="21" t="s">
        <v>783</v>
      </c>
      <c r="D19" s="55" t="s">
        <v>514</v>
      </c>
      <c r="E19" s="55" t="s">
        <v>514</v>
      </c>
      <c r="F19" s="55" t="s">
        <v>1499</v>
      </c>
      <c r="G19" s="455"/>
      <c r="H19" s="21" t="s">
        <v>783</v>
      </c>
      <c r="I19" s="55" t="s">
        <v>784</v>
      </c>
      <c r="J19" s="55" t="s">
        <v>784</v>
      </c>
      <c r="K19" s="55" t="s">
        <v>167</v>
      </c>
      <c r="M19" s="21" t="s">
        <v>783</v>
      </c>
      <c r="N19" s="55" t="s">
        <v>784</v>
      </c>
      <c r="O19" s="55" t="s">
        <v>784</v>
      </c>
      <c r="P19" s="55" t="s">
        <v>167</v>
      </c>
      <c r="R19" s="464"/>
      <c r="S19" s="464"/>
      <c r="T19" s="21" t="s">
        <v>783</v>
      </c>
      <c r="U19" s="55" t="s">
        <v>784</v>
      </c>
      <c r="V19" s="55" t="s">
        <v>784</v>
      </c>
      <c r="W19" s="55" t="s">
        <v>167</v>
      </c>
      <c r="Y19" s="21" t="s">
        <v>783</v>
      </c>
      <c r="Z19" s="55" t="s">
        <v>784</v>
      </c>
      <c r="AA19" s="55" t="s">
        <v>784</v>
      </c>
      <c r="AB19" s="55" t="s">
        <v>167</v>
      </c>
      <c r="AD19" s="21" t="s">
        <v>783</v>
      </c>
      <c r="AE19" s="55" t="s">
        <v>784</v>
      </c>
      <c r="AF19" s="55" t="s">
        <v>784</v>
      </c>
      <c r="AG19" s="55" t="s">
        <v>167</v>
      </c>
      <c r="AI19" s="21" t="s">
        <v>783</v>
      </c>
      <c r="AJ19" s="55" t="s">
        <v>514</v>
      </c>
      <c r="AK19" s="55" t="s">
        <v>514</v>
      </c>
      <c r="AL19" s="55" t="s">
        <v>1499</v>
      </c>
      <c r="AN19" s="21" t="s">
        <v>783</v>
      </c>
      <c r="AO19" s="55" t="s">
        <v>514</v>
      </c>
      <c r="AP19" s="55" t="s">
        <v>514</v>
      </c>
      <c r="AQ19" s="55" t="s">
        <v>1499</v>
      </c>
      <c r="AR19" s="44"/>
      <c r="AS19" s="21" t="s">
        <v>783</v>
      </c>
      <c r="AT19" s="55" t="s">
        <v>514</v>
      </c>
      <c r="AU19" s="55" t="s">
        <v>514</v>
      </c>
      <c r="AV19" s="55" t="s">
        <v>1499</v>
      </c>
    </row>
    <row r="20" customFormat="false" ht="12.75" hidden="false" customHeight="false" outlineLevel="0" collapsed="false">
      <c r="B20" s="10"/>
      <c r="C20" s="345" t="s">
        <v>785</v>
      </c>
      <c r="D20" s="526" t="s">
        <v>1500</v>
      </c>
      <c r="E20" s="549"/>
      <c r="F20" s="337"/>
      <c r="G20" s="570"/>
      <c r="H20" s="345" t="s">
        <v>785</v>
      </c>
      <c r="I20" s="526" t="s">
        <v>786</v>
      </c>
      <c r="J20" s="466" t="s">
        <v>786</v>
      </c>
      <c r="K20" s="526" t="s">
        <v>786</v>
      </c>
      <c r="M20" s="345" t="s">
        <v>785</v>
      </c>
      <c r="N20" s="526" t="s">
        <v>1501</v>
      </c>
      <c r="O20" s="466" t="s">
        <v>1501</v>
      </c>
      <c r="P20" s="526" t="s">
        <v>1502</v>
      </c>
      <c r="Q20" s="66"/>
      <c r="R20" s="467" t="n">
        <v>1</v>
      </c>
      <c r="S20" s="467" t="n">
        <v>0.5</v>
      </c>
      <c r="T20" s="345" t="s">
        <v>785</v>
      </c>
      <c r="U20" s="469" t="n">
        <f aca="false">IF(D20="","",ROUND(4.184*D20+$S20*$T$9+$R20*$T$10,3))</f>
        <v>0</v>
      </c>
      <c r="V20" s="469" t="str">
        <f aca="false">IF(E20="","",ROUND(4.184*E20,3))</f>
        <v/>
      </c>
      <c r="W20" s="469" t="str">
        <f aca="false">IF(F20="","",ROUND(4.184*F20,3))</f>
        <v/>
      </c>
      <c r="Y20" s="345" t="s">
        <v>785</v>
      </c>
      <c r="Z20" s="526" t="s">
        <v>786</v>
      </c>
      <c r="AA20" s="526" t="s">
        <v>786</v>
      </c>
      <c r="AB20" s="571" t="s">
        <v>786</v>
      </c>
      <c r="AD20" s="345" t="s">
        <v>785</v>
      </c>
      <c r="AE20" s="526" t="s">
        <v>1501</v>
      </c>
      <c r="AF20" s="466" t="s">
        <v>1501</v>
      </c>
      <c r="AG20" s="526" t="s">
        <v>1502</v>
      </c>
      <c r="AI20" s="345" t="s">
        <v>785</v>
      </c>
      <c r="AJ20" s="470" t="n">
        <f aca="false">IF(D20="","",ROUND(D20+$S20*$AK$9+$R20*$AK$10,3))</f>
        <v>0</v>
      </c>
      <c r="AK20" s="471" t="str">
        <f aca="false">IF(E20="","",ROUND(E20,3))</f>
        <v/>
      </c>
      <c r="AL20" s="470" t="str">
        <f aca="false">IF(F20="","",ROUND(F20,3))</f>
        <v/>
      </c>
      <c r="AN20" s="345" t="s">
        <v>785</v>
      </c>
      <c r="AO20" s="470" t="n">
        <f aca="false">IF(I20="","",ROUND(I20/4.184,3))</f>
        <v>0</v>
      </c>
      <c r="AP20" s="471" t="n">
        <f aca="false">IF(J20="","",ROUND(J20/4.184,3))</f>
        <v>0</v>
      </c>
      <c r="AQ20" s="470" t="n">
        <f aca="false">IF(K20="","",ROUND(K20/4.184,3))</f>
        <v>0</v>
      </c>
      <c r="AR20" s="44"/>
      <c r="AS20" s="345" t="s">
        <v>785</v>
      </c>
      <c r="AT20" s="470" t="n">
        <f aca="false">IF(N20="","",ROUND(N20/4.184,3))</f>
        <v>0</v>
      </c>
      <c r="AU20" s="471" t="n">
        <f aca="false">IF(O20="","",ROUND(O20/4.184,3))</f>
        <v>0</v>
      </c>
      <c r="AV20" s="470" t="n">
        <f aca="false">IF(P20="","",ROUND(P20/4.184,3))</f>
        <v>0</v>
      </c>
    </row>
    <row r="21" customFormat="false" ht="12.75" hidden="false" customHeight="false" outlineLevel="0" collapsed="false">
      <c r="B21" s="10"/>
      <c r="C21" s="345" t="s">
        <v>787</v>
      </c>
      <c r="D21" s="465" t="s">
        <v>1503</v>
      </c>
      <c r="E21" s="477"/>
      <c r="F21" s="297"/>
      <c r="G21" s="570"/>
      <c r="H21" s="345" t="s">
        <v>787</v>
      </c>
      <c r="I21" s="465" t="s">
        <v>1504</v>
      </c>
      <c r="J21" s="466" t="s">
        <v>1505</v>
      </c>
      <c r="K21" s="465" t="s">
        <v>1506</v>
      </c>
      <c r="M21" s="345" t="s">
        <v>787</v>
      </c>
      <c r="N21" s="465" t="s">
        <v>1507</v>
      </c>
      <c r="O21" s="466" t="s">
        <v>1508</v>
      </c>
      <c r="P21" s="465" t="s">
        <v>1509</v>
      </c>
      <c r="Q21" s="66"/>
      <c r="R21" s="474" t="n">
        <v>-1</v>
      </c>
      <c r="S21" s="474" t="n">
        <v>1</v>
      </c>
      <c r="T21" s="345" t="s">
        <v>787</v>
      </c>
      <c r="U21" s="470" t="n">
        <f aca="false">IF(D21="","",ROUND(4.184*D21+$S21*$T$9+$R21*$T$10,3))</f>
        <v>-157.244</v>
      </c>
      <c r="V21" s="470" t="str">
        <f aca="false">IF(E21="","",ROUND(4.184*E21,3))</f>
        <v/>
      </c>
      <c r="W21" s="470" t="str">
        <f aca="false">IF(F21="","",ROUND(4.184*F21,3))</f>
        <v/>
      </c>
      <c r="Y21" s="345" t="s">
        <v>787</v>
      </c>
      <c r="Z21" s="465" t="s">
        <v>1504</v>
      </c>
      <c r="AA21" s="465" t="s">
        <v>1505</v>
      </c>
      <c r="AB21" s="571" t="s">
        <v>1506</v>
      </c>
      <c r="AD21" s="345" t="s">
        <v>787</v>
      </c>
      <c r="AE21" s="465" t="s">
        <v>1507</v>
      </c>
      <c r="AF21" s="466" t="s">
        <v>1508</v>
      </c>
      <c r="AG21" s="465" t="s">
        <v>1509</v>
      </c>
      <c r="AI21" s="345" t="s">
        <v>787</v>
      </c>
      <c r="AJ21" s="475" t="n">
        <f aca="false">IF(D21="","",ROUND(D21+$S21*$AK$9+$R21*$AK$10,3))</f>
        <v>-37.582</v>
      </c>
      <c r="AK21" s="476" t="str">
        <f aca="false">IF(E21="","",ROUND(E21,3))</f>
        <v/>
      </c>
      <c r="AL21" s="475" t="str">
        <f aca="false">IF(F21="","",ROUND(F21,3))</f>
        <v/>
      </c>
      <c r="AN21" s="345" t="s">
        <v>787</v>
      </c>
      <c r="AO21" s="475" t="n">
        <f aca="false">IF(I21="","",ROUND(I21/4.184,3))</f>
        <v>-37.602</v>
      </c>
      <c r="AP21" s="471" t="n">
        <f aca="false">IF(J21="","",ROUND(J21/4.184,3))</f>
        <v>-54.977</v>
      </c>
      <c r="AQ21" s="475" t="n">
        <f aca="false">IF(K21="","",ROUND(K21/4.184,3))</f>
        <v>-2.56</v>
      </c>
      <c r="AR21" s="44"/>
      <c r="AS21" s="345" t="s">
        <v>787</v>
      </c>
      <c r="AT21" s="475" t="n">
        <f aca="false">IF(N21="","",ROUND(N21/4.184,3))</f>
        <v>-37.596</v>
      </c>
      <c r="AU21" s="476" t="n">
        <f aca="false">IF(O21="","",ROUND(O21/4.184,3))</f>
        <v>-54.971</v>
      </c>
      <c r="AV21" s="475" t="n">
        <f aca="false">IF(P21="","",ROUND(P21/4.184,3))</f>
        <v>-2.557</v>
      </c>
    </row>
    <row r="22" customFormat="false" ht="12.75" hidden="false" customHeight="false" outlineLevel="0" collapsed="false">
      <c r="B22" s="10"/>
      <c r="C22" s="345" t="s">
        <v>794</v>
      </c>
      <c r="D22" s="465" t="s">
        <v>1510</v>
      </c>
      <c r="E22" s="549" t="s">
        <v>1511</v>
      </c>
      <c r="F22" s="292" t="s">
        <v>1512</v>
      </c>
      <c r="G22" s="570"/>
      <c r="H22" s="345" t="s">
        <v>794</v>
      </c>
      <c r="I22" s="465" t="s">
        <v>1513</v>
      </c>
      <c r="J22" s="466" t="s">
        <v>795</v>
      </c>
      <c r="K22" s="465" t="s">
        <v>796</v>
      </c>
      <c r="M22" s="345" t="s">
        <v>794</v>
      </c>
      <c r="N22" s="465" t="s">
        <v>1514</v>
      </c>
      <c r="O22" s="466" t="s">
        <v>1515</v>
      </c>
      <c r="P22" s="465" t="s">
        <v>1516</v>
      </c>
      <c r="Q22" s="66"/>
      <c r="R22" s="474" t="n">
        <v>0</v>
      </c>
      <c r="S22" s="474" t="n">
        <v>1.5</v>
      </c>
      <c r="T22" s="345" t="s">
        <v>794</v>
      </c>
      <c r="U22" s="470" t="n">
        <f aca="false">IF(D22="","",ROUND(4.184*D22+$S22*$T$9+$R22*$T$10,3))</f>
        <v>-237.134</v>
      </c>
      <c r="V22" s="470" t="n">
        <f aca="false">IF(E22="","",ROUND(4.184*E22,3))</f>
        <v>-285.83</v>
      </c>
      <c r="W22" s="470" t="n">
        <f aca="false">IF(F22="","",ROUND(4.184*F22,3))</f>
        <v>69.915</v>
      </c>
      <c r="Y22" s="345" t="s">
        <v>794</v>
      </c>
      <c r="Z22" s="465" t="s">
        <v>1513</v>
      </c>
      <c r="AA22" s="465" t="s">
        <v>795</v>
      </c>
      <c r="AB22" s="571" t="s">
        <v>796</v>
      </c>
      <c r="AD22" s="345" t="s">
        <v>794</v>
      </c>
      <c r="AE22" s="465" t="s">
        <v>1514</v>
      </c>
      <c r="AF22" s="466" t="s">
        <v>1515</v>
      </c>
      <c r="AG22" s="465" t="s">
        <v>1516</v>
      </c>
      <c r="AI22" s="345" t="s">
        <v>794</v>
      </c>
      <c r="AJ22" s="475" t="n">
        <f aca="false">IF(D22="","",ROUND(D22+$S22*$AK$9+$R22*$AK$10,3))</f>
        <v>-56.676</v>
      </c>
      <c r="AK22" s="476" t="n">
        <f aca="false">IF(E22="","",ROUND(E22,3))</f>
        <v>-68.315</v>
      </c>
      <c r="AL22" s="475" t="n">
        <f aca="false">IF(F22="","",ROUND(F22,3))</f>
        <v>16.71</v>
      </c>
      <c r="AN22" s="345" t="s">
        <v>794</v>
      </c>
      <c r="AO22" s="475" t="n">
        <f aca="false">IF(I22="","",ROUND(I22/4.184,3))</f>
        <v>-56.678</v>
      </c>
      <c r="AP22" s="476" t="n">
        <f aca="false">IF(J22="","",ROUND(J22/4.184,3))</f>
        <v>-68.315</v>
      </c>
      <c r="AQ22" s="475" t="n">
        <f aca="false">IF(K22="","",ROUND(K22/4.184,3))</f>
        <v>16.718</v>
      </c>
      <c r="AR22" s="44"/>
      <c r="AS22" s="345" t="s">
        <v>794</v>
      </c>
      <c r="AT22" s="475" t="n">
        <f aca="false">IF(N22="","",ROUND(N22/4.184,3))</f>
        <v>-56.668</v>
      </c>
      <c r="AU22" s="471" t="n">
        <f aca="false">IF(O22="","",ROUND(O22/4.184,3))</f>
        <v>-68.308</v>
      </c>
      <c r="AV22" s="475" t="n">
        <f aca="false">IF(P22="","",ROUND(P22/4.184,3))</f>
        <v>16.73</v>
      </c>
    </row>
    <row r="23" customFormat="false" ht="12.75" hidden="false" customHeight="false" outlineLevel="0" collapsed="false">
      <c r="B23" s="10"/>
      <c r="C23" s="345" t="s">
        <v>802</v>
      </c>
      <c r="D23" s="465" t="s">
        <v>1517</v>
      </c>
      <c r="E23" s="549"/>
      <c r="F23" s="292"/>
      <c r="G23" s="570"/>
      <c r="H23" s="345" t="s">
        <v>802</v>
      </c>
      <c r="I23" s="465" t="s">
        <v>1518</v>
      </c>
      <c r="J23" s="466" t="s">
        <v>809</v>
      </c>
      <c r="K23" s="465" t="s">
        <v>1519</v>
      </c>
      <c r="M23" s="345" t="s">
        <v>802</v>
      </c>
      <c r="N23" s="465" t="s">
        <v>1520</v>
      </c>
      <c r="O23" s="466" t="s">
        <v>1521</v>
      </c>
      <c r="P23" s="465" t="s">
        <v>805</v>
      </c>
      <c r="Q23" s="66"/>
      <c r="R23" s="474" t="n">
        <v>-1</v>
      </c>
      <c r="S23" s="474" t="n">
        <v>0.5</v>
      </c>
      <c r="T23" s="345" t="s">
        <v>802</v>
      </c>
      <c r="U23" s="470" t="n">
        <f aca="false">IF(D23="","",ROUND(4.184*D23+$S23*$T$9+$R23*$T$10,3))</f>
        <v>-278.789</v>
      </c>
      <c r="V23" s="470" t="str">
        <f aca="false">IF(E23="","",ROUND(4.184*E23,3))</f>
        <v/>
      </c>
      <c r="W23" s="470" t="str">
        <f aca="false">IF(F23="","",ROUND(4.184*F23,3))</f>
        <v/>
      </c>
      <c r="Y23" s="345" t="s">
        <v>802</v>
      </c>
      <c r="Z23" s="465" t="s">
        <v>1518</v>
      </c>
      <c r="AA23" s="465" t="s">
        <v>809</v>
      </c>
      <c r="AB23" s="571" t="s">
        <v>1519</v>
      </c>
      <c r="AD23" s="345" t="s">
        <v>802</v>
      </c>
      <c r="AE23" s="465" t="s">
        <v>1520</v>
      </c>
      <c r="AF23" s="466" t="s">
        <v>1521</v>
      </c>
      <c r="AG23" s="465" t="s">
        <v>805</v>
      </c>
      <c r="AI23" s="345" t="s">
        <v>802</v>
      </c>
      <c r="AJ23" s="475" t="n">
        <f aca="false">IF(D23="","",ROUND(D23+$S23*$AK$9+$R23*$AK$10,3))</f>
        <v>-66.632</v>
      </c>
      <c r="AK23" s="476" t="str">
        <f aca="false">IF(E23="","",ROUND(E23,3))</f>
        <v/>
      </c>
      <c r="AL23" s="475" t="str">
        <f aca="false">IF(F23="","",ROUND(F23,3))</f>
        <v/>
      </c>
      <c r="AN23" s="345" t="s">
        <v>802</v>
      </c>
      <c r="AO23" s="475" t="n">
        <f aca="false">IF(I23="","",ROUND(I23/4.184,3))</f>
        <v>-67.329</v>
      </c>
      <c r="AP23" s="471" t="n">
        <f aca="false">IF(J23="","",ROUND(J23/4.184,3))</f>
        <v>-80.151</v>
      </c>
      <c r="AQ23" s="475" t="n">
        <f aca="false">IF(K23="","",ROUND(K23/4.184,3))</f>
        <v>-3.15</v>
      </c>
      <c r="AR23" s="44"/>
      <c r="AS23" s="345" t="s">
        <v>802</v>
      </c>
      <c r="AT23" s="475" t="n">
        <f aca="false">IF(N23="","",ROUND(N23/4.184,3))</f>
        <v>-67.28</v>
      </c>
      <c r="AU23" s="476" t="n">
        <f aca="false">IF(O23="","",ROUND(O23/4.184,3))</f>
        <v>-80.163</v>
      </c>
      <c r="AV23" s="475" t="n">
        <f aca="false">IF(P23="","",ROUND(P23/4.184,3))</f>
        <v>-3.298</v>
      </c>
    </row>
    <row r="24" customFormat="false" ht="12.75" hidden="false" customHeight="false" outlineLevel="0" collapsed="false">
      <c r="B24" s="10"/>
      <c r="C24" s="345" t="s">
        <v>812</v>
      </c>
      <c r="D24" s="465" t="s">
        <v>1522</v>
      </c>
      <c r="E24" s="549"/>
      <c r="F24" s="292"/>
      <c r="G24" s="570"/>
      <c r="H24" s="345" t="s">
        <v>812</v>
      </c>
      <c r="I24" s="465" t="s">
        <v>1523</v>
      </c>
      <c r="J24" s="466" t="s">
        <v>813</v>
      </c>
      <c r="K24" s="465" t="s">
        <v>1524</v>
      </c>
      <c r="M24" s="345" t="s">
        <v>812</v>
      </c>
      <c r="N24" s="465" t="s">
        <v>1525</v>
      </c>
      <c r="O24" s="466" t="s">
        <v>1526</v>
      </c>
      <c r="P24" s="465" t="s">
        <v>814</v>
      </c>
      <c r="Q24" s="66"/>
      <c r="R24" s="474" t="n">
        <v>-1</v>
      </c>
      <c r="S24" s="474" t="n">
        <v>0.5</v>
      </c>
      <c r="T24" s="345" t="s">
        <v>812</v>
      </c>
      <c r="U24" s="470" t="n">
        <f aca="false">IF(D24="","",ROUND(4.184*D24+$S24*$T$9+$R24*$T$10,3))</f>
        <v>-131.228</v>
      </c>
      <c r="V24" s="470" t="str">
        <f aca="false">IF(E24="","",ROUND(4.184*E24,3))</f>
        <v/>
      </c>
      <c r="W24" s="470" t="str">
        <f aca="false">IF(F24="","",ROUND(4.184*F24,3))</f>
        <v/>
      </c>
      <c r="Y24" s="345" t="s">
        <v>812</v>
      </c>
      <c r="Z24" s="465" t="s">
        <v>1523</v>
      </c>
      <c r="AA24" s="465" t="s">
        <v>813</v>
      </c>
      <c r="AB24" s="571" t="s">
        <v>1524</v>
      </c>
      <c r="AD24" s="345" t="s">
        <v>812</v>
      </c>
      <c r="AE24" s="465" t="s">
        <v>1525</v>
      </c>
      <c r="AF24" s="466" t="s">
        <v>1526</v>
      </c>
      <c r="AG24" s="465" t="s">
        <v>814</v>
      </c>
      <c r="AI24" s="345" t="s">
        <v>812</v>
      </c>
      <c r="AJ24" s="470" t="n">
        <f aca="false">IF(D24="","",ROUND(D24+$S24*$AK$9+$R24*$AK$10,3))</f>
        <v>-31.364</v>
      </c>
      <c r="AK24" s="476" t="str">
        <f aca="false">IF(E24="","",ROUND(E24,3))</f>
        <v/>
      </c>
      <c r="AL24" s="475" t="str">
        <f aca="false">IF(F24="","",ROUND(F24,3))</f>
        <v/>
      </c>
      <c r="AN24" s="345" t="s">
        <v>812</v>
      </c>
      <c r="AO24" s="475" t="n">
        <f aca="false">IF(I24="","",ROUND(I24/4.184,3))</f>
        <v>-31.374</v>
      </c>
      <c r="AP24" s="476" t="n">
        <f aca="false">IF(J24="","",ROUND(J24/4.184,3))</f>
        <v>-39.933</v>
      </c>
      <c r="AQ24" s="475" t="n">
        <f aca="false">IF(K24="","",ROUND(K24/4.184,3))</f>
        <v>13.559</v>
      </c>
      <c r="AR24" s="44"/>
      <c r="AS24" s="345" t="s">
        <v>812</v>
      </c>
      <c r="AT24" s="475" t="n">
        <f aca="false">IF(N24="","",ROUND(N24/4.184,3))</f>
        <v>-31.358</v>
      </c>
      <c r="AU24" s="476" t="n">
        <f aca="false">IF(O24="","",ROUND(O24/4.184,3))</f>
        <v>-39.938</v>
      </c>
      <c r="AV24" s="475" t="n">
        <f aca="false">IF(P24="","",ROUND(P24/4.184,3))</f>
        <v>13.528</v>
      </c>
    </row>
    <row r="25" customFormat="false" ht="12.75" hidden="false" customHeight="false" outlineLevel="0" collapsed="false">
      <c r="A25" s="10"/>
      <c r="B25" s="10"/>
      <c r="C25" s="345" t="s">
        <v>818</v>
      </c>
      <c r="D25" s="465" t="s">
        <v>1527</v>
      </c>
      <c r="E25" s="477"/>
      <c r="F25" s="297"/>
      <c r="G25" s="570"/>
      <c r="H25" s="345" t="s">
        <v>818</v>
      </c>
      <c r="I25" s="465" t="s">
        <v>1528</v>
      </c>
      <c r="J25" s="466" t="s">
        <v>1529</v>
      </c>
      <c r="K25" s="465" t="s">
        <v>1530</v>
      </c>
      <c r="M25" s="345" t="s">
        <v>818</v>
      </c>
      <c r="N25" s="465" t="s">
        <v>1531</v>
      </c>
      <c r="O25" s="466" t="s">
        <v>1532</v>
      </c>
      <c r="P25" s="465" t="s">
        <v>820</v>
      </c>
      <c r="Q25" s="66"/>
      <c r="R25" s="474" t="n">
        <v>-1</v>
      </c>
      <c r="S25" s="474" t="n">
        <v>0</v>
      </c>
      <c r="T25" s="345" t="s">
        <v>818</v>
      </c>
      <c r="U25" s="470" t="n">
        <f aca="false">IF(D25="","",ROUND(4.184*D25+$S25*$T$9+$R25*$T$10,3))</f>
        <v>-103.956</v>
      </c>
      <c r="V25" s="470" t="str">
        <f aca="false">IF(E25="","",ROUND(4.184*E25,3))</f>
        <v/>
      </c>
      <c r="W25" s="470" t="str">
        <f aca="false">IF(F25="","",ROUND(4.184*F25,3))</f>
        <v/>
      </c>
      <c r="Y25" s="345" t="s">
        <v>818</v>
      </c>
      <c r="Z25" s="465" t="s">
        <v>1528</v>
      </c>
      <c r="AA25" s="465" t="s">
        <v>1529</v>
      </c>
      <c r="AB25" s="571" t="s">
        <v>1530</v>
      </c>
      <c r="AD25" s="345" t="s">
        <v>818</v>
      </c>
      <c r="AE25" s="465" t="s">
        <v>1531</v>
      </c>
      <c r="AF25" s="466" t="s">
        <v>1532</v>
      </c>
      <c r="AG25" s="465" t="s">
        <v>820</v>
      </c>
      <c r="AI25" s="345" t="s">
        <v>818</v>
      </c>
      <c r="AJ25" s="475" t="n">
        <f aca="false">IF(D25="","",ROUND(D25+$S25*$AK$9+$R25*$AK$10,3))</f>
        <v>-24.846</v>
      </c>
      <c r="AK25" s="471" t="str">
        <f aca="false">IF(E25="","",ROUND(E25,3))</f>
        <v/>
      </c>
      <c r="AL25" s="470" t="str">
        <f aca="false">IF(F25="","",ROUND(F25,3))</f>
        <v/>
      </c>
      <c r="AN25" s="345" t="s">
        <v>818</v>
      </c>
      <c r="AO25" s="475" t="n">
        <f aca="false">IF(I25="","",ROUND(I25/4.184,3))</f>
        <v>-24.859</v>
      </c>
      <c r="AP25" s="476" t="n">
        <f aca="false">IF(J25="","",ROUND(J25/4.184,3))</f>
        <v>-29.039</v>
      </c>
      <c r="AQ25" s="475" t="n">
        <f aca="false">IF(K25="","",ROUND(K25/4.184,3))</f>
        <v>19.799</v>
      </c>
      <c r="AR25" s="44"/>
      <c r="AS25" s="345" t="s">
        <v>818</v>
      </c>
      <c r="AT25" s="475" t="n">
        <f aca="false">IF(N25="","",ROUND(N25/4.184,3))</f>
        <v>-24.809</v>
      </c>
      <c r="AU25" s="476" t="n">
        <f aca="false">IF(O25="","",ROUND(O25/4.184,3))</f>
        <v>-29.015</v>
      </c>
      <c r="AV25" s="475" t="n">
        <f aca="false">IF(P25="","",ROUND(P25/4.184,3))</f>
        <v>19.73</v>
      </c>
    </row>
    <row r="26" customFormat="false" ht="12.75" hidden="false" customHeight="false" outlineLevel="0" collapsed="false">
      <c r="A26" s="10"/>
      <c r="B26" s="10"/>
      <c r="C26" s="345" t="s">
        <v>825</v>
      </c>
      <c r="D26" s="465" t="s">
        <v>1533</v>
      </c>
      <c r="E26" s="477"/>
      <c r="F26" s="297"/>
      <c r="G26" s="570"/>
      <c r="H26" s="345" t="s">
        <v>825</v>
      </c>
      <c r="I26" s="465" t="s">
        <v>1534</v>
      </c>
      <c r="J26" s="466" t="s">
        <v>1535</v>
      </c>
      <c r="K26" s="465" t="s">
        <v>1536</v>
      </c>
      <c r="M26" s="345" t="s">
        <v>825</v>
      </c>
      <c r="N26" s="465" t="s">
        <v>1537</v>
      </c>
      <c r="O26" s="466" t="s">
        <v>1538</v>
      </c>
      <c r="P26" s="465" t="s">
        <v>828</v>
      </c>
      <c r="Q26" s="66"/>
      <c r="R26" s="474" t="n">
        <v>-1</v>
      </c>
      <c r="S26" s="474" t="n">
        <v>0</v>
      </c>
      <c r="T26" s="345" t="s">
        <v>825</v>
      </c>
      <c r="U26" s="470" t="n">
        <f aca="false">IF(D26="","",ROUND(4.184*D26+$S26*$T$9+$R26*$T$10,3))</f>
        <v>-51.572</v>
      </c>
      <c r="V26" s="470" t="str">
        <f aca="false">IF(E26="","",ROUND(4.184*E26,3))</f>
        <v/>
      </c>
      <c r="W26" s="470" t="str">
        <f aca="false">IF(F26="","",ROUND(4.184*F26,3))</f>
        <v/>
      </c>
      <c r="Y26" s="345" t="s">
        <v>825</v>
      </c>
      <c r="Z26" s="465" t="s">
        <v>1534</v>
      </c>
      <c r="AA26" s="465" t="s">
        <v>1535</v>
      </c>
      <c r="AB26" s="571" t="s">
        <v>1536</v>
      </c>
      <c r="AD26" s="345" t="s">
        <v>825</v>
      </c>
      <c r="AE26" s="465" t="s">
        <v>1537</v>
      </c>
      <c r="AF26" s="466" t="s">
        <v>1538</v>
      </c>
      <c r="AG26" s="465" t="s">
        <v>828</v>
      </c>
      <c r="AI26" s="345" t="s">
        <v>825</v>
      </c>
      <c r="AJ26" s="470" t="n">
        <f aca="false">IF(D26="","",ROUND(D26+$S26*$AK$9+$R26*$AK$10,3))</f>
        <v>-12.326</v>
      </c>
      <c r="AK26" s="471" t="str">
        <f aca="false">IF(E26="","",ROUND(E26,3))</f>
        <v/>
      </c>
      <c r="AL26" s="470" t="str">
        <f aca="false">IF(F26="","",ROUND(F26,3))</f>
        <v/>
      </c>
      <c r="AN26" s="345" t="s">
        <v>825</v>
      </c>
      <c r="AO26" s="470" t="n">
        <f aca="false">IF(I26="","",ROUND(I26/4.184,3))</f>
        <v>-12.408</v>
      </c>
      <c r="AP26" s="471" t="n">
        <f aca="false">IF(J26="","",ROUND(J26/4.184,3))</f>
        <v>-13.599</v>
      </c>
      <c r="AQ26" s="470" t="n">
        <f aca="false">IF(K26="","",ROUND(K26/4.184,3))</f>
        <v>25.502</v>
      </c>
      <c r="AR26" s="44"/>
      <c r="AS26" s="345" t="s">
        <v>825</v>
      </c>
      <c r="AT26" s="470" t="n">
        <f aca="false">IF(N26="","",ROUND(N26/4.184,3))</f>
        <v>-12.357</v>
      </c>
      <c r="AU26" s="471" t="n">
        <f aca="false">IF(O26="","",ROUND(O26/4.184,3))</f>
        <v>-13.576</v>
      </c>
      <c r="AV26" s="470" t="n">
        <f aca="false">IF(P26="","",ROUND(P26/4.184,3))</f>
        <v>25.442</v>
      </c>
    </row>
    <row r="27" customFormat="false" ht="12.75" hidden="false" customHeight="false" outlineLevel="0" collapsed="false">
      <c r="C27" s="345" t="s">
        <v>833</v>
      </c>
      <c r="D27" s="256" t="s">
        <v>1539</v>
      </c>
      <c r="E27" s="477"/>
      <c r="F27" s="297"/>
      <c r="G27" s="570"/>
      <c r="H27" s="345" t="s">
        <v>833</v>
      </c>
      <c r="I27" s="292" t="s">
        <v>1540</v>
      </c>
      <c r="J27" s="466" t="s">
        <v>1541</v>
      </c>
      <c r="K27" s="465" t="s">
        <v>1542</v>
      </c>
      <c r="M27" s="345" t="s">
        <v>833</v>
      </c>
      <c r="N27" s="465" t="s">
        <v>1543</v>
      </c>
      <c r="O27" s="466" t="s">
        <v>1544</v>
      </c>
      <c r="P27" s="465" t="s">
        <v>330</v>
      </c>
      <c r="Q27" s="66"/>
      <c r="R27" s="474" t="n">
        <v>-2</v>
      </c>
      <c r="S27" s="474" t="n">
        <v>2</v>
      </c>
      <c r="T27" s="345" t="s">
        <v>833</v>
      </c>
      <c r="U27" s="479" t="n">
        <f aca="false">IF(D27="","",ROUND(4.184*D27+$S27*$T$9+$R27*$T$10,3))</f>
        <v>-493.489</v>
      </c>
      <c r="V27" s="470" t="str">
        <f aca="false">IF(E27="","",ROUND(4.184*E27,3))</f>
        <v/>
      </c>
      <c r="W27" s="470" t="str">
        <f aca="false">IF(F27="","",ROUND(4.184*F27,3))</f>
        <v/>
      </c>
      <c r="Y27" s="345" t="s">
        <v>833</v>
      </c>
      <c r="Z27" s="292" t="s">
        <v>1540</v>
      </c>
      <c r="AA27" s="465" t="s">
        <v>1541</v>
      </c>
      <c r="AB27" s="571" t="s">
        <v>1542</v>
      </c>
      <c r="AD27" s="345" t="s">
        <v>833</v>
      </c>
      <c r="AE27" s="465" t="s">
        <v>1543</v>
      </c>
      <c r="AF27" s="466" t="s">
        <v>1544</v>
      </c>
      <c r="AG27" s="465" t="s">
        <v>330</v>
      </c>
      <c r="AI27" s="345" t="s">
        <v>833</v>
      </c>
      <c r="AJ27" s="481" t="n">
        <f aca="false">IF(D27="","",ROUND(D27+$S27*$AK$9+$R27*$AK$10,3))</f>
        <v>-117.947</v>
      </c>
      <c r="AK27" s="471" t="str">
        <f aca="false">IF(E27="","",ROUND(E27,3))</f>
        <v/>
      </c>
      <c r="AL27" s="475" t="str">
        <f aca="false">IF(F27="","",ROUND(F27,3))</f>
        <v/>
      </c>
      <c r="AN27" s="345" t="s">
        <v>833</v>
      </c>
      <c r="AO27" s="475" t="n">
        <f aca="false">IF(I27="","",ROUND(I27/4.184,3))</f>
        <v>-177.971</v>
      </c>
      <c r="AP27" s="476" t="n">
        <f aca="false">IF(J27="","",ROUND(J27/4.184,3))</f>
        <v>-217.321</v>
      </c>
      <c r="AQ27" s="475" t="n">
        <f aca="false">IF(K27="","",ROUND(K27/4.184,3))</f>
        <v>4.78</v>
      </c>
      <c r="AR27" s="44"/>
      <c r="AS27" s="345" t="s">
        <v>833</v>
      </c>
      <c r="AT27" s="475" t="n">
        <f aca="false">IF(N27="","",ROUND(N27/4.184,3))</f>
        <v>-177.82</v>
      </c>
      <c r="AU27" s="476" t="n">
        <f aca="false">IF(O27="","",ROUND(O27/4.184,3))</f>
        <v>-217.328</v>
      </c>
      <c r="AV27" s="475" t="n">
        <f aca="false">IF(P27="","",ROUND(P27/4.184,3))</f>
        <v>4.422</v>
      </c>
    </row>
    <row r="28" customFormat="false" ht="12.75" hidden="false" customHeight="false" outlineLevel="0" collapsed="false">
      <c r="A28" s="10"/>
      <c r="B28" s="10"/>
      <c r="C28" s="345" t="s">
        <v>840</v>
      </c>
      <c r="D28" s="256" t="s">
        <v>1545</v>
      </c>
      <c r="E28" s="477"/>
      <c r="F28" s="297"/>
      <c r="G28" s="570"/>
      <c r="H28" s="345" t="s">
        <v>840</v>
      </c>
      <c r="I28" s="292" t="s">
        <v>1546</v>
      </c>
      <c r="J28" s="466" t="s">
        <v>1547</v>
      </c>
      <c r="K28" s="465" t="s">
        <v>1548</v>
      </c>
      <c r="M28" s="345" t="s">
        <v>840</v>
      </c>
      <c r="N28" s="256" t="s">
        <v>1301</v>
      </c>
      <c r="O28" s="549" t="s">
        <v>1549</v>
      </c>
      <c r="P28" s="465" t="s">
        <v>1550</v>
      </c>
      <c r="Q28" s="87"/>
      <c r="R28" s="474" t="n">
        <v>-1</v>
      </c>
      <c r="S28" s="474" t="n">
        <v>0.5</v>
      </c>
      <c r="T28" s="345" t="s">
        <v>840</v>
      </c>
      <c r="U28" s="479" t="n">
        <f aca="false">IF(D28="","",ROUND(4.184*D28+$S28*$T$9+$R28*$T$10,3))</f>
        <v>-12.017</v>
      </c>
      <c r="V28" s="470" t="str">
        <f aca="false">IF(E28="","",ROUND(4.184*E28,3))</f>
        <v/>
      </c>
      <c r="W28" s="470" t="str">
        <f aca="false">IF(F28="","",ROUND(4.184*F28,3))</f>
        <v/>
      </c>
      <c r="Y28" s="345" t="s">
        <v>840</v>
      </c>
      <c r="Z28" s="292" t="s">
        <v>1546</v>
      </c>
      <c r="AA28" s="465" t="s">
        <v>1547</v>
      </c>
      <c r="AB28" s="571" t="s">
        <v>1548</v>
      </c>
      <c r="AD28" s="345" t="s">
        <v>840</v>
      </c>
      <c r="AE28" s="256" t="s">
        <v>1301</v>
      </c>
      <c r="AF28" s="549" t="s">
        <v>1549</v>
      </c>
      <c r="AG28" s="465" t="s">
        <v>1550</v>
      </c>
      <c r="AI28" s="345" t="s">
        <v>840</v>
      </c>
      <c r="AJ28" s="481" t="n">
        <f aca="false">IF(D28="","",ROUND(D28+$S28*$AK$9+$R28*$AK$10,3))</f>
        <v>-2.872</v>
      </c>
      <c r="AK28" s="476" t="str">
        <f aca="false">IF(E28="","",ROUND(E28,3))</f>
        <v/>
      </c>
      <c r="AL28" s="475" t="str">
        <f aca="false">IF(F28="","",ROUND(F28,3))</f>
        <v/>
      </c>
      <c r="AN28" s="345" t="s">
        <v>840</v>
      </c>
      <c r="AO28" s="475" t="n">
        <f aca="false">IF(I28="","",ROUND(I28/4.184,3))</f>
        <v>2.892</v>
      </c>
      <c r="AP28" s="476" t="n">
        <f aca="false">IF(J28="","",ROUND(J28/4.184,3))</f>
        <v>-4.063</v>
      </c>
      <c r="AQ28" s="470" t="n">
        <f aca="false">IF(K28="","",ROUND(K28/4.184,3))</f>
        <v>15.01</v>
      </c>
      <c r="AR28" s="44"/>
      <c r="AS28" s="345" t="s">
        <v>840</v>
      </c>
      <c r="AT28" s="481" t="n">
        <f aca="false">IF(N28="","",ROUND(N28/4.184,3))</f>
        <v>10.707</v>
      </c>
      <c r="AU28" s="476" t="n">
        <f aca="false">IF(O28="","",ROUND(O28/4.184,3))</f>
        <v>3.896</v>
      </c>
      <c r="AV28" s="475" t="n">
        <f aca="false">IF(P28="","",ROUND(P28/4.184,3))</f>
        <v>16.013</v>
      </c>
    </row>
    <row r="29" customFormat="false" ht="12.75" hidden="false" customHeight="false" outlineLevel="0" collapsed="false">
      <c r="A29" s="10"/>
      <c r="B29" s="10"/>
      <c r="C29" s="345" t="s">
        <v>851</v>
      </c>
      <c r="D29" s="465" t="s">
        <v>1551</v>
      </c>
      <c r="E29" s="477"/>
      <c r="F29" s="297"/>
      <c r="G29" s="570"/>
      <c r="H29" s="345" t="s">
        <v>851</v>
      </c>
      <c r="I29" s="465" t="s">
        <v>1552</v>
      </c>
      <c r="J29" s="466" t="s">
        <v>1553</v>
      </c>
      <c r="K29" s="465" t="s">
        <v>1554</v>
      </c>
      <c r="M29" s="345" t="s">
        <v>851</v>
      </c>
      <c r="N29" s="465" t="s">
        <v>1555</v>
      </c>
      <c r="O29" s="466" t="s">
        <v>1556</v>
      </c>
      <c r="P29" s="465" t="s">
        <v>1557</v>
      </c>
      <c r="Q29" s="66"/>
      <c r="R29" s="474" t="n">
        <v>-1</v>
      </c>
      <c r="S29" s="474" t="n">
        <v>2</v>
      </c>
      <c r="T29" s="345" t="s">
        <v>851</v>
      </c>
      <c r="U29" s="470" t="n">
        <f aca="false">IF(D29="","",ROUND(4.184*D29+$S29*$T$9+$R29*$T$10,3))</f>
        <v>-111.255</v>
      </c>
      <c r="V29" s="470" t="str">
        <f aca="false">IF(E29="","",ROUND(4.184*E29,3))</f>
        <v/>
      </c>
      <c r="W29" s="470" t="str">
        <f aca="false">IF(F29="","",ROUND(4.184*F29,3))</f>
        <v/>
      </c>
      <c r="Y29" s="345" t="s">
        <v>851</v>
      </c>
      <c r="Z29" s="465" t="s">
        <v>1552</v>
      </c>
      <c r="AA29" s="465" t="s">
        <v>1553</v>
      </c>
      <c r="AB29" s="571" t="s">
        <v>1554</v>
      </c>
      <c r="AD29" s="345" t="s">
        <v>851</v>
      </c>
      <c r="AE29" s="465" t="s">
        <v>1555</v>
      </c>
      <c r="AF29" s="466" t="s">
        <v>1556</v>
      </c>
      <c r="AG29" s="465" t="s">
        <v>1557</v>
      </c>
      <c r="AI29" s="345" t="s">
        <v>851</v>
      </c>
      <c r="AJ29" s="475" t="n">
        <f aca="false">IF(D29="","",ROUND(D29+$S29*$AK$9+$R29*$AK$10,3))</f>
        <v>-26.591</v>
      </c>
      <c r="AK29" s="476" t="str">
        <f aca="false">IF(E29="","",ROUND(E29,3))</f>
        <v/>
      </c>
      <c r="AL29" s="470" t="str">
        <f aca="false">IF(F29="","",ROUND(F29,3))</f>
        <v/>
      </c>
      <c r="AN29" s="345" t="s">
        <v>851</v>
      </c>
      <c r="AO29" s="475" t="n">
        <f aca="false">IF(I29="","",ROUND(I29/4.184,3))</f>
        <v>-26.649</v>
      </c>
      <c r="AP29" s="476" t="n">
        <f aca="false">IF(J29="","",ROUND(J29/4.184,3))</f>
        <v>-49.57</v>
      </c>
      <c r="AQ29" s="470" t="n">
        <f aca="false">IF(K29="","",ROUND(K29/4.184,3))</f>
        <v>35.12</v>
      </c>
      <c r="AR29" s="44"/>
      <c r="AS29" s="345" t="s">
        <v>851</v>
      </c>
      <c r="AT29" s="475" t="n">
        <f aca="false">IF(N29="","",ROUND(N29/4.184,3))</f>
        <v>-26.482</v>
      </c>
      <c r="AU29" s="471" t="n">
        <f aca="false">IF(O29="","",ROUND(O29/4.184,3))</f>
        <v>-49.45</v>
      </c>
      <c r="AV29" s="475" t="n">
        <f aca="false">IF(P29="","",ROUND(P29/4.184,3))</f>
        <v>35.062</v>
      </c>
    </row>
    <row r="30" customFormat="false" ht="12.75" hidden="false" customHeight="false" outlineLevel="0" collapsed="false">
      <c r="C30" s="345" t="s">
        <v>858</v>
      </c>
      <c r="D30" s="297"/>
      <c r="E30" s="477"/>
      <c r="F30" s="297"/>
      <c r="G30" s="570"/>
      <c r="H30" s="345" t="s">
        <v>858</v>
      </c>
      <c r="I30" s="465" t="s">
        <v>1558</v>
      </c>
      <c r="J30" s="466" t="s">
        <v>1559</v>
      </c>
      <c r="K30" s="465" t="s">
        <v>1560</v>
      </c>
      <c r="M30" s="345" t="s">
        <v>858</v>
      </c>
      <c r="N30" s="292"/>
      <c r="O30" s="549"/>
      <c r="P30" s="292"/>
      <c r="R30" s="474" t="n">
        <v>0</v>
      </c>
      <c r="S30" s="474" t="n">
        <v>2</v>
      </c>
      <c r="T30" s="345" t="s">
        <v>858</v>
      </c>
      <c r="U30" s="470" t="str">
        <f aca="false">IF(D30="","",ROUND(4.184*D30+$S30*$T$9+$R30*$T$10,3))</f>
        <v/>
      </c>
      <c r="V30" s="470" t="str">
        <f aca="false">IF(E30="","",ROUND(4.184*E30,3))</f>
        <v/>
      </c>
      <c r="W30" s="470" t="str">
        <f aca="false">IF(F30="","",ROUND(4.184*F30,3))</f>
        <v/>
      </c>
      <c r="Y30" s="345" t="s">
        <v>858</v>
      </c>
      <c r="Z30" s="465" t="s">
        <v>1558</v>
      </c>
      <c r="AA30" s="465" t="s">
        <v>1559</v>
      </c>
      <c r="AB30" s="571" t="s">
        <v>1560</v>
      </c>
      <c r="AD30" s="345" t="s">
        <v>858</v>
      </c>
      <c r="AE30" s="292"/>
      <c r="AF30" s="549"/>
      <c r="AG30" s="292"/>
      <c r="AI30" s="345" t="s">
        <v>858</v>
      </c>
      <c r="AJ30" s="475" t="str">
        <f aca="false">IF(D30="","",ROUND(D30+$S30*$AK$9+$R30*$AK$10,3))</f>
        <v/>
      </c>
      <c r="AK30" s="476" t="str">
        <f aca="false">IF(E30="","",ROUND(E30,3))</f>
        <v/>
      </c>
      <c r="AL30" s="475" t="str">
        <f aca="false">IF(F30="","",ROUND(F30,3))</f>
        <v/>
      </c>
      <c r="AN30" s="345" t="s">
        <v>858</v>
      </c>
      <c r="AO30" s="475" t="n">
        <f aca="false">IF(I30="","",ROUND(I30/4.184,3))</f>
        <v>-6.358</v>
      </c>
      <c r="AP30" s="476" t="n">
        <f aca="false">IF(J30="","",ROUND(J30/4.184,3))</f>
        <v>-19.19</v>
      </c>
      <c r="AQ30" s="475" t="n">
        <f aca="false">IF(K30="","",ROUND(K30/4.184,3))</f>
        <v>26.53</v>
      </c>
      <c r="AR30" s="44"/>
      <c r="AS30" s="345" t="s">
        <v>858</v>
      </c>
      <c r="AT30" s="470" t="str">
        <f aca="false">IF(N30="","",ROUND(N30/4.184,3))</f>
        <v/>
      </c>
      <c r="AU30" s="476" t="str">
        <f aca="false">IF(O30="","",ROUND(O30/4.184,3))</f>
        <v/>
      </c>
      <c r="AV30" s="475" t="str">
        <f aca="false">IF(P30="","",ROUND(P30/4.184,3))</f>
        <v/>
      </c>
    </row>
    <row r="31" customFormat="false" ht="12.75" hidden="false" customHeight="false" outlineLevel="0" collapsed="false">
      <c r="C31" s="345" t="s">
        <v>865</v>
      </c>
      <c r="D31" s="465" t="s">
        <v>1561</v>
      </c>
      <c r="E31" s="549"/>
      <c r="F31" s="292"/>
      <c r="G31" s="570"/>
      <c r="H31" s="345" t="s">
        <v>865</v>
      </c>
      <c r="I31" s="465" t="s">
        <v>1562</v>
      </c>
      <c r="J31" s="466" t="s">
        <v>870</v>
      </c>
      <c r="K31" s="465" t="s">
        <v>867</v>
      </c>
      <c r="M31" s="345" t="s">
        <v>865</v>
      </c>
      <c r="N31" s="465" t="s">
        <v>1563</v>
      </c>
      <c r="O31" s="466" t="s">
        <v>1564</v>
      </c>
      <c r="P31" s="465" t="s">
        <v>867</v>
      </c>
      <c r="Q31" s="66"/>
      <c r="R31" s="474" t="n">
        <v>1</v>
      </c>
      <c r="S31" s="474" t="n">
        <v>2.5</v>
      </c>
      <c r="T31" s="345" t="s">
        <v>865</v>
      </c>
      <c r="U31" s="470" t="n">
        <f aca="false">IF(D31="","",ROUND(4.184*D31+$S31*$T$9+$R31*$T$10,3))</f>
        <v>-79.305</v>
      </c>
      <c r="V31" s="470" t="str">
        <f aca="false">IF(E31="","",ROUND(4.184*E31,3))</f>
        <v/>
      </c>
      <c r="W31" s="470" t="str">
        <f aca="false">IF(F31="","",ROUND(4.184*F31,3))</f>
        <v/>
      </c>
      <c r="Y31" s="345" t="s">
        <v>865</v>
      </c>
      <c r="Z31" s="465" t="s">
        <v>1562</v>
      </c>
      <c r="AA31" s="465" t="s">
        <v>870</v>
      </c>
      <c r="AB31" s="571" t="s">
        <v>867</v>
      </c>
      <c r="AD31" s="345" t="s">
        <v>865</v>
      </c>
      <c r="AE31" s="465" t="s">
        <v>1563</v>
      </c>
      <c r="AF31" s="466" t="s">
        <v>1564</v>
      </c>
      <c r="AG31" s="465" t="s">
        <v>867</v>
      </c>
      <c r="AI31" s="345" t="s">
        <v>865</v>
      </c>
      <c r="AJ31" s="470" t="n">
        <f aca="false">IF(D31="","",ROUND(D31+$S31*$AK$9+$R31*$AK$10,3))</f>
        <v>-18.954</v>
      </c>
      <c r="AK31" s="476" t="str">
        <f aca="false">IF(E31="","",ROUND(E31,3))</f>
        <v/>
      </c>
      <c r="AL31" s="475" t="str">
        <f aca="false">IF(F31="","",ROUND(F31,3))</f>
        <v/>
      </c>
      <c r="AN31" s="345" t="s">
        <v>865</v>
      </c>
      <c r="AO31" s="475" t="n">
        <f aca="false">IF(I31="","",ROUND(I31/4.184,3))</f>
        <v>-18.991</v>
      </c>
      <c r="AP31" s="476" t="n">
        <f aca="false">IF(J31="","",ROUND(J31/4.184,3))</f>
        <v>-31.85</v>
      </c>
      <c r="AQ31" s="475" t="n">
        <f aca="false">IF(K31="","",ROUND(K31/4.184,3))</f>
        <v>26.57</v>
      </c>
      <c r="AR31" s="45"/>
      <c r="AS31" s="345" t="s">
        <v>865</v>
      </c>
      <c r="AT31" s="475" t="n">
        <f aca="false">IF(N31="","",ROUND(N31/4.184,3))</f>
        <v>-18.977</v>
      </c>
      <c r="AU31" s="476" t="n">
        <f aca="false">IF(O31="","",ROUND(O31/4.184,3))</f>
        <v>-31.859</v>
      </c>
      <c r="AV31" s="475" t="n">
        <f aca="false">IF(P31="","",ROUND(P31/4.184,3))</f>
        <v>26.57</v>
      </c>
    </row>
    <row r="32" customFormat="false" ht="12.75" hidden="false" customHeight="false" outlineLevel="0" collapsed="false">
      <c r="C32" s="345" t="s">
        <v>872</v>
      </c>
      <c r="D32" s="297"/>
      <c r="E32" s="477"/>
      <c r="F32" s="297"/>
      <c r="G32" s="570"/>
      <c r="H32" s="345" t="s">
        <v>872</v>
      </c>
      <c r="I32" s="297"/>
      <c r="J32" s="477"/>
      <c r="K32" s="297"/>
      <c r="M32" s="345" t="s">
        <v>872</v>
      </c>
      <c r="N32" s="297"/>
      <c r="O32" s="477"/>
      <c r="P32" s="297"/>
      <c r="R32" s="474" t="n">
        <v>-1</v>
      </c>
      <c r="S32" s="474" t="n">
        <v>2.5</v>
      </c>
      <c r="T32" s="345" t="s">
        <v>872</v>
      </c>
      <c r="U32" s="294" t="str">
        <f aca="false">IF(D32="","",ROUND(4.184*D32+$S32*$T$9+$R32*$T$10,3))</f>
        <v/>
      </c>
      <c r="V32" s="294" t="str">
        <f aca="false">IF(E32="","",ROUND(4.184*E32,3))</f>
        <v/>
      </c>
      <c r="W32" s="294" t="str">
        <f aca="false">IF(F32="","",ROUND(4.184*F32,3))</f>
        <v/>
      </c>
      <c r="Y32" s="345" t="s">
        <v>872</v>
      </c>
      <c r="Z32" s="297"/>
      <c r="AA32" s="297"/>
      <c r="AB32" s="572"/>
      <c r="AD32" s="345" t="s">
        <v>872</v>
      </c>
      <c r="AE32" s="297"/>
      <c r="AF32" s="477"/>
      <c r="AG32" s="297"/>
      <c r="AI32" s="345" t="s">
        <v>872</v>
      </c>
      <c r="AJ32" s="298" t="str">
        <f aca="false">IF(D32="","",ROUND(D32+$S32*$AK$9+$R32*$AK$10,3))</f>
        <v/>
      </c>
      <c r="AK32" s="480" t="str">
        <f aca="false">IF(E32="","",ROUND(E32,3))</f>
        <v/>
      </c>
      <c r="AL32" s="298" t="str">
        <f aca="false">IF(F32="","",ROUND(F32,3))</f>
        <v/>
      </c>
      <c r="AN32" s="345" t="s">
        <v>872</v>
      </c>
      <c r="AO32" s="298" t="str">
        <f aca="false">IF(I32="","",ROUND(I32/4.184,3))</f>
        <v/>
      </c>
      <c r="AP32" s="480" t="str">
        <f aca="false">IF(J32="","",ROUND(J32/4.184,3))</f>
        <v/>
      </c>
      <c r="AQ32" s="294" t="str">
        <f aca="false">IF(K32="","",ROUND(K32/4.184,3))</f>
        <v/>
      </c>
      <c r="AR32" s="191"/>
      <c r="AS32" s="345" t="s">
        <v>872</v>
      </c>
      <c r="AT32" s="298" t="str">
        <f aca="false">IF(N32="","",ROUND(N32/4.184,3))</f>
        <v/>
      </c>
      <c r="AU32" s="480" t="str">
        <f aca="false">IF(O32="","",ROUND(O32/4.184,3))</f>
        <v/>
      </c>
      <c r="AV32" s="298" t="str">
        <f aca="false">IF(P32="","",ROUND(P32/4.184,3))</f>
        <v/>
      </c>
    </row>
    <row r="33" customFormat="false" ht="12.75" hidden="false" customHeight="false" outlineLevel="0" collapsed="false">
      <c r="C33" s="345" t="s">
        <v>879</v>
      </c>
      <c r="D33" s="297"/>
      <c r="E33" s="477"/>
      <c r="F33" s="297"/>
      <c r="G33" s="570"/>
      <c r="H33" s="345" t="s">
        <v>879</v>
      </c>
      <c r="I33" s="297"/>
      <c r="J33" s="477"/>
      <c r="K33" s="297"/>
      <c r="M33" s="345" t="s">
        <v>879</v>
      </c>
      <c r="N33" s="297"/>
      <c r="O33" s="477"/>
      <c r="P33" s="297"/>
      <c r="R33" s="474" t="n">
        <v>-2</v>
      </c>
      <c r="S33" s="474" t="n">
        <v>3</v>
      </c>
      <c r="T33" s="345" t="s">
        <v>879</v>
      </c>
      <c r="U33" s="294" t="str">
        <f aca="false">IF(D33="","",ROUND(4.184*D33+$S33*$T$9+$R33*$T$10,3))</f>
        <v/>
      </c>
      <c r="V33" s="294" t="str">
        <f aca="false">IF(E33="","",ROUND(4.184*E33,3))</f>
        <v/>
      </c>
      <c r="W33" s="294" t="str">
        <f aca="false">IF(F33="","",ROUND(4.184*F33,3))</f>
        <v/>
      </c>
      <c r="X33" s="10"/>
      <c r="Y33" s="345" t="s">
        <v>879</v>
      </c>
      <c r="Z33" s="297"/>
      <c r="AA33" s="297"/>
      <c r="AB33" s="572"/>
      <c r="AD33" s="345" t="s">
        <v>879</v>
      </c>
      <c r="AE33" s="297"/>
      <c r="AF33" s="477"/>
      <c r="AG33" s="297"/>
      <c r="AI33" s="345" t="s">
        <v>879</v>
      </c>
      <c r="AJ33" s="298" t="str">
        <f aca="false">IF(D33="","",ROUND(D33+$S33*$AK$9+$R33*$AK$10,3))</f>
        <v/>
      </c>
      <c r="AK33" s="480" t="str">
        <f aca="false">IF(E33="","",ROUND(E33,3))</f>
        <v/>
      </c>
      <c r="AL33" s="298" t="str">
        <f aca="false">IF(F33="","",ROUND(F33,3))</f>
        <v/>
      </c>
      <c r="AM33" s="10"/>
      <c r="AN33" s="345" t="s">
        <v>879</v>
      </c>
      <c r="AO33" s="294" t="str">
        <f aca="false">IF(I33="","",ROUND(I33/4.184,3))</f>
        <v/>
      </c>
      <c r="AP33" s="480" t="str">
        <f aca="false">IF(J33="","",ROUND(J33/4.184,3))</f>
        <v/>
      </c>
      <c r="AQ33" s="298" t="str">
        <f aca="false">IF(K33="","",ROUND(K33/4.184,3))</f>
        <v/>
      </c>
      <c r="AR33" s="191"/>
      <c r="AS33" s="345" t="s">
        <v>879</v>
      </c>
      <c r="AT33" s="298" t="str">
        <f aca="false">IF(N33="","",ROUND(N33/4.184,3))</f>
        <v/>
      </c>
      <c r="AU33" s="480" t="str">
        <f aca="false">IF(O33="","",ROUND(O33/4.184,3))</f>
        <v/>
      </c>
      <c r="AV33" s="298" t="str">
        <f aca="false">IF(P33="","",ROUND(P33/4.184,3))</f>
        <v/>
      </c>
    </row>
    <row r="34" customFormat="false" ht="12.75" hidden="false" customHeight="false" outlineLevel="0" collapsed="false">
      <c r="B34" s="10"/>
      <c r="C34" s="345" t="s">
        <v>885</v>
      </c>
      <c r="D34" s="465" t="n">
        <v>-92.252</v>
      </c>
      <c r="E34" s="549"/>
      <c r="F34" s="292"/>
      <c r="G34" s="570"/>
      <c r="H34" s="345" t="s">
        <v>885</v>
      </c>
      <c r="I34" s="465" t="n">
        <v>-386.029</v>
      </c>
      <c r="J34" s="466" t="n">
        <v>-413.82</v>
      </c>
      <c r="K34" s="465" t="n">
        <v>117.05</v>
      </c>
      <c r="L34" s="10"/>
      <c r="M34" s="345" t="s">
        <v>885</v>
      </c>
      <c r="N34" s="465" t="n">
        <v>-386.1</v>
      </c>
      <c r="O34" s="466" t="n">
        <v>-413.9</v>
      </c>
      <c r="P34" s="465" t="n">
        <v>114.7</v>
      </c>
      <c r="Q34" s="66"/>
      <c r="R34" s="474" t="n">
        <v>0</v>
      </c>
      <c r="S34" s="474" t="n">
        <v>1</v>
      </c>
      <c r="T34" s="345" t="s">
        <v>885</v>
      </c>
      <c r="U34" s="470" t="n">
        <f aca="false">IF(D34="","",ROUND(4.184*D34+$S34*$T$9+$R34*$T$10,3))</f>
        <v>-385.95</v>
      </c>
      <c r="V34" s="470" t="str">
        <f aca="false">IF(E34="","",ROUND(4.184*E34,3))</f>
        <v/>
      </c>
      <c r="W34" s="470" t="str">
        <f aca="false">IF(F34="","",ROUND(4.184*F34,3))</f>
        <v/>
      </c>
      <c r="X34" s="10"/>
      <c r="Y34" s="345" t="s">
        <v>885</v>
      </c>
      <c r="Z34" s="465" t="n">
        <v>-386.029</v>
      </c>
      <c r="AA34" s="465" t="n">
        <v>-413.82</v>
      </c>
      <c r="AB34" s="571" t="n">
        <v>117.05</v>
      </c>
      <c r="AC34" s="10"/>
      <c r="AD34" s="345" t="s">
        <v>885</v>
      </c>
      <c r="AE34" s="465" t="n">
        <v>-386.1</v>
      </c>
      <c r="AF34" s="466" t="n">
        <v>-413.9</v>
      </c>
      <c r="AG34" s="465" t="n">
        <v>114.7</v>
      </c>
      <c r="AI34" s="345" t="s">
        <v>885</v>
      </c>
      <c r="AJ34" s="475" t="n">
        <f aca="false">IF(D34="","",ROUND(D34+$S34*$AK$9+$R34*$AK$10,3))</f>
        <v>-92.244</v>
      </c>
      <c r="AK34" s="476" t="str">
        <f aca="false">IF(E34="","",ROUND(E34,3))</f>
        <v/>
      </c>
      <c r="AL34" s="470" t="str">
        <f aca="false">IF(F34="","",ROUND(F34,3))</f>
        <v/>
      </c>
      <c r="AM34" s="10"/>
      <c r="AN34" s="345" t="s">
        <v>885</v>
      </c>
      <c r="AO34" s="475" t="n">
        <f aca="false">IF(I34="","",ROUND(I34/4.184,3))</f>
        <v>-92.263</v>
      </c>
      <c r="AP34" s="471" t="n">
        <f aca="false">IF(J34="","",ROUND(J34/4.184,3))</f>
        <v>-98.905</v>
      </c>
      <c r="AQ34" s="475" t="n">
        <f aca="false">IF(K34="","",ROUND(K34/4.184,3))</f>
        <v>27.976</v>
      </c>
      <c r="AR34" s="44"/>
      <c r="AS34" s="345" t="s">
        <v>885</v>
      </c>
      <c r="AT34" s="475" t="n">
        <f aca="false">IF(N34="","",ROUND(N34/4.184,3))</f>
        <v>-92.28</v>
      </c>
      <c r="AU34" s="471" t="n">
        <f aca="false">IF(O34="","",ROUND(O34/4.184,3))</f>
        <v>-98.924</v>
      </c>
      <c r="AV34" s="475" t="n">
        <f aca="false">IF(P34="","",ROUND(P34/4.184,3))</f>
        <v>27.414</v>
      </c>
    </row>
    <row r="35" customFormat="false" ht="12.75" hidden="false" customHeight="false" outlineLevel="0" collapsed="false">
      <c r="B35" s="10"/>
      <c r="C35" s="345" t="s">
        <v>893</v>
      </c>
      <c r="D35" s="465" t="s">
        <v>1565</v>
      </c>
      <c r="E35" s="549"/>
      <c r="F35" s="292"/>
      <c r="G35" s="570"/>
      <c r="H35" s="345" t="s">
        <v>893</v>
      </c>
      <c r="I35" s="465" t="s">
        <v>897</v>
      </c>
      <c r="J35" s="466" t="s">
        <v>1566</v>
      </c>
      <c r="K35" s="465" t="s">
        <v>1567</v>
      </c>
      <c r="L35" s="10"/>
      <c r="M35" s="345" t="s">
        <v>893</v>
      </c>
      <c r="N35" s="465" t="s">
        <v>1568</v>
      </c>
      <c r="O35" s="466" t="s">
        <v>1569</v>
      </c>
      <c r="P35" s="465" t="s">
        <v>895</v>
      </c>
      <c r="Q35" s="66"/>
      <c r="R35" s="474" t="n">
        <v>-2</v>
      </c>
      <c r="S35" s="474" t="n">
        <v>1.5</v>
      </c>
      <c r="T35" s="345" t="s">
        <v>893</v>
      </c>
      <c r="U35" s="470" t="n">
        <f aca="false">IF(D35="","",ROUND(4.184*D35+$S35*$T$9+$R35*$T$10,3))</f>
        <v>-527.814</v>
      </c>
      <c r="V35" s="470" t="str">
        <f aca="false">IF(E35="","",ROUND(4.184*E35,3))</f>
        <v/>
      </c>
      <c r="W35" s="470" t="str">
        <f aca="false">IF(F35="","",ROUND(4.184*F35,3))</f>
        <v/>
      </c>
      <c r="X35" s="10"/>
      <c r="Y35" s="345" t="s">
        <v>893</v>
      </c>
      <c r="Z35" s="465" t="s">
        <v>897</v>
      </c>
      <c r="AA35" s="465" t="s">
        <v>1566</v>
      </c>
      <c r="AB35" s="571" t="s">
        <v>1567</v>
      </c>
      <c r="AC35" s="10"/>
      <c r="AD35" s="345" t="s">
        <v>893</v>
      </c>
      <c r="AE35" s="465" t="s">
        <v>1568</v>
      </c>
      <c r="AF35" s="466" t="s">
        <v>1569</v>
      </c>
      <c r="AG35" s="465" t="s">
        <v>895</v>
      </c>
      <c r="AI35" s="345" t="s">
        <v>893</v>
      </c>
      <c r="AJ35" s="470" t="n">
        <f aca="false">IF(D35="","",ROUND(D35+$S35*$AK$9+$R35*$AK$10,3))</f>
        <v>-126.151</v>
      </c>
      <c r="AK35" s="476" t="str">
        <f aca="false">IF(E35="","",ROUND(E35,3))</f>
        <v/>
      </c>
      <c r="AL35" s="475" t="str">
        <f aca="false">IF(F35="","",ROUND(F35,3))</f>
        <v/>
      </c>
      <c r="AM35" s="10"/>
      <c r="AN35" s="345" t="s">
        <v>893</v>
      </c>
      <c r="AO35" s="475" t="n">
        <f aca="false">IF(I35="","",ROUND(I35/4.184,3))</f>
        <v>-126.171</v>
      </c>
      <c r="AP35" s="476" t="n">
        <f aca="false">IF(J35="","",ROUND(J35/4.184,3))</f>
        <v>-161.84</v>
      </c>
      <c r="AQ35" s="475" t="n">
        <f aca="false">IF(K35="","",ROUND(K35/4.184,3))</f>
        <v>-13.599</v>
      </c>
      <c r="AR35" s="44"/>
      <c r="AS35" s="345" t="s">
        <v>893</v>
      </c>
      <c r="AT35" s="475" t="n">
        <f aca="false">IF(N35="","",ROUND(N35/4.184,3))</f>
        <v>-125.956</v>
      </c>
      <c r="AU35" s="476" t="n">
        <f aca="false">IF(O35="","",ROUND(O35/4.184,3))</f>
        <v>-161.377</v>
      </c>
      <c r="AV35" s="475" t="n">
        <f aca="false">IF(P35="","",ROUND(P35/4.184,3))</f>
        <v>-11.95</v>
      </c>
    </row>
    <row r="36" customFormat="false" ht="12.75" hidden="false" customHeight="false" outlineLevel="0" collapsed="false">
      <c r="B36" s="10"/>
      <c r="C36" s="345" t="s">
        <v>902</v>
      </c>
      <c r="D36" s="465" t="s">
        <v>1570</v>
      </c>
      <c r="E36" s="549"/>
      <c r="F36" s="292"/>
      <c r="G36" s="570"/>
      <c r="H36" s="345" t="s">
        <v>902</v>
      </c>
      <c r="I36" s="465" t="s">
        <v>1571</v>
      </c>
      <c r="J36" s="466" t="s">
        <v>1572</v>
      </c>
      <c r="K36" s="465" t="s">
        <v>1573</v>
      </c>
      <c r="M36" s="345" t="s">
        <v>902</v>
      </c>
      <c r="N36" s="465" t="s">
        <v>1574</v>
      </c>
      <c r="O36" s="466" t="s">
        <v>1575</v>
      </c>
      <c r="P36" s="465" t="s">
        <v>904</v>
      </c>
      <c r="Q36" s="66"/>
      <c r="R36" s="474" t="n">
        <v>-1</v>
      </c>
      <c r="S36" s="474" t="n">
        <v>2</v>
      </c>
      <c r="T36" s="345" t="s">
        <v>902</v>
      </c>
      <c r="U36" s="470" t="n">
        <f aca="false">IF(D36="","",ROUND(4.184*D36+$S36*$T$9+$R36*$T$10,3))</f>
        <v>-586.766</v>
      </c>
      <c r="V36" s="470" t="str">
        <f aca="false">IF(E36="","",ROUND(4.184*E36,3))</f>
        <v/>
      </c>
      <c r="W36" s="470" t="str">
        <f aca="false">IF(F36="","",ROUND(4.184*F36,3))</f>
        <v/>
      </c>
      <c r="Y36" s="345" t="s">
        <v>902</v>
      </c>
      <c r="Z36" s="465" t="s">
        <v>1571</v>
      </c>
      <c r="AA36" s="465" t="s">
        <v>1572</v>
      </c>
      <c r="AB36" s="571" t="s">
        <v>1573</v>
      </c>
      <c r="AD36" s="345" t="s">
        <v>902</v>
      </c>
      <c r="AE36" s="465" t="s">
        <v>1574</v>
      </c>
      <c r="AF36" s="466" t="s">
        <v>1575</v>
      </c>
      <c r="AG36" s="465" t="s">
        <v>904</v>
      </c>
      <c r="AI36" s="345" t="s">
        <v>902</v>
      </c>
      <c r="AJ36" s="475" t="n">
        <f aca="false">IF(D36="","",ROUND(D36+$S36*$AK$9+$R36*$AK$10,3))</f>
        <v>-140.241</v>
      </c>
      <c r="AK36" s="476" t="str">
        <f aca="false">IF(E36="","",ROUND(E36,3))</f>
        <v/>
      </c>
      <c r="AL36" s="475" t="str">
        <f aca="false">IF(F36="","",ROUND(F36,3))</f>
        <v/>
      </c>
      <c r="AN36" s="345" t="s">
        <v>902</v>
      </c>
      <c r="AO36" s="475" t="n">
        <f aca="false">IF(I36="","",ROUND(I36/4.184,3))</f>
        <v>-140.261</v>
      </c>
      <c r="AP36" s="476" t="n">
        <f aca="false">IF(J36="","",ROUND(J36/4.184,3))</f>
        <v>-165.39</v>
      </c>
      <c r="AQ36" s="475" t="n">
        <f aca="false">IF(K36="","",ROUND(K36/4.184,3))</f>
        <v>21.797</v>
      </c>
      <c r="AR36" s="44"/>
      <c r="AS36" s="345" t="s">
        <v>902</v>
      </c>
      <c r="AT36" s="475" t="n">
        <f aca="false">IF(N36="","",ROUND(N36/4.184,3))</f>
        <v>-140.249</v>
      </c>
      <c r="AU36" s="476" t="n">
        <f aca="false">IF(O36="","",ROUND(O36/4.184,3))</f>
        <v>-164.89</v>
      </c>
      <c r="AV36" s="475" t="n">
        <f aca="false">IF(P36="","",ROUND(P36/4.184,3))</f>
        <v>23.518</v>
      </c>
    </row>
    <row r="37" customFormat="false" ht="12.75" hidden="false" customHeight="false" outlineLevel="0" collapsed="false">
      <c r="A37" s="10"/>
      <c r="B37" s="133"/>
      <c r="C37" s="345" t="s">
        <v>909</v>
      </c>
      <c r="D37" s="573" t="n">
        <v>-314.688</v>
      </c>
      <c r="E37" s="549"/>
      <c r="F37" s="292"/>
      <c r="G37" s="570"/>
      <c r="H37" s="345" t="s">
        <v>909</v>
      </c>
      <c r="I37" s="292" t="s">
        <v>1576</v>
      </c>
      <c r="J37" s="466" t="s">
        <v>1577</v>
      </c>
      <c r="K37" s="465" t="s">
        <v>1578</v>
      </c>
      <c r="L37" s="66"/>
      <c r="M37" s="345" t="s">
        <v>909</v>
      </c>
      <c r="N37" s="465" t="s">
        <v>1579</v>
      </c>
      <c r="O37" s="549" t="s">
        <v>1580</v>
      </c>
      <c r="P37" s="292" t="s">
        <v>1581</v>
      </c>
      <c r="Q37" s="346"/>
      <c r="R37" s="474" t="n">
        <v>0</v>
      </c>
      <c r="S37" s="474" t="n">
        <v>4</v>
      </c>
      <c r="T37" s="345" t="s">
        <v>909</v>
      </c>
      <c r="U37" s="567" t="n">
        <f aca="false">IF(D37="","",ROUND(4.184*D37+$S37*$T$9+$R37*$T$10,3))</f>
        <v>-1316.524</v>
      </c>
      <c r="V37" s="470" t="str">
        <f aca="false">IF(E37="","",ROUND(4.184*E37,3))</f>
        <v/>
      </c>
      <c r="W37" s="470" t="str">
        <f aca="false">IF(F37="","",ROUND(4.184*F37,3))</f>
        <v/>
      </c>
      <c r="X37" s="10"/>
      <c r="Y37" s="345" t="s">
        <v>909</v>
      </c>
      <c r="Z37" s="292" t="s">
        <v>1576</v>
      </c>
      <c r="AA37" s="465" t="s">
        <v>1577</v>
      </c>
      <c r="AB37" s="571" t="s">
        <v>1578</v>
      </c>
      <c r="AC37" s="66"/>
      <c r="AD37" s="345" t="s">
        <v>909</v>
      </c>
      <c r="AE37" s="465" t="s">
        <v>1579</v>
      </c>
      <c r="AF37" s="549" t="s">
        <v>1580</v>
      </c>
      <c r="AG37" s="292" t="s">
        <v>1581</v>
      </c>
      <c r="AI37" s="345" t="s">
        <v>909</v>
      </c>
      <c r="AJ37" s="574" t="n">
        <f aca="false">IF(D37="","",ROUND(D37+$S37*$AK$9+$R37*$AK$10,3))</f>
        <v>-314.657</v>
      </c>
      <c r="AK37" s="480" t="str">
        <f aca="false">IF(E37="","",ROUND(E37,3))</f>
        <v/>
      </c>
      <c r="AL37" s="298" t="str">
        <f aca="false">IF(F37="","",ROUND(F37,3))</f>
        <v/>
      </c>
      <c r="AM37" s="10"/>
      <c r="AN37" s="345" t="s">
        <v>909</v>
      </c>
      <c r="AO37" s="475" t="n">
        <f aca="false">IF(I37="","",ROUND(I37/4.184,3))</f>
        <v>-312.62</v>
      </c>
      <c r="AP37" s="471" t="n">
        <f aca="false">IF(J37="","",ROUND(J37/4.184,3))</f>
        <v>-348.948</v>
      </c>
      <c r="AQ37" s="470" t="n">
        <f aca="false">IF(K37="","",ROUND(K37/4.184,3))</f>
        <v>43.021</v>
      </c>
      <c r="AR37" s="87"/>
      <c r="AS37" s="345" t="s">
        <v>909</v>
      </c>
      <c r="AT37" s="475" t="n">
        <f aca="false">IF(N37="","",ROUND(N37/4.184,3))</f>
        <v>-312.5</v>
      </c>
      <c r="AU37" s="476" t="n">
        <f aca="false">IF(O37="","",ROUND(O37/4.184,3))</f>
        <v>-348.948</v>
      </c>
      <c r="AV37" s="470" t="n">
        <f aca="false">IF(P37="","",ROUND(P37/4.184,3))</f>
        <v>43.021</v>
      </c>
    </row>
    <row r="38" customFormat="false" ht="12.75" hidden="false" customHeight="false" outlineLevel="0" collapsed="false">
      <c r="B38" s="10"/>
      <c r="C38" s="345" t="s">
        <v>916</v>
      </c>
      <c r="D38" s="297"/>
      <c r="E38" s="477"/>
      <c r="F38" s="297"/>
      <c r="G38" s="570"/>
      <c r="H38" s="345" t="s">
        <v>916</v>
      </c>
      <c r="I38" s="297"/>
      <c r="J38" s="477"/>
      <c r="K38" s="297"/>
      <c r="L38" s="10"/>
      <c r="M38" s="345" t="s">
        <v>916</v>
      </c>
      <c r="N38" s="297"/>
      <c r="O38" s="477"/>
      <c r="P38" s="297"/>
      <c r="R38" s="474" t="n">
        <v>0</v>
      </c>
      <c r="S38" s="474" t="n">
        <v>3</v>
      </c>
      <c r="T38" s="345" t="s">
        <v>916</v>
      </c>
      <c r="U38" s="470" t="str">
        <f aca="false">IF(D38="","",ROUND(4.184*D38+$S38*$T$9+$R38*$T$10,3))</f>
        <v/>
      </c>
      <c r="V38" s="470" t="str">
        <f aca="false">IF(E38="","",ROUND(4.184*E38,3))</f>
        <v/>
      </c>
      <c r="W38" s="470" t="str">
        <f aca="false">IF(F38="","",ROUND(4.184*F38,3))</f>
        <v/>
      </c>
      <c r="X38" s="10"/>
      <c r="Y38" s="345" t="s">
        <v>916</v>
      </c>
      <c r="Z38" s="297"/>
      <c r="AA38" s="297"/>
      <c r="AB38" s="572"/>
      <c r="AC38" s="10"/>
      <c r="AD38" s="345" t="s">
        <v>916</v>
      </c>
      <c r="AE38" s="297"/>
      <c r="AF38" s="477"/>
      <c r="AG38" s="297"/>
      <c r="AI38" s="345" t="s">
        <v>916</v>
      </c>
      <c r="AJ38" s="475" t="str">
        <f aca="false">IF(D38="","",ROUND(D38+$S38*$AK$9+$R38*$AK$10,3))</f>
        <v/>
      </c>
      <c r="AK38" s="476" t="str">
        <f aca="false">IF(E38="","",ROUND(E38,3))</f>
        <v/>
      </c>
      <c r="AL38" s="475" t="str">
        <f aca="false">IF(F38="","",ROUND(F38,3))</f>
        <v/>
      </c>
      <c r="AM38" s="10"/>
      <c r="AN38" s="345" t="s">
        <v>916</v>
      </c>
      <c r="AO38" s="475" t="str">
        <f aca="false">IF(I38="","",ROUND(I38/4.184,3))</f>
        <v/>
      </c>
      <c r="AP38" s="476" t="str">
        <f aca="false">IF(J38="","",ROUND(J38/4.184,3))</f>
        <v/>
      </c>
      <c r="AQ38" s="475" t="str">
        <f aca="false">IF(K38="","",ROUND(K38/4.184,3))</f>
        <v/>
      </c>
      <c r="AR38" s="44"/>
      <c r="AS38" s="345" t="s">
        <v>916</v>
      </c>
      <c r="AT38" s="475" t="str">
        <f aca="false">IF(N38="","",ROUND(N38/4.184,3))</f>
        <v/>
      </c>
      <c r="AU38" s="476" t="str">
        <f aca="false">IF(O38="","",ROUND(O38/4.184,3))</f>
        <v/>
      </c>
      <c r="AV38" s="475" t="str">
        <f aca="false">IF(P38="","",ROUND(P38/4.184,3))</f>
        <v/>
      </c>
    </row>
    <row r="39" customFormat="false" ht="12.75" hidden="false" customHeight="false" outlineLevel="0" collapsed="false">
      <c r="B39" s="10"/>
      <c r="C39" s="345" t="s">
        <v>923</v>
      </c>
      <c r="D39" s="297"/>
      <c r="E39" s="477"/>
      <c r="F39" s="297"/>
      <c r="G39" s="570"/>
      <c r="H39" s="345" t="s">
        <v>923</v>
      </c>
      <c r="I39" s="297"/>
      <c r="J39" s="477"/>
      <c r="K39" s="297"/>
      <c r="L39" s="10"/>
      <c r="M39" s="345" t="s">
        <v>923</v>
      </c>
      <c r="N39" s="297"/>
      <c r="O39" s="477"/>
      <c r="P39" s="297"/>
      <c r="R39" s="474" t="n">
        <v>-1</v>
      </c>
      <c r="S39" s="474" t="n">
        <v>4</v>
      </c>
      <c r="T39" s="345" t="s">
        <v>923</v>
      </c>
      <c r="U39" s="470" t="str">
        <f aca="false">IF(D39="","",ROUND(4.184*D39+$S39*$T$9+$R39*$T$10,3))</f>
        <v/>
      </c>
      <c r="V39" s="470" t="str">
        <f aca="false">IF(E39="","",ROUND(4.184*E39,3))</f>
        <v/>
      </c>
      <c r="W39" s="470" t="str">
        <f aca="false">IF(F39="","",ROUND(4.184*F39,3))</f>
        <v/>
      </c>
      <c r="X39" s="10"/>
      <c r="Y39" s="345" t="s">
        <v>923</v>
      </c>
      <c r="Z39" s="297"/>
      <c r="AA39" s="297"/>
      <c r="AB39" s="572"/>
      <c r="AC39" s="10"/>
      <c r="AD39" s="345" t="s">
        <v>923</v>
      </c>
      <c r="AE39" s="297"/>
      <c r="AF39" s="477"/>
      <c r="AG39" s="297"/>
      <c r="AI39" s="345" t="s">
        <v>923</v>
      </c>
      <c r="AJ39" s="294" t="str">
        <f aca="false">IF(D39="","",ROUND(D39+$S39*$AK$9+$R39*$AK$10,3))</f>
        <v/>
      </c>
      <c r="AK39" s="480" t="str">
        <f aca="false">IF(E39="","",ROUND(E39,3))</f>
        <v/>
      </c>
      <c r="AL39" s="298" t="str">
        <f aca="false">IF(F39="","",ROUND(F39,3))</f>
        <v/>
      </c>
      <c r="AM39" s="10"/>
      <c r="AN39" s="345" t="s">
        <v>923</v>
      </c>
      <c r="AO39" s="475" t="str">
        <f aca="false">IF(I39="","",ROUND(I39/4.184,3))</f>
        <v/>
      </c>
      <c r="AP39" s="476" t="str">
        <f aca="false">IF(J39="","",ROUND(J39/4.184,3))</f>
        <v/>
      </c>
      <c r="AQ39" s="475" t="str">
        <f aca="false">IF(K39="","",ROUND(K39/4.184,3))</f>
        <v/>
      </c>
      <c r="AR39" s="44"/>
      <c r="AS39" s="345" t="s">
        <v>923</v>
      </c>
      <c r="AT39" s="475" t="str">
        <f aca="false">IF(N39="","",ROUND(N39/4.184,3))</f>
        <v/>
      </c>
      <c r="AU39" s="476" t="str">
        <f aca="false">IF(O39="","",ROUND(O39/4.184,3))</f>
        <v/>
      </c>
      <c r="AV39" s="475" t="str">
        <f aca="false">IF(P39="","",ROUND(P39/4.184,3))</f>
        <v/>
      </c>
    </row>
    <row r="40" customFormat="false" ht="12.75" hidden="false" customHeight="false" outlineLevel="0" collapsed="false">
      <c r="B40" s="133"/>
      <c r="C40" s="345" t="s">
        <v>924</v>
      </c>
      <c r="D40" s="465" t="s">
        <v>1582</v>
      </c>
      <c r="E40" s="477"/>
      <c r="F40" s="297"/>
      <c r="G40" s="575"/>
      <c r="H40" s="345" t="s">
        <v>924</v>
      </c>
      <c r="I40" s="292" t="s">
        <v>1583</v>
      </c>
      <c r="J40" s="549" t="s">
        <v>1584</v>
      </c>
      <c r="K40" s="292" t="s">
        <v>1585</v>
      </c>
      <c r="L40" s="66"/>
      <c r="M40" s="345" t="s">
        <v>924</v>
      </c>
      <c r="N40" s="292" t="s">
        <v>1586</v>
      </c>
      <c r="O40" s="549" t="s">
        <v>925</v>
      </c>
      <c r="P40" s="292" t="s">
        <v>1587</v>
      </c>
      <c r="Q40" s="66"/>
      <c r="R40" s="474" t="n">
        <v>3</v>
      </c>
      <c r="S40" s="474" t="n">
        <v>0</v>
      </c>
      <c r="T40" s="345" t="s">
        <v>924</v>
      </c>
      <c r="U40" s="470" t="n">
        <f aca="false">IF(D40="","",ROUND(4.184*D40+$S40*$T$9+$R40*$T$10,3))</f>
        <v>-485.393</v>
      </c>
      <c r="V40" s="470" t="str">
        <f aca="false">IF(E40="","",ROUND(4.184*E40,3))</f>
        <v/>
      </c>
      <c r="W40" s="470" t="str">
        <f aca="false">IF(F40="","",ROUND(4.184*F40,3))</f>
        <v/>
      </c>
      <c r="Y40" s="345" t="s">
        <v>924</v>
      </c>
      <c r="Z40" s="292" t="s">
        <v>1583</v>
      </c>
      <c r="AA40" s="292" t="s">
        <v>1584</v>
      </c>
      <c r="AB40" s="390" t="s">
        <v>1585</v>
      </c>
      <c r="AC40" s="66"/>
      <c r="AD40" s="345" t="s">
        <v>924</v>
      </c>
      <c r="AE40" s="292" t="s">
        <v>1586</v>
      </c>
      <c r="AF40" s="549" t="s">
        <v>925</v>
      </c>
      <c r="AG40" s="292" t="s">
        <v>1587</v>
      </c>
      <c r="AI40" s="345" t="s">
        <v>924</v>
      </c>
      <c r="AJ40" s="294" t="n">
        <f aca="false">IF(D40="","",ROUND(D40+$S40*$AK$9+$R40*$AK$10,3))</f>
        <v>-116.012</v>
      </c>
      <c r="AK40" s="480" t="str">
        <f aca="false">IF(E40="","",ROUND(E40,3))</f>
        <v/>
      </c>
      <c r="AL40" s="298" t="str">
        <f aca="false">IF(F40="","",ROUND(F40,3))</f>
        <v/>
      </c>
      <c r="AN40" s="345" t="s">
        <v>924</v>
      </c>
      <c r="AO40" s="470" t="n">
        <f aca="false">IF(I40="","",ROUND(I40/4.184,3))</f>
        <v>-116.969</v>
      </c>
      <c r="AP40" s="471" t="n">
        <f aca="false">IF(J40="","",ROUND(J40/4.184,3))</f>
        <v>-126.912</v>
      </c>
      <c r="AQ40" s="475" t="n">
        <f aca="false">IF(K40="","",ROUND(K40/4.184,3))</f>
        <v>-73.614</v>
      </c>
      <c r="AR40" s="44"/>
      <c r="AS40" s="345" t="s">
        <v>924</v>
      </c>
      <c r="AT40" s="470" t="n">
        <f aca="false">IF(N40="","",ROUND(N40/4.184,3))</f>
        <v>-116.969</v>
      </c>
      <c r="AU40" s="471" t="n">
        <f aca="false">IF(O40="","",ROUND(O40/4.184,3))</f>
        <v>-128.681</v>
      </c>
      <c r="AV40" s="475" t="n">
        <f aca="false">IF(P40="","",ROUND(P40/4.184,3))</f>
        <v>-79.35</v>
      </c>
    </row>
    <row r="41" customFormat="false" ht="12.75" hidden="false" customHeight="false" outlineLevel="0" collapsed="false">
      <c r="C41" s="345" t="s">
        <v>933</v>
      </c>
      <c r="D41" s="297"/>
      <c r="E41" s="477"/>
      <c r="F41" s="297"/>
      <c r="G41" s="570"/>
      <c r="H41" s="345" t="s">
        <v>933</v>
      </c>
      <c r="I41" s="297"/>
      <c r="J41" s="477"/>
      <c r="K41" s="297"/>
      <c r="M41" s="345" t="s">
        <v>933</v>
      </c>
      <c r="N41" s="297"/>
      <c r="O41" s="477"/>
      <c r="P41" s="297"/>
      <c r="R41" s="474" t="n">
        <v>-1</v>
      </c>
      <c r="S41" s="474" t="n">
        <v>4</v>
      </c>
      <c r="T41" s="345" t="s">
        <v>933</v>
      </c>
      <c r="U41" s="470" t="str">
        <f aca="false">IF(D41="","",ROUND(4.184*D41+$S41*$T$9+$R41*$T$10,3))</f>
        <v/>
      </c>
      <c r="V41" s="470" t="str">
        <f aca="false">IF(E41="","",ROUND(4.184*E41,3))</f>
        <v/>
      </c>
      <c r="W41" s="470" t="str">
        <f aca="false">IF(F41="","",ROUND(4.184*F41,3))</f>
        <v/>
      </c>
      <c r="Y41" s="345" t="s">
        <v>933</v>
      </c>
      <c r="Z41" s="297"/>
      <c r="AA41" s="297"/>
      <c r="AB41" s="572"/>
      <c r="AD41" s="345" t="s">
        <v>933</v>
      </c>
      <c r="AE41" s="297"/>
      <c r="AF41" s="477"/>
      <c r="AG41" s="297"/>
      <c r="AI41" s="345" t="s">
        <v>933</v>
      </c>
      <c r="AJ41" s="298" t="str">
        <f aca="false">IF(D41="","",ROUND(D41+$S41*$AK$9+$R41*$AK$10,3))</f>
        <v/>
      </c>
      <c r="AK41" s="551" t="str">
        <f aca="false">IF(E41="","",ROUND(E41,3))</f>
        <v/>
      </c>
      <c r="AL41" s="298" t="str">
        <f aca="false">IF(F41="","",ROUND(F41,3))</f>
        <v/>
      </c>
      <c r="AN41" s="345" t="s">
        <v>933</v>
      </c>
      <c r="AO41" s="475" t="str">
        <f aca="false">IF(I41="","",ROUND(I41/4.184,3))</f>
        <v/>
      </c>
      <c r="AP41" s="476" t="str">
        <f aca="false">IF(J41="","",ROUND(J41/4.184,3))</f>
        <v/>
      </c>
      <c r="AQ41" s="470" t="str">
        <f aca="false">IF(K41="","",ROUND(K41/4.184,3))</f>
        <v/>
      </c>
      <c r="AR41" s="44"/>
      <c r="AS41" s="345" t="s">
        <v>933</v>
      </c>
      <c r="AT41" s="475" t="str">
        <f aca="false">IF(N41="","",ROUND(N41/4.184,3))</f>
        <v/>
      </c>
      <c r="AU41" s="476" t="str">
        <f aca="false">IF(O41="","",ROUND(O41/4.184,3))</f>
        <v/>
      </c>
      <c r="AV41" s="475" t="str">
        <f aca="false">IF(P41="","",ROUND(P41/4.184,3))</f>
        <v/>
      </c>
    </row>
    <row r="42" customFormat="false" ht="12.75" hidden="false" customHeight="false" outlineLevel="0" collapsed="false">
      <c r="B42" s="10"/>
      <c r="C42" s="138" t="s">
        <v>934</v>
      </c>
      <c r="D42" s="465" t="s">
        <v>1588</v>
      </c>
      <c r="E42" s="549"/>
      <c r="F42" s="292"/>
      <c r="G42" s="570"/>
      <c r="H42" s="138" t="s">
        <v>934</v>
      </c>
      <c r="I42" s="465" t="s">
        <v>1589</v>
      </c>
      <c r="J42" s="466" t="s">
        <v>1590</v>
      </c>
      <c r="K42" s="465" t="s">
        <v>1591</v>
      </c>
      <c r="M42" s="138" t="s">
        <v>934</v>
      </c>
      <c r="N42" s="465" t="s">
        <v>1252</v>
      </c>
      <c r="O42" s="466" t="s">
        <v>1253</v>
      </c>
      <c r="P42" s="465" t="s">
        <v>1254</v>
      </c>
      <c r="Q42" s="66"/>
      <c r="R42" s="474" t="n">
        <v>2</v>
      </c>
      <c r="S42" s="474" t="n">
        <v>0</v>
      </c>
      <c r="T42" s="138" t="s">
        <v>934</v>
      </c>
      <c r="U42" s="470" t="n">
        <f aca="false">IF(D42="","",ROUND(4.184*D42+$S42*$T$9+$R42*$T$10,3))</f>
        <v>-46.475</v>
      </c>
      <c r="V42" s="470" t="str">
        <f aca="false">IF(E42="","",ROUND(4.184*E42,3))</f>
        <v/>
      </c>
      <c r="W42" s="470" t="str">
        <f aca="false">IF(F42="","",ROUND(4.184*F42,3))</f>
        <v/>
      </c>
      <c r="Y42" s="138" t="s">
        <v>934</v>
      </c>
      <c r="Z42" s="465" t="s">
        <v>1589</v>
      </c>
      <c r="AA42" s="465" t="s">
        <v>1590</v>
      </c>
      <c r="AB42" s="571" t="s">
        <v>1591</v>
      </c>
      <c r="AD42" s="138" t="s">
        <v>934</v>
      </c>
      <c r="AE42" s="465" t="s">
        <v>1252</v>
      </c>
      <c r="AF42" s="466" t="s">
        <v>1253</v>
      </c>
      <c r="AG42" s="465" t="s">
        <v>1254</v>
      </c>
      <c r="AI42" s="138" t="s">
        <v>934</v>
      </c>
      <c r="AJ42" s="475" t="n">
        <f aca="false">IF(D42="","",ROUND(D42+$S42*$AK$9+$R42*$AK$10,3))</f>
        <v>-11.108</v>
      </c>
      <c r="AK42" s="476" t="str">
        <f aca="false">IF(E42="","",ROUND(E42,3))</f>
        <v/>
      </c>
      <c r="AL42" s="475" t="str">
        <f aca="false">IF(F42="","",ROUND(F42,3))</f>
        <v/>
      </c>
      <c r="AN42" s="138" t="s">
        <v>934</v>
      </c>
      <c r="AO42" s="470" t="n">
        <f aca="false">IF(I42="","",ROUND(I42/4.184,3))</f>
        <v>-10.899</v>
      </c>
      <c r="AP42" s="471" t="n">
        <f aca="false">IF(J42="","",ROUND(J42/4.184,3))</f>
        <v>-12.906</v>
      </c>
      <c r="AQ42" s="470" t="n">
        <f aca="false">IF(K42="","",ROUND(K42/4.184,3))</f>
        <v>-30.832</v>
      </c>
      <c r="AR42" s="44"/>
      <c r="AS42" s="138" t="s">
        <v>934</v>
      </c>
      <c r="AT42" s="470" t="n">
        <f aca="false">IF(N42="","",ROUND(N42/4.184,3))</f>
        <v>-10.899</v>
      </c>
      <c r="AU42" s="471" t="n">
        <f aca="false">IF(O42="","",ROUND(O42/4.184,3))</f>
        <v>-12.906</v>
      </c>
      <c r="AV42" s="470" t="n">
        <f aca="false">IF(P42="","",ROUND(P42/4.184,3))</f>
        <v>-30.808</v>
      </c>
    </row>
    <row r="43" customFormat="false" ht="12.75" hidden="false" customHeight="false" outlineLevel="0" collapsed="false">
      <c r="B43" s="10"/>
      <c r="C43" s="345" t="s">
        <v>941</v>
      </c>
      <c r="D43" s="465" t="s">
        <v>1592</v>
      </c>
      <c r="E43" s="549"/>
      <c r="F43" s="292"/>
      <c r="G43" s="570"/>
      <c r="H43" s="345" t="s">
        <v>941</v>
      </c>
      <c r="I43" s="292" t="s">
        <v>1593</v>
      </c>
      <c r="J43" s="549" t="s">
        <v>1594</v>
      </c>
      <c r="K43" s="292" t="s">
        <v>1595</v>
      </c>
      <c r="L43" s="10"/>
      <c r="M43" s="345" t="s">
        <v>941</v>
      </c>
      <c r="N43" s="292" t="s">
        <v>1446</v>
      </c>
      <c r="O43" s="549" t="s">
        <v>1596</v>
      </c>
      <c r="P43" s="292" t="s">
        <v>1597</v>
      </c>
      <c r="Q43" s="66"/>
      <c r="R43" s="474" t="n">
        <v>2</v>
      </c>
      <c r="S43" s="474" t="n">
        <v>0</v>
      </c>
      <c r="T43" s="345" t="s">
        <v>941</v>
      </c>
      <c r="U43" s="470" t="n">
        <f aca="false">IF(D43="","",ROUND(4.184*D43+$S43*$T$9+$R43*$T$10,3))</f>
        <v>-84.968</v>
      </c>
      <c r="V43" s="470" t="str">
        <f aca="false">IF(E43="","",ROUND(4.184*E43,3))</f>
        <v/>
      </c>
      <c r="W43" s="470" t="str">
        <f aca="false">IF(F43="","",ROUND(4.184*F43,3))</f>
        <v/>
      </c>
      <c r="X43" s="10"/>
      <c r="Y43" s="345" t="s">
        <v>941</v>
      </c>
      <c r="Z43" s="292" t="s">
        <v>1593</v>
      </c>
      <c r="AA43" s="292" t="s">
        <v>1594</v>
      </c>
      <c r="AB43" s="390" t="s">
        <v>1595</v>
      </c>
      <c r="AC43" s="10"/>
      <c r="AD43" s="345" t="s">
        <v>941</v>
      </c>
      <c r="AE43" s="292" t="s">
        <v>1446</v>
      </c>
      <c r="AF43" s="549" t="s">
        <v>1596</v>
      </c>
      <c r="AG43" s="292" t="s">
        <v>1597</v>
      </c>
      <c r="AI43" s="345" t="s">
        <v>941</v>
      </c>
      <c r="AJ43" s="470" t="n">
        <f aca="false">IF(D43="","",ROUND(D43+$S43*$AK$9+$R43*$AK$10,3))</f>
        <v>-20.308</v>
      </c>
      <c r="AK43" s="471" t="str">
        <f aca="false">IF(E43="","",ROUND(E43,3))</f>
        <v/>
      </c>
      <c r="AL43" s="475" t="str">
        <f aca="false">IF(F43="","",ROUND(F43,3))</f>
        <v/>
      </c>
      <c r="AM43" s="10"/>
      <c r="AN43" s="345" t="s">
        <v>941</v>
      </c>
      <c r="AO43" s="475" t="n">
        <f aca="false">IF(I43="","",ROUND(I43/4.184,3))</f>
        <v>-18.85</v>
      </c>
      <c r="AP43" s="476" t="n">
        <f aca="false">IF(J43="","",ROUND(J43/4.184,3))</f>
        <v>-21.295</v>
      </c>
      <c r="AQ43" s="475" t="n">
        <f aca="false">IF(K43="","",ROUND(K43/4.184,3))</f>
        <v>-32.983</v>
      </c>
      <c r="AR43" s="44"/>
      <c r="AS43" s="345" t="s">
        <v>941</v>
      </c>
      <c r="AT43" s="470" t="n">
        <f aca="false">IF(N43="","",ROUND(N43/4.184,3))</f>
        <v>-21.511</v>
      </c>
      <c r="AU43" s="476" t="n">
        <f aca="false">IF(O43="","",ROUND(O43/4.184,3))</f>
        <v>-21.773</v>
      </c>
      <c r="AV43" s="475" t="n">
        <f aca="false">IF(P43="","",ROUND(P43/4.184,3))</f>
        <v>-25.598</v>
      </c>
    </row>
    <row r="44" customFormat="false" ht="12.75" hidden="false" customHeight="false" outlineLevel="0" collapsed="false">
      <c r="B44" s="10"/>
      <c r="C44" s="345" t="s">
        <v>948</v>
      </c>
      <c r="D44" s="465" t="s">
        <v>1598</v>
      </c>
      <c r="E44" s="549"/>
      <c r="F44" s="292"/>
      <c r="G44" s="570"/>
      <c r="H44" s="345" t="s">
        <v>948</v>
      </c>
      <c r="I44" s="292" t="s">
        <v>1599</v>
      </c>
      <c r="J44" s="549" t="s">
        <v>1600</v>
      </c>
      <c r="K44" s="292" t="s">
        <v>1601</v>
      </c>
      <c r="L44" s="10"/>
      <c r="M44" s="345" t="s">
        <v>948</v>
      </c>
      <c r="N44" s="292" t="s">
        <v>1602</v>
      </c>
      <c r="O44" s="549" t="s">
        <v>1603</v>
      </c>
      <c r="P44" s="292" t="s">
        <v>1604</v>
      </c>
      <c r="Q44" s="66"/>
      <c r="R44" s="474" t="n">
        <v>3</v>
      </c>
      <c r="S44" s="474" t="n">
        <v>0</v>
      </c>
      <c r="T44" s="345" t="s">
        <v>948</v>
      </c>
      <c r="U44" s="470" t="n">
        <f aca="false">IF(D44="","",ROUND(4.184*D44+$S44*$T$9+$R44*$T$10,3))</f>
        <v>-10.593</v>
      </c>
      <c r="V44" s="470" t="str">
        <f aca="false">IF(E44="","",ROUND(4.184*E44,3))</f>
        <v/>
      </c>
      <c r="W44" s="470" t="str">
        <f aca="false">IF(F44="","",ROUND(4.184*F44,3))</f>
        <v/>
      </c>
      <c r="X44" s="10"/>
      <c r="Y44" s="345" t="s">
        <v>948</v>
      </c>
      <c r="Z44" s="292" t="s">
        <v>1599</v>
      </c>
      <c r="AA44" s="292" t="s">
        <v>1600</v>
      </c>
      <c r="AB44" s="390" t="s">
        <v>1601</v>
      </c>
      <c r="AC44" s="10"/>
      <c r="AD44" s="345" t="s">
        <v>948</v>
      </c>
      <c r="AE44" s="292" t="s">
        <v>1602</v>
      </c>
      <c r="AF44" s="549" t="s">
        <v>1603</v>
      </c>
      <c r="AG44" s="292" t="s">
        <v>1604</v>
      </c>
      <c r="AI44" s="345" t="s">
        <v>948</v>
      </c>
      <c r="AJ44" s="475" t="n">
        <f aca="false">IF(D44="","",ROUND(D44+$S44*$AK$9+$R44*$AK$10,3))</f>
        <v>-2.532</v>
      </c>
      <c r="AK44" s="476" t="str">
        <f aca="false">IF(E44="","",ROUND(E44,3))</f>
        <v/>
      </c>
      <c r="AL44" s="475" t="str">
        <f aca="false">IF(F44="","",ROUND(F44,3))</f>
        <v/>
      </c>
      <c r="AM44" s="10"/>
      <c r="AN44" s="345" t="s">
        <v>948</v>
      </c>
      <c r="AO44" s="475" t="n">
        <f aca="false">IF(I44="","",ROUND(I44/4.184,3))</f>
        <v>-1.099</v>
      </c>
      <c r="AP44" s="476" t="n">
        <f aca="false">IF(J44="","",ROUND(J44/4.184,3))</f>
        <v>-11.592</v>
      </c>
      <c r="AQ44" s="475" t="n">
        <f aca="false">IF(K44="","",ROUND(K44/4.184,3))</f>
        <v>-75.526</v>
      </c>
      <c r="AR44" s="44"/>
      <c r="AS44" s="345" t="s">
        <v>948</v>
      </c>
      <c r="AT44" s="475" t="n">
        <f aca="false">IF(N44="","",ROUND(N44/4.184,3))</f>
        <v>-3.991</v>
      </c>
      <c r="AU44" s="476" t="n">
        <f aca="false">IF(O44="","",ROUND(O44/4.184,3))</f>
        <v>-11.926</v>
      </c>
      <c r="AV44" s="475" t="n">
        <f aca="false">IF(P44="","",ROUND(P44/4.184,3))</f>
        <v>-66.922</v>
      </c>
    </row>
    <row r="45" customFormat="false" ht="12.75" hidden="false" customHeight="false" outlineLevel="0" collapsed="false">
      <c r="B45" s="10"/>
      <c r="C45" s="345" t="s">
        <v>954</v>
      </c>
      <c r="D45" s="465" t="s">
        <v>1605</v>
      </c>
      <c r="E45" s="549"/>
      <c r="F45" s="292"/>
      <c r="G45" s="570"/>
      <c r="H45" s="345" t="s">
        <v>954</v>
      </c>
      <c r="I45" s="292" t="s">
        <v>1606</v>
      </c>
      <c r="J45" s="549" t="s">
        <v>1607</v>
      </c>
      <c r="K45" s="292" t="s">
        <v>1595</v>
      </c>
      <c r="M45" s="345" t="s">
        <v>954</v>
      </c>
      <c r="N45" s="292" t="s">
        <v>1608</v>
      </c>
      <c r="O45" s="549" t="s">
        <v>955</v>
      </c>
      <c r="P45" s="292" t="s">
        <v>1609</v>
      </c>
      <c r="Q45" s="66"/>
      <c r="R45" s="474" t="n">
        <v>2</v>
      </c>
      <c r="S45" s="474" t="n">
        <v>0</v>
      </c>
      <c r="T45" s="345" t="s">
        <v>954</v>
      </c>
      <c r="U45" s="470" t="n">
        <f aca="false">IF(D45="","",ROUND(4.184*D45+$S45*$T$9+$R45*$T$10,3))</f>
        <v>-455.67</v>
      </c>
      <c r="V45" s="470" t="str">
        <f aca="false">IF(E45="","",ROUND(4.184*E45,3))</f>
        <v/>
      </c>
      <c r="W45" s="470" t="str">
        <f aca="false">IF(F45="","",ROUND(4.184*F45,3))</f>
        <v/>
      </c>
      <c r="Y45" s="345" t="s">
        <v>954</v>
      </c>
      <c r="Z45" s="292" t="s">
        <v>1606</v>
      </c>
      <c r="AA45" s="292" t="s">
        <v>1607</v>
      </c>
      <c r="AB45" s="390" t="s">
        <v>1595</v>
      </c>
      <c r="AD45" s="345" t="s">
        <v>954</v>
      </c>
      <c r="AE45" s="292" t="s">
        <v>1608</v>
      </c>
      <c r="AF45" s="549" t="s">
        <v>955</v>
      </c>
      <c r="AG45" s="292" t="s">
        <v>1609</v>
      </c>
      <c r="AI45" s="345" t="s">
        <v>954</v>
      </c>
      <c r="AJ45" s="475" t="n">
        <f aca="false">IF(D45="","",ROUND(D45+$S45*$AK$9+$R45*$AK$10,3))</f>
        <v>-108.908</v>
      </c>
      <c r="AK45" s="476" t="str">
        <f aca="false">IF(E45="","",ROUND(E45,3))</f>
        <v/>
      </c>
      <c r="AL45" s="475" t="str">
        <f aca="false">IF(F45="","",ROUND(F45,3))</f>
        <v/>
      </c>
      <c r="AN45" s="345" t="s">
        <v>954</v>
      </c>
      <c r="AO45" s="475" t="n">
        <f aca="false">IF(I45="","",ROUND(I45/4.184,3))</f>
        <v>-108.7</v>
      </c>
      <c r="AP45" s="476" t="n">
        <f aca="false">IF(J45="","",ROUND(J45/4.184,3))</f>
        <v>-111.58</v>
      </c>
      <c r="AQ45" s="470" t="n">
        <f aca="false">IF(K45="","",ROUND(K45/4.184,3))</f>
        <v>-32.983</v>
      </c>
      <c r="AR45" s="44"/>
      <c r="AS45" s="345" t="s">
        <v>954</v>
      </c>
      <c r="AT45" s="475" t="n">
        <f aca="false">IF(N45="","",ROUND(N45/4.184,3))</f>
        <v>-108.843</v>
      </c>
      <c r="AU45" s="476" t="n">
        <f aca="false">IF(O45="","",ROUND(O45/4.184,3))</f>
        <v>-111.616</v>
      </c>
      <c r="AV45" s="475" t="n">
        <f aca="false">IF(P45="","",ROUND(P45/4.184,3))</f>
        <v>-32.744</v>
      </c>
    </row>
    <row r="46" customFormat="false" ht="12.75" hidden="false" customHeight="false" outlineLevel="0" collapsed="false">
      <c r="B46" s="10"/>
      <c r="C46" s="345" t="s">
        <v>963</v>
      </c>
      <c r="D46" s="465" t="s">
        <v>1610</v>
      </c>
      <c r="E46" s="477"/>
      <c r="F46" s="297"/>
      <c r="G46" s="570"/>
      <c r="H46" s="345" t="s">
        <v>963</v>
      </c>
      <c r="I46" s="292" t="s">
        <v>1611</v>
      </c>
      <c r="J46" s="549" t="s">
        <v>1612</v>
      </c>
      <c r="K46" s="292" t="s">
        <v>1613</v>
      </c>
      <c r="M46" s="345" t="s">
        <v>963</v>
      </c>
      <c r="N46" s="292" t="s">
        <v>1614</v>
      </c>
      <c r="O46" s="549" t="s">
        <v>964</v>
      </c>
      <c r="P46" s="292" t="s">
        <v>965</v>
      </c>
      <c r="Q46" s="66"/>
      <c r="R46" s="474" t="n">
        <v>2</v>
      </c>
      <c r="S46" s="474" t="n">
        <v>0</v>
      </c>
      <c r="T46" s="345" t="s">
        <v>963</v>
      </c>
      <c r="U46" s="470" t="n">
        <f aca="false">IF(D46="","",ROUND(4.184*D46+$S46*$T$9+$R46*$T$10,3))</f>
        <v>-553.074</v>
      </c>
      <c r="V46" s="470" t="str">
        <f aca="false">IF(E46="","",ROUND(4.184*E46,3))</f>
        <v/>
      </c>
      <c r="W46" s="470" t="str">
        <f aca="false">IF(F46="","",ROUND(4.184*F46,3))</f>
        <v/>
      </c>
      <c r="Y46" s="345" t="s">
        <v>963</v>
      </c>
      <c r="Z46" s="292" t="s">
        <v>1611</v>
      </c>
      <c r="AA46" s="292" t="s">
        <v>1612</v>
      </c>
      <c r="AB46" s="390" t="s">
        <v>1613</v>
      </c>
      <c r="AD46" s="345" t="s">
        <v>963</v>
      </c>
      <c r="AE46" s="292" t="s">
        <v>1614</v>
      </c>
      <c r="AF46" s="549" t="s">
        <v>964</v>
      </c>
      <c r="AG46" s="292" t="s">
        <v>965</v>
      </c>
      <c r="AI46" s="345" t="s">
        <v>963</v>
      </c>
      <c r="AJ46" s="475" t="n">
        <f aca="false">IF(D46="","",ROUND(D46+$S46*$AK$9+$R46*$AK$10,3))</f>
        <v>-132.188</v>
      </c>
      <c r="AK46" s="476" t="str">
        <f aca="false">IF(E46="","",ROUND(E46,3))</f>
        <v/>
      </c>
      <c r="AL46" s="475" t="str">
        <f aca="false">IF(F46="","",ROUND(F46,3))</f>
        <v/>
      </c>
      <c r="AN46" s="345" t="s">
        <v>963</v>
      </c>
      <c r="AO46" s="470" t="n">
        <f aca="false">IF(I46="","",ROUND(I46/4.184,3))</f>
        <v>-132.299</v>
      </c>
      <c r="AP46" s="476" t="n">
        <f aca="false">IF(J46="","",ROUND(J46/4.184,3))</f>
        <v>-129.739</v>
      </c>
      <c r="AQ46" s="475" t="n">
        <f aca="false">IF(K46="","",ROUND(K46/4.184,3))</f>
        <v>-12.691</v>
      </c>
      <c r="AR46" s="44"/>
      <c r="AS46" s="345" t="s">
        <v>963</v>
      </c>
      <c r="AT46" s="475" t="n">
        <f aca="false">IF(N46="","",ROUND(N46/4.184,3))</f>
        <v>-132.314</v>
      </c>
      <c r="AU46" s="476" t="n">
        <f aca="false">IF(O46="","",ROUND(O46/4.184,3))</f>
        <v>-129.78</v>
      </c>
      <c r="AV46" s="475" t="n">
        <f aca="false">IF(P46="","",ROUND(P46/4.184,3))</f>
        <v>-13.432</v>
      </c>
    </row>
    <row r="47" customFormat="false" ht="12.75" hidden="false" customHeight="false" outlineLevel="0" collapsed="false">
      <c r="B47" s="10"/>
      <c r="C47" s="345" t="s">
        <v>970</v>
      </c>
      <c r="D47" s="465" t="s">
        <v>1615</v>
      </c>
      <c r="E47" s="549"/>
      <c r="F47" s="292"/>
      <c r="G47" s="570"/>
      <c r="H47" s="345" t="s">
        <v>970</v>
      </c>
      <c r="I47" s="292" t="s">
        <v>1616</v>
      </c>
      <c r="J47" s="549" t="s">
        <v>1617</v>
      </c>
      <c r="K47" s="292" t="s">
        <v>1618</v>
      </c>
      <c r="L47" s="10"/>
      <c r="M47" s="345" t="s">
        <v>970</v>
      </c>
      <c r="N47" s="292" t="s">
        <v>1619</v>
      </c>
      <c r="O47" s="549" t="s">
        <v>1620</v>
      </c>
      <c r="P47" s="292" t="s">
        <v>1621</v>
      </c>
      <c r="Q47" s="66"/>
      <c r="R47" s="474" t="n">
        <v>2</v>
      </c>
      <c r="S47" s="474" t="n">
        <v>0</v>
      </c>
      <c r="T47" s="345" t="s">
        <v>970</v>
      </c>
      <c r="U47" s="470" t="n">
        <f aca="false">IF(D47="","",ROUND(4.184*D47+$S47*$T$9+$R47*$T$10,3))</f>
        <v>-557.341</v>
      </c>
      <c r="V47" s="470" t="str">
        <f aca="false">IF(E47="","",ROUND(4.184*E47,3))</f>
        <v/>
      </c>
      <c r="W47" s="470" t="str">
        <f aca="false">IF(F47="","",ROUND(4.184*F47,3))</f>
        <v/>
      </c>
      <c r="X47" s="10"/>
      <c r="Y47" s="345" t="s">
        <v>970</v>
      </c>
      <c r="Z47" s="292" t="s">
        <v>1616</v>
      </c>
      <c r="AA47" s="292" t="s">
        <v>1617</v>
      </c>
      <c r="AB47" s="390" t="s">
        <v>1618</v>
      </c>
      <c r="AC47" s="10"/>
      <c r="AD47" s="345" t="s">
        <v>970</v>
      </c>
      <c r="AE47" s="292" t="s">
        <v>1619</v>
      </c>
      <c r="AF47" s="549" t="s">
        <v>1620</v>
      </c>
      <c r="AG47" s="292" t="s">
        <v>1621</v>
      </c>
      <c r="AI47" s="345" t="s">
        <v>970</v>
      </c>
      <c r="AJ47" s="475" t="n">
        <f aca="false">IF(D47="","",ROUND(D47+$S47*$AK$9+$R47*$AK$10,3))</f>
        <v>-133.208</v>
      </c>
      <c r="AK47" s="476" t="str">
        <f aca="false">IF(E47="","",ROUND(E47,3))</f>
        <v/>
      </c>
      <c r="AL47" s="475" t="str">
        <f aca="false">IF(F47="","",ROUND(F47,3))</f>
        <v/>
      </c>
      <c r="AM47" s="10"/>
      <c r="AN47" s="345" t="s">
        <v>970</v>
      </c>
      <c r="AO47" s="475" t="n">
        <f aca="false">IF(I47="","",ROUND(I47/4.184,3))</f>
        <v>-133.709</v>
      </c>
      <c r="AP47" s="476" t="n">
        <f aca="false">IF(J47="","",ROUND(J47/4.184,3))</f>
        <v>-130.449</v>
      </c>
      <c r="AQ47" s="475" t="n">
        <f aca="false">IF(K47="","",ROUND(K47/4.184,3))</f>
        <v>-7.887</v>
      </c>
      <c r="AR47" s="44"/>
      <c r="AS47" s="345" t="s">
        <v>970</v>
      </c>
      <c r="AT47" s="475" t="n">
        <f aca="false">IF(N47="","",ROUND(N47/4.184,3))</f>
        <v>-134.751</v>
      </c>
      <c r="AU47" s="471" t="n">
        <f aca="false">IF(O47="","",ROUND(O47/4.184,3))</f>
        <v>-131.668</v>
      </c>
      <c r="AV47" s="475" t="n">
        <f aca="false">IF(P47="","",ROUND(P47/4.184,3))</f>
        <v>-7.529</v>
      </c>
    </row>
    <row r="48" customFormat="false" ht="12.75" hidden="false" customHeight="false" outlineLevel="0" collapsed="false">
      <c r="B48" s="10"/>
      <c r="C48" s="345" t="s">
        <v>975</v>
      </c>
      <c r="D48" s="465" t="s">
        <v>1622</v>
      </c>
      <c r="E48" s="477"/>
      <c r="F48" s="297"/>
      <c r="G48" s="570"/>
      <c r="H48" s="345" t="s">
        <v>975</v>
      </c>
      <c r="I48" s="292" t="s">
        <v>1623</v>
      </c>
      <c r="J48" s="549" t="s">
        <v>1624</v>
      </c>
      <c r="K48" s="292" t="s">
        <v>1625</v>
      </c>
      <c r="L48" s="10"/>
      <c r="M48" s="345" t="s">
        <v>975</v>
      </c>
      <c r="N48" s="292" t="s">
        <v>1626</v>
      </c>
      <c r="O48" s="549" t="s">
        <v>1627</v>
      </c>
      <c r="P48" s="292" t="s">
        <v>239</v>
      </c>
      <c r="Q48" s="66"/>
      <c r="R48" s="474" t="n">
        <v>2</v>
      </c>
      <c r="S48" s="474" t="n">
        <v>0</v>
      </c>
      <c r="T48" s="345" t="s">
        <v>975</v>
      </c>
      <c r="U48" s="470" t="n">
        <f aca="false">IF(D48="","",ROUND(4.184*D48+$S48*$T$9+$R48*$T$10,3))</f>
        <v>-560.689</v>
      </c>
      <c r="V48" s="470" t="str">
        <f aca="false">IF(E48="","",ROUND(4.184*E48,3))</f>
        <v/>
      </c>
      <c r="W48" s="470" t="str">
        <f aca="false">IF(F48="","",ROUND(4.184*F48,3))</f>
        <v/>
      </c>
      <c r="X48" s="10"/>
      <c r="Y48" s="345" t="s">
        <v>975</v>
      </c>
      <c r="Z48" s="292" t="s">
        <v>1623</v>
      </c>
      <c r="AA48" s="292" t="s">
        <v>1624</v>
      </c>
      <c r="AB48" s="390" t="s">
        <v>1625</v>
      </c>
      <c r="AC48" s="10"/>
      <c r="AD48" s="345" t="s">
        <v>975</v>
      </c>
      <c r="AE48" s="292" t="s">
        <v>1626</v>
      </c>
      <c r="AF48" s="549" t="s">
        <v>1627</v>
      </c>
      <c r="AG48" s="292" t="s">
        <v>239</v>
      </c>
      <c r="AI48" s="345" t="s">
        <v>975</v>
      </c>
      <c r="AJ48" s="470" t="n">
        <f aca="false">IF(D48="","",ROUND(D48+$S48*$AK$9+$R48*$AK$10,3))</f>
        <v>-134.008</v>
      </c>
      <c r="AK48" s="476" t="str">
        <f aca="false">IF(E48="","",ROUND(E48,3))</f>
        <v/>
      </c>
      <c r="AL48" s="470" t="str">
        <f aca="false">IF(F48="","",ROUND(F48,3))</f>
        <v/>
      </c>
      <c r="AM48" s="10"/>
      <c r="AN48" s="345" t="s">
        <v>975</v>
      </c>
      <c r="AO48" s="475" t="n">
        <f aca="false">IF(I48="","",ROUND(I48/4.184,3))</f>
        <v>-134.02</v>
      </c>
      <c r="AP48" s="471" t="n">
        <f aca="false">IF(J48="","",ROUND(J48/4.184,3))</f>
        <v>-128.499</v>
      </c>
      <c r="AQ48" s="475" t="n">
        <f aca="false">IF(K48="","",ROUND(K48/4.184,3))</f>
        <v>2.294</v>
      </c>
      <c r="AR48" s="45"/>
      <c r="AS48" s="345" t="s">
        <v>975</v>
      </c>
      <c r="AT48" s="470" t="n">
        <f aca="false">IF(N48="","",ROUND(N48/4.184,3))</f>
        <v>-132.744</v>
      </c>
      <c r="AU48" s="471" t="n">
        <f aca="false">IF(O48="","",ROUND(O48/4.184,3))</f>
        <v>-127.271</v>
      </c>
      <c r="AV48" s="470" t="n">
        <f aca="false">IF(P48="","",ROUND(P48/4.184,3))</f>
        <v>2.008</v>
      </c>
    </row>
    <row r="49" customFormat="false" ht="12.75" hidden="false" customHeight="false" outlineLevel="0" collapsed="false">
      <c r="B49" s="10"/>
      <c r="C49" s="345" t="s">
        <v>981</v>
      </c>
      <c r="D49" s="297"/>
      <c r="E49" s="477"/>
      <c r="F49" s="297"/>
      <c r="G49" s="570"/>
      <c r="H49" s="345" t="s">
        <v>981</v>
      </c>
      <c r="I49" s="297"/>
      <c r="J49" s="477"/>
      <c r="K49" s="297"/>
      <c r="L49" s="10"/>
      <c r="M49" s="345" t="s">
        <v>981</v>
      </c>
      <c r="N49" s="297"/>
      <c r="O49" s="477"/>
      <c r="P49" s="297"/>
      <c r="Q49" s="45"/>
      <c r="R49" s="474" t="n">
        <v>2</v>
      </c>
      <c r="S49" s="474" t="n">
        <v>0</v>
      </c>
      <c r="T49" s="345" t="s">
        <v>981</v>
      </c>
      <c r="U49" s="470" t="str">
        <f aca="false">IF(D49="","",ROUND(4.184*D49+$S49*$T$9+$R49*$T$10,3))</f>
        <v/>
      </c>
      <c r="V49" s="470" t="str">
        <f aca="false">IF(E49="","",ROUND(4.184*E49,3))</f>
        <v/>
      </c>
      <c r="W49" s="470" t="str">
        <f aca="false">IF(F49="","",ROUND(4.184*F49,3))</f>
        <v/>
      </c>
      <c r="X49" s="10"/>
      <c r="Y49" s="345" t="s">
        <v>981</v>
      </c>
      <c r="Z49" s="297"/>
      <c r="AA49" s="297"/>
      <c r="AB49" s="572"/>
      <c r="AC49" s="10"/>
      <c r="AD49" s="345" t="s">
        <v>981</v>
      </c>
      <c r="AE49" s="297"/>
      <c r="AF49" s="477"/>
      <c r="AG49" s="297"/>
      <c r="AI49" s="345" t="s">
        <v>981</v>
      </c>
      <c r="AJ49" s="470" t="str">
        <f aca="false">IF(D49="","",ROUND(D49+$S49*$AK$9+$R49*$AK$10,3))</f>
        <v/>
      </c>
      <c r="AK49" s="471" t="str">
        <f aca="false">IF(E49="","",ROUND(E49,3))</f>
        <v/>
      </c>
      <c r="AL49" s="470" t="str">
        <f aca="false">IF(F49="","",ROUND(F49,3))</f>
        <v/>
      </c>
      <c r="AM49" s="10"/>
      <c r="AN49" s="345" t="s">
        <v>981</v>
      </c>
      <c r="AO49" s="475" t="str">
        <f aca="false">IF(I49="","",ROUND(I49/4.184,3))</f>
        <v/>
      </c>
      <c r="AP49" s="476" t="str">
        <f aca="false">IF(J49="","",ROUND(J49/4.184,3))</f>
        <v/>
      </c>
      <c r="AQ49" s="470" t="str">
        <f aca="false">IF(K49="","",ROUND(K49/4.184,3))</f>
        <v/>
      </c>
      <c r="AR49" s="45"/>
      <c r="AS49" s="345" t="s">
        <v>981</v>
      </c>
      <c r="AT49" s="470" t="str">
        <f aca="false">IF(N49="","",ROUND(N49/4.184,3))</f>
        <v/>
      </c>
      <c r="AU49" s="471" t="str">
        <f aca="false">IF(O49="","",ROUND(O49/4.184,3))</f>
        <v/>
      </c>
      <c r="AV49" s="470" t="str">
        <f aca="false">IF(P49="","",ROUND(P49/4.184,3))</f>
        <v/>
      </c>
    </row>
    <row r="50" customFormat="false" ht="12.75" hidden="false" customHeight="false" outlineLevel="0" collapsed="false">
      <c r="A50" s="10"/>
      <c r="B50" s="10"/>
      <c r="C50" s="345" t="s">
        <v>982</v>
      </c>
      <c r="D50" s="465" t="s">
        <v>1628</v>
      </c>
      <c r="E50" s="549"/>
      <c r="F50" s="292"/>
      <c r="G50" s="570"/>
      <c r="H50" s="345" t="s">
        <v>982</v>
      </c>
      <c r="I50" s="465" t="s">
        <v>1629</v>
      </c>
      <c r="J50" s="466" t="s">
        <v>1630</v>
      </c>
      <c r="K50" s="465" t="s">
        <v>1631</v>
      </c>
      <c r="L50" s="10"/>
      <c r="M50" s="345" t="s">
        <v>982</v>
      </c>
      <c r="N50" s="465" t="s">
        <v>1632</v>
      </c>
      <c r="O50" s="466" t="s">
        <v>1633</v>
      </c>
      <c r="P50" s="465" t="s">
        <v>984</v>
      </c>
      <c r="Q50" s="66"/>
      <c r="R50" s="474" t="n">
        <v>1</v>
      </c>
      <c r="S50" s="474" t="n">
        <v>0</v>
      </c>
      <c r="T50" s="345" t="s">
        <v>982</v>
      </c>
      <c r="U50" s="470" t="n">
        <f aca="false">IF(D50="","",ROUND(4.184*D50+$S50*$T$9+$R50*$T$10,3))</f>
        <v>-293.817</v>
      </c>
      <c r="V50" s="470" t="str">
        <f aca="false">IF(E50="","",ROUND(4.184*E50,3))</f>
        <v/>
      </c>
      <c r="W50" s="470" t="str">
        <f aca="false">IF(F50="","",ROUND(4.184*F50,3))</f>
        <v/>
      </c>
      <c r="X50" s="10"/>
      <c r="Y50" s="345" t="s">
        <v>982</v>
      </c>
      <c r="Z50" s="465" t="s">
        <v>1629</v>
      </c>
      <c r="AA50" s="465" t="s">
        <v>1630</v>
      </c>
      <c r="AB50" s="571" t="s">
        <v>1631</v>
      </c>
      <c r="AC50" s="10"/>
      <c r="AD50" s="345" t="s">
        <v>982</v>
      </c>
      <c r="AE50" s="465" t="s">
        <v>1632</v>
      </c>
      <c r="AF50" s="466" t="s">
        <v>1633</v>
      </c>
      <c r="AG50" s="465" t="s">
        <v>984</v>
      </c>
      <c r="AI50" s="345" t="s">
        <v>982</v>
      </c>
      <c r="AJ50" s="475" t="n">
        <f aca="false">IF(D50="","",ROUND(D50+$S50*$AK$9+$R50*$AK$10,3))</f>
        <v>-70.224</v>
      </c>
      <c r="AK50" s="476" t="str">
        <f aca="false">IF(E50="","",ROUND(E50,3))</f>
        <v/>
      </c>
      <c r="AL50" s="475" t="str">
        <f aca="false">IF(F50="","",ROUND(F50,3))</f>
        <v/>
      </c>
      <c r="AM50" s="10"/>
      <c r="AN50" s="345" t="s">
        <v>982</v>
      </c>
      <c r="AO50" s="470" t="n">
        <f aca="false">IF(I50="","",ROUND(I50/4.184,3))</f>
        <v>-69.938</v>
      </c>
      <c r="AP50" s="476" t="n">
        <f aca="false">IF(J50="","",ROUND(J50/4.184,3))</f>
        <v>-66.552</v>
      </c>
      <c r="AQ50" s="475" t="n">
        <f aca="false">IF(K50="","",ROUND(K50/4.184,3))</f>
        <v>2.701</v>
      </c>
      <c r="AR50" s="44"/>
      <c r="AS50" s="345" t="s">
        <v>982</v>
      </c>
      <c r="AT50" s="470" t="n">
        <f aca="false">IF(N50="","",ROUND(N50/4.184,3))</f>
        <v>-70.005</v>
      </c>
      <c r="AU50" s="476" t="n">
        <f aca="false">IF(O50="","",ROUND(O50/4.184,3))</f>
        <v>-66.563</v>
      </c>
      <c r="AV50" s="475" t="n">
        <f aca="false">IF(P50="","",ROUND(P50/4.184,3))</f>
        <v>2.925</v>
      </c>
    </row>
    <row r="51" customFormat="false" ht="12.75" hidden="false" customHeight="false" outlineLevel="0" collapsed="false">
      <c r="B51" s="10"/>
      <c r="C51" s="345" t="s">
        <v>989</v>
      </c>
      <c r="D51" s="465" t="s">
        <v>1634</v>
      </c>
      <c r="E51" s="549"/>
      <c r="F51" s="292"/>
      <c r="G51" s="570"/>
      <c r="H51" s="345" t="s">
        <v>989</v>
      </c>
      <c r="I51" s="465" t="s">
        <v>1635</v>
      </c>
      <c r="J51" s="466" t="s">
        <v>1636</v>
      </c>
      <c r="K51" s="465" t="s">
        <v>1637</v>
      </c>
      <c r="M51" s="345" t="s">
        <v>989</v>
      </c>
      <c r="N51" s="465" t="s">
        <v>1638</v>
      </c>
      <c r="O51" s="466" t="s">
        <v>1639</v>
      </c>
      <c r="P51" s="465" t="s">
        <v>992</v>
      </c>
      <c r="Q51" s="66"/>
      <c r="R51" s="474" t="n">
        <v>1</v>
      </c>
      <c r="S51" s="474" t="n">
        <v>0</v>
      </c>
      <c r="T51" s="345" t="s">
        <v>989</v>
      </c>
      <c r="U51" s="470" t="n">
        <f aca="false">IF(D51="","",ROUND(4.184*D51+$S51*$T$9+$R51*$T$10,3))</f>
        <v>-261.679</v>
      </c>
      <c r="V51" s="470" t="str">
        <f aca="false">IF(E51="","",ROUND(4.184*E51,3))</f>
        <v/>
      </c>
      <c r="W51" s="470" t="str">
        <f aca="false">IF(F51="","",ROUND(4.184*F51,3))</f>
        <v/>
      </c>
      <c r="Y51" s="345" t="s">
        <v>989</v>
      </c>
      <c r="Z51" s="465" t="s">
        <v>1635</v>
      </c>
      <c r="AA51" s="465" t="s">
        <v>1636</v>
      </c>
      <c r="AB51" s="571" t="s">
        <v>1637</v>
      </c>
      <c r="AD51" s="345" t="s">
        <v>989</v>
      </c>
      <c r="AE51" s="465" t="s">
        <v>1638</v>
      </c>
      <c r="AF51" s="466" t="s">
        <v>1639</v>
      </c>
      <c r="AG51" s="465" t="s">
        <v>992</v>
      </c>
      <c r="AI51" s="345" t="s">
        <v>989</v>
      </c>
      <c r="AJ51" s="475" t="n">
        <f aca="false">IF(D51="","",ROUND(D51+$S51*$AK$9+$R51*$AK$10,3))</f>
        <v>-62.543</v>
      </c>
      <c r="AK51" s="476" t="str">
        <f aca="false">IF(E51="","",ROUND(E51,3))</f>
        <v/>
      </c>
      <c r="AL51" s="475" t="str">
        <f aca="false">IF(F51="","",ROUND(F51,3))</f>
        <v/>
      </c>
      <c r="AN51" s="345" t="s">
        <v>989</v>
      </c>
      <c r="AO51" s="475" t="n">
        <f aca="false">IF(I51="","",ROUND(I51/4.184,3))</f>
        <v>-62.596</v>
      </c>
      <c r="AP51" s="476" t="n">
        <f aca="false">IF(J51="","",ROUND(J51/4.184,3))</f>
        <v>-57.433</v>
      </c>
      <c r="AQ51" s="475" t="n">
        <f aca="false">IF(K51="","",ROUND(K51/4.184,3))</f>
        <v>13.96</v>
      </c>
      <c r="AR51" s="44"/>
      <c r="AS51" s="345" t="s">
        <v>989</v>
      </c>
      <c r="AT51" s="475" t="n">
        <f aca="false">IF(N51="","",ROUND(N51/4.184,3))</f>
        <v>-62.5</v>
      </c>
      <c r="AU51" s="476" t="n">
        <f aca="false">IF(O51="","",ROUND(O51/4.184,3))</f>
        <v>-57.433</v>
      </c>
      <c r="AV51" s="470" t="n">
        <f aca="false">IF(P51="","",ROUND(P51/4.184,3))</f>
        <v>13.97</v>
      </c>
    </row>
    <row r="52" customFormat="false" ht="12.75" hidden="false" customHeight="false" outlineLevel="0" collapsed="false">
      <c r="B52" s="10"/>
      <c r="C52" s="354" t="s">
        <v>998</v>
      </c>
      <c r="D52" s="490" t="s">
        <v>1640</v>
      </c>
      <c r="E52" s="557"/>
      <c r="F52" s="301"/>
      <c r="G52" s="570"/>
      <c r="H52" s="354" t="s">
        <v>998</v>
      </c>
      <c r="I52" s="490" t="s">
        <v>1641</v>
      </c>
      <c r="J52" s="494" t="s">
        <v>1642</v>
      </c>
      <c r="K52" s="490" t="s">
        <v>1643</v>
      </c>
      <c r="M52" s="354" t="s">
        <v>998</v>
      </c>
      <c r="N52" s="490" t="s">
        <v>1644</v>
      </c>
      <c r="O52" s="494" t="s">
        <v>1645</v>
      </c>
      <c r="P52" s="490" t="s">
        <v>1000</v>
      </c>
      <c r="Q52" s="66"/>
      <c r="R52" s="474" t="n">
        <v>1</v>
      </c>
      <c r="S52" s="474" t="n">
        <v>0</v>
      </c>
      <c r="T52" s="354" t="s">
        <v>998</v>
      </c>
      <c r="U52" s="470" t="n">
        <f aca="false">IF(D52="","",ROUND(4.184*D52+$S52*$T$9+$R52*$T$10,3))</f>
        <v>-283.273</v>
      </c>
      <c r="V52" s="470" t="str">
        <f aca="false">IF(E52="","",ROUND(4.184*E52,3))</f>
        <v/>
      </c>
      <c r="W52" s="470" t="str">
        <f aca="false">IF(F52="","",ROUND(4.184*F52,3))</f>
        <v/>
      </c>
      <c r="Y52" s="354" t="s">
        <v>998</v>
      </c>
      <c r="Z52" s="490" t="s">
        <v>1641</v>
      </c>
      <c r="AA52" s="490" t="s">
        <v>1642</v>
      </c>
      <c r="AB52" s="576" t="s">
        <v>1643</v>
      </c>
      <c r="AD52" s="354" t="s">
        <v>998</v>
      </c>
      <c r="AE52" s="490" t="s">
        <v>1644</v>
      </c>
      <c r="AF52" s="494" t="s">
        <v>1645</v>
      </c>
      <c r="AG52" s="490" t="s">
        <v>1000</v>
      </c>
      <c r="AI52" s="354" t="s">
        <v>998</v>
      </c>
      <c r="AJ52" s="491" t="n">
        <f aca="false">IF(D52="","",ROUND(D52+$S52*$AK$9+$R52*$AK$10,3))</f>
        <v>-67.704</v>
      </c>
      <c r="AK52" s="492" t="str">
        <f aca="false">IF(E52="","",ROUND(E52,3))</f>
        <v/>
      </c>
      <c r="AL52" s="491" t="str">
        <f aca="false">IF(F52="","",ROUND(F52,3))</f>
        <v/>
      </c>
      <c r="AN52" s="354" t="s">
        <v>998</v>
      </c>
      <c r="AO52" s="493" t="n">
        <f aca="false">IF(I52="","",ROUND(I52/4.184,3))</f>
        <v>-67.517</v>
      </c>
      <c r="AP52" s="492" t="n">
        <f aca="false">IF(J52="","",ROUND(J52/4.184,3))</f>
        <v>-60.27</v>
      </c>
      <c r="AQ52" s="491" t="n">
        <f aca="false">IF(K52="","",ROUND(K52/4.184,3))</f>
        <v>24.149</v>
      </c>
      <c r="AR52" s="44"/>
      <c r="AS52" s="354" t="s">
        <v>998</v>
      </c>
      <c r="AT52" s="491" t="n">
        <f aca="false">IF(N52="","",ROUND(N52/4.184,3))</f>
        <v>-67.519</v>
      </c>
      <c r="AU52" s="492" t="n">
        <f aca="false">IF(O52="","",ROUND(O52/4.184,3))</f>
        <v>-60.253</v>
      </c>
      <c r="AV52" s="491" t="n">
        <f aca="false">IF(P52="","",ROUND(P52/4.184,3))</f>
        <v>24.187</v>
      </c>
    </row>
    <row r="53" customFormat="false" ht="12.75" hidden="false" customHeight="false" outlineLevel="0" collapsed="false">
      <c r="C53" s="354" t="s">
        <v>1005</v>
      </c>
      <c r="D53" s="301"/>
      <c r="E53" s="557"/>
      <c r="F53" s="301"/>
      <c r="G53" s="570"/>
      <c r="H53" s="354" t="s">
        <v>1005</v>
      </c>
      <c r="I53" s="490" t="s">
        <v>1646</v>
      </c>
      <c r="J53" s="494" t="s">
        <v>1010</v>
      </c>
      <c r="K53" s="490" t="s">
        <v>1647</v>
      </c>
      <c r="M53" s="354" t="s">
        <v>1005</v>
      </c>
      <c r="N53" s="348"/>
      <c r="O53" s="577"/>
      <c r="P53" s="348"/>
      <c r="R53" s="474" t="n">
        <v>1</v>
      </c>
      <c r="S53" s="474" t="n">
        <v>0</v>
      </c>
      <c r="T53" s="354" t="s">
        <v>1005</v>
      </c>
      <c r="U53" s="470" t="str">
        <f aca="false">IF(D53="","",ROUND(4.184*D53+$S53*$T$9+$R53*$T$10,3))</f>
        <v/>
      </c>
      <c r="V53" s="470" t="str">
        <f aca="false">IF(E53="","",ROUND(4.184*E53,3))</f>
        <v/>
      </c>
      <c r="W53" s="470" t="str">
        <f aca="false">IF(F53="","",ROUND(4.184*F53,3))</f>
        <v/>
      </c>
      <c r="Y53" s="354" t="s">
        <v>1005</v>
      </c>
      <c r="Z53" s="490" t="s">
        <v>1646</v>
      </c>
      <c r="AA53" s="490" t="s">
        <v>1010</v>
      </c>
      <c r="AB53" s="576" t="s">
        <v>1647</v>
      </c>
      <c r="AD53" s="354" t="s">
        <v>1005</v>
      </c>
      <c r="AE53" s="348"/>
      <c r="AF53" s="577"/>
      <c r="AG53" s="348"/>
      <c r="AI53" s="354" t="s">
        <v>1005</v>
      </c>
      <c r="AJ53" s="493" t="str">
        <f aca="false">IF(D53="","",ROUND(D53+$S53*$AK$9+$R53*$AK$10,3))</f>
        <v/>
      </c>
      <c r="AK53" s="495" t="str">
        <f aca="false">IF(E53="","",ROUND(E53,3))</f>
        <v/>
      </c>
      <c r="AL53" s="493" t="str">
        <f aca="false">IF(F53="","",ROUND(F53,3))</f>
        <v/>
      </c>
      <c r="AN53" s="354" t="s">
        <v>1005</v>
      </c>
      <c r="AO53" s="491" t="n">
        <f aca="false">IF(I53="","",ROUND(I53/4.184,3))</f>
        <v>-69.722</v>
      </c>
      <c r="AP53" s="492" t="n">
        <f aca="false">IF(J53="","",ROUND(J53/4.184,3))</f>
        <v>-60.019</v>
      </c>
      <c r="AQ53" s="491" t="n">
        <f aca="false">IF(K53="","",ROUND(K53/4.184,3))</f>
        <v>28.791</v>
      </c>
      <c r="AR53" s="44"/>
      <c r="AS53" s="354" t="s">
        <v>1005</v>
      </c>
      <c r="AT53" s="493" t="str">
        <f aca="false">IF(N53="","",ROUND(N53/4.184,3))</f>
        <v/>
      </c>
      <c r="AU53" s="495" t="str">
        <f aca="false">IF(O53="","",ROUND(O53/4.184,3))</f>
        <v/>
      </c>
      <c r="AV53" s="493" t="str">
        <f aca="false">IF(P53="","",ROUND(P53/4.184,3))</f>
        <v/>
      </c>
    </row>
    <row r="54" customFormat="false" ht="13.5" hidden="false" customHeight="false" outlineLevel="0" collapsed="false">
      <c r="C54" s="375" t="s">
        <v>1012</v>
      </c>
      <c r="D54" s="307"/>
      <c r="E54" s="564"/>
      <c r="F54" s="307"/>
      <c r="G54" s="570"/>
      <c r="H54" s="375" t="s">
        <v>1012</v>
      </c>
      <c r="I54" s="578" t="s">
        <v>1648</v>
      </c>
      <c r="J54" s="497" t="s">
        <v>1649</v>
      </c>
      <c r="K54" s="496" t="s">
        <v>1650</v>
      </c>
      <c r="M54" s="375" t="s">
        <v>1012</v>
      </c>
      <c r="N54" s="307" t="s">
        <v>1651</v>
      </c>
      <c r="O54" s="497" t="s">
        <v>1652</v>
      </c>
      <c r="P54" s="496" t="s">
        <v>1015</v>
      </c>
      <c r="Q54" s="66"/>
      <c r="R54" s="474" t="n">
        <v>1</v>
      </c>
      <c r="S54" s="474" t="n">
        <v>0</v>
      </c>
      <c r="T54" s="375" t="s">
        <v>1012</v>
      </c>
      <c r="U54" s="500" t="str">
        <f aca="false">IF(D54="","",ROUND(4.184*D54+$S54*$T$9+$R54*$T$10,3))</f>
        <v/>
      </c>
      <c r="V54" s="500" t="str">
        <f aca="false">IF(E54="","",ROUND(4.184*E54,3))</f>
        <v/>
      </c>
      <c r="W54" s="500" t="str">
        <f aca="false">IF(F54="","",ROUND(4.184*F54,3))</f>
        <v/>
      </c>
      <c r="Y54" s="375" t="s">
        <v>1012</v>
      </c>
      <c r="Z54" s="578" t="s">
        <v>1648</v>
      </c>
      <c r="AA54" s="496" t="s">
        <v>1649</v>
      </c>
      <c r="AB54" s="579" t="s">
        <v>1650</v>
      </c>
      <c r="AD54" s="375" t="s">
        <v>1012</v>
      </c>
      <c r="AE54" s="307" t="s">
        <v>1651</v>
      </c>
      <c r="AF54" s="497" t="s">
        <v>1652</v>
      </c>
      <c r="AG54" s="496" t="s">
        <v>1015</v>
      </c>
      <c r="AI54" s="375" t="s">
        <v>1012</v>
      </c>
      <c r="AJ54" s="500" t="str">
        <f aca="false">IF(D54="","",ROUND(D54+$S54*$AK$9+$R54*$AK$10,3))</f>
        <v/>
      </c>
      <c r="AK54" s="501" t="str">
        <f aca="false">IF(E54="","",ROUND(E54,3))</f>
        <v/>
      </c>
      <c r="AL54" s="500" t="str">
        <f aca="false">IF(F54="","",ROUND(F54,3))</f>
        <v/>
      </c>
      <c r="AN54" s="375" t="s">
        <v>1012</v>
      </c>
      <c r="AO54" s="580" t="n">
        <f aca="false">IF(I54="","",ROUND(I54/4.184,3))</f>
        <v>-67.788</v>
      </c>
      <c r="AP54" s="503" t="n">
        <f aca="false">IF(J54="","",ROUND(J54/4.184,3))</f>
        <v>-61.673</v>
      </c>
      <c r="AQ54" s="500" t="n">
        <f aca="false">IF(K54="","",ROUND(K54/4.184,3))</f>
        <v>31.75</v>
      </c>
      <c r="AR54" s="44"/>
      <c r="AS54" s="375" t="s">
        <v>1012</v>
      </c>
      <c r="AT54" s="500" t="n">
        <f aca="false">IF(N54="","",ROUND(N54/4.184,3))</f>
        <v>-69.67</v>
      </c>
      <c r="AU54" s="501" t="n">
        <f aca="false">IF(O54="","",ROUND(O54/4.184,3))</f>
        <v>-61.663</v>
      </c>
      <c r="AV54" s="500" t="n">
        <f aca="false">IF(P54="","",ROUND(P54/4.184,3))</f>
        <v>31.573</v>
      </c>
    </row>
    <row r="55" customFormat="false" ht="12.75" hidden="false" customHeight="false" outlineLevel="0" collapsed="false">
      <c r="C55" s="345" t="s">
        <v>833</v>
      </c>
      <c r="D55" s="581" t="s">
        <v>1653</v>
      </c>
      <c r="E55" s="66"/>
      <c r="F55" s="66"/>
      <c r="G55" s="582"/>
      <c r="H55" s="112"/>
      <c r="I55" s="66"/>
      <c r="J55" s="274"/>
      <c r="K55" s="274"/>
      <c r="M55" s="280"/>
      <c r="N55" s="274"/>
      <c r="O55" s="274"/>
      <c r="P55" s="274"/>
      <c r="T55" s="345" t="s">
        <v>833</v>
      </c>
      <c r="U55" s="583" t="n">
        <f aca="false">IF(D55="","",ROUND(4.184*D55+$S27*$T$9+$R27*$T$10,3))</f>
        <v>-744.529</v>
      </c>
      <c r="V55" s="274"/>
      <c r="W55" s="274"/>
      <c r="Y55" s="112"/>
      <c r="Z55" s="66"/>
      <c r="AA55" s="274"/>
      <c r="AB55" s="274"/>
      <c r="AD55" s="280"/>
      <c r="AE55" s="274"/>
      <c r="AF55" s="274"/>
      <c r="AG55" s="274"/>
      <c r="AI55" s="280"/>
      <c r="AJ55" s="274"/>
      <c r="AK55" s="274"/>
      <c r="AL55" s="274"/>
      <c r="AN55" s="280"/>
      <c r="AO55" s="504"/>
      <c r="AP55" s="504"/>
      <c r="AQ55" s="274"/>
      <c r="AR55" s="44"/>
      <c r="AS55" s="280"/>
      <c r="AT55" s="274"/>
      <c r="AU55" s="274"/>
      <c r="AV55" s="274"/>
    </row>
    <row r="56" customFormat="false" ht="12.75" hidden="false" customHeight="false" outlineLevel="0" collapsed="false">
      <c r="C56" s="280"/>
      <c r="D56" s="66"/>
      <c r="E56" s="66"/>
      <c r="F56" s="66"/>
      <c r="G56" s="582"/>
      <c r="H56" s="112"/>
      <c r="I56" s="66"/>
      <c r="J56" s="274"/>
      <c r="K56" s="274"/>
      <c r="M56" s="280"/>
      <c r="N56" s="274"/>
      <c r="O56" s="274"/>
      <c r="P56" s="274"/>
      <c r="T56" s="280"/>
      <c r="U56" s="274"/>
      <c r="V56" s="274"/>
      <c r="W56" s="274"/>
      <c r="Y56" s="112"/>
      <c r="Z56" s="66"/>
      <c r="AA56" s="274"/>
      <c r="AB56" s="274"/>
      <c r="AD56" s="280"/>
      <c r="AE56" s="274"/>
      <c r="AF56" s="274"/>
      <c r="AG56" s="274"/>
      <c r="AI56" s="280"/>
      <c r="AJ56" s="274"/>
      <c r="AK56" s="274"/>
      <c r="AL56" s="274"/>
      <c r="AN56" s="280"/>
      <c r="AO56" s="504"/>
      <c r="AP56" s="504"/>
      <c r="AQ56" s="274"/>
      <c r="AR56" s="44"/>
      <c r="AS56" s="280"/>
      <c r="AT56" s="274"/>
      <c r="AU56" s="274"/>
      <c r="AV56" s="274"/>
    </row>
    <row r="57" customFormat="false" ht="12.75" hidden="false" customHeight="false" outlineLevel="0" collapsed="false">
      <c r="C57" s="280"/>
      <c r="D57" s="66"/>
      <c r="E57" s="66"/>
      <c r="F57" s="66"/>
      <c r="G57" s="582"/>
      <c r="H57" s="112"/>
      <c r="I57" s="66"/>
      <c r="J57" s="274"/>
      <c r="K57" s="274"/>
      <c r="M57" s="280"/>
      <c r="N57" s="274"/>
      <c r="O57" s="274"/>
      <c r="P57" s="274"/>
      <c r="T57" s="280"/>
      <c r="U57" s="274"/>
      <c r="V57" s="274"/>
      <c r="W57" s="274"/>
      <c r="Y57" s="112"/>
      <c r="Z57" s="66"/>
      <c r="AA57" s="274"/>
      <c r="AB57" s="274"/>
      <c r="AD57" s="280"/>
      <c r="AE57" s="274"/>
      <c r="AF57" s="274"/>
      <c r="AG57" s="274"/>
      <c r="AI57" s="280"/>
      <c r="AJ57" s="274"/>
      <c r="AK57" s="274"/>
      <c r="AL57" s="274"/>
      <c r="AN57" s="280"/>
      <c r="AO57" s="504"/>
      <c r="AP57" s="504"/>
      <c r="AQ57" s="274"/>
      <c r="AR57" s="44"/>
      <c r="AS57" s="280"/>
      <c r="AT57" s="274"/>
      <c r="AU57" s="274"/>
      <c r="AV57" s="274"/>
    </row>
    <row r="58" customFormat="false" ht="13.5" hidden="false" customHeight="false" outlineLevel="0" collapsed="false">
      <c r="C58" s="280"/>
      <c r="D58" s="66"/>
      <c r="E58" s="66"/>
      <c r="F58" s="66"/>
      <c r="G58" s="582"/>
      <c r="H58" s="112"/>
      <c r="I58" s="66"/>
      <c r="J58" s="274"/>
      <c r="K58" s="274"/>
      <c r="M58" s="280"/>
      <c r="N58" s="274"/>
      <c r="O58" s="274"/>
      <c r="P58" s="274"/>
      <c r="T58" s="280"/>
      <c r="U58" s="274"/>
      <c r="V58" s="274"/>
      <c r="W58" s="274"/>
      <c r="Y58" s="112"/>
      <c r="Z58" s="66"/>
      <c r="AA58" s="274"/>
      <c r="AB58" s="274"/>
      <c r="AD58" s="280"/>
      <c r="AE58" s="274"/>
      <c r="AF58" s="274"/>
      <c r="AG58" s="274"/>
      <c r="AI58" s="280"/>
      <c r="AJ58" s="274"/>
      <c r="AK58" s="274"/>
      <c r="AL58" s="274"/>
      <c r="AN58" s="280"/>
      <c r="AO58" s="504"/>
      <c r="AP58" s="504"/>
      <c r="AQ58" s="274"/>
      <c r="AR58" s="44"/>
      <c r="AS58" s="280"/>
      <c r="AT58" s="274"/>
      <c r="AU58" s="274"/>
      <c r="AV58" s="274"/>
    </row>
    <row r="59" customFormat="false" ht="12.75" hidden="false" customHeight="false" outlineLevel="0" collapsed="false">
      <c r="C59" s="11" t="s">
        <v>1020</v>
      </c>
      <c r="D59" s="11"/>
      <c r="E59" s="11"/>
      <c r="F59" s="11"/>
      <c r="G59" s="455"/>
      <c r="H59" s="11" t="s">
        <v>1020</v>
      </c>
      <c r="I59" s="11"/>
      <c r="J59" s="11"/>
      <c r="K59" s="11"/>
      <c r="M59" s="11" t="s">
        <v>1020</v>
      </c>
      <c r="N59" s="11"/>
      <c r="O59" s="11"/>
      <c r="P59" s="11"/>
      <c r="Q59" s="10"/>
      <c r="T59" s="11" t="s">
        <v>1020</v>
      </c>
      <c r="U59" s="11"/>
      <c r="V59" s="11"/>
      <c r="W59" s="11"/>
      <c r="Y59" s="11" t="s">
        <v>1020</v>
      </c>
      <c r="Z59" s="11"/>
      <c r="AA59" s="11"/>
      <c r="AB59" s="11"/>
      <c r="AC59" s="44"/>
      <c r="AD59" s="11" t="s">
        <v>1020</v>
      </c>
      <c r="AE59" s="11"/>
      <c r="AF59" s="11"/>
      <c r="AG59" s="11"/>
      <c r="AI59" s="11" t="s">
        <v>1020</v>
      </c>
      <c r="AJ59" s="11"/>
      <c r="AK59" s="11"/>
      <c r="AL59" s="11"/>
      <c r="AN59" s="11" t="s">
        <v>1020</v>
      </c>
      <c r="AO59" s="11"/>
      <c r="AP59" s="11"/>
      <c r="AQ59" s="11"/>
      <c r="AR59" s="44"/>
      <c r="AS59" s="11" t="s">
        <v>1020</v>
      </c>
      <c r="AT59" s="11"/>
      <c r="AU59" s="11"/>
      <c r="AV59" s="11"/>
    </row>
    <row r="60" customFormat="false" ht="14.25" hidden="false" customHeight="false" outlineLevel="0" collapsed="false">
      <c r="C60" s="16" t="s">
        <v>782</v>
      </c>
      <c r="D60" s="113" t="s">
        <v>511</v>
      </c>
      <c r="E60" s="113" t="s">
        <v>512</v>
      </c>
      <c r="F60" s="53" t="s">
        <v>513</v>
      </c>
      <c r="G60" s="455"/>
      <c r="H60" s="16" t="s">
        <v>782</v>
      </c>
      <c r="I60" s="113" t="s">
        <v>511</v>
      </c>
      <c r="J60" s="113" t="s">
        <v>512</v>
      </c>
      <c r="K60" s="53" t="s">
        <v>513</v>
      </c>
      <c r="M60" s="16" t="s">
        <v>782</v>
      </c>
      <c r="N60" s="113" t="s">
        <v>511</v>
      </c>
      <c r="O60" s="113" t="s">
        <v>512</v>
      </c>
      <c r="P60" s="53" t="s">
        <v>513</v>
      </c>
      <c r="Q60" s="10"/>
      <c r="T60" s="16" t="s">
        <v>782</v>
      </c>
      <c r="U60" s="113" t="s">
        <v>511</v>
      </c>
      <c r="V60" s="113" t="s">
        <v>512</v>
      </c>
      <c r="W60" s="53" t="s">
        <v>513</v>
      </c>
      <c r="Y60" s="16" t="s">
        <v>782</v>
      </c>
      <c r="Z60" s="113" t="s">
        <v>511</v>
      </c>
      <c r="AA60" s="113" t="s">
        <v>512</v>
      </c>
      <c r="AB60" s="53" t="s">
        <v>513</v>
      </c>
      <c r="AC60" s="44"/>
      <c r="AD60" s="16" t="s">
        <v>782</v>
      </c>
      <c r="AE60" s="113" t="s">
        <v>511</v>
      </c>
      <c r="AF60" s="113" t="s">
        <v>512</v>
      </c>
      <c r="AG60" s="53" t="s">
        <v>513</v>
      </c>
      <c r="AI60" s="16" t="s">
        <v>782</v>
      </c>
      <c r="AJ60" s="113" t="s">
        <v>511</v>
      </c>
      <c r="AK60" s="113" t="s">
        <v>512</v>
      </c>
      <c r="AL60" s="53" t="s">
        <v>513</v>
      </c>
      <c r="AN60" s="16" t="s">
        <v>782</v>
      </c>
      <c r="AO60" s="113" t="s">
        <v>511</v>
      </c>
      <c r="AP60" s="113" t="s">
        <v>512</v>
      </c>
      <c r="AQ60" s="53" t="s">
        <v>513</v>
      </c>
      <c r="AR60" s="44"/>
      <c r="AS60" s="16" t="s">
        <v>782</v>
      </c>
      <c r="AT60" s="113" t="s">
        <v>511</v>
      </c>
      <c r="AU60" s="113" t="s">
        <v>512</v>
      </c>
      <c r="AV60" s="53" t="s">
        <v>513</v>
      </c>
    </row>
    <row r="61" customFormat="false" ht="15" hidden="false" customHeight="false" outlineLevel="0" collapsed="false">
      <c r="C61" s="21" t="s">
        <v>783</v>
      </c>
      <c r="D61" s="55" t="s">
        <v>514</v>
      </c>
      <c r="E61" s="55" t="s">
        <v>514</v>
      </c>
      <c r="F61" s="55" t="s">
        <v>1499</v>
      </c>
      <c r="G61" s="455"/>
      <c r="H61" s="21" t="s">
        <v>783</v>
      </c>
      <c r="I61" s="55" t="s">
        <v>784</v>
      </c>
      <c r="J61" s="55" t="s">
        <v>784</v>
      </c>
      <c r="K61" s="55" t="s">
        <v>167</v>
      </c>
      <c r="M61" s="21" t="s">
        <v>783</v>
      </c>
      <c r="N61" s="55" t="s">
        <v>784</v>
      </c>
      <c r="O61" s="55" t="s">
        <v>784</v>
      </c>
      <c r="P61" s="55" t="s">
        <v>167</v>
      </c>
      <c r="Q61" s="10"/>
      <c r="T61" s="21" t="s">
        <v>783</v>
      </c>
      <c r="U61" s="55" t="s">
        <v>784</v>
      </c>
      <c r="V61" s="55" t="s">
        <v>784</v>
      </c>
      <c r="W61" s="55" t="s">
        <v>167</v>
      </c>
      <c r="Y61" s="21" t="s">
        <v>783</v>
      </c>
      <c r="Z61" s="55" t="s">
        <v>784</v>
      </c>
      <c r="AA61" s="55" t="s">
        <v>784</v>
      </c>
      <c r="AB61" s="55" t="s">
        <v>167</v>
      </c>
      <c r="AC61" s="44"/>
      <c r="AD61" s="21" t="s">
        <v>783</v>
      </c>
      <c r="AE61" s="55" t="s">
        <v>784</v>
      </c>
      <c r="AF61" s="55" t="s">
        <v>784</v>
      </c>
      <c r="AG61" s="55" t="s">
        <v>167</v>
      </c>
      <c r="AI61" s="21" t="s">
        <v>783</v>
      </c>
      <c r="AJ61" s="55" t="s">
        <v>514</v>
      </c>
      <c r="AK61" s="55" t="s">
        <v>514</v>
      </c>
      <c r="AL61" s="55" t="s">
        <v>1499</v>
      </c>
      <c r="AN61" s="21" t="s">
        <v>783</v>
      </c>
      <c r="AO61" s="55" t="s">
        <v>514</v>
      </c>
      <c r="AP61" s="55" t="s">
        <v>514</v>
      </c>
      <c r="AQ61" s="55" t="s">
        <v>1499</v>
      </c>
      <c r="AR61" s="44"/>
      <c r="AS61" s="21" t="s">
        <v>783</v>
      </c>
      <c r="AT61" s="55" t="s">
        <v>514</v>
      </c>
      <c r="AU61" s="55" t="s">
        <v>514</v>
      </c>
      <c r="AV61" s="55" t="s">
        <v>1499</v>
      </c>
    </row>
    <row r="62" customFormat="false" ht="12.75" hidden="false" customHeight="false" outlineLevel="0" collapsed="false">
      <c r="C62" s="310" t="s">
        <v>1021</v>
      </c>
      <c r="D62" s="508" t="n">
        <f aca="false">ROUND(D37-2*D22,3)</f>
        <v>-201.312</v>
      </c>
      <c r="E62" s="508"/>
      <c r="F62" s="508"/>
      <c r="G62" s="570"/>
      <c r="H62" s="310" t="s">
        <v>1021</v>
      </c>
      <c r="I62" s="584" t="n">
        <f aca="false">ROUND(I37-2*I22,3)</f>
        <v>-833.718</v>
      </c>
      <c r="J62" s="509" t="n">
        <f aca="false">ROUND(J37-2*J22,3)</f>
        <v>-888.34</v>
      </c>
      <c r="K62" s="509" t="n">
        <f aca="false">ROUND(K37-2*K22,3)</f>
        <v>40.1</v>
      </c>
      <c r="L62" s="45"/>
      <c r="M62" s="310" t="s">
        <v>1021</v>
      </c>
      <c r="N62" s="584" t="n">
        <f aca="false">ROUND(N37-2*N22,3)</f>
        <v>-833.3</v>
      </c>
      <c r="O62" s="509" t="n">
        <f aca="false">ROUND(O37-2*O22,3)</f>
        <v>-888.4</v>
      </c>
      <c r="P62" s="509" t="n">
        <f aca="false">ROUND(P37-2*P22,3)</f>
        <v>40</v>
      </c>
      <c r="Q62" s="10"/>
      <c r="T62" s="310" t="s">
        <v>1021</v>
      </c>
      <c r="U62" s="584" t="n">
        <f aca="false">ROUND(U37-2*U22,3)</f>
        <v>-842.256</v>
      </c>
      <c r="V62" s="509"/>
      <c r="W62" s="509"/>
      <c r="X62" s="45"/>
      <c r="Y62" s="310" t="s">
        <v>1021</v>
      </c>
      <c r="Z62" s="584" t="n">
        <f aca="false">ROUND(Z37-2*Z22,3)</f>
        <v>-833.718</v>
      </c>
      <c r="AA62" s="509" t="n">
        <f aca="false">ROUND(AA37-2*AA22,3)</f>
        <v>-888.34</v>
      </c>
      <c r="AB62" s="509" t="n">
        <f aca="false">ROUND(AB37-2*AB22,3)</f>
        <v>40.1</v>
      </c>
      <c r="AC62" s="45"/>
      <c r="AD62" s="310" t="s">
        <v>1021</v>
      </c>
      <c r="AE62" s="584" t="n">
        <f aca="false">ROUND(AE37-2*AE22,3)</f>
        <v>-833.3</v>
      </c>
      <c r="AF62" s="509" t="n">
        <f aca="false">ROUND(AF37-2*AF22,3)</f>
        <v>-888.4</v>
      </c>
      <c r="AG62" s="509" t="n">
        <f aca="false">ROUND(AG37-2*AG22,3)</f>
        <v>40</v>
      </c>
      <c r="AI62" s="310" t="s">
        <v>1021</v>
      </c>
      <c r="AJ62" s="508" t="n">
        <f aca="false">ROUND(AJ37-2*AJ22,3)</f>
        <v>-201.305</v>
      </c>
      <c r="AK62" s="508"/>
      <c r="AL62" s="508"/>
      <c r="AM62" s="45"/>
      <c r="AN62" s="310" t="s">
        <v>1021</v>
      </c>
      <c r="AO62" s="509" t="n">
        <f aca="false">ROUND(AO37-2*AO22,3)</f>
        <v>-199.264</v>
      </c>
      <c r="AP62" s="509" t="n">
        <f aca="false">ROUND(AP37-2*AP22,3)</f>
        <v>-212.318</v>
      </c>
      <c r="AQ62" s="509" t="n">
        <f aca="false">ROUND(AQ37-2*AQ22,3)</f>
        <v>9.585</v>
      </c>
      <c r="AR62" s="45"/>
      <c r="AS62" s="310" t="s">
        <v>1021</v>
      </c>
      <c r="AT62" s="509" t="n">
        <f aca="false">ROUND(AT37-2*AT22,3)</f>
        <v>-199.164</v>
      </c>
      <c r="AU62" s="509" t="n">
        <f aca="false">ROUND(AU37-2*AU22,3)</f>
        <v>-212.332</v>
      </c>
      <c r="AV62" s="509" t="n">
        <f aca="false">ROUND(AV37-2*AV22,3)</f>
        <v>9.561</v>
      </c>
    </row>
    <row r="63" customFormat="false" ht="12.75" hidden="false" customHeight="false" outlineLevel="0" collapsed="false">
      <c r="C63" s="313" t="s">
        <v>1022</v>
      </c>
      <c r="D63" s="315"/>
      <c r="E63" s="213"/>
      <c r="F63" s="315"/>
      <c r="G63" s="570"/>
      <c r="H63" s="313" t="s">
        <v>1022</v>
      </c>
      <c r="I63" s="585"/>
      <c r="J63" s="510"/>
      <c r="K63" s="510"/>
      <c r="L63" s="45"/>
      <c r="M63" s="313" t="s">
        <v>1022</v>
      </c>
      <c r="N63" s="585"/>
      <c r="O63" s="510"/>
      <c r="P63" s="510"/>
      <c r="Q63" s="10"/>
      <c r="T63" s="313" t="s">
        <v>1022</v>
      </c>
      <c r="U63" s="585"/>
      <c r="V63" s="510"/>
      <c r="W63" s="510"/>
      <c r="X63" s="45"/>
      <c r="Y63" s="313" t="s">
        <v>1022</v>
      </c>
      <c r="Z63" s="585"/>
      <c r="AA63" s="510"/>
      <c r="AB63" s="510"/>
      <c r="AC63" s="45"/>
      <c r="AD63" s="313" t="s">
        <v>1022</v>
      </c>
      <c r="AE63" s="585"/>
      <c r="AF63" s="510"/>
      <c r="AG63" s="510"/>
      <c r="AI63" s="313" t="s">
        <v>1022</v>
      </c>
      <c r="AJ63" s="315"/>
      <c r="AK63" s="315"/>
      <c r="AL63" s="315"/>
      <c r="AM63" s="45"/>
      <c r="AN63" s="313" t="s">
        <v>1022</v>
      </c>
      <c r="AO63" s="510"/>
      <c r="AP63" s="510"/>
      <c r="AQ63" s="510"/>
      <c r="AR63" s="45"/>
      <c r="AS63" s="313" t="s">
        <v>1022</v>
      </c>
      <c r="AT63" s="510"/>
      <c r="AU63" s="510"/>
      <c r="AV63" s="510"/>
    </row>
    <row r="64" customFormat="false" ht="13.5" hidden="false" customHeight="false" outlineLevel="0" collapsed="false">
      <c r="C64" s="317" t="s">
        <v>1023</v>
      </c>
      <c r="D64" s="502"/>
      <c r="E64" s="586"/>
      <c r="F64" s="502"/>
      <c r="G64" s="570"/>
      <c r="H64" s="317" t="s">
        <v>1023</v>
      </c>
      <c r="I64" s="587"/>
      <c r="J64" s="512"/>
      <c r="K64" s="512"/>
      <c r="L64" s="45"/>
      <c r="M64" s="317" t="s">
        <v>1023</v>
      </c>
      <c r="N64" s="587"/>
      <c r="O64" s="512"/>
      <c r="P64" s="512"/>
      <c r="Q64" s="10"/>
      <c r="T64" s="317" t="s">
        <v>1023</v>
      </c>
      <c r="U64" s="587"/>
      <c r="V64" s="512"/>
      <c r="W64" s="512"/>
      <c r="X64" s="45"/>
      <c r="Y64" s="317" t="s">
        <v>1023</v>
      </c>
      <c r="Z64" s="587"/>
      <c r="AA64" s="512"/>
      <c r="AB64" s="512"/>
      <c r="AC64" s="45"/>
      <c r="AD64" s="317" t="s">
        <v>1023</v>
      </c>
      <c r="AE64" s="587"/>
      <c r="AF64" s="512"/>
      <c r="AG64" s="512"/>
      <c r="AI64" s="317" t="s">
        <v>1023</v>
      </c>
      <c r="AJ64" s="511"/>
      <c r="AK64" s="309"/>
      <c r="AL64" s="511"/>
      <c r="AM64" s="45"/>
      <c r="AN64" s="317" t="s">
        <v>1023</v>
      </c>
      <c r="AO64" s="512"/>
      <c r="AP64" s="512"/>
      <c r="AQ64" s="512"/>
      <c r="AR64" s="45"/>
      <c r="AS64" s="317" t="s">
        <v>1023</v>
      </c>
      <c r="AT64" s="512"/>
      <c r="AU64" s="512"/>
      <c r="AV64" s="512"/>
    </row>
    <row r="65" customFormat="false" ht="12.75" hidden="false" customHeight="false" outlineLevel="0" collapsed="false">
      <c r="C65" s="513" t="s">
        <v>1654</v>
      </c>
      <c r="D65" s="517" t="s">
        <v>1018</v>
      </c>
      <c r="E65" s="588"/>
      <c r="F65" s="588"/>
      <c r="G65" s="455"/>
      <c r="H65" s="345" t="s">
        <v>1295</v>
      </c>
      <c r="I65" s="64" t="s">
        <v>1655</v>
      </c>
      <c r="J65" s="141" t="s">
        <v>1656</v>
      </c>
      <c r="K65" s="64" t="s">
        <v>1657</v>
      </c>
      <c r="M65" s="345" t="s">
        <v>1295</v>
      </c>
      <c r="N65" s="64" t="s">
        <v>1658</v>
      </c>
      <c r="O65" s="141" t="s">
        <v>1659</v>
      </c>
      <c r="P65" s="64" t="s">
        <v>1660</v>
      </c>
      <c r="Q65" s="10"/>
      <c r="T65" s="280"/>
      <c r="U65" s="274"/>
      <c r="V65" s="274"/>
      <c r="W65" s="274"/>
      <c r="Y65" s="280"/>
      <c r="Z65" s="504"/>
      <c r="AA65" s="504"/>
      <c r="AB65" s="274"/>
      <c r="AC65" s="44"/>
      <c r="AD65" s="280"/>
      <c r="AE65" s="274"/>
      <c r="AF65" s="274"/>
      <c r="AG65" s="274"/>
      <c r="AI65" s="280"/>
      <c r="AJ65" s="274"/>
      <c r="AK65" s="274"/>
      <c r="AL65" s="274"/>
      <c r="AN65" s="280"/>
      <c r="AO65" s="274"/>
      <c r="AP65" s="274"/>
      <c r="AQ65" s="274"/>
      <c r="AR65" s="44"/>
      <c r="AS65" s="280"/>
      <c r="AT65" s="274"/>
      <c r="AU65" s="274"/>
      <c r="AV65" s="274"/>
    </row>
    <row r="66" customFormat="false" ht="12.75" hidden="false" customHeight="false" outlineLevel="0" collapsed="false">
      <c r="C66" s="513" t="s">
        <v>909</v>
      </c>
      <c r="D66" s="589" t="n">
        <f aca="false">ROUND(D65+D22,3)</f>
        <v>-314.688</v>
      </c>
      <c r="E66" s="590"/>
      <c r="F66" s="590"/>
      <c r="G66" s="455"/>
      <c r="H66" s="345" t="s">
        <v>885</v>
      </c>
      <c r="I66" s="470" t="n">
        <f aca="false">I65-I22</f>
        <v>-386.029</v>
      </c>
      <c r="J66" s="470" t="n">
        <f aca="false">J65-J22</f>
        <v>-413.82</v>
      </c>
      <c r="K66" s="470" t="n">
        <f aca="false">K65-K22</f>
        <v>117.05</v>
      </c>
      <c r="M66" s="345" t="s">
        <v>885</v>
      </c>
      <c r="N66" s="470" t="n">
        <f aca="false">N65-N22</f>
        <v>-386.1</v>
      </c>
      <c r="O66" s="470" t="n">
        <f aca="false">O65-O22</f>
        <v>-413.9</v>
      </c>
      <c r="P66" s="470" t="n">
        <f aca="false">P65-P22</f>
        <v>114.7</v>
      </c>
      <c r="Q66" s="10"/>
      <c r="T66" s="280"/>
      <c r="U66" s="274"/>
      <c r="V66" s="274"/>
      <c r="W66" s="274"/>
      <c r="Y66" s="280"/>
      <c r="Z66" s="504"/>
      <c r="AA66" s="504"/>
      <c r="AB66" s="274"/>
      <c r="AC66" s="44"/>
      <c r="AD66" s="280"/>
      <c r="AE66" s="274"/>
      <c r="AF66" s="274"/>
      <c r="AG66" s="274"/>
      <c r="AI66" s="280"/>
      <c r="AJ66" s="274"/>
      <c r="AK66" s="274"/>
      <c r="AL66" s="274"/>
      <c r="AN66" s="280"/>
      <c r="AO66" s="274"/>
      <c r="AP66" s="274"/>
      <c r="AQ66" s="274"/>
      <c r="AR66" s="44"/>
      <c r="AS66" s="280"/>
      <c r="AT66" s="274"/>
      <c r="AU66" s="274"/>
      <c r="AV66" s="274"/>
    </row>
    <row r="67" customFormat="false" ht="12.75" hidden="false" customHeight="false" outlineLevel="0" collapsed="false">
      <c r="C67" s="513" t="s">
        <v>1295</v>
      </c>
      <c r="D67" s="517" t="s">
        <v>1661</v>
      </c>
      <c r="E67" s="588"/>
      <c r="F67" s="588"/>
      <c r="G67" s="455"/>
      <c r="H67" s="280"/>
      <c r="I67" s="504"/>
      <c r="J67" s="504"/>
      <c r="K67" s="274"/>
      <c r="M67" s="280"/>
      <c r="N67" s="274"/>
      <c r="O67" s="274"/>
      <c r="P67" s="274"/>
      <c r="Q67" s="10"/>
      <c r="T67" s="280"/>
      <c r="U67" s="274"/>
      <c r="V67" s="274"/>
      <c r="W67" s="274"/>
      <c r="Y67" s="280"/>
      <c r="Z67" s="504"/>
      <c r="AA67" s="504"/>
      <c r="AB67" s="274"/>
      <c r="AC67" s="44"/>
      <c r="AD67" s="280"/>
      <c r="AE67" s="274"/>
      <c r="AF67" s="274"/>
      <c r="AG67" s="274"/>
      <c r="AI67" s="280"/>
      <c r="AJ67" s="274"/>
      <c r="AK67" s="274"/>
      <c r="AL67" s="274"/>
      <c r="AN67" s="280"/>
      <c r="AO67" s="504"/>
      <c r="AP67" s="504"/>
      <c r="AQ67" s="274"/>
      <c r="AR67" s="44"/>
      <c r="AS67" s="280"/>
      <c r="AT67" s="274"/>
      <c r="AU67" s="274"/>
      <c r="AV67" s="274"/>
    </row>
    <row r="68" customFormat="false" ht="13.5" hidden="false" customHeight="false" outlineLevel="0" collapsed="false">
      <c r="C68" s="513" t="s">
        <v>885</v>
      </c>
      <c r="D68" s="591" t="n">
        <f aca="false">D67-D22</f>
        <v>-92.252</v>
      </c>
      <c r="E68" s="588"/>
      <c r="F68" s="588"/>
      <c r="G68" s="455"/>
      <c r="H68" s="280"/>
      <c r="I68" s="504"/>
      <c r="J68" s="504"/>
      <c r="K68" s="274"/>
      <c r="M68" s="280"/>
      <c r="N68" s="274"/>
      <c r="O68" s="274"/>
      <c r="P68" s="274"/>
      <c r="Q68" s="10"/>
      <c r="T68" s="274"/>
      <c r="U68" s="274"/>
      <c r="V68" s="274"/>
      <c r="W68" s="274"/>
      <c r="Y68" s="280"/>
      <c r="Z68" s="504"/>
      <c r="AA68" s="504"/>
      <c r="AB68" s="274"/>
      <c r="AC68" s="44"/>
      <c r="AD68" s="280"/>
      <c r="AE68" s="274"/>
      <c r="AF68" s="274"/>
      <c r="AG68" s="274"/>
      <c r="AI68" s="274"/>
      <c r="AJ68" s="274"/>
      <c r="AK68" s="274"/>
      <c r="AL68" s="274"/>
      <c r="AN68" s="280"/>
      <c r="AO68" s="504"/>
      <c r="AP68" s="504"/>
      <c r="AQ68" s="274"/>
      <c r="AR68" s="44"/>
      <c r="AS68" s="280"/>
      <c r="AT68" s="274"/>
      <c r="AU68" s="274"/>
      <c r="AV68" s="274"/>
    </row>
    <row r="69" customFormat="false" ht="12.75" hidden="false" customHeight="false" outlineLevel="0" collapsed="false">
      <c r="C69" s="11"/>
      <c r="D69" s="11"/>
      <c r="E69" s="11"/>
      <c r="F69" s="11"/>
      <c r="G69" s="455"/>
      <c r="H69" s="11"/>
      <c r="I69" s="11"/>
      <c r="J69" s="11"/>
      <c r="K69" s="11"/>
      <c r="M69" s="519"/>
      <c r="N69" s="11"/>
      <c r="O69" s="11"/>
      <c r="P69" s="11"/>
      <c r="Q69" s="10"/>
      <c r="R69" s="520" t="s">
        <v>1024</v>
      </c>
      <c r="S69" s="50"/>
      <c r="T69" s="11"/>
      <c r="U69" s="11"/>
      <c r="V69" s="11"/>
      <c r="W69" s="11"/>
      <c r="Y69" s="11"/>
      <c r="Z69" s="11"/>
      <c r="AA69" s="11"/>
      <c r="AB69" s="11"/>
      <c r="AC69" s="44"/>
      <c r="AD69" s="519"/>
      <c r="AE69" s="11"/>
      <c r="AF69" s="11"/>
      <c r="AG69" s="11"/>
      <c r="AI69" s="11"/>
      <c r="AJ69" s="11"/>
      <c r="AK69" s="11"/>
      <c r="AL69" s="11"/>
      <c r="AN69" s="11"/>
      <c r="AO69" s="11"/>
      <c r="AP69" s="11"/>
      <c r="AQ69" s="11"/>
      <c r="AR69" s="44"/>
      <c r="AS69" s="519"/>
      <c r="AT69" s="11"/>
      <c r="AU69" s="11"/>
      <c r="AV69" s="11"/>
    </row>
    <row r="70" customFormat="false" ht="14.25" hidden="false" customHeight="false" outlineLevel="0" collapsed="false">
      <c r="C70" s="16" t="s">
        <v>1024</v>
      </c>
      <c r="D70" s="113" t="s">
        <v>511</v>
      </c>
      <c r="E70" s="113" t="s">
        <v>512</v>
      </c>
      <c r="F70" s="53" t="s">
        <v>513</v>
      </c>
      <c r="G70" s="455"/>
      <c r="H70" s="16" t="s">
        <v>1024</v>
      </c>
      <c r="I70" s="113" t="s">
        <v>511</v>
      </c>
      <c r="J70" s="113" t="s">
        <v>512</v>
      </c>
      <c r="K70" s="53" t="s">
        <v>513</v>
      </c>
      <c r="M70" s="521" t="s">
        <v>1024</v>
      </c>
      <c r="N70" s="113" t="s">
        <v>511</v>
      </c>
      <c r="O70" s="113" t="s">
        <v>512</v>
      </c>
      <c r="P70" s="53" t="s">
        <v>513</v>
      </c>
      <c r="Q70" s="10"/>
      <c r="R70" s="522" t="s">
        <v>1305</v>
      </c>
      <c r="S70" s="53" t="s">
        <v>1214</v>
      </c>
      <c r="T70" s="16" t="s">
        <v>1024</v>
      </c>
      <c r="U70" s="113" t="s">
        <v>511</v>
      </c>
      <c r="V70" s="113" t="s">
        <v>512</v>
      </c>
      <c r="W70" s="53" t="s">
        <v>513</v>
      </c>
      <c r="Y70" s="16" t="s">
        <v>1024</v>
      </c>
      <c r="Z70" s="113" t="s">
        <v>511</v>
      </c>
      <c r="AA70" s="113" t="s">
        <v>512</v>
      </c>
      <c r="AB70" s="53" t="s">
        <v>513</v>
      </c>
      <c r="AC70" s="44"/>
      <c r="AD70" s="521" t="s">
        <v>1024</v>
      </c>
      <c r="AE70" s="113" t="s">
        <v>511</v>
      </c>
      <c r="AF70" s="113" t="s">
        <v>512</v>
      </c>
      <c r="AG70" s="53" t="s">
        <v>513</v>
      </c>
      <c r="AI70" s="16" t="s">
        <v>1024</v>
      </c>
      <c r="AJ70" s="113" t="s">
        <v>511</v>
      </c>
      <c r="AK70" s="113" t="s">
        <v>512</v>
      </c>
      <c r="AL70" s="53" t="s">
        <v>513</v>
      </c>
      <c r="AN70" s="16" t="s">
        <v>1024</v>
      </c>
      <c r="AO70" s="113" t="s">
        <v>511</v>
      </c>
      <c r="AP70" s="113" t="s">
        <v>512</v>
      </c>
      <c r="AQ70" s="53" t="s">
        <v>513</v>
      </c>
      <c r="AR70" s="44"/>
      <c r="AS70" s="521" t="s">
        <v>1024</v>
      </c>
      <c r="AT70" s="113" t="s">
        <v>511</v>
      </c>
      <c r="AU70" s="113" t="s">
        <v>512</v>
      </c>
      <c r="AV70" s="53" t="s">
        <v>513</v>
      </c>
    </row>
    <row r="71" customFormat="false" ht="15" hidden="false" customHeight="false" outlineLevel="0" collapsed="false">
      <c r="C71" s="21" t="s">
        <v>783</v>
      </c>
      <c r="D71" s="55" t="s">
        <v>514</v>
      </c>
      <c r="E71" s="55" t="s">
        <v>514</v>
      </c>
      <c r="F71" s="55" t="s">
        <v>1499</v>
      </c>
      <c r="G71" s="455"/>
      <c r="H71" s="21" t="s">
        <v>783</v>
      </c>
      <c r="I71" s="55" t="s">
        <v>784</v>
      </c>
      <c r="J71" s="55" t="s">
        <v>784</v>
      </c>
      <c r="K71" s="55" t="s">
        <v>167</v>
      </c>
      <c r="M71" s="523" t="s">
        <v>783</v>
      </c>
      <c r="N71" s="55" t="s">
        <v>784</v>
      </c>
      <c r="O71" s="55" t="s">
        <v>784</v>
      </c>
      <c r="P71" s="55" t="s">
        <v>167</v>
      </c>
      <c r="Q71" s="10"/>
      <c r="R71" s="524" t="s">
        <v>28</v>
      </c>
      <c r="S71" s="464"/>
      <c r="T71" s="55" t="s">
        <v>784</v>
      </c>
      <c r="U71" s="55" t="s">
        <v>784</v>
      </c>
      <c r="V71" s="53" t="s">
        <v>1662</v>
      </c>
      <c r="W71" s="55" t="s">
        <v>167</v>
      </c>
      <c r="Y71" s="21" t="s">
        <v>783</v>
      </c>
      <c r="Z71" s="55" t="s">
        <v>784</v>
      </c>
      <c r="AA71" s="55" t="s">
        <v>784</v>
      </c>
      <c r="AB71" s="55" t="s">
        <v>167</v>
      </c>
      <c r="AC71" s="44"/>
      <c r="AD71" s="523" t="s">
        <v>783</v>
      </c>
      <c r="AE71" s="55" t="s">
        <v>784</v>
      </c>
      <c r="AF71" s="55" t="s">
        <v>784</v>
      </c>
      <c r="AG71" s="55" t="s">
        <v>167</v>
      </c>
      <c r="AI71" s="21" t="s">
        <v>783</v>
      </c>
      <c r="AJ71" s="55" t="s">
        <v>514</v>
      </c>
      <c r="AK71" s="55" t="s">
        <v>514</v>
      </c>
      <c r="AL71" s="55" t="s">
        <v>1499</v>
      </c>
      <c r="AN71" s="21" t="s">
        <v>783</v>
      </c>
      <c r="AO71" s="55" t="s">
        <v>514</v>
      </c>
      <c r="AP71" s="55" t="s">
        <v>514</v>
      </c>
      <c r="AQ71" s="55" t="s">
        <v>1499</v>
      </c>
      <c r="AR71" s="44"/>
      <c r="AS71" s="523" t="s">
        <v>783</v>
      </c>
      <c r="AT71" s="55" t="s">
        <v>514</v>
      </c>
      <c r="AU71" s="55" t="s">
        <v>514</v>
      </c>
      <c r="AV71" s="55" t="s">
        <v>1499</v>
      </c>
    </row>
    <row r="72" customFormat="false" ht="12.75" hidden="false" customHeight="false" outlineLevel="0" collapsed="false">
      <c r="B72" s="10"/>
      <c r="C72" s="525" t="s">
        <v>1025</v>
      </c>
      <c r="D72" s="592" t="s">
        <v>786</v>
      </c>
      <c r="E72" s="593" t="s">
        <v>786</v>
      </c>
      <c r="F72" s="526" t="s">
        <v>1663</v>
      </c>
      <c r="G72" s="570"/>
      <c r="H72" s="594" t="s">
        <v>1025</v>
      </c>
      <c r="I72" s="595" t="s">
        <v>786</v>
      </c>
      <c r="J72" s="596" t="s">
        <v>786</v>
      </c>
      <c r="K72" s="526" t="s">
        <v>1664</v>
      </c>
      <c r="L72" s="274"/>
      <c r="M72" s="594" t="s">
        <v>1025</v>
      </c>
      <c r="N72" s="592" t="s">
        <v>1501</v>
      </c>
      <c r="O72" s="593" t="s">
        <v>1501</v>
      </c>
      <c r="P72" s="526" t="s">
        <v>1664</v>
      </c>
      <c r="Q72" s="274"/>
      <c r="R72" s="528" t="n">
        <v>1</v>
      </c>
      <c r="S72" s="529" t="n">
        <v>1</v>
      </c>
      <c r="T72" s="530" t="s">
        <v>1025</v>
      </c>
      <c r="U72" s="469" t="n">
        <f aca="false">IF(D72="","",ROUND(4.184*D72+($S72-$R72)*$T$9,3))</f>
        <v>0</v>
      </c>
      <c r="V72" s="469" t="n">
        <f aca="false">IF(E72="","",ROUND(4.184*E72,3))</f>
        <v>0</v>
      </c>
      <c r="W72" s="469" t="n">
        <f aca="false">IF(F72="","",ROUND(4.184*F72+$R72*$T$8,3))</f>
        <v>205.109</v>
      </c>
      <c r="Y72" s="594" t="s">
        <v>1025</v>
      </c>
      <c r="Z72" s="595" t="s">
        <v>786</v>
      </c>
      <c r="AA72" s="596" t="s">
        <v>786</v>
      </c>
      <c r="AB72" s="526" t="s">
        <v>1664</v>
      </c>
      <c r="AC72" s="274"/>
      <c r="AD72" s="594" t="s">
        <v>1025</v>
      </c>
      <c r="AE72" s="592" t="s">
        <v>1501</v>
      </c>
      <c r="AF72" s="593" t="s">
        <v>1501</v>
      </c>
      <c r="AG72" s="526" t="s">
        <v>1664</v>
      </c>
      <c r="AI72" s="525" t="s">
        <v>1025</v>
      </c>
      <c r="AJ72" s="469" t="n">
        <f aca="false">IF(D72="","",ROUND(D72+($S72-$R72)*$AK$9,3))</f>
        <v>0</v>
      </c>
      <c r="AK72" s="531" t="n">
        <f aca="false">IF(E72="","",ROUND(E72,3))</f>
        <v>0</v>
      </c>
      <c r="AL72" s="469" t="n">
        <f aca="false">IF(F72="","",ROUND(F72+$R72*$AK$8,3))</f>
        <v>49.022</v>
      </c>
      <c r="AN72" s="525" t="s">
        <v>1025</v>
      </c>
      <c r="AO72" s="469" t="n">
        <f aca="false">IF(I72="","",ROUND(I72/4.184,3))</f>
        <v>0</v>
      </c>
      <c r="AP72" s="531" t="n">
        <f aca="false">IF(J72="","",ROUND(J72/4.184,3))</f>
        <v>0</v>
      </c>
      <c r="AQ72" s="469" t="n">
        <f aca="false">IF(K72="","",ROUND(K72/4.184,3))</f>
        <v>49.032</v>
      </c>
      <c r="AR72" s="44"/>
      <c r="AS72" s="525" t="s">
        <v>1025</v>
      </c>
      <c r="AT72" s="469" t="n">
        <f aca="false">IF(N72="","",ROUND(N72/4.184,3))</f>
        <v>0</v>
      </c>
      <c r="AU72" s="531" t="n">
        <f aca="false">IF(O72="","",ROUND(O72/4.184,3))</f>
        <v>0</v>
      </c>
      <c r="AV72" s="469" t="n">
        <f aca="false">IF(P72="","",ROUND(P72/4.184,3))</f>
        <v>49.032</v>
      </c>
    </row>
    <row r="73" customFormat="false" ht="12.75" hidden="false" customHeight="false" outlineLevel="0" collapsed="false">
      <c r="B73" s="10"/>
      <c r="C73" s="354" t="s">
        <v>1026</v>
      </c>
      <c r="D73" s="465" t="s">
        <v>786</v>
      </c>
      <c r="E73" s="466" t="s">
        <v>786</v>
      </c>
      <c r="F73" s="465" t="s">
        <v>324</v>
      </c>
      <c r="G73" s="570"/>
      <c r="H73" s="597" t="s">
        <v>1026</v>
      </c>
      <c r="I73" s="465" t="s">
        <v>786</v>
      </c>
      <c r="J73" s="466" t="s">
        <v>786</v>
      </c>
      <c r="K73" s="465" t="s">
        <v>1665</v>
      </c>
      <c r="M73" s="597" t="s">
        <v>1026</v>
      </c>
      <c r="N73" s="465" t="s">
        <v>1501</v>
      </c>
      <c r="O73" s="466" t="s">
        <v>1501</v>
      </c>
      <c r="P73" s="465" t="s">
        <v>1665</v>
      </c>
      <c r="Q73" s="10"/>
      <c r="R73" s="532" t="n">
        <v>1</v>
      </c>
      <c r="S73" s="533" t="n">
        <v>1</v>
      </c>
      <c r="T73" s="534" t="s">
        <v>1026</v>
      </c>
      <c r="U73" s="470" t="n">
        <f aca="false">IF(D73="","",ROUND(4.184*D73+($S73-$R73)*$T$9,3))</f>
        <v>0</v>
      </c>
      <c r="V73" s="470" t="n">
        <f aca="false">IF(E73="","",ROUND(4.184*E73,3))</f>
        <v>0</v>
      </c>
      <c r="W73" s="470" t="n">
        <f aca="false">IF(F73="","",ROUND(4.184*F73+$R73*$T$8,3))</f>
        <v>130.684</v>
      </c>
      <c r="Y73" s="597" t="s">
        <v>1026</v>
      </c>
      <c r="Z73" s="465" t="s">
        <v>786</v>
      </c>
      <c r="AA73" s="466" t="s">
        <v>786</v>
      </c>
      <c r="AB73" s="465" t="s">
        <v>1665</v>
      </c>
      <c r="AC73" s="44"/>
      <c r="AD73" s="597" t="s">
        <v>1026</v>
      </c>
      <c r="AE73" s="465" t="s">
        <v>1501</v>
      </c>
      <c r="AF73" s="466" t="s">
        <v>1501</v>
      </c>
      <c r="AG73" s="465" t="s">
        <v>1665</v>
      </c>
      <c r="AI73" s="354" t="s">
        <v>1026</v>
      </c>
      <c r="AJ73" s="470" t="n">
        <f aca="false">IF(D73="","",ROUND(D73+($S73-$R73)*$AK$9,3))</f>
        <v>0</v>
      </c>
      <c r="AK73" s="471" t="n">
        <f aca="false">IF(E73="","",ROUND(E73,3))</f>
        <v>0</v>
      </c>
      <c r="AL73" s="470" t="n">
        <f aca="false">IF(F73="","",ROUND(F73+$R73*$AK$8,3))</f>
        <v>31.234</v>
      </c>
      <c r="AN73" s="354" t="s">
        <v>1026</v>
      </c>
      <c r="AO73" s="470" t="n">
        <f aca="false">IF(I73="","",ROUND(I73/4.184,3))</f>
        <v>0</v>
      </c>
      <c r="AP73" s="471" t="n">
        <f aca="false">IF(J73="","",ROUND(J73/4.184,3))</f>
        <v>0</v>
      </c>
      <c r="AQ73" s="470" t="n">
        <f aca="false">IF(K73="","",ROUND(K73/4.184,3))</f>
        <v>31.233</v>
      </c>
      <c r="AR73" s="44"/>
      <c r="AS73" s="354" t="s">
        <v>1026</v>
      </c>
      <c r="AT73" s="470" t="n">
        <f aca="false">IF(N73="","",ROUND(N73/4.184,3))</f>
        <v>0</v>
      </c>
      <c r="AU73" s="471" t="n">
        <f aca="false">IF(O73="","",ROUND(O73/4.184,3))</f>
        <v>0</v>
      </c>
      <c r="AV73" s="470" t="n">
        <f aca="false">IF(P73="","",ROUND(P73/4.184,3))</f>
        <v>31.233</v>
      </c>
    </row>
    <row r="74" customFormat="false" ht="12.75" hidden="false" customHeight="false" outlineLevel="0" collapsed="false">
      <c r="B74" s="10"/>
      <c r="C74" s="345" t="s">
        <v>1027</v>
      </c>
      <c r="D74" s="465" t="s">
        <v>1666</v>
      </c>
      <c r="E74" s="466" t="s">
        <v>1313</v>
      </c>
      <c r="F74" s="465" t="s">
        <v>1667</v>
      </c>
      <c r="G74" s="570"/>
      <c r="H74" s="598" t="s">
        <v>1027</v>
      </c>
      <c r="I74" s="465" t="s">
        <v>1668</v>
      </c>
      <c r="J74" s="466" t="s">
        <v>1669</v>
      </c>
      <c r="K74" s="465" t="s">
        <v>1670</v>
      </c>
      <c r="M74" s="598" t="s">
        <v>1027</v>
      </c>
      <c r="N74" s="465" t="s">
        <v>1671</v>
      </c>
      <c r="O74" s="466" t="s">
        <v>1672</v>
      </c>
      <c r="P74" s="465" t="s">
        <v>1673</v>
      </c>
      <c r="Q74" s="10"/>
      <c r="R74" s="532" t="n">
        <v>1</v>
      </c>
      <c r="S74" s="533" t="n">
        <v>1.5</v>
      </c>
      <c r="T74" s="535" t="s">
        <v>1027</v>
      </c>
      <c r="U74" s="470" t="n">
        <f aca="false">IF(D74="","",ROUND(4.184*D74+($S74-$R74)*$T$9,3))</f>
        <v>-228.577</v>
      </c>
      <c r="V74" s="470" t="n">
        <f aca="false">IF(E74="","",ROUND(4.184*E74,3))</f>
        <v>-241.818</v>
      </c>
      <c r="W74" s="470" t="n">
        <f aca="false">IF(F74="","",ROUND(4.184*F74+$R74*$T$8,3))</f>
        <v>188.825</v>
      </c>
      <c r="Y74" s="598" t="s">
        <v>1027</v>
      </c>
      <c r="Z74" s="465" t="s">
        <v>1668</v>
      </c>
      <c r="AA74" s="466" t="s">
        <v>1669</v>
      </c>
      <c r="AB74" s="465" t="s">
        <v>1670</v>
      </c>
      <c r="AC74" s="44"/>
      <c r="AD74" s="598" t="s">
        <v>1027</v>
      </c>
      <c r="AE74" s="465" t="s">
        <v>1671</v>
      </c>
      <c r="AF74" s="466" t="s">
        <v>1672</v>
      </c>
      <c r="AG74" s="465" t="s">
        <v>1673</v>
      </c>
      <c r="AI74" s="345" t="s">
        <v>1027</v>
      </c>
      <c r="AJ74" s="470" t="n">
        <f aca="false">IF(D74="","",ROUND(D74+($S74-$R74)*$AK$9,3))</f>
        <v>-54.631</v>
      </c>
      <c r="AK74" s="471" t="n">
        <f aca="false">IF(E74="","",ROUND(E74,3))</f>
        <v>-57.796</v>
      </c>
      <c r="AL74" s="470" t="n">
        <f aca="false">IF(F74="","",ROUND(F74+$R74*$AK$8,3))</f>
        <v>45.13</v>
      </c>
      <c r="AN74" s="345" t="s">
        <v>1027</v>
      </c>
      <c r="AO74" s="470" t="n">
        <f aca="false">IF(I74="","",ROUND(I74/4.184,3))</f>
        <v>-54.629</v>
      </c>
      <c r="AP74" s="471" t="n">
        <f aca="false">IF(J74="","",ROUND(J74/4.184,3))</f>
        <v>-57.795</v>
      </c>
      <c r="AQ74" s="470" t="n">
        <f aca="false">IF(K74="","",ROUND(K74/4.184,3))</f>
        <v>45.105</v>
      </c>
      <c r="AR74" s="44"/>
      <c r="AS74" s="345" t="s">
        <v>1027</v>
      </c>
      <c r="AT74" s="470" t="n">
        <f aca="false">IF(N74="","",ROUND(N74/4.184,3))</f>
        <v>-54.637</v>
      </c>
      <c r="AU74" s="471" t="n">
        <f aca="false">IF(O74="","",ROUND(O74/4.184,3))</f>
        <v>-57.792</v>
      </c>
      <c r="AV74" s="470" t="n">
        <f aca="false">IF(P74="","",ROUND(P74/4.184,3))</f>
        <v>45.124</v>
      </c>
    </row>
    <row r="75" customFormat="false" ht="13.5" hidden="false" customHeight="false" outlineLevel="0" collapsed="false">
      <c r="B75" s="10"/>
      <c r="C75" s="375" t="s">
        <v>1031</v>
      </c>
      <c r="D75" s="496" t="s">
        <v>1674</v>
      </c>
      <c r="E75" s="497" t="s">
        <v>1322</v>
      </c>
      <c r="F75" s="496" t="s">
        <v>1323</v>
      </c>
      <c r="G75" s="570"/>
      <c r="H75" s="599" t="s">
        <v>1031</v>
      </c>
      <c r="I75" s="496" t="s">
        <v>1675</v>
      </c>
      <c r="J75" s="497" t="s">
        <v>1037</v>
      </c>
      <c r="K75" s="496" t="s">
        <v>1676</v>
      </c>
      <c r="M75" s="599" t="s">
        <v>1031</v>
      </c>
      <c r="N75" s="496" t="s">
        <v>1677</v>
      </c>
      <c r="O75" s="497" t="s">
        <v>1678</v>
      </c>
      <c r="P75" s="496" t="s">
        <v>1679</v>
      </c>
      <c r="Q75" s="10"/>
      <c r="R75" s="536" t="n">
        <v>1</v>
      </c>
      <c r="S75" s="537" t="n">
        <v>1</v>
      </c>
      <c r="T75" s="538" t="s">
        <v>1031</v>
      </c>
      <c r="U75" s="500" t="n">
        <f aca="false">IF(D75="","",ROUND(4.184*D75+($S75-$R75)*$T$9,3))</f>
        <v>-394.371</v>
      </c>
      <c r="V75" s="500" t="n">
        <f aca="false">IF(E75="","",ROUND(4.184*E75,3))</f>
        <v>-393.509</v>
      </c>
      <c r="W75" s="500" t="n">
        <f aca="false">IF(F75="","",ROUND(4.184*F75+$R75*$T$8,3))</f>
        <v>213.744</v>
      </c>
      <c r="Y75" s="599" t="s">
        <v>1031</v>
      </c>
      <c r="Z75" s="496" t="s">
        <v>1675</v>
      </c>
      <c r="AA75" s="497" t="s">
        <v>1037</v>
      </c>
      <c r="AB75" s="496" t="s">
        <v>1676</v>
      </c>
      <c r="AC75" s="44"/>
      <c r="AD75" s="599" t="s">
        <v>1031</v>
      </c>
      <c r="AE75" s="496" t="s">
        <v>1677</v>
      </c>
      <c r="AF75" s="497" t="s">
        <v>1678</v>
      </c>
      <c r="AG75" s="496" t="s">
        <v>1679</v>
      </c>
      <c r="AI75" s="375" t="s">
        <v>1031</v>
      </c>
      <c r="AJ75" s="500" t="n">
        <f aca="false">IF(D75="","",ROUND(D75+($S75-$R75)*$AK$9,3))</f>
        <v>-94.257</v>
      </c>
      <c r="AK75" s="501" t="n">
        <f aca="false">IF(E75="","",ROUND(E75,3))</f>
        <v>-94.051</v>
      </c>
      <c r="AL75" s="500" t="n">
        <f aca="false">IF(F75="","",ROUND(F75+$R75*$AK$8,3))</f>
        <v>51.086</v>
      </c>
      <c r="AN75" s="375" t="s">
        <v>1031</v>
      </c>
      <c r="AO75" s="500" t="n">
        <f aca="false">IF(I75="","",ROUND(I75/4.184,3))</f>
        <v>-94.258</v>
      </c>
      <c r="AP75" s="501" t="n">
        <f aca="false">IF(J75="","",ROUND(J75/4.184,3))</f>
        <v>-94.051</v>
      </c>
      <c r="AQ75" s="500" t="n">
        <f aca="false">IF(K75="","",ROUND(K75/4.184,3))</f>
        <v>51.097</v>
      </c>
      <c r="AR75" s="44"/>
      <c r="AS75" s="375" t="s">
        <v>1031</v>
      </c>
      <c r="AT75" s="500" t="n">
        <f aca="false">IF(N75="","",ROUND(N75/4.184,3))</f>
        <v>-94.264</v>
      </c>
      <c r="AU75" s="501" t="n">
        <f aca="false">IF(O75="","",ROUND(O75/4.184,3))</f>
        <v>-94.049</v>
      </c>
      <c r="AV75" s="500" t="n">
        <f aca="false">IF(P75="","",ROUND(P75/4.184,3))</f>
        <v>51.099</v>
      </c>
    </row>
    <row r="76" customFormat="false" ht="12.75" hidden="false" customHeight="false" outlineLevel="0" collapsed="false">
      <c r="C76" s="280"/>
      <c r="D76" s="274"/>
      <c r="E76" s="274"/>
      <c r="F76" s="274"/>
      <c r="G76" s="455"/>
      <c r="H76" s="280"/>
      <c r="I76" s="274"/>
      <c r="J76" s="274"/>
      <c r="K76" s="274"/>
      <c r="M76" s="280"/>
      <c r="N76" s="274"/>
      <c r="O76" s="274"/>
      <c r="P76" s="274"/>
      <c r="Q76" s="10"/>
      <c r="T76" s="280"/>
      <c r="U76" s="274"/>
      <c r="V76" s="274"/>
      <c r="W76" s="274"/>
      <c r="Y76" s="280"/>
      <c r="Z76" s="274"/>
      <c r="AA76" s="274"/>
      <c r="AB76" s="274"/>
      <c r="AC76" s="44"/>
      <c r="AD76" s="280"/>
      <c r="AE76" s="274"/>
      <c r="AF76" s="274"/>
      <c r="AG76" s="274"/>
      <c r="AI76" s="280"/>
      <c r="AJ76" s="274"/>
      <c r="AK76" s="274"/>
      <c r="AL76" s="274"/>
      <c r="AN76" s="280"/>
      <c r="AO76" s="504"/>
      <c r="AP76" s="504"/>
      <c r="AQ76" s="274"/>
      <c r="AR76" s="44"/>
      <c r="AS76" s="280"/>
      <c r="AT76" s="274"/>
      <c r="AU76" s="274"/>
      <c r="AV76" s="274"/>
    </row>
    <row r="77" customFormat="false" ht="12.75" hidden="false" customHeight="false" outlineLevel="0" collapsed="false">
      <c r="C77" s="280"/>
      <c r="D77" s="274"/>
      <c r="E77" s="274"/>
      <c r="F77" s="274"/>
      <c r="G77" s="455"/>
      <c r="H77" s="280"/>
      <c r="I77" s="274"/>
      <c r="J77" s="274"/>
      <c r="K77" s="274"/>
      <c r="M77" s="280"/>
      <c r="N77" s="274"/>
      <c r="O77" s="274"/>
      <c r="P77" s="274"/>
      <c r="Q77" s="10"/>
      <c r="T77" s="280"/>
      <c r="U77" s="274"/>
      <c r="V77" s="274"/>
      <c r="W77" s="274"/>
      <c r="Y77" s="280"/>
      <c r="Z77" s="274"/>
      <c r="AA77" s="274"/>
      <c r="AB77" s="274"/>
      <c r="AC77" s="44"/>
      <c r="AD77" s="280"/>
      <c r="AE77" s="274"/>
      <c r="AF77" s="274"/>
      <c r="AG77" s="274"/>
      <c r="AI77" s="280"/>
      <c r="AJ77" s="274"/>
      <c r="AK77" s="274"/>
      <c r="AL77" s="274"/>
      <c r="AN77" s="280"/>
      <c r="AO77" s="504"/>
      <c r="AP77" s="504"/>
      <c r="AQ77" s="274"/>
      <c r="AR77" s="44"/>
      <c r="AS77" s="280"/>
      <c r="AT77" s="274"/>
      <c r="AU77" s="274"/>
      <c r="AV77" s="274"/>
    </row>
    <row r="78" customFormat="false" ht="12.75" hidden="false" customHeight="false" outlineLevel="0" collapsed="false">
      <c r="C78" s="280"/>
      <c r="D78" s="274"/>
      <c r="E78" s="274"/>
      <c r="F78" s="274"/>
      <c r="G78" s="455"/>
      <c r="H78" s="280"/>
      <c r="I78" s="274"/>
      <c r="J78" s="274"/>
      <c r="K78" s="274"/>
      <c r="M78" s="280"/>
      <c r="N78" s="274"/>
      <c r="O78" s="274"/>
      <c r="P78" s="274"/>
      <c r="Q78" s="10"/>
      <c r="T78" s="280"/>
      <c r="U78" s="274"/>
      <c r="V78" s="274"/>
      <c r="W78" s="274"/>
      <c r="Y78" s="280"/>
      <c r="Z78" s="274"/>
      <c r="AA78" s="274"/>
      <c r="AB78" s="274"/>
      <c r="AC78" s="44"/>
      <c r="AD78" s="280"/>
      <c r="AE78" s="274"/>
      <c r="AF78" s="274"/>
      <c r="AG78" s="274"/>
      <c r="AI78" s="280"/>
      <c r="AJ78" s="274"/>
      <c r="AK78" s="274"/>
      <c r="AL78" s="274"/>
      <c r="AN78" s="280"/>
      <c r="AO78" s="504"/>
      <c r="AP78" s="504"/>
      <c r="AQ78" s="274"/>
      <c r="AR78" s="44"/>
      <c r="AS78" s="280"/>
      <c r="AT78" s="274"/>
      <c r="AU78" s="274"/>
      <c r="AV78" s="274"/>
    </row>
    <row r="79" customFormat="false" ht="13.5" hidden="false" customHeight="false" outlineLevel="0" collapsed="false">
      <c r="C79" s="280"/>
      <c r="D79" s="274"/>
      <c r="E79" s="274"/>
      <c r="F79" s="274"/>
      <c r="G79" s="455"/>
      <c r="H79" s="280"/>
      <c r="I79" s="274"/>
      <c r="J79" s="274"/>
      <c r="K79" s="274"/>
      <c r="M79" s="280"/>
      <c r="N79" s="274"/>
      <c r="O79" s="274"/>
      <c r="P79" s="274"/>
      <c r="Q79" s="10"/>
      <c r="T79" s="280"/>
      <c r="U79" s="274"/>
      <c r="V79" s="274"/>
      <c r="W79" s="274"/>
      <c r="Y79" s="280"/>
      <c r="Z79" s="274"/>
      <c r="AA79" s="274"/>
      <c r="AB79" s="274"/>
      <c r="AC79" s="44"/>
      <c r="AD79" s="280"/>
      <c r="AE79" s="274"/>
      <c r="AF79" s="274"/>
      <c r="AG79" s="274"/>
      <c r="AI79" s="280"/>
      <c r="AJ79" s="274"/>
      <c r="AK79" s="274"/>
      <c r="AL79" s="274"/>
      <c r="AN79" s="280"/>
      <c r="AO79" s="504"/>
      <c r="AP79" s="504"/>
      <c r="AQ79" s="274"/>
      <c r="AR79" s="44"/>
      <c r="AS79" s="280"/>
      <c r="AT79" s="274"/>
      <c r="AU79" s="274"/>
      <c r="AV79" s="274"/>
    </row>
    <row r="80" customFormat="false" ht="12.75" hidden="false" customHeight="false" outlineLevel="0" collapsed="false">
      <c r="B80" s="11"/>
      <c r="C80" s="11"/>
      <c r="D80" s="11"/>
      <c r="E80" s="11"/>
      <c r="F80" s="11"/>
      <c r="G80" s="455"/>
      <c r="H80" s="11"/>
      <c r="I80" s="11"/>
      <c r="J80" s="11"/>
      <c r="K80" s="11"/>
      <c r="M80" s="11"/>
      <c r="N80" s="11"/>
      <c r="O80" s="11"/>
      <c r="P80" s="11"/>
      <c r="Q80" s="10"/>
      <c r="S80" s="50"/>
      <c r="T80" s="11"/>
      <c r="U80" s="11"/>
      <c r="V80" s="11"/>
      <c r="W80" s="11"/>
      <c r="Y80" s="11"/>
      <c r="Z80" s="11"/>
      <c r="AA80" s="11"/>
      <c r="AB80" s="11"/>
      <c r="AC80" s="44"/>
      <c r="AD80" s="11"/>
      <c r="AE80" s="11"/>
      <c r="AF80" s="11"/>
      <c r="AG80" s="11"/>
      <c r="AI80" s="11"/>
      <c r="AJ80" s="11"/>
      <c r="AK80" s="11"/>
      <c r="AL80" s="11"/>
      <c r="AN80" s="11"/>
      <c r="AO80" s="11"/>
      <c r="AP80" s="11"/>
      <c r="AQ80" s="11"/>
      <c r="AR80" s="44"/>
      <c r="AS80" s="11"/>
      <c r="AT80" s="11"/>
      <c r="AU80" s="11"/>
      <c r="AV80" s="11"/>
    </row>
    <row r="81" customFormat="false" ht="14.25" hidden="false" customHeight="false" outlineLevel="0" collapsed="false">
      <c r="B81" s="16" t="s">
        <v>1039</v>
      </c>
      <c r="C81" s="16" t="s">
        <v>1039</v>
      </c>
      <c r="D81" s="113" t="s">
        <v>511</v>
      </c>
      <c r="E81" s="113" t="s">
        <v>512</v>
      </c>
      <c r="F81" s="53" t="s">
        <v>513</v>
      </c>
      <c r="G81" s="455"/>
      <c r="H81" s="16" t="s">
        <v>1039</v>
      </c>
      <c r="I81" s="113" t="s">
        <v>511</v>
      </c>
      <c r="J81" s="113" t="s">
        <v>512</v>
      </c>
      <c r="K81" s="53" t="s">
        <v>513</v>
      </c>
      <c r="M81" s="16" t="s">
        <v>1039</v>
      </c>
      <c r="N81" s="113" t="s">
        <v>511</v>
      </c>
      <c r="O81" s="113" t="s">
        <v>512</v>
      </c>
      <c r="P81" s="53" t="s">
        <v>513</v>
      </c>
      <c r="Q81" s="10"/>
      <c r="S81" s="53" t="s">
        <v>1214</v>
      </c>
      <c r="T81" s="16" t="s">
        <v>1039</v>
      </c>
      <c r="U81" s="113" t="s">
        <v>511</v>
      </c>
      <c r="V81" s="113" t="s">
        <v>512</v>
      </c>
      <c r="W81" s="53" t="s">
        <v>513</v>
      </c>
      <c r="Y81" s="16" t="s">
        <v>1039</v>
      </c>
      <c r="Z81" s="113" t="s">
        <v>511</v>
      </c>
      <c r="AA81" s="113" t="s">
        <v>512</v>
      </c>
      <c r="AB81" s="53" t="s">
        <v>513</v>
      </c>
      <c r="AC81" s="44"/>
      <c r="AD81" s="16" t="s">
        <v>1039</v>
      </c>
      <c r="AE81" s="113" t="s">
        <v>511</v>
      </c>
      <c r="AF81" s="113" t="s">
        <v>512</v>
      </c>
      <c r="AG81" s="53" t="s">
        <v>513</v>
      </c>
      <c r="AI81" s="16" t="s">
        <v>1039</v>
      </c>
      <c r="AJ81" s="113" t="s">
        <v>511</v>
      </c>
      <c r="AK81" s="113" t="s">
        <v>512</v>
      </c>
      <c r="AL81" s="53" t="s">
        <v>513</v>
      </c>
      <c r="AN81" s="16" t="s">
        <v>1039</v>
      </c>
      <c r="AO81" s="113" t="s">
        <v>511</v>
      </c>
      <c r="AP81" s="113" t="s">
        <v>512</v>
      </c>
      <c r="AQ81" s="53" t="s">
        <v>513</v>
      </c>
      <c r="AR81" s="44"/>
      <c r="AS81" s="16" t="s">
        <v>1039</v>
      </c>
      <c r="AT81" s="113" t="s">
        <v>511</v>
      </c>
      <c r="AU81" s="113" t="s">
        <v>512</v>
      </c>
      <c r="AV81" s="53" t="s">
        <v>513</v>
      </c>
    </row>
    <row r="82" customFormat="false" ht="15" hidden="false" customHeight="false" outlineLevel="0" collapsed="false">
      <c r="B82" s="21" t="s">
        <v>1040</v>
      </c>
      <c r="C82" s="21" t="s">
        <v>783</v>
      </c>
      <c r="D82" s="55" t="s">
        <v>514</v>
      </c>
      <c r="E82" s="55" t="s">
        <v>514</v>
      </c>
      <c r="F82" s="55" t="s">
        <v>1499</v>
      </c>
      <c r="G82" s="455"/>
      <c r="H82" s="21" t="s">
        <v>783</v>
      </c>
      <c r="I82" s="55" t="s">
        <v>784</v>
      </c>
      <c r="J82" s="55" t="s">
        <v>784</v>
      </c>
      <c r="K82" s="55" t="s">
        <v>167</v>
      </c>
      <c r="M82" s="21" t="s">
        <v>783</v>
      </c>
      <c r="N82" s="55" t="s">
        <v>784</v>
      </c>
      <c r="O82" s="55" t="s">
        <v>784</v>
      </c>
      <c r="P82" s="55" t="s">
        <v>167</v>
      </c>
      <c r="Q82" s="10"/>
      <c r="S82" s="464"/>
      <c r="T82" s="21" t="s">
        <v>783</v>
      </c>
      <c r="U82" s="55" t="s">
        <v>784</v>
      </c>
      <c r="V82" s="55" t="s">
        <v>784</v>
      </c>
      <c r="W82" s="55" t="s">
        <v>167</v>
      </c>
      <c r="Y82" s="21" t="s">
        <v>783</v>
      </c>
      <c r="Z82" s="55" t="s">
        <v>784</v>
      </c>
      <c r="AA82" s="55" t="s">
        <v>784</v>
      </c>
      <c r="AB82" s="55" t="s">
        <v>167</v>
      </c>
      <c r="AC82" s="44"/>
      <c r="AD82" s="21" t="s">
        <v>783</v>
      </c>
      <c r="AE82" s="55" t="s">
        <v>784</v>
      </c>
      <c r="AF82" s="55" t="s">
        <v>784</v>
      </c>
      <c r="AG82" s="55" t="s">
        <v>167</v>
      </c>
      <c r="AI82" s="21" t="s">
        <v>783</v>
      </c>
      <c r="AJ82" s="55" t="s">
        <v>514</v>
      </c>
      <c r="AK82" s="55" t="s">
        <v>514</v>
      </c>
      <c r="AL82" s="55" t="s">
        <v>1499</v>
      </c>
      <c r="AN82" s="21" t="s">
        <v>783</v>
      </c>
      <c r="AO82" s="55" t="s">
        <v>514</v>
      </c>
      <c r="AP82" s="55" t="s">
        <v>514</v>
      </c>
      <c r="AQ82" s="55" t="s">
        <v>1499</v>
      </c>
      <c r="AR82" s="44"/>
      <c r="AS82" s="21" t="s">
        <v>783</v>
      </c>
      <c r="AT82" s="55" t="s">
        <v>514</v>
      </c>
      <c r="AU82" s="55" t="s">
        <v>514</v>
      </c>
      <c r="AV82" s="55" t="s">
        <v>1499</v>
      </c>
    </row>
    <row r="83" customFormat="false" ht="12.75" hidden="false" customHeight="false" outlineLevel="0" collapsed="false">
      <c r="B83" s="335" t="s">
        <v>187</v>
      </c>
      <c r="C83" s="335" t="s">
        <v>187</v>
      </c>
      <c r="D83" s="337"/>
      <c r="E83" s="539"/>
      <c r="F83" s="337"/>
      <c r="G83" s="570"/>
      <c r="H83" s="335" t="s">
        <v>187</v>
      </c>
      <c r="I83" s="540"/>
      <c r="J83" s="541"/>
      <c r="K83" s="540"/>
      <c r="M83" s="335" t="s">
        <v>187</v>
      </c>
      <c r="N83" s="526" t="s">
        <v>1501</v>
      </c>
      <c r="O83" s="527" t="s">
        <v>1501</v>
      </c>
      <c r="P83" s="526" t="s">
        <v>554</v>
      </c>
      <c r="Q83" s="10"/>
      <c r="S83" s="467" t="n">
        <v>0</v>
      </c>
      <c r="T83" s="544" t="s">
        <v>187</v>
      </c>
      <c r="U83" s="469" t="str">
        <f aca="false">IF(D83="","",ROUND(4.184*D83+$S83*$T$9,3))</f>
        <v/>
      </c>
      <c r="V83" s="469" t="str">
        <f aca="false">IF(E83="","",ROUND(4.184*E83,3))</f>
        <v/>
      </c>
      <c r="W83" s="469" t="str">
        <f aca="false">IF(F83="","",ROUND(4.184*F83,3))</f>
        <v/>
      </c>
      <c r="Y83" s="335" t="s">
        <v>187</v>
      </c>
      <c r="Z83" s="540"/>
      <c r="AA83" s="541"/>
      <c r="AB83" s="540"/>
      <c r="AC83" s="44"/>
      <c r="AD83" s="335" t="s">
        <v>187</v>
      </c>
      <c r="AE83" s="526" t="s">
        <v>1501</v>
      </c>
      <c r="AF83" s="527" t="s">
        <v>1501</v>
      </c>
      <c r="AG83" s="526" t="s">
        <v>554</v>
      </c>
      <c r="AI83" s="335" t="s">
        <v>187</v>
      </c>
      <c r="AJ83" s="312" t="str">
        <f aca="false">IF(D83="","",ROUND(D83+$S83*$AK$9,3))</f>
        <v/>
      </c>
      <c r="AK83" s="545" t="str">
        <f aca="false">IF(E83="","",ROUND(E83,3))</f>
        <v/>
      </c>
      <c r="AL83" s="312" t="str">
        <f aca="false">IF(F83="","",ROUND(F83,3))</f>
        <v/>
      </c>
      <c r="AN83" s="335" t="s">
        <v>187</v>
      </c>
      <c r="AO83" s="508" t="str">
        <f aca="false">IF(I83="","",ROUND(I83/4.184,3))</f>
        <v/>
      </c>
      <c r="AP83" s="546" t="str">
        <f aca="false">IF(J83="","",ROUND(J83/4.184,3))</f>
        <v/>
      </c>
      <c r="AQ83" s="508" t="str">
        <f aca="false">IF(K83="","",ROUND(K83/4.184,3))</f>
        <v/>
      </c>
      <c r="AR83" s="44"/>
      <c r="AS83" s="335" t="s">
        <v>187</v>
      </c>
      <c r="AT83" s="547" t="n">
        <f aca="false">IF(N83="","",ROUND(N83/4.184,3))</f>
        <v>0</v>
      </c>
      <c r="AU83" s="548" t="n">
        <f aca="false">IF(O83="","",ROUND(O83/4.184,3))</f>
        <v>0</v>
      </c>
      <c r="AV83" s="547" t="n">
        <f aca="false">IF(P83="","",ROUND(P83/4.184,3))</f>
        <v>9.821</v>
      </c>
    </row>
    <row r="84" customFormat="false" ht="12.75" hidden="false" customHeight="false" outlineLevel="0" collapsed="false">
      <c r="A84" s="10"/>
      <c r="B84" s="342" t="s">
        <v>188</v>
      </c>
      <c r="C84" s="342" t="s">
        <v>188</v>
      </c>
      <c r="D84" s="465" t="s">
        <v>786</v>
      </c>
      <c r="E84" s="466" t="s">
        <v>786</v>
      </c>
      <c r="F84" s="465" t="s">
        <v>399</v>
      </c>
      <c r="G84" s="570"/>
      <c r="H84" s="342" t="s">
        <v>188</v>
      </c>
      <c r="I84" s="465" t="s">
        <v>786</v>
      </c>
      <c r="J84" s="466" t="s">
        <v>786</v>
      </c>
      <c r="K84" s="465" t="s">
        <v>659</v>
      </c>
      <c r="M84" s="342" t="s">
        <v>188</v>
      </c>
      <c r="N84" s="297"/>
      <c r="O84" s="477"/>
      <c r="P84" s="297"/>
      <c r="S84" s="474" t="n">
        <v>0</v>
      </c>
      <c r="T84" s="550" t="s">
        <v>188</v>
      </c>
      <c r="U84" s="470" t="n">
        <f aca="false">IF(D84="","",ROUND(4.184*D84+$S84*$T$9,3))</f>
        <v>0</v>
      </c>
      <c r="V84" s="470" t="n">
        <f aca="false">IF(E84="","",ROUND(4.184*E84,3))</f>
        <v>0</v>
      </c>
      <c r="W84" s="470" t="n">
        <f aca="false">IF(F84="","",ROUND(4.184*F84,3))</f>
        <v>22.803</v>
      </c>
      <c r="Y84" s="342" t="s">
        <v>188</v>
      </c>
      <c r="Z84" s="465" t="s">
        <v>786</v>
      </c>
      <c r="AA84" s="466" t="s">
        <v>786</v>
      </c>
      <c r="AB84" s="465" t="s">
        <v>659</v>
      </c>
      <c r="AD84" s="342" t="s">
        <v>188</v>
      </c>
      <c r="AE84" s="297"/>
      <c r="AF84" s="477"/>
      <c r="AG84" s="297"/>
      <c r="AI84" s="342" t="s">
        <v>188</v>
      </c>
      <c r="AJ84" s="294" t="n">
        <f aca="false">IF(D84="","",ROUND(D84+$S84*$AK$9,3))</f>
        <v>0</v>
      </c>
      <c r="AK84" s="551" t="n">
        <f aca="false">IF(E84="","",ROUND(E84,3))</f>
        <v>0</v>
      </c>
      <c r="AL84" s="294" t="n">
        <f aca="false">IF(F84="","",ROUND(F84,3))</f>
        <v>5.45</v>
      </c>
      <c r="AN84" s="342" t="s">
        <v>188</v>
      </c>
      <c r="AO84" s="298" t="n">
        <f aca="false">IF(I84="","",ROUND(I84/4.184,3))</f>
        <v>0</v>
      </c>
      <c r="AP84" s="480" t="n">
        <f aca="false">IF(J84="","",ROUND(J84/4.184,3))</f>
        <v>0</v>
      </c>
      <c r="AQ84" s="298" t="n">
        <f aca="false">IF(K84="","",ROUND(K84/4.184,3))</f>
        <v>5.461</v>
      </c>
      <c r="AR84" s="44"/>
      <c r="AS84" s="342" t="s">
        <v>188</v>
      </c>
      <c r="AT84" s="475" t="str">
        <f aca="false">IF(N84="","",ROUND(N84/4.184,3))</f>
        <v/>
      </c>
      <c r="AU84" s="476" t="str">
        <f aca="false">IF(O84="","",ROUND(O84/4.184,3))</f>
        <v/>
      </c>
      <c r="AV84" s="470" t="str">
        <f aca="false">IF(P84="","",ROUND(P84/4.184,3))</f>
        <v/>
      </c>
    </row>
    <row r="85" customFormat="false" ht="12.75" hidden="false" customHeight="false" outlineLevel="0" collapsed="false">
      <c r="B85" s="345" t="s">
        <v>1041</v>
      </c>
      <c r="C85" s="345" t="s">
        <v>1041</v>
      </c>
      <c r="D85" s="256" t="n">
        <v>-649.968</v>
      </c>
      <c r="E85" s="552" t="s">
        <v>1680</v>
      </c>
      <c r="F85" s="256" t="s">
        <v>1331</v>
      </c>
      <c r="G85" s="570"/>
      <c r="H85" s="345" t="s">
        <v>1041</v>
      </c>
      <c r="I85" s="292" t="n">
        <v>-2675.794</v>
      </c>
      <c r="J85" s="549" t="s">
        <v>1681</v>
      </c>
      <c r="K85" s="292" t="s">
        <v>1682</v>
      </c>
      <c r="M85" s="345" t="s">
        <v>1041</v>
      </c>
      <c r="N85" s="556" t="s">
        <v>1683</v>
      </c>
      <c r="O85" s="486" t="s">
        <v>1684</v>
      </c>
      <c r="P85" s="556" t="s">
        <v>1685</v>
      </c>
      <c r="S85" s="474" t="n">
        <v>5</v>
      </c>
      <c r="T85" s="535" t="s">
        <v>1041</v>
      </c>
      <c r="U85" s="479" t="n">
        <f aca="false">IF(D85="","",ROUND(4.184*D85+$S85*$T$9,3))</f>
        <v>-2719.303</v>
      </c>
      <c r="V85" s="479" t="n">
        <f aca="false">IF(E85="","",ROUND(4.184*E85,3))</f>
        <v>-2984.029</v>
      </c>
      <c r="W85" s="479" t="n">
        <f aca="false">IF(F85="","",ROUND(4.184*F85,3))</f>
        <v>228.865</v>
      </c>
      <c r="Y85" s="345" t="s">
        <v>1041</v>
      </c>
      <c r="Z85" s="292" t="n">
        <v>-2675.794</v>
      </c>
      <c r="AA85" s="549" t="s">
        <v>1681</v>
      </c>
      <c r="AB85" s="256" t="s">
        <v>1682</v>
      </c>
      <c r="AD85" s="345" t="s">
        <v>1041</v>
      </c>
      <c r="AE85" s="292" t="s">
        <v>1683</v>
      </c>
      <c r="AF85" s="549" t="s">
        <v>1684</v>
      </c>
      <c r="AG85" s="292" t="s">
        <v>1685</v>
      </c>
      <c r="AI85" s="345" t="s">
        <v>1041</v>
      </c>
      <c r="AJ85" s="479" t="n">
        <f aca="false">IF(D85="","",ROUND(D85+$S85*$AK$9,3))</f>
        <v>-649.929</v>
      </c>
      <c r="AK85" s="553" t="n">
        <f aca="false">IF(E85="","",ROUND(E85,3))</f>
        <v>-713.2</v>
      </c>
      <c r="AL85" s="479" t="n">
        <f aca="false">IF(F85="","",ROUND(F85,3))</f>
        <v>54.7</v>
      </c>
      <c r="AN85" s="345" t="s">
        <v>1041</v>
      </c>
      <c r="AO85" s="294" t="n">
        <f aca="false">IF(I85="","",ROUND(I85/4.184,3))</f>
        <v>-639.53</v>
      </c>
      <c r="AP85" s="551" t="n">
        <f aca="false">IF(J85="","",ROUND(J85/4.184,3))</f>
        <v>-702.677</v>
      </c>
      <c r="AQ85" s="294" t="n">
        <f aca="false">IF(K85="","",ROUND(K85/4.184,3))</f>
        <v>55.21</v>
      </c>
      <c r="AR85" s="44"/>
      <c r="AS85" s="345" t="s">
        <v>1041</v>
      </c>
      <c r="AT85" s="574" t="n">
        <f aca="false">IF(N85="","",ROUND(N85/4.184,3))</f>
        <v>-650.86</v>
      </c>
      <c r="AU85" s="487" t="n">
        <f aca="false">IF(O85="","",ROUND(O85/4.184,3))</f>
        <v>-719.359</v>
      </c>
      <c r="AV85" s="567" t="n">
        <f aca="false">IF(P85="","",ROUND(P85/4.184,3))</f>
        <v>54.685</v>
      </c>
    </row>
    <row r="86" customFormat="false" ht="12.75" hidden="false" customHeight="false" outlineLevel="0" collapsed="false">
      <c r="A86" s="133"/>
      <c r="B86" s="535" t="s">
        <v>1042</v>
      </c>
      <c r="C86" s="345" t="s">
        <v>1043</v>
      </c>
      <c r="D86" s="292" t="s">
        <v>1686</v>
      </c>
      <c r="E86" s="549" t="s">
        <v>1687</v>
      </c>
      <c r="F86" s="292" t="s">
        <v>1688</v>
      </c>
      <c r="G86" s="570"/>
      <c r="H86" s="535" t="s">
        <v>1043</v>
      </c>
      <c r="I86" s="297" t="n">
        <v>-856.288</v>
      </c>
      <c r="J86" s="549" t="s">
        <v>1048</v>
      </c>
      <c r="K86" s="292" t="s">
        <v>1045</v>
      </c>
      <c r="L86" s="10"/>
      <c r="M86" s="535" t="s">
        <v>1043</v>
      </c>
      <c r="N86" s="465" t="s">
        <v>1689</v>
      </c>
      <c r="O86" s="466" t="s">
        <v>1044</v>
      </c>
      <c r="P86" s="465" t="s">
        <v>1690</v>
      </c>
      <c r="S86" s="474" t="n">
        <v>1</v>
      </c>
      <c r="T86" s="535" t="s">
        <v>1043</v>
      </c>
      <c r="U86" s="470" t="n">
        <f aca="false">IF(D86="","",ROUND(4.184*D86+$S86*$T$9,3))</f>
        <v>-856.206</v>
      </c>
      <c r="V86" s="470" t="n">
        <f aca="false">IF(E86="","",ROUND(4.184*E86,3))</f>
        <v>-910.648</v>
      </c>
      <c r="W86" s="470" t="n">
        <f aca="false">IF(F86="","",ROUND(4.184*F86,3))</f>
        <v>41.338</v>
      </c>
      <c r="X86" s="10"/>
      <c r="Y86" s="535" t="s">
        <v>1043</v>
      </c>
      <c r="Z86" s="297" t="n">
        <v>-856.288</v>
      </c>
      <c r="AA86" s="549" t="s">
        <v>1048</v>
      </c>
      <c r="AB86" s="292" t="s">
        <v>1045</v>
      </c>
      <c r="AC86" s="10"/>
      <c r="AD86" s="535" t="s">
        <v>1043</v>
      </c>
      <c r="AE86" s="465" t="s">
        <v>1689</v>
      </c>
      <c r="AF86" s="466" t="s">
        <v>1044</v>
      </c>
      <c r="AG86" s="465" t="s">
        <v>1690</v>
      </c>
      <c r="AI86" s="345" t="s">
        <v>1043</v>
      </c>
      <c r="AJ86" s="294" t="n">
        <f aca="false">IF(D86="","",ROUND(D86+$S86*$AK$9,3))</f>
        <v>-204.638</v>
      </c>
      <c r="AK86" s="551" t="n">
        <f aca="false">IF(E86="","",ROUND(E86,3))</f>
        <v>-217.65</v>
      </c>
      <c r="AL86" s="294" t="n">
        <f aca="false">IF(F86="","",ROUND(F86,3))</f>
        <v>9.88</v>
      </c>
      <c r="AM86" s="10"/>
      <c r="AN86" s="345" t="s">
        <v>1043</v>
      </c>
      <c r="AO86" s="298" t="n">
        <f aca="false">IF(I86="","",ROUND(I86/4.184,3))</f>
        <v>-204.658</v>
      </c>
      <c r="AP86" s="480" t="n">
        <f aca="false">IF(J86="","",ROUND(J86/4.184,3))</f>
        <v>-217.663</v>
      </c>
      <c r="AQ86" s="294" t="n">
        <f aca="false">IF(K86="","",ROUND(K86/4.184,3))</f>
        <v>9.909</v>
      </c>
      <c r="AR86" s="45"/>
      <c r="AS86" s="345" t="s">
        <v>1043</v>
      </c>
      <c r="AT86" s="475" t="n">
        <f aca="false">IF(N86="","",ROUND(N86/4.184,3))</f>
        <v>-204.661</v>
      </c>
      <c r="AU86" s="476" t="n">
        <f aca="false">IF(O86="","",ROUND(O86/4.184,3))</f>
        <v>-217.663</v>
      </c>
      <c r="AV86" s="475" t="n">
        <f aca="false">IF(P86="","",ROUND(P86/4.184,3))</f>
        <v>9.919</v>
      </c>
    </row>
    <row r="87" customFormat="false" ht="12.75" hidden="false" customHeight="false" outlineLevel="0" collapsed="false">
      <c r="A87" s="10"/>
      <c r="B87" s="345" t="s">
        <v>1050</v>
      </c>
      <c r="C87" s="345" t="s">
        <v>1050</v>
      </c>
      <c r="D87" s="292" t="s">
        <v>1691</v>
      </c>
      <c r="E87" s="549" t="s">
        <v>1692</v>
      </c>
      <c r="F87" s="292" t="s">
        <v>1340</v>
      </c>
      <c r="G87" s="570"/>
      <c r="H87" s="345" t="s">
        <v>1050</v>
      </c>
      <c r="I87" s="292" t="s">
        <v>1693</v>
      </c>
      <c r="J87" s="549" t="s">
        <v>1056</v>
      </c>
      <c r="K87" s="292" t="s">
        <v>1053</v>
      </c>
      <c r="L87" s="10"/>
      <c r="M87" s="345" t="s">
        <v>1050</v>
      </c>
      <c r="N87" s="465" t="s">
        <v>1694</v>
      </c>
      <c r="O87" s="466" t="s">
        <v>1051</v>
      </c>
      <c r="P87" s="465" t="s">
        <v>1695</v>
      </c>
      <c r="S87" s="474" t="n">
        <v>1.5</v>
      </c>
      <c r="T87" s="535" t="s">
        <v>1050</v>
      </c>
      <c r="U87" s="470" t="n">
        <f aca="false">IF(D87="","",ROUND(4.184*D87+$S87*$T$9,3))</f>
        <v>-1191.257</v>
      </c>
      <c r="V87" s="470" t="n">
        <f aca="false">IF(E87="","",ROUND(4.184*E87,3))</f>
        <v>-1270.43</v>
      </c>
      <c r="W87" s="470" t="n">
        <f aca="false">IF(F87="","",ROUND(4.184*F87,3))</f>
        <v>53.974</v>
      </c>
      <c r="X87" s="10"/>
      <c r="Y87" s="345" t="s">
        <v>1050</v>
      </c>
      <c r="Z87" s="292" t="s">
        <v>1693</v>
      </c>
      <c r="AA87" s="549" t="s">
        <v>1056</v>
      </c>
      <c r="AB87" s="292" t="s">
        <v>1053</v>
      </c>
      <c r="AC87" s="10"/>
      <c r="AD87" s="345" t="s">
        <v>1050</v>
      </c>
      <c r="AE87" s="465" t="s">
        <v>1694</v>
      </c>
      <c r="AF87" s="466" t="s">
        <v>1051</v>
      </c>
      <c r="AG87" s="465" t="s">
        <v>1695</v>
      </c>
      <c r="AI87" s="345" t="s">
        <v>1050</v>
      </c>
      <c r="AJ87" s="294" t="n">
        <f aca="false">IF(D87="","",ROUND(D87+$S87*$AK$9,3))</f>
        <v>-284.717</v>
      </c>
      <c r="AK87" s="551" t="n">
        <f aca="false">IF(E87="","",ROUND(E87,3))</f>
        <v>-303.64</v>
      </c>
      <c r="AL87" s="294" t="n">
        <f aca="false">IF(F87="","",ROUND(F87,3))</f>
        <v>12.9</v>
      </c>
      <c r="AM87" s="10"/>
      <c r="AN87" s="345" t="s">
        <v>1050</v>
      </c>
      <c r="AO87" s="294" t="n">
        <f aca="false">IF(I87="","",ROUND(I87/4.184,3))</f>
        <v>-285.451</v>
      </c>
      <c r="AP87" s="551" t="n">
        <f aca="false">IF(J87="","",ROUND(J87/4.184,3))</f>
        <v>-304.374</v>
      </c>
      <c r="AQ87" s="294" t="n">
        <f aca="false">IF(K87="","",ROUND(K87/4.184,3))</f>
        <v>12.899</v>
      </c>
      <c r="AR87" s="45"/>
      <c r="AS87" s="345" t="s">
        <v>1050</v>
      </c>
      <c r="AT87" s="475" t="n">
        <f aca="false">IF(N87="","",ROUND(N87/4.184,3))</f>
        <v>-285.468</v>
      </c>
      <c r="AU87" s="476" t="n">
        <f aca="false">IF(O87="","",ROUND(O87/4.184,3))</f>
        <v>-304.374</v>
      </c>
      <c r="AV87" s="475" t="n">
        <f aca="false">IF(P87="","",ROUND(P87/4.184,3))</f>
        <v>12.906</v>
      </c>
    </row>
    <row r="88" customFormat="false" ht="12.75" hidden="false" customHeight="false" outlineLevel="0" collapsed="false">
      <c r="B88" s="345" t="s">
        <v>1058</v>
      </c>
      <c r="C88" s="345" t="s">
        <v>1059</v>
      </c>
      <c r="D88" s="292"/>
      <c r="E88" s="549"/>
      <c r="F88" s="292"/>
      <c r="G88" s="570"/>
      <c r="H88" s="345" t="s">
        <v>1059</v>
      </c>
      <c r="I88" s="297"/>
      <c r="J88" s="549"/>
      <c r="K88" s="292"/>
      <c r="L88" s="10"/>
      <c r="M88" s="345" t="s">
        <v>1059</v>
      </c>
      <c r="N88" s="465"/>
      <c r="O88" s="466"/>
      <c r="P88" s="465"/>
      <c r="Q88" s="45"/>
      <c r="S88" s="474" t="n">
        <v>3</v>
      </c>
      <c r="T88" s="535" t="s">
        <v>1059</v>
      </c>
      <c r="U88" s="470" t="str">
        <f aca="false">IF(D88="","",ROUND(4.184*D88+$S88*$T$9,3))</f>
        <v/>
      </c>
      <c r="V88" s="470" t="str">
        <f aca="false">IF(E88="","",ROUND(4.184*E88,3))</f>
        <v/>
      </c>
      <c r="W88" s="470" t="str">
        <f aca="false">IF(F88="","",ROUND(4.184*F88,3))</f>
        <v/>
      </c>
      <c r="X88" s="10"/>
      <c r="Y88" s="345" t="s">
        <v>1059</v>
      </c>
      <c r="Z88" s="297"/>
      <c r="AA88" s="549"/>
      <c r="AB88" s="292"/>
      <c r="AC88" s="10"/>
      <c r="AD88" s="345" t="s">
        <v>1059</v>
      </c>
      <c r="AE88" s="465"/>
      <c r="AF88" s="466"/>
      <c r="AG88" s="465"/>
      <c r="AI88" s="345" t="s">
        <v>1059</v>
      </c>
      <c r="AJ88" s="294" t="str">
        <f aca="false">IF(D88="","",ROUND(D88+$S88*$AK$9,3))</f>
        <v/>
      </c>
      <c r="AK88" s="551" t="str">
        <f aca="false">IF(E88="","",ROUND(E88,3))</f>
        <v/>
      </c>
      <c r="AL88" s="294" t="str">
        <f aca="false">IF(F88="","",ROUND(F88,3))</f>
        <v/>
      </c>
      <c r="AM88" s="10"/>
      <c r="AN88" s="345" t="s">
        <v>1059</v>
      </c>
      <c r="AO88" s="294" t="str">
        <f aca="false">IF(I88="","",ROUND(I88/4.184,3))</f>
        <v/>
      </c>
      <c r="AP88" s="551" t="str">
        <f aca="false">IF(J88="","",ROUND(J88/4.184,3))</f>
        <v/>
      </c>
      <c r="AQ88" s="294" t="str">
        <f aca="false">IF(K88="","",ROUND(K88/4.184,3))</f>
        <v/>
      </c>
      <c r="AR88" s="45"/>
      <c r="AS88" s="345" t="s">
        <v>1059</v>
      </c>
      <c r="AT88" s="475" t="str">
        <f aca="false">IF(N88="","",ROUND(N88/4.184,3))</f>
        <v/>
      </c>
      <c r="AU88" s="476" t="str">
        <f aca="false">IF(O88="","",ROUND(O88/4.184,3))</f>
        <v/>
      </c>
      <c r="AV88" s="475" t="str">
        <f aca="false">IF(P88="","",ROUND(P88/4.184,3))</f>
        <v/>
      </c>
    </row>
    <row r="89" customFormat="false" ht="12.75" hidden="false" customHeight="false" outlineLevel="0" collapsed="false">
      <c r="A89" s="10"/>
      <c r="B89" s="342" t="s">
        <v>1066</v>
      </c>
      <c r="C89" s="345" t="s">
        <v>1067</v>
      </c>
      <c r="D89" s="465" t="s">
        <v>1696</v>
      </c>
      <c r="E89" s="466" t="s">
        <v>1697</v>
      </c>
      <c r="F89" s="465" t="s">
        <v>360</v>
      </c>
      <c r="G89" s="570"/>
      <c r="H89" s="342" t="s">
        <v>1067</v>
      </c>
      <c r="I89" s="465" t="s">
        <v>1698</v>
      </c>
      <c r="J89" s="466" t="s">
        <v>1072</v>
      </c>
      <c r="K89" s="465" t="s">
        <v>1069</v>
      </c>
      <c r="L89" s="10"/>
      <c r="M89" s="342" t="s">
        <v>1067</v>
      </c>
      <c r="N89" s="465" t="s">
        <v>1699</v>
      </c>
      <c r="O89" s="466" t="s">
        <v>1068</v>
      </c>
      <c r="P89" s="465" t="s">
        <v>1700</v>
      </c>
      <c r="S89" s="474" t="n">
        <v>1.5</v>
      </c>
      <c r="T89" s="535" t="s">
        <v>1067</v>
      </c>
      <c r="U89" s="470" t="n">
        <f aca="false">IF(D89="","",ROUND(4.184*D89+$S89*$T$9,3))</f>
        <v>-1581.846</v>
      </c>
      <c r="V89" s="470" t="n">
        <f aca="false">IF(E89="","",ROUND(4.184*E89,3))</f>
        <v>-1675.274</v>
      </c>
      <c r="W89" s="470" t="n">
        <f aca="false">IF(F89="","",ROUND(4.184*F89,3))</f>
        <v>50.961</v>
      </c>
      <c r="X89" s="10"/>
      <c r="Y89" s="342" t="s">
        <v>1067</v>
      </c>
      <c r="Z89" s="465" t="s">
        <v>1698</v>
      </c>
      <c r="AA89" s="466" t="s">
        <v>1072</v>
      </c>
      <c r="AB89" s="465" t="s">
        <v>1069</v>
      </c>
      <c r="AC89" s="10"/>
      <c r="AD89" s="342" t="s">
        <v>1067</v>
      </c>
      <c r="AE89" s="465" t="s">
        <v>1699</v>
      </c>
      <c r="AF89" s="466" t="s">
        <v>1068</v>
      </c>
      <c r="AG89" s="465" t="s">
        <v>1700</v>
      </c>
      <c r="AI89" s="345" t="s">
        <v>1067</v>
      </c>
      <c r="AJ89" s="294" t="n">
        <f aca="false">IF(D89="","",ROUND(D89+$S89*$AK$9,3))</f>
        <v>-378.07</v>
      </c>
      <c r="AK89" s="551" t="n">
        <f aca="false">IF(E89="","",ROUND(E89,3))</f>
        <v>-400.4</v>
      </c>
      <c r="AL89" s="294" t="n">
        <f aca="false">IF(F89="","",ROUND(F89,3))</f>
        <v>12.18</v>
      </c>
      <c r="AM89" s="10"/>
      <c r="AN89" s="345" t="s">
        <v>1067</v>
      </c>
      <c r="AO89" s="298" t="n">
        <f aca="false">IF(I89="","",ROUND(I89/4.184,3))</f>
        <v>-378.162</v>
      </c>
      <c r="AP89" s="480" t="n">
        <f aca="false">IF(J89="","",ROUND(J89/4.184,3))</f>
        <v>-400.502</v>
      </c>
      <c r="AQ89" s="298" t="n">
        <f aca="false">IF(K89="","",ROUND(K89/4.184,3))</f>
        <v>12.17</v>
      </c>
      <c r="AR89" s="191"/>
      <c r="AS89" s="345" t="s">
        <v>1067</v>
      </c>
      <c r="AT89" s="475" t="n">
        <f aca="false">IF(N89="","",ROUND(N89/4.184,3))</f>
        <v>-378.179</v>
      </c>
      <c r="AU89" s="476" t="n">
        <f aca="false">IF(O89="","",ROUND(O89/4.184,3))</f>
        <v>-400.502</v>
      </c>
      <c r="AV89" s="475" t="n">
        <f aca="false">IF(P89="","",ROUND(P89/4.184,3))</f>
        <v>12.165</v>
      </c>
    </row>
    <row r="90" customFormat="false" ht="12.75" hidden="false" customHeight="false" outlineLevel="0" collapsed="false">
      <c r="A90" s="10"/>
      <c r="B90" s="342" t="s">
        <v>1075</v>
      </c>
      <c r="C90" s="345" t="s">
        <v>1076</v>
      </c>
      <c r="D90" s="465" t="s">
        <v>1701</v>
      </c>
      <c r="E90" s="466" t="s">
        <v>1702</v>
      </c>
      <c r="F90" s="465" t="s">
        <v>1703</v>
      </c>
      <c r="G90" s="570"/>
      <c r="H90" s="342" t="s">
        <v>1076</v>
      </c>
      <c r="I90" s="465" t="s">
        <v>1704</v>
      </c>
      <c r="J90" s="466" t="s">
        <v>1705</v>
      </c>
      <c r="K90" s="465" t="s">
        <v>1078</v>
      </c>
      <c r="L90" s="10"/>
      <c r="M90" s="342" t="s">
        <v>1076</v>
      </c>
      <c r="N90" s="465" t="s">
        <v>1706</v>
      </c>
      <c r="O90" s="466" t="s">
        <v>1707</v>
      </c>
      <c r="P90" s="465" t="s">
        <v>1708</v>
      </c>
      <c r="S90" s="474" t="n">
        <v>3</v>
      </c>
      <c r="T90" s="535" t="s">
        <v>1076</v>
      </c>
      <c r="U90" s="470" t="n">
        <f aca="false">IF(D90="","",ROUND(4.184*D90+$S90*$T$9,3))</f>
        <v>-1144.168</v>
      </c>
      <c r="V90" s="470" t="n">
        <f aca="false">IF(E90="","",ROUND(4.184*E90,3))</f>
        <v>-1281.894</v>
      </c>
      <c r="W90" s="470" t="n">
        <f aca="false">IF(F90="","",ROUND(4.184*F90,3))</f>
        <v>70.082</v>
      </c>
      <c r="X90" s="10"/>
      <c r="Y90" s="342" t="s">
        <v>1076</v>
      </c>
      <c r="Z90" s="465" t="s">
        <v>1704</v>
      </c>
      <c r="AA90" s="466" t="s">
        <v>1705</v>
      </c>
      <c r="AB90" s="465" t="s">
        <v>1078</v>
      </c>
      <c r="AC90" s="10"/>
      <c r="AD90" s="342" t="s">
        <v>1076</v>
      </c>
      <c r="AE90" s="465" t="s">
        <v>1706</v>
      </c>
      <c r="AF90" s="466" t="s">
        <v>1707</v>
      </c>
      <c r="AG90" s="465" t="s">
        <v>1708</v>
      </c>
      <c r="AI90" s="345" t="s">
        <v>1076</v>
      </c>
      <c r="AJ90" s="294" t="n">
        <f aca="false">IF(D90="","",ROUND(D90+$S90*$AK$9,3))</f>
        <v>-273.463</v>
      </c>
      <c r="AK90" s="551" t="n">
        <f aca="false">IF(E90="","",ROUND(E90,3))</f>
        <v>-306.38</v>
      </c>
      <c r="AL90" s="294" t="n">
        <f aca="false">IF(F90="","",ROUND(F90,3))</f>
        <v>16.75</v>
      </c>
      <c r="AM90" s="10"/>
      <c r="AN90" s="345" t="s">
        <v>1076</v>
      </c>
      <c r="AO90" s="298" t="n">
        <f aca="false">IF(I90="","",ROUND(I90/4.184,3))</f>
        <v>-276.025</v>
      </c>
      <c r="AP90" s="480" t="n">
        <f aca="false">IF(J90="","",ROUND(J90/4.184,3))</f>
        <v>-309.065</v>
      </c>
      <c r="AQ90" s="298" t="n">
        <f aca="false">IF(K90="","",ROUND(K90/4.184,3))</f>
        <v>16.358</v>
      </c>
      <c r="AR90" s="191"/>
      <c r="AS90" s="345" t="s">
        <v>1076</v>
      </c>
      <c r="AT90" s="475" t="n">
        <f aca="false">IF(N90="","",ROUND(N90/4.184,3))</f>
        <v>-276.028</v>
      </c>
      <c r="AU90" s="476" t="n">
        <f aca="false">IF(O90="","",ROUND(O90/4.184,3))</f>
        <v>-309.058</v>
      </c>
      <c r="AV90" s="470" t="n">
        <f aca="false">IF(P90="","",ROUND(P90/4.184,3))</f>
        <v>16.348</v>
      </c>
    </row>
    <row r="91" customFormat="false" ht="12.75" hidden="false" customHeight="false" outlineLevel="0" collapsed="false">
      <c r="B91" s="342" t="s">
        <v>1080</v>
      </c>
      <c r="C91" s="345" t="s">
        <v>1080</v>
      </c>
      <c r="D91" s="297"/>
      <c r="E91" s="477"/>
      <c r="F91" s="297"/>
      <c r="G91" s="570"/>
      <c r="H91" s="342" t="s">
        <v>1080</v>
      </c>
      <c r="I91" s="297"/>
      <c r="J91" s="477"/>
      <c r="K91" s="297"/>
      <c r="L91" s="10"/>
      <c r="M91" s="342" t="s">
        <v>1080</v>
      </c>
      <c r="N91" s="292"/>
      <c r="O91" s="477"/>
      <c r="P91" s="297"/>
      <c r="S91" s="474" t="n">
        <v>10.5</v>
      </c>
      <c r="T91" s="535" t="s">
        <v>1080</v>
      </c>
      <c r="U91" s="470" t="str">
        <f aca="false">IF(D91="","",ROUND(4.184*D91+$S91*$T$9,3))</f>
        <v/>
      </c>
      <c r="V91" s="470" t="str">
        <f aca="false">IF(E91="","",ROUND(4.184*E91,3))</f>
        <v/>
      </c>
      <c r="W91" s="470" t="str">
        <f aca="false">IF(F91="","",ROUND(4.184*F91,3))</f>
        <v/>
      </c>
      <c r="X91" s="133"/>
      <c r="Y91" s="342" t="s">
        <v>1080</v>
      </c>
      <c r="Z91" s="297"/>
      <c r="AA91" s="477"/>
      <c r="AB91" s="297"/>
      <c r="AC91" s="10"/>
      <c r="AD91" s="342" t="s">
        <v>1080</v>
      </c>
      <c r="AE91" s="292"/>
      <c r="AF91" s="477"/>
      <c r="AG91" s="297"/>
      <c r="AI91" s="345" t="s">
        <v>1080</v>
      </c>
      <c r="AJ91" s="294" t="str">
        <f aca="false">IF(D91="","",ROUND(D91+$S91*$AK$9,3))</f>
        <v/>
      </c>
      <c r="AK91" s="551" t="str">
        <f aca="false">IF(E91="","",ROUND(E91,3))</f>
        <v/>
      </c>
      <c r="AL91" s="294" t="str">
        <f aca="false">IF(F91="","",ROUND(F91,3))</f>
        <v/>
      </c>
      <c r="AM91" s="133"/>
      <c r="AN91" s="345" t="s">
        <v>1080</v>
      </c>
      <c r="AO91" s="294" t="str">
        <f aca="false">IF(I91="","",ROUND(I91/4.184,3))</f>
        <v/>
      </c>
      <c r="AP91" s="551" t="str">
        <f aca="false">IF(J91="","",ROUND(J91/4.184,3))</f>
        <v/>
      </c>
      <c r="AQ91" s="294" t="str">
        <f aca="false">IF(K91="","",ROUND(K91/4.184,3))</f>
        <v/>
      </c>
      <c r="AR91" s="191"/>
      <c r="AS91" s="345" t="s">
        <v>1080</v>
      </c>
      <c r="AT91" s="470" t="str">
        <f aca="false">IF(N91="","",ROUND(N91/4.184,3))</f>
        <v/>
      </c>
      <c r="AU91" s="471" t="str">
        <f aca="false">IF(O91="","",ROUND(O91/4.184,3))</f>
        <v/>
      </c>
      <c r="AV91" s="470" t="str">
        <f aca="false">IF(P91="","",ROUND(P91/4.184,3))</f>
        <v/>
      </c>
    </row>
    <row r="92" customFormat="false" ht="12.75" hidden="false" customHeight="false" outlineLevel="0" collapsed="false">
      <c r="A92" s="10"/>
      <c r="B92" s="342" t="s">
        <v>1084</v>
      </c>
      <c r="C92" s="345" t="s">
        <v>1085</v>
      </c>
      <c r="D92" s="292" t="s">
        <v>1709</v>
      </c>
      <c r="E92" s="549" t="s">
        <v>1710</v>
      </c>
      <c r="F92" s="292" t="s">
        <v>1360</v>
      </c>
      <c r="G92" s="600"/>
      <c r="H92" s="342" t="s">
        <v>1085</v>
      </c>
      <c r="I92" s="292" t="s">
        <v>1711</v>
      </c>
      <c r="J92" s="549" t="s">
        <v>1712</v>
      </c>
      <c r="K92" s="292" t="s">
        <v>1363</v>
      </c>
      <c r="L92" s="89"/>
      <c r="M92" s="342" t="s">
        <v>1085</v>
      </c>
      <c r="N92" s="292" t="s">
        <v>1713</v>
      </c>
      <c r="O92" s="549" t="s">
        <v>1714</v>
      </c>
      <c r="P92" s="292" t="s">
        <v>1715</v>
      </c>
      <c r="Q92" s="66"/>
      <c r="S92" s="474" t="n">
        <v>2.5</v>
      </c>
      <c r="T92" s="535" t="s">
        <v>1085</v>
      </c>
      <c r="U92" s="470" t="n">
        <f aca="false">IF(D92="","",ROUND(4.184*D92+$S92*$T$9,3))</f>
        <v>-2443.935</v>
      </c>
      <c r="V92" s="470" t="n">
        <f aca="false">IF(E92="","",ROUND(4.184*E92,3))</f>
        <v>-2591.528</v>
      </c>
      <c r="W92" s="470" t="n">
        <f aca="false">IF(F92="","",ROUND(4.184*F92,3))</f>
        <v>93.22</v>
      </c>
      <c r="X92" s="133"/>
      <c r="Y92" s="342" t="s">
        <v>1085</v>
      </c>
      <c r="Z92" s="292" t="s">
        <v>1711</v>
      </c>
      <c r="AA92" s="549" t="s">
        <v>1712</v>
      </c>
      <c r="AB92" s="292" t="s">
        <v>1363</v>
      </c>
      <c r="AC92" s="89"/>
      <c r="AD92" s="342" t="s">
        <v>1085</v>
      </c>
      <c r="AE92" s="292" t="s">
        <v>1713</v>
      </c>
      <c r="AF92" s="549" t="s">
        <v>1714</v>
      </c>
      <c r="AG92" s="292" t="s">
        <v>1715</v>
      </c>
      <c r="AI92" s="345" t="s">
        <v>1085</v>
      </c>
      <c r="AJ92" s="294" t="n">
        <f aca="false">IF(D92="","",ROUND(D92+$S92*$AK$9,3))</f>
        <v>-584.115</v>
      </c>
      <c r="AK92" s="551" t="n">
        <f aca="false">IF(E92="","",ROUND(E92,3))</f>
        <v>-619.39</v>
      </c>
      <c r="AL92" s="294" t="n">
        <f aca="false">IF(F92="","",ROUND(F92,3))</f>
        <v>22.28</v>
      </c>
      <c r="AM92" s="133"/>
      <c r="AN92" s="345" t="s">
        <v>1085</v>
      </c>
      <c r="AO92" s="294" t="n">
        <f aca="false">IF(I92="","",ROUND(I92/4.184,3))</f>
        <v>-583.148</v>
      </c>
      <c r="AP92" s="551" t="n">
        <f aca="false">IF(J92="","",ROUND(J92/4.184,3))</f>
        <v>-618.433</v>
      </c>
      <c r="AQ92" s="294" t="n">
        <f aca="false">IF(K92="","",ROUND(K92/4.184,3))</f>
        <v>22.28</v>
      </c>
      <c r="AR92" s="191"/>
      <c r="AS92" s="345" t="s">
        <v>1085</v>
      </c>
      <c r="AT92" s="470" t="n">
        <f aca="false">IF(N92="","",ROUND(N92/4.184,3))</f>
        <v>-583.604</v>
      </c>
      <c r="AU92" s="471" t="n">
        <f aca="false">IF(O92="","",ROUND(O92/4.184,3))</f>
        <v>-619.001</v>
      </c>
      <c r="AV92" s="470" t="n">
        <f aca="false">IF(P92="","",ROUND(P92/4.184,3))</f>
        <v>21.845</v>
      </c>
    </row>
    <row r="93" customFormat="false" ht="12.75" hidden="false" customHeight="false" outlineLevel="0" collapsed="false">
      <c r="A93" s="10"/>
      <c r="B93" s="353" t="s">
        <v>1086</v>
      </c>
      <c r="C93" s="354" t="s">
        <v>1087</v>
      </c>
      <c r="D93" s="301" t="s">
        <v>1716</v>
      </c>
      <c r="E93" s="557" t="s">
        <v>1717</v>
      </c>
      <c r="F93" s="301" t="s">
        <v>1369</v>
      </c>
      <c r="G93" s="600"/>
      <c r="H93" s="353" t="s">
        <v>1087</v>
      </c>
      <c r="I93" s="301" t="s">
        <v>1718</v>
      </c>
      <c r="J93" s="557" t="s">
        <v>1719</v>
      </c>
      <c r="K93" s="301" t="s">
        <v>1372</v>
      </c>
      <c r="L93" s="89"/>
      <c r="M93" s="353" t="s">
        <v>1087</v>
      </c>
      <c r="N93" s="301" t="s">
        <v>1720</v>
      </c>
      <c r="O93" s="557" t="s">
        <v>1721</v>
      </c>
      <c r="P93" s="301" t="s">
        <v>1722</v>
      </c>
      <c r="S93" s="558" t="n">
        <v>1.5</v>
      </c>
      <c r="T93" s="534" t="s">
        <v>1087</v>
      </c>
      <c r="U93" s="470" t="n">
        <f aca="false">IF(D93="","",ROUND(4.184*D93+$S93*$T$9,3))</f>
        <v>-743.565</v>
      </c>
      <c r="V93" s="470" t="n">
        <f aca="false">IF(E93="","",ROUND(4.184*E93,3))</f>
        <v>-825.503</v>
      </c>
      <c r="W93" s="470" t="n">
        <f aca="false">IF(F93="","",ROUND(4.184*F93,3))</f>
        <v>87.404</v>
      </c>
      <c r="X93" s="133"/>
      <c r="Y93" s="353" t="s">
        <v>1087</v>
      </c>
      <c r="Z93" s="301" t="s">
        <v>1718</v>
      </c>
      <c r="AA93" s="557" t="s">
        <v>1719</v>
      </c>
      <c r="AB93" s="301" t="s">
        <v>1372</v>
      </c>
      <c r="AC93" s="89"/>
      <c r="AD93" s="353" t="s">
        <v>1087</v>
      </c>
      <c r="AE93" s="301" t="s">
        <v>1720</v>
      </c>
      <c r="AF93" s="557" t="s">
        <v>1721</v>
      </c>
      <c r="AG93" s="301" t="s">
        <v>1722</v>
      </c>
      <c r="AI93" s="354" t="s">
        <v>1087</v>
      </c>
      <c r="AJ93" s="303" t="n">
        <f aca="false">IF(D93="","",ROUND(D93+$S93*$AK$9,3))</f>
        <v>-177.716</v>
      </c>
      <c r="AK93" s="559" t="n">
        <f aca="false">IF(E93="","",ROUND(E93,3))</f>
        <v>-197.3</v>
      </c>
      <c r="AL93" s="303" t="n">
        <f aca="false">IF(F93="","",ROUND(F93,3))</f>
        <v>20.89</v>
      </c>
      <c r="AM93" s="133"/>
      <c r="AN93" s="354" t="s">
        <v>1087</v>
      </c>
      <c r="AO93" s="303" t="n">
        <f aca="false">IF(I93="","",ROUND(I93/4.184,3))</f>
        <v>-177.505</v>
      </c>
      <c r="AP93" s="559" t="n">
        <f aca="false">IF(J93="","",ROUND(J93/4.184,3))</f>
        <v>-197.094</v>
      </c>
      <c r="AQ93" s="303" t="n">
        <f aca="false">IF(K93="","",ROUND(K93/4.184,3))</f>
        <v>20.889</v>
      </c>
      <c r="AR93" s="191"/>
      <c r="AS93" s="354" t="s">
        <v>1087</v>
      </c>
      <c r="AT93" s="493" t="n">
        <f aca="false">IF(N93="","",ROUND(N93/4.184,3))</f>
        <v>-177.916</v>
      </c>
      <c r="AU93" s="495" t="n">
        <f aca="false">IF(O93="","",ROUND(O93/4.184,3))</f>
        <v>-197.467</v>
      </c>
      <c r="AV93" s="493" t="n">
        <f aca="false">IF(P93="","",ROUND(P93/4.184,3))</f>
        <v>20.889</v>
      </c>
    </row>
    <row r="94" customFormat="false" ht="12.75" hidden="false" customHeight="false" outlineLevel="0" collapsed="false">
      <c r="A94" s="10"/>
      <c r="B94" s="353" t="s">
        <v>1093</v>
      </c>
      <c r="C94" s="354" t="s">
        <v>1094</v>
      </c>
      <c r="D94" s="301" t="s">
        <v>1723</v>
      </c>
      <c r="E94" s="557" t="s">
        <v>1724</v>
      </c>
      <c r="F94" s="301" t="s">
        <v>1725</v>
      </c>
      <c r="G94" s="600"/>
      <c r="H94" s="353" t="s">
        <v>1094</v>
      </c>
      <c r="I94" s="301" t="s">
        <v>1726</v>
      </c>
      <c r="J94" s="557" t="s">
        <v>1727</v>
      </c>
      <c r="K94" s="301" t="s">
        <v>1728</v>
      </c>
      <c r="L94" s="89"/>
      <c r="M94" s="353" t="s">
        <v>1094</v>
      </c>
      <c r="N94" s="301" t="s">
        <v>1729</v>
      </c>
      <c r="O94" s="557" t="s">
        <v>1730</v>
      </c>
      <c r="P94" s="301" t="s">
        <v>1731</v>
      </c>
      <c r="Q94" s="66"/>
      <c r="S94" s="558" t="n">
        <v>2</v>
      </c>
      <c r="T94" s="534" t="s">
        <v>1094</v>
      </c>
      <c r="U94" s="470" t="n">
        <f aca="false">IF(D94="","",ROUND(4.184*D94+$S94*$T$9,3))</f>
        <v>-1017.04</v>
      </c>
      <c r="V94" s="470" t="n">
        <f aca="false">IF(E94="","",ROUND(4.184*E94,3))</f>
        <v>-1118.802</v>
      </c>
      <c r="W94" s="470" t="n">
        <f aca="false">IF(F94="","",ROUND(4.184*F94,3))</f>
        <v>150.75</v>
      </c>
      <c r="X94" s="133"/>
      <c r="Y94" s="353" t="s">
        <v>1094</v>
      </c>
      <c r="Z94" s="301" t="s">
        <v>1726</v>
      </c>
      <c r="AA94" s="557" t="s">
        <v>1727</v>
      </c>
      <c r="AB94" s="301" t="s">
        <v>1728</v>
      </c>
      <c r="AC94" s="89"/>
      <c r="AD94" s="353" t="s">
        <v>1094</v>
      </c>
      <c r="AE94" s="301" t="s">
        <v>1729</v>
      </c>
      <c r="AF94" s="557" t="s">
        <v>1730</v>
      </c>
      <c r="AG94" s="301" t="s">
        <v>1731</v>
      </c>
      <c r="AI94" s="354" t="s">
        <v>1094</v>
      </c>
      <c r="AJ94" s="303" t="n">
        <f aca="false">IF(D94="","",ROUND(D94+$S94*$AK$9,3))</f>
        <v>-243.078</v>
      </c>
      <c r="AK94" s="559" t="n">
        <f aca="false">IF(E94="","",ROUND(E94,3))</f>
        <v>-267.4</v>
      </c>
      <c r="AL94" s="303" t="n">
        <f aca="false">IF(F94="","",ROUND(F94,3))</f>
        <v>36.03</v>
      </c>
      <c r="AM94" s="133"/>
      <c r="AN94" s="354" t="s">
        <v>1094</v>
      </c>
      <c r="AO94" s="303" t="n">
        <f aca="false">IF(I94="","",ROUND(I94/4.184,3))</f>
        <v>-242.009</v>
      </c>
      <c r="AP94" s="559" t="n">
        <f aca="false">IF(J94="","",ROUND(J94/4.184,3))</f>
        <v>-266.665</v>
      </c>
      <c r="AQ94" s="303" t="n">
        <f aca="false">IF(K94="","",ROUND(K94/4.184,3))</f>
        <v>34.928</v>
      </c>
      <c r="AR94" s="191"/>
      <c r="AS94" s="354" t="s">
        <v>1094</v>
      </c>
      <c r="AT94" s="493" t="n">
        <f aca="false">IF(N94="","",ROUND(N94/4.184,3))</f>
        <v>-242.041</v>
      </c>
      <c r="AU94" s="495" t="n">
        <f aca="false">IF(O94="","",ROUND(O94/4.184,3))</f>
        <v>-266.659</v>
      </c>
      <c r="AV94" s="493" t="n">
        <f aca="false">IF(P94="","",ROUND(P94/4.184,3))</f>
        <v>34.919</v>
      </c>
    </row>
    <row r="95" customFormat="false" ht="12.75" hidden="false" customHeight="false" outlineLevel="0" collapsed="false">
      <c r="A95" s="10"/>
      <c r="B95" s="353" t="s">
        <v>1100</v>
      </c>
      <c r="C95" s="354" t="s">
        <v>1101</v>
      </c>
      <c r="D95" s="301" t="s">
        <v>1732</v>
      </c>
      <c r="E95" s="557" t="s">
        <v>1733</v>
      </c>
      <c r="F95" s="301" t="s">
        <v>1734</v>
      </c>
      <c r="G95" s="600"/>
      <c r="H95" s="353" t="s">
        <v>1101</v>
      </c>
      <c r="I95" s="301" t="s">
        <v>1735</v>
      </c>
      <c r="J95" s="557" t="s">
        <v>1736</v>
      </c>
      <c r="K95" s="301" t="s">
        <v>1737</v>
      </c>
      <c r="L95" s="89"/>
      <c r="M95" s="353" t="s">
        <v>1101</v>
      </c>
      <c r="N95" s="301" t="s">
        <v>1738</v>
      </c>
      <c r="O95" s="557" t="s">
        <v>1739</v>
      </c>
      <c r="P95" s="301" t="s">
        <v>1740</v>
      </c>
      <c r="S95" s="558" t="n">
        <v>2</v>
      </c>
      <c r="T95" s="534" t="s">
        <v>1101</v>
      </c>
      <c r="U95" s="470" t="n">
        <f aca="false">IF(D95="","",ROUND(4.184*D95+$S95*$T$9,3))</f>
        <v>-1379.266</v>
      </c>
      <c r="V95" s="470" t="n">
        <f aca="false">IF(E95="","",ROUND(4.184*E95,3))</f>
        <v>-1479.228</v>
      </c>
      <c r="W95" s="470" t="n">
        <f aca="false">IF(F95="","",ROUND(4.184*F95,3))</f>
        <v>148.323</v>
      </c>
      <c r="X95" s="133"/>
      <c r="Y95" s="353" t="s">
        <v>1101</v>
      </c>
      <c r="Z95" s="301" t="s">
        <v>1735</v>
      </c>
      <c r="AA95" s="557" t="s">
        <v>1736</v>
      </c>
      <c r="AB95" s="301" t="s">
        <v>1737</v>
      </c>
      <c r="AC95" s="89"/>
      <c r="AD95" s="353" t="s">
        <v>1101</v>
      </c>
      <c r="AE95" s="301" t="s">
        <v>1738</v>
      </c>
      <c r="AF95" s="557" t="s">
        <v>1739</v>
      </c>
      <c r="AG95" s="301" t="s">
        <v>1740</v>
      </c>
      <c r="AI95" s="354" t="s">
        <v>1101</v>
      </c>
      <c r="AJ95" s="303" t="n">
        <f aca="false">IF(D95="","",ROUND(D95+$S95*$AK$9,3))</f>
        <v>-329.652</v>
      </c>
      <c r="AK95" s="559" t="n">
        <f aca="false">IF(E95="","",ROUND(E95,3))</f>
        <v>-353.544</v>
      </c>
      <c r="AL95" s="303" t="n">
        <f aca="false">IF(F95="","",ROUND(F95,3))</f>
        <v>35.45</v>
      </c>
      <c r="AM95" s="133"/>
      <c r="AN95" s="354" t="s">
        <v>1101</v>
      </c>
      <c r="AO95" s="303" t="n">
        <f aca="false">IF(I95="","",ROUND(I95/4.184,3))</f>
        <v>-329.679</v>
      </c>
      <c r="AP95" s="559" t="n">
        <f aca="false">IF(J95="","",ROUND(J95/4.184,3))</f>
        <v>-353.576</v>
      </c>
      <c r="AQ95" s="303" t="n">
        <f aca="false">IF(K95="","",ROUND(K95/4.184,3))</f>
        <v>35.449</v>
      </c>
      <c r="AR95" s="191"/>
      <c r="AS95" s="354" t="s">
        <v>1101</v>
      </c>
      <c r="AT95" s="493" t="n">
        <f aca="false">IF(N95="","",ROUND(N95/4.184,3))</f>
        <v>-329.613</v>
      </c>
      <c r="AU95" s="495" t="n">
        <f aca="false">IF(O95="","",ROUND(O95/4.184,3))</f>
        <v>-353.298</v>
      </c>
      <c r="AV95" s="493" t="n">
        <f aca="false">IF(P95="","",ROUND(P95/4.184,3))</f>
        <v>36.09</v>
      </c>
    </row>
    <row r="96" customFormat="false" ht="12.75" hidden="false" customHeight="false" outlineLevel="0" collapsed="false">
      <c r="A96" s="10"/>
      <c r="B96" s="353" t="s">
        <v>1107</v>
      </c>
      <c r="C96" s="354" t="s">
        <v>1108</v>
      </c>
      <c r="D96" s="301" t="s">
        <v>1741</v>
      </c>
      <c r="E96" s="557" t="s">
        <v>1742</v>
      </c>
      <c r="F96" s="301" t="s">
        <v>1394</v>
      </c>
      <c r="G96" s="600"/>
      <c r="H96" s="353" t="s">
        <v>1108</v>
      </c>
      <c r="I96" s="301" t="s">
        <v>1743</v>
      </c>
      <c r="J96" s="557" t="s">
        <v>1744</v>
      </c>
      <c r="K96" s="301" t="s">
        <v>1397</v>
      </c>
      <c r="L96" s="89"/>
      <c r="M96" s="353" t="s">
        <v>1108</v>
      </c>
      <c r="N96" s="301" t="s">
        <v>1745</v>
      </c>
      <c r="O96" s="557" t="s">
        <v>1746</v>
      </c>
      <c r="P96" s="301" t="s">
        <v>1747</v>
      </c>
      <c r="S96" s="558" t="n">
        <v>0.5</v>
      </c>
      <c r="T96" s="534" t="s">
        <v>1108</v>
      </c>
      <c r="U96" s="470" t="n">
        <f aca="false">IF(D96="","",ROUND(4.184*D96+$S96*$T$9,3))</f>
        <v>-569.372</v>
      </c>
      <c r="V96" s="470" t="n">
        <f aca="false">IF(E96="","",ROUND(4.184*E96,3))</f>
        <v>-601.659</v>
      </c>
      <c r="W96" s="470" t="n">
        <f aca="false">IF(F96="","",ROUND(4.184*F96,3))</f>
        <v>26.945</v>
      </c>
      <c r="X96" s="133"/>
      <c r="Y96" s="353" t="s">
        <v>1108</v>
      </c>
      <c r="Z96" s="301" t="s">
        <v>1743</v>
      </c>
      <c r="AA96" s="557" t="s">
        <v>1744</v>
      </c>
      <c r="AB96" s="301" t="s">
        <v>1397</v>
      </c>
      <c r="AC96" s="89"/>
      <c r="AD96" s="353" t="s">
        <v>1108</v>
      </c>
      <c r="AE96" s="301" t="s">
        <v>1745</v>
      </c>
      <c r="AF96" s="557" t="s">
        <v>1746</v>
      </c>
      <c r="AG96" s="301" t="s">
        <v>1747</v>
      </c>
      <c r="AI96" s="354" t="s">
        <v>1108</v>
      </c>
      <c r="AJ96" s="303" t="n">
        <f aca="false">IF(D96="","",ROUND(D96+$S96*$AK$9,3))</f>
        <v>-136.083</v>
      </c>
      <c r="AK96" s="559" t="n">
        <f aca="false">IF(E96="","",ROUND(E96,3))</f>
        <v>-143.8</v>
      </c>
      <c r="AL96" s="303" t="n">
        <f aca="false">IF(F96="","",ROUND(F96,3))</f>
        <v>6.44</v>
      </c>
      <c r="AM96" s="133"/>
      <c r="AN96" s="354" t="s">
        <v>1108</v>
      </c>
      <c r="AO96" s="303" t="n">
        <f aca="false">IF(I96="","",ROUND(I96/4.184,3))</f>
        <v>-136.041</v>
      </c>
      <c r="AP96" s="559" t="n">
        <f aca="false">IF(J96="","",ROUND(J96/4.184,3))</f>
        <v>-143.76</v>
      </c>
      <c r="AQ96" s="303" t="n">
        <f aca="false">IF(K96="","",ROUND(K96/4.184,3))</f>
        <v>6.439</v>
      </c>
      <c r="AR96" s="191"/>
      <c r="AS96" s="354" t="s">
        <v>1108</v>
      </c>
      <c r="AT96" s="493" t="n">
        <f aca="false">IF(N96="","",ROUND(N96/4.184,3))</f>
        <v>-136.066</v>
      </c>
      <c r="AU96" s="495" t="n">
        <f aca="false">IF(O96="","",ROUND(O96/4.184,3))</f>
        <v>-143.786</v>
      </c>
      <c r="AV96" s="493" t="n">
        <f aca="false">IF(P96="","",ROUND(P96/4.184,3))</f>
        <v>6.429</v>
      </c>
    </row>
    <row r="97" customFormat="false" ht="12.75" hidden="false" customHeight="false" outlineLevel="0" collapsed="false">
      <c r="A97" s="10"/>
      <c r="B97" s="353" t="s">
        <v>1114</v>
      </c>
      <c r="C97" s="354" t="s">
        <v>1115</v>
      </c>
      <c r="D97" s="301" t="s">
        <v>1748</v>
      </c>
      <c r="E97" s="557" t="s">
        <v>1749</v>
      </c>
      <c r="F97" s="301" t="s">
        <v>1399</v>
      </c>
      <c r="G97" s="600"/>
      <c r="H97" s="353" t="s">
        <v>1115</v>
      </c>
      <c r="I97" s="301" t="s">
        <v>1750</v>
      </c>
      <c r="J97" s="557" t="s">
        <v>1751</v>
      </c>
      <c r="K97" s="301" t="s">
        <v>1118</v>
      </c>
      <c r="L97" s="89"/>
      <c r="M97" s="353" t="s">
        <v>1115</v>
      </c>
      <c r="N97" s="301" t="s">
        <v>1752</v>
      </c>
      <c r="O97" s="557" t="s">
        <v>1753</v>
      </c>
      <c r="P97" s="301" t="s">
        <v>1754</v>
      </c>
      <c r="S97" s="558" t="n">
        <v>2</v>
      </c>
      <c r="T97" s="534" t="s">
        <v>1115</v>
      </c>
      <c r="U97" s="470" t="n">
        <f aca="false">IF(D97="","",ROUND(4.184*D97+$S97*$T$9,3))</f>
        <v>-834.475</v>
      </c>
      <c r="V97" s="470" t="n">
        <f aca="false">IF(E97="","",ROUND(4.184*E97,3))</f>
        <v>-925.501</v>
      </c>
      <c r="W97" s="470" t="n">
        <f aca="false">IF(F97="","",ROUND(4.184*F97,3))</f>
        <v>63.137</v>
      </c>
      <c r="X97" s="133"/>
      <c r="Y97" s="353" t="s">
        <v>1115</v>
      </c>
      <c r="Z97" s="301" t="s">
        <v>1750</v>
      </c>
      <c r="AA97" s="557" t="s">
        <v>1751</v>
      </c>
      <c r="AB97" s="301" t="s">
        <v>1118</v>
      </c>
      <c r="AC97" s="89"/>
      <c r="AD97" s="353" t="s">
        <v>1115</v>
      </c>
      <c r="AE97" s="301" t="s">
        <v>1752</v>
      </c>
      <c r="AF97" s="557" t="s">
        <v>1753</v>
      </c>
      <c r="AG97" s="301" t="s">
        <v>1754</v>
      </c>
      <c r="AI97" s="354" t="s">
        <v>1115</v>
      </c>
      <c r="AJ97" s="303" t="n">
        <f aca="false">IF(D97="","",ROUND(D97+$S97*$AK$9,3))</f>
        <v>-199.444</v>
      </c>
      <c r="AK97" s="559" t="n">
        <f aca="false">IF(E97="","",ROUND(E97,3))</f>
        <v>-221.2</v>
      </c>
      <c r="AL97" s="303" t="n">
        <f aca="false">IF(F97="","",ROUND(F97,3))</f>
        <v>15.09</v>
      </c>
      <c r="AM97" s="133"/>
      <c r="AN97" s="354" t="s">
        <v>1115</v>
      </c>
      <c r="AO97" s="303" t="n">
        <f aca="false">IF(I97="","",ROUND(I97/4.184,3))</f>
        <v>-199.213</v>
      </c>
      <c r="AP97" s="559" t="n">
        <f aca="false">IF(J97="","",ROUND(J97/4.184,3))</f>
        <v>-220.97</v>
      </c>
      <c r="AQ97" s="303" t="n">
        <f aca="false">IF(K97="","",ROUND(K97/4.184,3))</f>
        <v>15.1</v>
      </c>
      <c r="AR97" s="191"/>
      <c r="AS97" s="354" t="s">
        <v>1115</v>
      </c>
      <c r="AT97" s="493" t="n">
        <f aca="false">IF(N97="","",ROUND(N97/4.184,3))</f>
        <v>-199.211</v>
      </c>
      <c r="AU97" s="495" t="n">
        <f aca="false">IF(O97="","",ROUND(O97/4.184,3))</f>
        <v>-220.961</v>
      </c>
      <c r="AV97" s="493" t="n">
        <f aca="false">IF(P97="","",ROUND(P97/4.184,3))</f>
        <v>15.105</v>
      </c>
    </row>
    <row r="98" customFormat="false" ht="12.75" hidden="false" customHeight="false" outlineLevel="0" collapsed="false">
      <c r="A98" s="10"/>
      <c r="B98" s="353" t="s">
        <v>1119</v>
      </c>
      <c r="C98" s="354" t="s">
        <v>1120</v>
      </c>
      <c r="D98" s="301" t="s">
        <v>1755</v>
      </c>
      <c r="E98" s="557" t="s">
        <v>1756</v>
      </c>
      <c r="F98" s="301" t="s">
        <v>1407</v>
      </c>
      <c r="G98" s="600"/>
      <c r="H98" s="353" t="s">
        <v>1120</v>
      </c>
      <c r="I98" s="301" t="s">
        <v>1757</v>
      </c>
      <c r="J98" s="557" t="s">
        <v>1758</v>
      </c>
      <c r="K98" s="301" t="s">
        <v>1759</v>
      </c>
      <c r="L98" s="89"/>
      <c r="M98" s="353" t="s">
        <v>1120</v>
      </c>
      <c r="N98" s="301" t="s">
        <v>1760</v>
      </c>
      <c r="O98" s="557" t="s">
        <v>1761</v>
      </c>
      <c r="P98" s="301" t="s">
        <v>1762</v>
      </c>
      <c r="S98" s="558" t="n">
        <v>1.5</v>
      </c>
      <c r="T98" s="534" t="s">
        <v>1120</v>
      </c>
      <c r="U98" s="470" t="n">
        <f aca="false">IF(D98="","",ROUND(4.184*D98+$S98*$T$9,3))</f>
        <v>-1029.684</v>
      </c>
      <c r="V98" s="470" t="n">
        <f aca="false">IF(E98="","",ROUND(4.184*E98,3))</f>
        <v>-1113.283</v>
      </c>
      <c r="W98" s="470" t="n">
        <f aca="false">IF(F98="","",ROUND(4.184*F98,3))</f>
        <v>65.689</v>
      </c>
      <c r="X98" s="133"/>
      <c r="Y98" s="353" t="s">
        <v>1120</v>
      </c>
      <c r="Z98" s="301" t="s">
        <v>1757</v>
      </c>
      <c r="AA98" s="557" t="s">
        <v>1758</v>
      </c>
      <c r="AB98" s="301" t="s">
        <v>1759</v>
      </c>
      <c r="AC98" s="89"/>
      <c r="AD98" s="353" t="s">
        <v>1120</v>
      </c>
      <c r="AE98" s="301" t="s">
        <v>1760</v>
      </c>
      <c r="AF98" s="557" t="s">
        <v>1761</v>
      </c>
      <c r="AG98" s="301" t="s">
        <v>1762</v>
      </c>
      <c r="AI98" s="354" t="s">
        <v>1120</v>
      </c>
      <c r="AJ98" s="303" t="n">
        <f aca="false">IF(D98="","",ROUND(D98+$S98*$AK$9,3))</f>
        <v>-246.1</v>
      </c>
      <c r="AK98" s="559" t="n">
        <f aca="false">IF(E98="","",ROUND(E98,3))</f>
        <v>-266.081</v>
      </c>
      <c r="AL98" s="303" t="n">
        <f aca="false">IF(F98="","",ROUND(F98,3))</f>
        <v>15.7</v>
      </c>
      <c r="AM98" s="133"/>
      <c r="AN98" s="354" t="s">
        <v>1120</v>
      </c>
      <c r="AO98" s="303" t="n">
        <f aca="false">IF(I98="","",ROUND(I98/4.184,3))</f>
        <v>-246.052</v>
      </c>
      <c r="AP98" s="559" t="n">
        <f aca="false">IF(J98="","",ROUND(J98/4.184,3))</f>
        <v>-266.08</v>
      </c>
      <c r="AQ98" s="303" t="n">
        <f aca="false">IF(K98="","",ROUND(K98/4.184,3))</f>
        <v>15.557</v>
      </c>
      <c r="AR98" s="191"/>
      <c r="AS98" s="354" t="s">
        <v>1120</v>
      </c>
      <c r="AT98" s="493" t="n">
        <f aca="false">IF(N98="","",ROUND(N98/4.184,3))</f>
        <v>-246.056</v>
      </c>
      <c r="AU98" s="495" t="n">
        <f aca="false">IF(O98="","",ROUND(O98/4.184,3))</f>
        <v>-266.085</v>
      </c>
      <c r="AV98" s="493" t="n">
        <f aca="false">IF(P98="","",ROUND(P98/4.184,3))</f>
        <v>15.559</v>
      </c>
    </row>
    <row r="99" customFormat="false" ht="12.75" hidden="false" customHeight="false" outlineLevel="0" collapsed="false">
      <c r="A99" s="10"/>
      <c r="B99" s="353" t="s">
        <v>1121</v>
      </c>
      <c r="C99" s="354" t="s">
        <v>1122</v>
      </c>
      <c r="D99" s="301" t="s">
        <v>1763</v>
      </c>
      <c r="E99" s="557" t="s">
        <v>1764</v>
      </c>
      <c r="F99" s="301" t="s">
        <v>1765</v>
      </c>
      <c r="G99" s="600"/>
      <c r="H99" s="353" t="s">
        <v>1122</v>
      </c>
      <c r="I99" s="301" t="s">
        <v>1766</v>
      </c>
      <c r="J99" s="557" t="s">
        <v>1767</v>
      </c>
      <c r="K99" s="301" t="s">
        <v>1768</v>
      </c>
      <c r="L99" s="89"/>
      <c r="M99" s="353" t="s">
        <v>1122</v>
      </c>
      <c r="N99" s="301" t="s">
        <v>1769</v>
      </c>
      <c r="O99" s="557" t="s">
        <v>1770</v>
      </c>
      <c r="P99" s="301" t="s">
        <v>1771</v>
      </c>
      <c r="S99" s="558" t="n">
        <v>2</v>
      </c>
      <c r="T99" s="534" t="s">
        <v>1122</v>
      </c>
      <c r="U99" s="470" t="n">
        <f aca="false">IF(D99="","",ROUND(4.184*D99+$S99*$T$9,3))</f>
        <v>-2058.203</v>
      </c>
      <c r="V99" s="470" t="n">
        <f aca="false">IF(E99="","",ROUND(4.184*E99,3))</f>
        <v>-2177.228</v>
      </c>
      <c r="W99" s="470" t="n">
        <f aca="false">IF(F99="","",ROUND(4.184*F99,3))</f>
        <v>95.186</v>
      </c>
      <c r="X99" s="133"/>
      <c r="Y99" s="353" t="s">
        <v>1122</v>
      </c>
      <c r="Z99" s="301" t="s">
        <v>1766</v>
      </c>
      <c r="AA99" s="557" t="s">
        <v>1767</v>
      </c>
      <c r="AB99" s="301" t="s">
        <v>1768</v>
      </c>
      <c r="AC99" s="89"/>
      <c r="AD99" s="353" t="s">
        <v>1122</v>
      </c>
      <c r="AE99" s="301" t="s">
        <v>1769</v>
      </c>
      <c r="AF99" s="557" t="s">
        <v>1770</v>
      </c>
      <c r="AG99" s="301" t="s">
        <v>1771</v>
      </c>
      <c r="AI99" s="354" t="s">
        <v>1122</v>
      </c>
      <c r="AJ99" s="303" t="n">
        <f aca="false">IF(D99="","",ROUND(D99+$S99*$AK$9,3))</f>
        <v>-491.922</v>
      </c>
      <c r="AK99" s="559" t="n">
        <f aca="false">IF(E99="","",ROUND(E99,3))</f>
        <v>-520.37</v>
      </c>
      <c r="AL99" s="303" t="n">
        <f aca="false">IF(F99="","",ROUND(F99,3))</f>
        <v>22.75</v>
      </c>
      <c r="AM99" s="133"/>
      <c r="AN99" s="354" t="s">
        <v>1122</v>
      </c>
      <c r="AO99" s="303" t="n">
        <f aca="false">IF(I99="","",ROUND(I99/4.184,3))</f>
        <v>-490.278</v>
      </c>
      <c r="AP99" s="559" t="n">
        <f aca="false">IF(J99="","",ROUND(J99/4.184,3))</f>
        <v>-518.731</v>
      </c>
      <c r="AQ99" s="303" t="n">
        <f aca="false">IF(K99="","",ROUND(K99/4.184,3))</f>
        <v>22.751</v>
      </c>
      <c r="AR99" s="191"/>
      <c r="AS99" s="354" t="s">
        <v>1122</v>
      </c>
      <c r="AT99" s="493" t="n">
        <f aca="false">IF(N99="","",ROUND(N99/4.184,3))</f>
        <v>-490.822</v>
      </c>
      <c r="AU99" s="495" t="n">
        <f aca="false">IF(O99="","",ROUND(O99/4.184,3))</f>
        <v>-519.359</v>
      </c>
      <c r="AV99" s="493" t="n">
        <f aca="false">IF(P99="","",ROUND(P99/4.184,3))</f>
        <v>22.49</v>
      </c>
    </row>
    <row r="100" customFormat="false" ht="12.75" hidden="false" customHeight="false" outlineLevel="0" collapsed="false">
      <c r="A100" s="10"/>
      <c r="B100" s="353" t="s">
        <v>1123</v>
      </c>
      <c r="C100" s="354" t="s">
        <v>1124</v>
      </c>
      <c r="D100" s="301" t="s">
        <v>1772</v>
      </c>
      <c r="E100" s="557" t="s">
        <v>1773</v>
      </c>
      <c r="F100" s="301" t="s">
        <v>500</v>
      </c>
      <c r="G100" s="600"/>
      <c r="H100" s="353" t="s">
        <v>1124</v>
      </c>
      <c r="I100" s="301" t="s">
        <v>1774</v>
      </c>
      <c r="J100" s="557" t="s">
        <v>1775</v>
      </c>
      <c r="K100" s="301" t="s">
        <v>1776</v>
      </c>
      <c r="L100" s="89"/>
      <c r="M100" s="353" t="s">
        <v>1124</v>
      </c>
      <c r="N100" s="301" t="s">
        <v>1777</v>
      </c>
      <c r="O100" s="557" t="s">
        <v>1778</v>
      </c>
      <c r="P100" s="301" t="s">
        <v>1127</v>
      </c>
      <c r="S100" s="558" t="n">
        <v>0.5</v>
      </c>
      <c r="T100" s="534" t="s">
        <v>1124</v>
      </c>
      <c r="U100" s="470" t="n">
        <f aca="false">IF(D100="","",ROUND(4.184*D100+$S100*$T$9,3))</f>
        <v>-603.952</v>
      </c>
      <c r="V100" s="470" t="n">
        <f aca="false">IF(E100="","",ROUND(4.184*E100,3))</f>
        <v>-635.089</v>
      </c>
      <c r="W100" s="470" t="n">
        <f aca="false">IF(F100="","",ROUND(4.184*F100,3))</f>
        <v>39.748</v>
      </c>
      <c r="X100" s="133"/>
      <c r="Y100" s="353" t="s">
        <v>1124</v>
      </c>
      <c r="Z100" s="301" t="s">
        <v>1774</v>
      </c>
      <c r="AA100" s="557" t="s">
        <v>1775</v>
      </c>
      <c r="AB100" s="301" t="s">
        <v>1776</v>
      </c>
      <c r="AC100" s="89"/>
      <c r="AD100" s="353" t="s">
        <v>1124</v>
      </c>
      <c r="AE100" s="301" t="s">
        <v>1777</v>
      </c>
      <c r="AF100" s="557" t="s">
        <v>1778</v>
      </c>
      <c r="AG100" s="301" t="s">
        <v>1127</v>
      </c>
      <c r="AI100" s="354" t="s">
        <v>1124</v>
      </c>
      <c r="AJ100" s="303" t="n">
        <f aca="false">IF(D100="","",ROUND(D100+$S100*$AK$9,3))</f>
        <v>-144.348</v>
      </c>
      <c r="AK100" s="559" t="n">
        <f aca="false">IF(E100="","",ROUND(E100,3))</f>
        <v>-151.79</v>
      </c>
      <c r="AL100" s="303" t="n">
        <f aca="false">IF(F100="","",ROUND(F100,3))</f>
        <v>9.5</v>
      </c>
      <c r="AM100" s="133"/>
      <c r="AN100" s="354" t="s">
        <v>1124</v>
      </c>
      <c r="AO100" s="303" t="n">
        <f aca="false">IF(I100="","",ROUND(I100/4.184,3))</f>
        <v>-144.237</v>
      </c>
      <c r="AP100" s="559" t="n">
        <f aca="false">IF(J100="","",ROUND(J100/4.184,3))</f>
        <v>-151.79</v>
      </c>
      <c r="AQ100" s="303" t="n">
        <f aca="false">IF(K100="","",ROUND(K100/4.184,3))</f>
        <v>9.132</v>
      </c>
      <c r="AR100" s="191"/>
      <c r="AS100" s="354" t="s">
        <v>1124</v>
      </c>
      <c r="AT100" s="493" t="n">
        <f aca="false">IF(N100="","",ROUND(N100/4.184,3))</f>
        <v>-144.144</v>
      </c>
      <c r="AU100" s="495" t="n">
        <f aca="false">IF(O100="","",ROUND(O100/4.184,3))</f>
        <v>-151.793</v>
      </c>
      <c r="AV100" s="493" t="n">
        <f aca="false">IF(P100="","",ROUND(P100/4.184,3))</f>
        <v>9.106</v>
      </c>
    </row>
    <row r="101" customFormat="false" ht="12.75" hidden="false" customHeight="false" outlineLevel="0" collapsed="false">
      <c r="A101" s="10"/>
      <c r="B101" s="353" t="s">
        <v>1134</v>
      </c>
      <c r="C101" s="354" t="s">
        <v>1135</v>
      </c>
      <c r="D101" s="301" t="s">
        <v>1779</v>
      </c>
      <c r="E101" s="557" t="s">
        <v>1780</v>
      </c>
      <c r="F101" s="301" t="s">
        <v>1433</v>
      </c>
      <c r="G101" s="600"/>
      <c r="H101" s="353" t="s">
        <v>1135</v>
      </c>
      <c r="I101" s="301" t="s">
        <v>1781</v>
      </c>
      <c r="J101" s="557" t="s">
        <v>1782</v>
      </c>
      <c r="K101" s="301" t="s">
        <v>1138</v>
      </c>
      <c r="L101" s="89"/>
      <c r="M101" s="353" t="s">
        <v>1135</v>
      </c>
      <c r="N101" s="301" t="s">
        <v>1783</v>
      </c>
      <c r="O101" s="557" t="s">
        <v>1784</v>
      </c>
      <c r="P101" s="301" t="s">
        <v>1785</v>
      </c>
      <c r="S101" s="558" t="n">
        <v>2</v>
      </c>
      <c r="T101" s="534" t="s">
        <v>1135</v>
      </c>
      <c r="U101" s="470" t="n">
        <f aca="false">IF(D101="","",ROUND(4.184*D101+$S101*$T$9,3))</f>
        <v>-898.127</v>
      </c>
      <c r="V101" s="470" t="n">
        <f aca="false">IF(E101="","",ROUND(4.184*E101,3))</f>
        <v>-985.792</v>
      </c>
      <c r="W101" s="470" t="n">
        <f aca="false">IF(F101="","",ROUND(4.184*F101,3))</f>
        <v>83.387</v>
      </c>
      <c r="X101" s="133"/>
      <c r="Y101" s="353" t="s">
        <v>1135</v>
      </c>
      <c r="Z101" s="301" t="s">
        <v>1781</v>
      </c>
      <c r="AA101" s="557" t="s">
        <v>1782</v>
      </c>
      <c r="AB101" s="301" t="s">
        <v>1138</v>
      </c>
      <c r="AC101" s="89"/>
      <c r="AD101" s="353" t="s">
        <v>1135</v>
      </c>
      <c r="AE101" s="301" t="s">
        <v>1783</v>
      </c>
      <c r="AF101" s="557" t="s">
        <v>1784</v>
      </c>
      <c r="AG101" s="301" t="s">
        <v>1785</v>
      </c>
      <c r="AI101" s="354" t="s">
        <v>1135</v>
      </c>
      <c r="AJ101" s="303" t="n">
        <f aca="false">IF(D101="","",ROUND(D101+$S101*$AK$9,3))</f>
        <v>-214.657</v>
      </c>
      <c r="AK101" s="559" t="n">
        <f aca="false">IF(E101="","",ROUND(E101,3))</f>
        <v>-235.61</v>
      </c>
      <c r="AL101" s="303" t="n">
        <f aca="false">IF(F101="","",ROUND(F101,3))</f>
        <v>19.93</v>
      </c>
      <c r="AM101" s="133"/>
      <c r="AN101" s="354" t="s">
        <v>1135</v>
      </c>
      <c r="AO101" s="303" t="n">
        <f aca="false">IF(I101="","",ROUND(I101/4.184,3))</f>
        <v>-214.725</v>
      </c>
      <c r="AP101" s="559" t="n">
        <f aca="false">IF(J101="","",ROUND(J101/4.184,3))</f>
        <v>-235.68</v>
      </c>
      <c r="AQ101" s="303" t="n">
        <f aca="false">IF(K101="","",ROUND(K101/4.184,3))</f>
        <v>19.931</v>
      </c>
      <c r="AR101" s="191"/>
      <c r="AS101" s="354" t="s">
        <v>1135</v>
      </c>
      <c r="AT101" s="493" t="n">
        <f aca="false">IF(N101="","",ROUND(N101/4.184,3))</f>
        <v>-214.627</v>
      </c>
      <c r="AU101" s="495" t="n">
        <f aca="false">IF(O101="","",ROUND(O101/4.184,3))</f>
        <v>-235.684</v>
      </c>
      <c r="AV101" s="493" t="n">
        <f aca="false">IF(P101="","",ROUND(P101/4.184,3))</f>
        <v>19.933</v>
      </c>
    </row>
    <row r="102" customFormat="false" ht="12.75" hidden="false" customHeight="false" outlineLevel="0" collapsed="false">
      <c r="A102" s="10"/>
      <c r="B102" s="353" t="s">
        <v>1139</v>
      </c>
      <c r="C102" s="354" t="s">
        <v>1140</v>
      </c>
      <c r="D102" s="301" t="s">
        <v>1786</v>
      </c>
      <c r="E102" s="557" t="s">
        <v>1787</v>
      </c>
      <c r="F102" s="301" t="s">
        <v>1788</v>
      </c>
      <c r="G102" s="600"/>
      <c r="H102" s="353" t="s">
        <v>1140</v>
      </c>
      <c r="I102" s="301" t="s">
        <v>1789</v>
      </c>
      <c r="J102" s="557" t="s">
        <v>1790</v>
      </c>
      <c r="K102" s="301" t="s">
        <v>1143</v>
      </c>
      <c r="L102" s="89"/>
      <c r="M102" s="353" t="s">
        <v>1140</v>
      </c>
      <c r="N102" s="301" t="s">
        <v>1791</v>
      </c>
      <c r="O102" s="557" t="s">
        <v>1792</v>
      </c>
      <c r="P102" s="301" t="s">
        <v>1793</v>
      </c>
      <c r="S102" s="558" t="n">
        <v>1.5</v>
      </c>
      <c r="T102" s="534" t="s">
        <v>1140</v>
      </c>
      <c r="U102" s="470" t="n">
        <f aca="false">IF(D102="","",ROUND(4.184*D102+$S102*$T$9,3))</f>
        <v>-1129.246</v>
      </c>
      <c r="V102" s="470" t="n">
        <f aca="false">IF(E102="","",ROUND(4.184*E102,3))</f>
        <v>-1207.469</v>
      </c>
      <c r="W102" s="470" t="n">
        <f aca="false">IF(F102="","",ROUND(4.184*F102,3))</f>
        <v>92.676</v>
      </c>
      <c r="X102" s="133"/>
      <c r="Y102" s="353" t="s">
        <v>1140</v>
      </c>
      <c r="Z102" s="301" t="s">
        <v>1789</v>
      </c>
      <c r="AA102" s="557" t="s">
        <v>1790</v>
      </c>
      <c r="AB102" s="301" t="s">
        <v>1143</v>
      </c>
      <c r="AC102" s="89"/>
      <c r="AD102" s="353" t="s">
        <v>1140</v>
      </c>
      <c r="AE102" s="301" t="s">
        <v>1791</v>
      </c>
      <c r="AF102" s="557" t="s">
        <v>1792</v>
      </c>
      <c r="AG102" s="301" t="s">
        <v>1793</v>
      </c>
      <c r="AI102" s="354" t="s">
        <v>1140</v>
      </c>
      <c r="AJ102" s="303" t="n">
        <f aca="false">IF(D102="","",ROUND(D102+$S102*$AK$9,3))</f>
        <v>-269.896</v>
      </c>
      <c r="AK102" s="559" t="n">
        <f aca="false">IF(E102="","",ROUND(E102,3))</f>
        <v>-288.592</v>
      </c>
      <c r="AL102" s="303" t="n">
        <f aca="false">IF(F102="","",ROUND(F102,3))</f>
        <v>22.15</v>
      </c>
      <c r="AM102" s="133"/>
      <c r="AN102" s="354" t="s">
        <v>1140</v>
      </c>
      <c r="AO102" s="303" t="n">
        <f aca="false">IF(I102="","",ROUND(I102/4.184,3))</f>
        <v>-269.8</v>
      </c>
      <c r="AP102" s="559" t="n">
        <f aca="false">IF(J102="","",ROUND(J102/4.184,3))</f>
        <v>-288.568</v>
      </c>
      <c r="AQ102" s="303" t="n">
        <f aca="false">IF(K102="","",ROUND(K102/4.184,3))</f>
        <v>21.919</v>
      </c>
      <c r="AR102" s="191"/>
      <c r="AS102" s="354" t="s">
        <v>1140</v>
      </c>
      <c r="AT102" s="493" t="n">
        <f aca="false">IF(N102="","",ROUND(N102/4.184,3))</f>
        <v>-269.718</v>
      </c>
      <c r="AU102" s="495" t="n">
        <f aca="false">IF(O102="","",ROUND(O102/4.184,3))</f>
        <v>-288.576</v>
      </c>
      <c r="AV102" s="493" t="n">
        <f aca="false">IF(P102="","",ROUND(P102/4.184,3))</f>
        <v>21.033</v>
      </c>
    </row>
    <row r="103" customFormat="false" ht="12.75" hidden="false" customHeight="false" outlineLevel="0" collapsed="false">
      <c r="A103" s="10"/>
      <c r="B103" s="353" t="s">
        <v>1144</v>
      </c>
      <c r="C103" s="354" t="s">
        <v>1145</v>
      </c>
      <c r="D103" s="301" t="s">
        <v>1794</v>
      </c>
      <c r="E103" s="557" t="s">
        <v>1795</v>
      </c>
      <c r="F103" s="301" t="s">
        <v>1796</v>
      </c>
      <c r="G103" s="600"/>
      <c r="H103" s="353" t="s">
        <v>1145</v>
      </c>
      <c r="I103" s="301" t="s">
        <v>1797</v>
      </c>
      <c r="J103" s="557" t="s">
        <v>1798</v>
      </c>
      <c r="K103" s="301" t="s">
        <v>1799</v>
      </c>
      <c r="L103" s="89"/>
      <c r="M103" s="353" t="s">
        <v>1145</v>
      </c>
      <c r="N103" s="301" t="s">
        <v>1800</v>
      </c>
      <c r="O103" s="557" t="s">
        <v>1801</v>
      </c>
      <c r="P103" s="301" t="s">
        <v>1802</v>
      </c>
      <c r="S103" s="558" t="n">
        <v>1.5</v>
      </c>
      <c r="T103" s="534" t="s">
        <v>1145</v>
      </c>
      <c r="U103" s="470" t="n">
        <f aca="false">IF(D103="","",ROUND(4.184*D103+$S103*$T$9,3))</f>
        <v>-1549.341</v>
      </c>
      <c r="V103" s="470" t="n">
        <f aca="false">IF(E103="","",ROUND(4.184*E103,3))</f>
        <v>-1634.438</v>
      </c>
      <c r="W103" s="470" t="n">
        <f aca="false">IF(F103="","",ROUND(4.184*F103,3))</f>
        <v>82.006</v>
      </c>
      <c r="X103" s="133"/>
      <c r="Y103" s="353" t="s">
        <v>1145</v>
      </c>
      <c r="Z103" s="301" t="s">
        <v>1797</v>
      </c>
      <c r="AA103" s="557" t="s">
        <v>1798</v>
      </c>
      <c r="AB103" s="301" t="s">
        <v>1799</v>
      </c>
      <c r="AC103" s="89"/>
      <c r="AD103" s="353" t="s">
        <v>1145</v>
      </c>
      <c r="AE103" s="301" t="s">
        <v>1800</v>
      </c>
      <c r="AF103" s="557" t="s">
        <v>1801</v>
      </c>
      <c r="AG103" s="301" t="s">
        <v>1802</v>
      </c>
      <c r="AI103" s="354" t="s">
        <v>1145</v>
      </c>
      <c r="AJ103" s="303" t="n">
        <f aca="false">IF(D103="","",ROUND(D103+$S103*$AK$9,3))</f>
        <v>-370.301</v>
      </c>
      <c r="AK103" s="559" t="n">
        <f aca="false">IF(E103="","",ROUND(E103,3))</f>
        <v>-390.64</v>
      </c>
      <c r="AL103" s="303" t="n">
        <f aca="false">IF(F103="","",ROUND(F103,3))</f>
        <v>19.6</v>
      </c>
      <c r="AM103" s="133"/>
      <c r="AN103" s="354" t="s">
        <v>1145</v>
      </c>
      <c r="AO103" s="303" t="n">
        <f aca="false">IF(I103="","",ROUND(I103/4.184,3))</f>
        <v>-370.436</v>
      </c>
      <c r="AP103" s="559" t="n">
        <f aca="false">IF(J103="","",ROUND(J103/4.184,3))</f>
        <v>-390.827</v>
      </c>
      <c r="AQ103" s="303" t="n">
        <f aca="false">IF(K103="","",ROUND(K103/4.184,3))</f>
        <v>19.601</v>
      </c>
      <c r="AR103" s="191"/>
      <c r="AS103" s="354" t="s">
        <v>1145</v>
      </c>
      <c r="AT103" s="493" t="n">
        <f aca="false">IF(N103="","",ROUND(N103/4.184,3))</f>
        <v>-370.22</v>
      </c>
      <c r="AU103" s="495" t="n">
        <f aca="false">IF(O103="","",ROUND(O103/4.184,3))</f>
        <v>-390.727</v>
      </c>
      <c r="AV103" s="493" t="n">
        <f aca="false">IF(P103="","",ROUND(P103/4.184,3))</f>
        <v>19.527</v>
      </c>
    </row>
    <row r="104" customFormat="false" ht="12.75" hidden="false" customHeight="false" outlineLevel="0" collapsed="false">
      <c r="A104" s="10"/>
      <c r="B104" s="354" t="s">
        <v>1146</v>
      </c>
      <c r="C104" s="354" t="s">
        <v>1146</v>
      </c>
      <c r="D104" s="301" t="s">
        <v>1803</v>
      </c>
      <c r="E104" s="557" t="s">
        <v>1804</v>
      </c>
      <c r="F104" s="301" t="s">
        <v>1805</v>
      </c>
      <c r="G104" s="600"/>
      <c r="H104" s="354" t="s">
        <v>1146</v>
      </c>
      <c r="I104" s="301" t="s">
        <v>1806</v>
      </c>
      <c r="J104" s="557" t="s">
        <v>1807</v>
      </c>
      <c r="K104" s="301" t="s">
        <v>1808</v>
      </c>
      <c r="L104" s="89"/>
      <c r="M104" s="354" t="s">
        <v>1146</v>
      </c>
      <c r="N104" s="301" t="s">
        <v>1809</v>
      </c>
      <c r="O104" s="557" t="s">
        <v>1810</v>
      </c>
      <c r="P104" s="301" t="s">
        <v>1811</v>
      </c>
      <c r="S104" s="558" t="n">
        <v>0.5</v>
      </c>
      <c r="T104" s="534" t="s">
        <v>1146</v>
      </c>
      <c r="U104" s="470" t="n">
        <f aca="false">IF(D104="","",ROUND(4.184*D104+$S104*$T$9,3))</f>
        <v>-377.217</v>
      </c>
      <c r="V104" s="470" t="n">
        <f aca="false">IF(E104="","",ROUND(4.184*E104,3))</f>
        <v>-415.89</v>
      </c>
      <c r="W104" s="470" t="n">
        <f aca="false">IF(F104="","",ROUND(4.184*F104,3))</f>
        <v>75.27</v>
      </c>
      <c r="X104" s="133"/>
      <c r="Y104" s="354" t="s">
        <v>1146</v>
      </c>
      <c r="Z104" s="301" t="s">
        <v>1806</v>
      </c>
      <c r="AA104" s="557" t="s">
        <v>1807</v>
      </c>
      <c r="AB104" s="301" t="s">
        <v>1808</v>
      </c>
      <c r="AC104" s="89"/>
      <c r="AD104" s="354" t="s">
        <v>1146</v>
      </c>
      <c r="AE104" s="301" t="s">
        <v>1809</v>
      </c>
      <c r="AF104" s="557" t="s">
        <v>1810</v>
      </c>
      <c r="AG104" s="301" t="s">
        <v>1811</v>
      </c>
      <c r="AI104" s="354" t="s">
        <v>1146</v>
      </c>
      <c r="AJ104" s="303" t="n">
        <f aca="false">IF(D104="","",ROUND(D104+$S104*$AK$9,3))</f>
        <v>-90.157</v>
      </c>
      <c r="AK104" s="559" t="n">
        <f aca="false">IF(E104="","",ROUND(E104,3))</f>
        <v>-99.4</v>
      </c>
      <c r="AL104" s="303" t="n">
        <f aca="false">IF(F104="","",ROUND(F104,3))</f>
        <v>17.99</v>
      </c>
      <c r="AM104" s="133"/>
      <c r="AN104" s="354" t="s">
        <v>1146</v>
      </c>
      <c r="AO104" s="303" t="n">
        <f aca="false">IF(I104="","",ROUND(I104/4.184,3))</f>
        <v>-89.887</v>
      </c>
      <c r="AP104" s="559" t="n">
        <f aca="false">IF(J104="","",ROUND(J104/4.184,3))</f>
        <v>-99.144</v>
      </c>
      <c r="AQ104" s="303" t="n">
        <f aca="false">IF(K104="","",ROUND(K104/4.184,3))</f>
        <v>17.99</v>
      </c>
      <c r="AR104" s="191"/>
      <c r="AS104" s="354" t="s">
        <v>1146</v>
      </c>
      <c r="AT104" s="493" t="n">
        <f aca="false">IF(N104="","",ROUND(N104/4.184,3))</f>
        <v>-89.866</v>
      </c>
      <c r="AU104" s="495" t="n">
        <f aca="false">IF(O104="","",ROUND(O104/4.184,3))</f>
        <v>-99.14</v>
      </c>
      <c r="AV104" s="493" t="n">
        <f aca="false">IF(P104="","",ROUND(P104/4.184,3))</f>
        <v>17.997</v>
      </c>
    </row>
    <row r="105" customFormat="false" ht="12.75" hidden="false" customHeight="false" outlineLevel="0" collapsed="false">
      <c r="A105" s="10"/>
      <c r="B105" s="353" t="s">
        <v>1147</v>
      </c>
      <c r="C105" s="354" t="s">
        <v>1148</v>
      </c>
      <c r="D105" s="301" t="s">
        <v>1812</v>
      </c>
      <c r="E105" s="557" t="s">
        <v>1813</v>
      </c>
      <c r="F105" s="301" t="s">
        <v>1460</v>
      </c>
      <c r="G105" s="600"/>
      <c r="H105" s="353" t="s">
        <v>1148</v>
      </c>
      <c r="I105" s="301" t="s">
        <v>1814</v>
      </c>
      <c r="J105" s="557" t="s">
        <v>1152</v>
      </c>
      <c r="K105" s="301" t="s">
        <v>1815</v>
      </c>
      <c r="L105" s="89"/>
      <c r="M105" s="353" t="s">
        <v>1148</v>
      </c>
      <c r="N105" s="301" t="s">
        <v>1816</v>
      </c>
      <c r="O105" s="557" t="s">
        <v>1817</v>
      </c>
      <c r="P105" s="301" t="s">
        <v>1818</v>
      </c>
      <c r="R105" s="10"/>
      <c r="S105" s="558" t="n">
        <v>0.5</v>
      </c>
      <c r="T105" s="534" t="s">
        <v>1148</v>
      </c>
      <c r="U105" s="470" t="n">
        <f aca="false">IF(D105="","",ROUND(4.184*D105+$S105*$T$9,3))</f>
        <v>-384.104</v>
      </c>
      <c r="V105" s="470" t="n">
        <f aca="false">IF(E105="","",ROUND(4.184*E105,3))</f>
        <v>-411.12</v>
      </c>
      <c r="W105" s="470" t="n">
        <f aca="false">IF(F105="","",ROUND(4.184*F105,3))</f>
        <v>72.132</v>
      </c>
      <c r="X105" s="133"/>
      <c r="Y105" s="353" t="s">
        <v>1148</v>
      </c>
      <c r="Z105" s="301" t="s">
        <v>1814</v>
      </c>
      <c r="AA105" s="557" t="s">
        <v>1152</v>
      </c>
      <c r="AB105" s="301" t="s">
        <v>1815</v>
      </c>
      <c r="AC105" s="89"/>
      <c r="AD105" s="353" t="s">
        <v>1148</v>
      </c>
      <c r="AE105" s="301" t="s">
        <v>1816</v>
      </c>
      <c r="AF105" s="557" t="s">
        <v>1817</v>
      </c>
      <c r="AG105" s="301" t="s">
        <v>1818</v>
      </c>
      <c r="AI105" s="354" t="s">
        <v>1148</v>
      </c>
      <c r="AJ105" s="303" t="n">
        <f aca="false">IF(D105="","",ROUND(D105+$S105*$AK$9,3))</f>
        <v>-91.803</v>
      </c>
      <c r="AK105" s="559" t="n">
        <f aca="false">IF(E105="","",ROUND(E105,3))</f>
        <v>-98.26</v>
      </c>
      <c r="AL105" s="303" t="n">
        <f aca="false">IF(F105="","",ROUND(F105,3))</f>
        <v>17.24</v>
      </c>
      <c r="AM105" s="133"/>
      <c r="AN105" s="354" t="s">
        <v>1148</v>
      </c>
      <c r="AO105" s="303" t="n">
        <f aca="false">IF(I105="","",ROUND(I105/4.184,3))</f>
        <v>-91.829</v>
      </c>
      <c r="AP105" s="559" t="n">
        <f aca="false">IF(J105="","",ROUND(J105/4.184,3))</f>
        <v>-98.293</v>
      </c>
      <c r="AQ105" s="303" t="n">
        <f aca="false">IF(K105="","",ROUND(K105/4.184,3))</f>
        <v>17.237</v>
      </c>
      <c r="AR105" s="191"/>
      <c r="AS105" s="354" t="s">
        <v>1148</v>
      </c>
      <c r="AT105" s="493" t="n">
        <f aca="false">IF(N105="","",ROUND(N105/4.184,3))</f>
        <v>-91.826</v>
      </c>
      <c r="AU105" s="495" t="n">
        <f aca="false">IF(O105="","",ROUND(O105/4.184,3))</f>
        <v>-98.303</v>
      </c>
      <c r="AV105" s="493" t="n">
        <f aca="false">IF(P105="","",ROUND(P105/4.184,3))</f>
        <v>17.232</v>
      </c>
    </row>
    <row r="106" customFormat="false" ht="13.5" hidden="false" customHeight="false" outlineLevel="0" collapsed="false">
      <c r="A106" s="10"/>
      <c r="B106" s="354" t="s">
        <v>1154</v>
      </c>
      <c r="C106" s="354" t="s">
        <v>1154</v>
      </c>
      <c r="D106" s="301" t="s">
        <v>1819</v>
      </c>
      <c r="E106" s="557" t="s">
        <v>1820</v>
      </c>
      <c r="F106" s="301" t="s">
        <v>1821</v>
      </c>
      <c r="G106" s="600"/>
      <c r="H106" s="354" t="s">
        <v>1154</v>
      </c>
      <c r="I106" s="301" t="s">
        <v>1822</v>
      </c>
      <c r="J106" s="557" t="s">
        <v>1823</v>
      </c>
      <c r="K106" s="307" t="s">
        <v>1824</v>
      </c>
      <c r="L106" s="89"/>
      <c r="M106" s="354" t="s">
        <v>1154</v>
      </c>
      <c r="N106" s="301" t="s">
        <v>1825</v>
      </c>
      <c r="O106" s="557" t="s">
        <v>1826</v>
      </c>
      <c r="P106" s="301" t="s">
        <v>1771</v>
      </c>
      <c r="S106" s="558" t="n">
        <v>0.5</v>
      </c>
      <c r="T106" s="534" t="s">
        <v>1154</v>
      </c>
      <c r="U106" s="470" t="n">
        <f aca="false">IF(D106="","",ROUND(4.184*D106+$S106*$T$9,3))</f>
        <v>-322.043</v>
      </c>
      <c r="V106" s="470" t="n">
        <f aca="false">IF(E106="","",ROUND(4.184*E106,3))</f>
        <v>-363.171</v>
      </c>
      <c r="W106" s="470" t="n">
        <f aca="false">IF(F106="","",ROUND(4.184*F106,3))</f>
        <v>94.14</v>
      </c>
      <c r="X106" s="133"/>
      <c r="Y106" s="354" t="s">
        <v>1154</v>
      </c>
      <c r="Z106" s="301" t="s">
        <v>1822</v>
      </c>
      <c r="AA106" s="557" t="s">
        <v>1823</v>
      </c>
      <c r="AB106" s="301" t="s">
        <v>1824</v>
      </c>
      <c r="AC106" s="89"/>
      <c r="AD106" s="354" t="s">
        <v>1154</v>
      </c>
      <c r="AE106" s="301" t="s">
        <v>1825</v>
      </c>
      <c r="AF106" s="557" t="s">
        <v>1826</v>
      </c>
      <c r="AG106" s="301" t="s">
        <v>1771</v>
      </c>
      <c r="AI106" s="354" t="s">
        <v>1154</v>
      </c>
      <c r="AJ106" s="294" t="n">
        <f aca="false">IF(D106="","",ROUND(D106+$S106*$AK$9,3))</f>
        <v>-76.97</v>
      </c>
      <c r="AK106" s="559" t="n">
        <f aca="false">IF(E106="","",ROUND(E106,3))</f>
        <v>-86.8</v>
      </c>
      <c r="AL106" s="294" t="n">
        <f aca="false">IF(F106="","",ROUND(F106,3))</f>
        <v>22.5</v>
      </c>
      <c r="AM106" s="133"/>
      <c r="AN106" s="354" t="s">
        <v>1154</v>
      </c>
      <c r="AO106" s="303" t="n">
        <f aca="false">IF(I106="","",ROUND(I106/4.184,3))</f>
        <v>-76.981</v>
      </c>
      <c r="AP106" s="559" t="n">
        <f aca="false">IF(J106="","",ROUND(J106/4.184,3))</f>
        <v>-86.8</v>
      </c>
      <c r="AQ106" s="303" t="n">
        <f aca="false">IF(K106="","",ROUND(K106/4.184,3))</f>
        <v>22.5</v>
      </c>
      <c r="AR106" s="191"/>
      <c r="AS106" s="354" t="s">
        <v>1154</v>
      </c>
      <c r="AT106" s="493" t="n">
        <f aca="false">IF(N106="","",ROUND(N106/4.184,3))</f>
        <v>-76.984</v>
      </c>
      <c r="AU106" s="495" t="n">
        <f aca="false">IF(O106="","",ROUND(O106/4.184,3))</f>
        <v>-86.807</v>
      </c>
      <c r="AV106" s="493" t="n">
        <f aca="false">IF(P106="","",ROUND(P106/4.184,3))</f>
        <v>22.49</v>
      </c>
    </row>
    <row r="107" customFormat="false" ht="13.5" hidden="false" customHeight="false" outlineLevel="0" collapsed="false">
      <c r="A107" s="10"/>
      <c r="B107" s="374" t="s">
        <v>1155</v>
      </c>
      <c r="C107" s="375" t="s">
        <v>1156</v>
      </c>
      <c r="D107" s="307" t="s">
        <v>1827</v>
      </c>
      <c r="E107" s="564" t="s">
        <v>1828</v>
      </c>
      <c r="F107" s="307" t="s">
        <v>1829</v>
      </c>
      <c r="G107" s="600"/>
      <c r="H107" s="374" t="s">
        <v>1156</v>
      </c>
      <c r="I107" s="307" t="s">
        <v>1830</v>
      </c>
      <c r="J107" s="601" t="s">
        <v>1831</v>
      </c>
      <c r="K107" s="602" t="s">
        <v>1473</v>
      </c>
      <c r="L107" s="89"/>
      <c r="M107" s="374" t="s">
        <v>1156</v>
      </c>
      <c r="N107" s="307" t="s">
        <v>1832</v>
      </c>
      <c r="O107" s="564" t="s">
        <v>1833</v>
      </c>
      <c r="P107" s="307" t="s">
        <v>1834</v>
      </c>
      <c r="Q107" s="45"/>
      <c r="S107" s="565" t="n">
        <v>0.5</v>
      </c>
      <c r="T107" s="538" t="s">
        <v>1156</v>
      </c>
      <c r="U107" s="500" t="n">
        <f aca="false">IF(D107="","",ROUND(4.184*D107+$S107*$T$9,3))</f>
        <v>-408.731</v>
      </c>
      <c r="V107" s="500" t="n">
        <f aca="false">IF(E107="","",ROUND(4.184*E107,3))</f>
        <v>-436.684</v>
      </c>
      <c r="W107" s="500" t="n">
        <f aca="false">IF(F107="","",ROUND(4.184*F107,3))</f>
        <v>82.55</v>
      </c>
      <c r="X107" s="10"/>
      <c r="Y107" s="374" t="s">
        <v>1156</v>
      </c>
      <c r="Z107" s="307" t="s">
        <v>1830</v>
      </c>
      <c r="AA107" s="564" t="s">
        <v>1831</v>
      </c>
      <c r="AB107" s="307" t="s">
        <v>1473</v>
      </c>
      <c r="AC107" s="89"/>
      <c r="AD107" s="374" t="s">
        <v>1156</v>
      </c>
      <c r="AE107" s="307" t="s">
        <v>1832</v>
      </c>
      <c r="AF107" s="564" t="s">
        <v>1833</v>
      </c>
      <c r="AG107" s="307" t="s">
        <v>1834</v>
      </c>
      <c r="AI107" s="375" t="s">
        <v>1156</v>
      </c>
      <c r="AJ107" s="309" t="n">
        <f aca="false">IF(D107="","",ROUND(D107+$S107*$AK$9,3))</f>
        <v>-97.689</v>
      </c>
      <c r="AK107" s="566" t="n">
        <f aca="false">IF(E107="","",ROUND(E107,3))</f>
        <v>-104.37</v>
      </c>
      <c r="AL107" s="309" t="n">
        <f aca="false">IF(F107="","",ROUND(F107,3))</f>
        <v>19.73</v>
      </c>
      <c r="AM107" s="10"/>
      <c r="AN107" s="375" t="s">
        <v>1156</v>
      </c>
      <c r="AO107" s="309" t="n">
        <f aca="false">IF(I107="","",ROUND(I107/4.184,3))</f>
        <v>-97.647</v>
      </c>
      <c r="AP107" s="566" t="n">
        <f aca="false">IF(J107="","",ROUND(J107/4.184,3))</f>
        <v>-104.319</v>
      </c>
      <c r="AQ107" s="309" t="n">
        <f aca="false">IF(K107="","",ROUND(K107/4.184,3))</f>
        <v>19.739</v>
      </c>
      <c r="AR107" s="45"/>
      <c r="AS107" s="375" t="s">
        <v>1156</v>
      </c>
      <c r="AT107" s="502" t="n">
        <f aca="false">IF(N107="","",ROUND(N107/4.184,3))</f>
        <v>-97.658</v>
      </c>
      <c r="AU107" s="503" t="n">
        <f aca="false">IF(O107="","",ROUND(O107/4.184,3))</f>
        <v>-104.326</v>
      </c>
      <c r="AV107" s="502" t="n">
        <f aca="false">IF(P107="","",ROUND(P107/4.184,3))</f>
        <v>19.742</v>
      </c>
    </row>
    <row r="108" customFormat="false" ht="12.75" hidden="false" customHeight="false" outlineLevel="0" collapsed="false">
      <c r="B108" s="10"/>
      <c r="C108" s="10"/>
      <c r="D108" s="603"/>
      <c r="E108" s="603"/>
      <c r="F108" s="603"/>
      <c r="G108" s="191"/>
      <c r="H108" s="10"/>
      <c r="I108" s="603"/>
      <c r="J108" s="603"/>
      <c r="K108" s="603"/>
      <c r="L108" s="10"/>
      <c r="M108" s="10"/>
      <c r="Q108" s="45"/>
    </row>
    <row r="109" s="44" customFormat="true" ht="12.75" hidden="false" customHeight="false" outlineLevel="0" collapsed="false">
      <c r="B109" s="112"/>
      <c r="C109" s="388" t="s">
        <v>1835</v>
      </c>
      <c r="D109" s="604" t="n">
        <v>-649.968</v>
      </c>
      <c r="E109" s="517" t="s">
        <v>1680</v>
      </c>
      <c r="F109" s="517" t="s">
        <v>1331</v>
      </c>
      <c r="H109" s="388" t="s">
        <v>1835</v>
      </c>
      <c r="I109" s="388" t="s">
        <v>1836</v>
      </c>
      <c r="J109" s="388" t="s">
        <v>1837</v>
      </c>
      <c r="K109" s="388" t="s">
        <v>1838</v>
      </c>
      <c r="M109" s="388" t="s">
        <v>1835</v>
      </c>
      <c r="N109" s="517" t="s">
        <v>1839</v>
      </c>
      <c r="O109" s="517" t="s">
        <v>1840</v>
      </c>
      <c r="P109" s="517" t="s">
        <v>1841</v>
      </c>
      <c r="T109" s="10" t="s">
        <v>1842</v>
      </c>
      <c r="Y109" s="10" t="s">
        <v>1842</v>
      </c>
    </row>
    <row r="110" customFormat="false" ht="12.75" hidden="false" customHeight="false" outlineLevel="0" collapsed="false">
      <c r="C110" s="605" t="s">
        <v>1843</v>
      </c>
      <c r="D110" s="606"/>
      <c r="E110" s="606"/>
      <c r="F110" s="606"/>
      <c r="H110" s="388" t="s">
        <v>1041</v>
      </c>
      <c r="I110" s="607" t="n">
        <f aca="false">ROUND(2*I109,3)</f>
        <v>-2675.794</v>
      </c>
      <c r="J110" s="607" t="n">
        <f aca="false">ROUND(2*J109,3)</f>
        <v>-2940</v>
      </c>
      <c r="K110" s="607" t="n">
        <f aca="false">ROUND(2*K109,3)</f>
        <v>231</v>
      </c>
      <c r="M110" s="388" t="s">
        <v>1041</v>
      </c>
      <c r="N110" s="608" t="n">
        <f aca="false">ROUND(2*N109,3)</f>
        <v>-2723.2</v>
      </c>
      <c r="O110" s="608" t="n">
        <f aca="false">ROUND(2*O109,3)</f>
        <v>-3009.8</v>
      </c>
      <c r="P110" s="608" t="n">
        <f aca="false">ROUND(2*P109,3)</f>
        <v>228.8</v>
      </c>
      <c r="T110" s="609" t="s">
        <v>188</v>
      </c>
      <c r="U110" s="610" t="s">
        <v>1844</v>
      </c>
      <c r="V110" s="610" t="s">
        <v>1845</v>
      </c>
      <c r="W110" s="388" t="s">
        <v>1846</v>
      </c>
      <c r="Y110" s="609" t="s">
        <v>188</v>
      </c>
      <c r="Z110" s="610" t="s">
        <v>1844</v>
      </c>
      <c r="AA110" s="610" t="s">
        <v>1845</v>
      </c>
      <c r="AB110" s="388" t="s">
        <v>1846</v>
      </c>
    </row>
    <row r="111" s="44" customFormat="true" ht="12.75" hidden="false" customHeight="false" outlineLevel="0" collapsed="false">
      <c r="C111" s="605" t="s">
        <v>1847</v>
      </c>
      <c r="D111" s="606"/>
      <c r="E111" s="606"/>
      <c r="F111" s="606"/>
      <c r="H111" s="605" t="s">
        <v>1848</v>
      </c>
      <c r="I111" s="611"/>
      <c r="M111" s="84" t="s">
        <v>1849</v>
      </c>
      <c r="S111" s="10"/>
    </row>
    <row r="112" s="44" customFormat="true" ht="12.75" hidden="false" customHeight="false" outlineLevel="0" collapsed="false">
      <c r="C112" s="45" t="s">
        <v>1850</v>
      </c>
      <c r="D112" s="606"/>
      <c r="E112" s="606"/>
      <c r="F112" s="606"/>
      <c r="H112" s="10" t="s">
        <v>1851</v>
      </c>
      <c r="M112" s="84" t="s">
        <v>1852</v>
      </c>
      <c r="T112" s="10" t="s">
        <v>1853</v>
      </c>
      <c r="Y112" s="10" t="s">
        <v>1853</v>
      </c>
    </row>
    <row r="113" customFormat="false" ht="12.75" hidden="false" customHeight="false" outlineLevel="0" collapsed="false">
      <c r="C113" s="273" t="s">
        <v>1854</v>
      </c>
      <c r="D113" s="133"/>
      <c r="H113" s="10" t="s">
        <v>1855</v>
      </c>
      <c r="I113" s="133"/>
      <c r="T113" s="516" t="s">
        <v>1041</v>
      </c>
      <c r="U113" s="612" t="n">
        <f aca="false">ROUND(U85+4*U110,3)</f>
        <v>-2767.407</v>
      </c>
      <c r="V113" s="612" t="n">
        <f aca="false">ROUND(V85+4*V110,3)</f>
        <v>-3053.869</v>
      </c>
      <c r="W113" s="612" t="n">
        <f aca="false">W85</f>
        <v>228.865</v>
      </c>
      <c r="Y113" s="516" t="s">
        <v>1041</v>
      </c>
      <c r="Z113" s="612" t="n">
        <f aca="false">ROUND(Z85+4*Z110,3)</f>
        <v>-2723.898</v>
      </c>
      <c r="AA113" s="612" t="n">
        <f aca="false">ROUND(AA85+4*AA110,3)</f>
        <v>-3009.84</v>
      </c>
      <c r="AB113" s="612" t="str">
        <f aca="false">AB85</f>
        <v>231.000</v>
      </c>
    </row>
    <row r="114" customFormat="false" ht="12.75" hidden="false" customHeight="false" outlineLevel="0" collapsed="false">
      <c r="C114" s="273"/>
      <c r="D114" s="133"/>
      <c r="H114" s="10"/>
      <c r="I114" s="133"/>
      <c r="T114" s="112" t="s">
        <v>1856</v>
      </c>
      <c r="U114" s="90"/>
      <c r="V114" s="90"/>
      <c r="W114" s="90"/>
      <c r="Y114" s="112" t="s">
        <v>1857</v>
      </c>
      <c r="Z114" s="90"/>
      <c r="AA114" s="90"/>
      <c r="AB114" s="90"/>
    </row>
    <row r="115" s="44" customFormat="true" ht="12.75" hidden="false" customHeight="false" outlineLevel="0" collapsed="false">
      <c r="M115" s="45"/>
      <c r="T115" s="273" t="s">
        <v>1858</v>
      </c>
    </row>
    <row r="116" s="44" customFormat="true" ht="12.75" hidden="false" customHeight="false" outlineLevel="0" collapsed="false">
      <c r="B116" s="378"/>
      <c r="C116" s="10" t="s">
        <v>1480</v>
      </c>
      <c r="M116" s="45"/>
    </row>
    <row r="117" s="44" customFormat="true" ht="12.75" hidden="false" customHeight="false" outlineLevel="0" collapsed="false">
      <c r="B117" s="379"/>
      <c r="C117" s="112" t="s">
        <v>1483</v>
      </c>
      <c r="M117" s="45"/>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sheetPr filterMode="false">
    <pageSetUpPr fitToPage="false"/>
  </sheetPr>
  <dimension ref="A1:AV1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9" activeCellId="2" sqref="B16:B122 E16:F122 B9"/>
    </sheetView>
  </sheetViews>
  <sheetFormatPr defaultRowHeight="12.75" zeroHeight="false" outlineLevelRow="0" outlineLevelCol="0"/>
  <cols>
    <col collapsed="false" customWidth="true" hidden="false" outlineLevel="0" max="6" min="1" style="0" width="10.71"/>
    <col collapsed="false" customWidth="true" hidden="false" outlineLevel="0" max="16" min="7" style="44" width="10.71"/>
    <col collapsed="false" customWidth="true" hidden="false" outlineLevel="0" max="1025" min="17" style="0" width="10.71"/>
  </cols>
  <sheetData>
    <row r="1" customFormat="false" ht="12.75" hidden="false" customHeight="false" outlineLevel="0" collapsed="false">
      <c r="A1" s="9" t="str">
        <f aca="true">MID(CELL("filename",$A$1),   FIND("\[",CELL("filename",$A$1))+2,   FIND("]",CELL("filename",$A$1),FIND("\[",CELL("filename",$A$1))+2)-FIND("\[",CELL("filename",$A$1))-2)</f>
        <v>TDProperties_Rev0_v69.xlsx</v>
      </c>
    </row>
    <row r="2" customFormat="false" ht="12.75" hidden="false" customHeight="false" outlineLevel="0" collapsed="false">
      <c r="A2" s="0" t="str">
        <f aca="true">MID(CELL("filename",A1),FIND("]",CELL("filename",A1))+1,256)</f>
        <v>AGS Species JANAF</v>
      </c>
    </row>
    <row r="3" customFormat="false" ht="12.75" hidden="false" customHeight="false" outlineLevel="0" collapsed="false">
      <c r="A3" s="44"/>
    </row>
    <row r="4" customFormat="false" ht="12.75" hidden="false" customHeight="false" outlineLevel="0" collapsed="false">
      <c r="A4" s="281" t="s">
        <v>1859</v>
      </c>
    </row>
    <row r="5" customFormat="false" ht="12.75" hidden="false" customHeight="false" outlineLevel="0" collapsed="false">
      <c r="A5" s="10" t="s">
        <v>150</v>
      </c>
    </row>
    <row r="6" customFormat="false" ht="12.75" hidden="false" customHeight="false" outlineLevel="0" collapsed="false">
      <c r="A6" s="10" t="s">
        <v>775</v>
      </c>
    </row>
    <row r="7" customFormat="false" ht="12.75" hidden="false" customHeight="false" outlineLevel="0" collapsed="false">
      <c r="A7" s="10" t="s">
        <v>1198</v>
      </c>
    </row>
    <row r="8" customFormat="false" ht="14.25" hidden="false" customHeight="false" outlineLevel="0" collapsed="false">
      <c r="A8" s="281"/>
      <c r="R8" s="10" t="s">
        <v>1199</v>
      </c>
      <c r="T8" s="458" t="n">
        <v>0.1094</v>
      </c>
      <c r="U8" s="280" t="s">
        <v>1200</v>
      </c>
      <c r="AI8" s="280" t="s">
        <v>1199</v>
      </c>
      <c r="AJ8" s="71"/>
      <c r="AK8" s="459" t="n">
        <f aca="false">T8/4.184</f>
        <v>0.0261472275334608</v>
      </c>
      <c r="AL8" s="280" t="s">
        <v>1201</v>
      </c>
      <c r="AM8" s="71"/>
      <c r="AN8" s="71"/>
    </row>
    <row r="9" customFormat="false" ht="14.25" hidden="false" customHeight="false" outlineLevel="0" collapsed="false">
      <c r="C9" s="45"/>
      <c r="M9" s="45" t="s">
        <v>1860</v>
      </c>
      <c r="R9" s="10" t="s">
        <v>1203</v>
      </c>
      <c r="T9" s="460" t="n">
        <f aca="false">(298.15/1000)*T8</f>
        <v>0.03261761</v>
      </c>
      <c r="U9" s="280" t="s">
        <v>1204</v>
      </c>
      <c r="AI9" s="280" t="s">
        <v>1203</v>
      </c>
      <c r="AJ9" s="71"/>
      <c r="AK9" s="459" t="n">
        <f aca="false">T9/4.184</f>
        <v>0.00779579588910134</v>
      </c>
      <c r="AL9" s="280" t="s">
        <v>1205</v>
      </c>
      <c r="AM9" s="71"/>
      <c r="AN9" s="71"/>
    </row>
    <row r="10" customFormat="false" ht="14.25" hidden="false" customHeight="false" outlineLevel="0" collapsed="false">
      <c r="C10" s="45"/>
      <c r="M10" s="45" t="s">
        <v>1861</v>
      </c>
      <c r="R10" s="10" t="s">
        <v>1207</v>
      </c>
      <c r="T10" s="460" t="n">
        <f aca="false">-T9/2</f>
        <v>-0.016308805</v>
      </c>
      <c r="U10" s="280" t="s">
        <v>1208</v>
      </c>
      <c r="AI10" s="280" t="s">
        <v>1207</v>
      </c>
      <c r="AJ10" s="71"/>
      <c r="AK10" s="459" t="n">
        <f aca="false">T10/4.184</f>
        <v>-0.00389789794455067</v>
      </c>
      <c r="AL10" s="280" t="s">
        <v>1209</v>
      </c>
      <c r="AM10" s="71"/>
      <c r="AN10" s="71"/>
    </row>
    <row r="11" customFormat="false" ht="12.75" hidden="false" customHeight="false" outlineLevel="0" collapsed="false">
      <c r="C11" s="10"/>
    </row>
    <row r="12" customFormat="false" ht="12.75" hidden="false" customHeight="false" outlineLevel="0" collapsed="false">
      <c r="C12" s="10"/>
      <c r="H12" s="45"/>
    </row>
    <row r="13" customFormat="false" ht="12.75" hidden="false" customHeight="false" outlineLevel="0" collapsed="false">
      <c r="C13" s="9" t="s">
        <v>152</v>
      </c>
      <c r="H13" s="9" t="s">
        <v>152</v>
      </c>
      <c r="M13" s="9" t="s">
        <v>152</v>
      </c>
      <c r="T13" s="9" t="s">
        <v>712</v>
      </c>
      <c r="X13" s="44"/>
      <c r="Y13" s="9" t="s">
        <v>152</v>
      </c>
      <c r="Z13" s="44"/>
      <c r="AA13" s="44"/>
      <c r="AB13" s="44"/>
      <c r="AC13" s="44"/>
      <c r="AD13" s="9" t="s">
        <v>152</v>
      </c>
      <c r="AE13" s="44"/>
      <c r="AF13" s="44"/>
      <c r="AG13" s="44"/>
      <c r="AI13" s="9" t="s">
        <v>712</v>
      </c>
      <c r="AM13" s="44"/>
      <c r="AN13" s="9" t="s">
        <v>712</v>
      </c>
      <c r="AO13" s="44"/>
      <c r="AP13" s="44"/>
      <c r="AQ13" s="44"/>
      <c r="AR13" s="44"/>
      <c r="AS13" s="9" t="s">
        <v>712</v>
      </c>
      <c r="AT13" s="44"/>
      <c r="AU13" s="44"/>
      <c r="AV13" s="44"/>
    </row>
    <row r="14" customFormat="false" ht="12.75" hidden="false" customHeight="false" outlineLevel="0" collapsed="false">
      <c r="C14" s="9" t="s">
        <v>159</v>
      </c>
      <c r="H14" s="9" t="s">
        <v>157</v>
      </c>
      <c r="M14" s="9" t="s">
        <v>157</v>
      </c>
      <c r="T14" s="9" t="s">
        <v>157</v>
      </c>
      <c r="X14" s="44"/>
      <c r="Y14" s="9" t="s">
        <v>157</v>
      </c>
      <c r="Z14" s="44"/>
      <c r="AA14" s="44"/>
      <c r="AB14" s="44"/>
      <c r="AC14" s="44"/>
      <c r="AD14" s="9" t="s">
        <v>157</v>
      </c>
      <c r="AE14" s="44"/>
      <c r="AF14" s="44"/>
      <c r="AG14" s="44"/>
      <c r="AI14" s="9" t="s">
        <v>158</v>
      </c>
      <c r="AM14" s="44"/>
      <c r="AN14" s="9" t="s">
        <v>158</v>
      </c>
      <c r="AO14" s="44"/>
      <c r="AP14" s="44"/>
      <c r="AQ14" s="44"/>
      <c r="AR14" s="44"/>
      <c r="AS14" s="9" t="s">
        <v>158</v>
      </c>
      <c r="AT14" s="44"/>
      <c r="AU14" s="44"/>
      <c r="AV14" s="44"/>
    </row>
    <row r="15" customFormat="false" ht="13.5" hidden="false" customHeight="false" outlineLevel="0" collapsed="false">
      <c r="X15" s="44"/>
      <c r="Y15" s="44"/>
      <c r="Z15" s="44"/>
      <c r="AA15" s="44"/>
      <c r="AB15" s="44"/>
      <c r="AC15" s="44"/>
      <c r="AD15" s="44"/>
      <c r="AE15" s="44"/>
      <c r="AF15" s="44"/>
      <c r="AG15" s="44"/>
      <c r="AM15" s="44"/>
      <c r="AN15" s="44"/>
      <c r="AO15" s="44"/>
      <c r="AP15" s="44"/>
      <c r="AQ15" s="44"/>
      <c r="AR15" s="44"/>
      <c r="AS15" s="44"/>
      <c r="AT15" s="44"/>
      <c r="AU15" s="44"/>
      <c r="AV15" s="44"/>
    </row>
    <row r="16" customFormat="false" ht="13.5" hidden="false" customHeight="false" outlineLevel="0" collapsed="false">
      <c r="A16" s="10"/>
      <c r="B16" s="10"/>
      <c r="C16" s="47" t="s">
        <v>1862</v>
      </c>
      <c r="D16" s="461"/>
      <c r="E16" s="461"/>
      <c r="F16" s="268"/>
      <c r="G16" s="191"/>
      <c r="H16" s="15" t="s">
        <v>1863</v>
      </c>
      <c r="I16" s="462"/>
      <c r="J16" s="462"/>
      <c r="K16" s="463"/>
      <c r="L16" s="191"/>
      <c r="M16" s="15" t="s">
        <v>1864</v>
      </c>
      <c r="N16" s="462"/>
      <c r="O16" s="462"/>
      <c r="P16" s="463"/>
      <c r="R16" s="10"/>
      <c r="S16" s="10"/>
      <c r="T16" s="47" t="s">
        <v>1862</v>
      </c>
      <c r="U16" s="461"/>
      <c r="V16" s="461"/>
      <c r="W16" s="268"/>
      <c r="X16" s="455"/>
      <c r="Y16" s="15" t="s">
        <v>1863</v>
      </c>
      <c r="Z16" s="462"/>
      <c r="AA16" s="462"/>
      <c r="AB16" s="463"/>
      <c r="AC16" s="191"/>
      <c r="AD16" s="15" t="s">
        <v>1864</v>
      </c>
      <c r="AE16" s="462"/>
      <c r="AF16" s="462"/>
      <c r="AG16" s="463"/>
      <c r="AI16" s="47" t="s">
        <v>1862</v>
      </c>
      <c r="AJ16" s="461"/>
      <c r="AK16" s="461"/>
      <c r="AL16" s="268"/>
      <c r="AM16" s="455"/>
      <c r="AN16" s="15" t="s">
        <v>1863</v>
      </c>
      <c r="AO16" s="462"/>
      <c r="AP16" s="462"/>
      <c r="AQ16" s="463"/>
      <c r="AR16" s="191"/>
      <c r="AS16" s="15" t="s">
        <v>1864</v>
      </c>
      <c r="AT16" s="462"/>
      <c r="AU16" s="462"/>
      <c r="AV16" s="463"/>
    </row>
    <row r="17" customFormat="false" ht="12.75" hidden="false" customHeight="false" outlineLevel="0" collapsed="false">
      <c r="A17" s="10"/>
      <c r="B17" s="10"/>
      <c r="C17" s="11"/>
      <c r="D17" s="11"/>
      <c r="E17" s="11"/>
      <c r="F17" s="11"/>
      <c r="G17" s="191"/>
      <c r="H17" s="11"/>
      <c r="I17" s="11"/>
      <c r="J17" s="11"/>
      <c r="K17" s="11"/>
      <c r="L17" s="191"/>
      <c r="M17" s="11"/>
      <c r="N17" s="11"/>
      <c r="O17" s="11"/>
      <c r="P17" s="11"/>
      <c r="R17" s="50"/>
      <c r="S17" s="50"/>
      <c r="T17" s="11"/>
      <c r="U17" s="11"/>
      <c r="V17" s="11"/>
      <c r="W17" s="11"/>
      <c r="Y17" s="11"/>
      <c r="Z17" s="11"/>
      <c r="AA17" s="11"/>
      <c r="AB17" s="11"/>
      <c r="AC17" s="191"/>
      <c r="AD17" s="11"/>
      <c r="AE17" s="11"/>
      <c r="AF17" s="11"/>
      <c r="AG17" s="11"/>
      <c r="AI17" s="11"/>
      <c r="AJ17" s="11"/>
      <c r="AK17" s="11"/>
      <c r="AL17" s="11"/>
      <c r="AN17" s="11"/>
      <c r="AO17" s="11"/>
      <c r="AP17" s="11"/>
      <c r="AQ17" s="11"/>
      <c r="AR17" s="44"/>
      <c r="AS17" s="11"/>
      <c r="AT17" s="11"/>
      <c r="AU17" s="11"/>
      <c r="AV17" s="11"/>
    </row>
    <row r="18" customFormat="false" ht="14.25" hidden="false" customHeight="false" outlineLevel="0" collapsed="false">
      <c r="C18" s="16" t="s">
        <v>782</v>
      </c>
      <c r="D18" s="113" t="s">
        <v>511</v>
      </c>
      <c r="E18" s="113" t="s">
        <v>512</v>
      </c>
      <c r="F18" s="53" t="s">
        <v>513</v>
      </c>
      <c r="G18" s="191"/>
      <c r="H18" s="16" t="s">
        <v>782</v>
      </c>
      <c r="I18" s="113" t="s">
        <v>511</v>
      </c>
      <c r="J18" s="113" t="s">
        <v>512</v>
      </c>
      <c r="K18" s="53" t="s">
        <v>513</v>
      </c>
      <c r="L18" s="191"/>
      <c r="M18" s="16" t="s">
        <v>782</v>
      </c>
      <c r="N18" s="113" t="s">
        <v>511</v>
      </c>
      <c r="O18" s="113" t="s">
        <v>512</v>
      </c>
      <c r="P18" s="53" t="s">
        <v>513</v>
      </c>
      <c r="R18" s="53" t="s">
        <v>1187</v>
      </c>
      <c r="S18" s="53" t="s">
        <v>1214</v>
      </c>
      <c r="T18" s="16" t="s">
        <v>782</v>
      </c>
      <c r="U18" s="113" t="s">
        <v>511</v>
      </c>
      <c r="V18" s="113" t="s">
        <v>512</v>
      </c>
      <c r="W18" s="53" t="s">
        <v>513</v>
      </c>
      <c r="Y18" s="16" t="s">
        <v>782</v>
      </c>
      <c r="Z18" s="113" t="s">
        <v>511</v>
      </c>
      <c r="AA18" s="113" t="s">
        <v>512</v>
      </c>
      <c r="AB18" s="53" t="s">
        <v>513</v>
      </c>
      <c r="AC18" s="191"/>
      <c r="AD18" s="16" t="s">
        <v>782</v>
      </c>
      <c r="AE18" s="113" t="s">
        <v>511</v>
      </c>
      <c r="AF18" s="113" t="s">
        <v>512</v>
      </c>
      <c r="AG18" s="53" t="s">
        <v>513</v>
      </c>
      <c r="AI18" s="16" t="s">
        <v>782</v>
      </c>
      <c r="AJ18" s="113" t="s">
        <v>511</v>
      </c>
      <c r="AK18" s="113" t="s">
        <v>512</v>
      </c>
      <c r="AL18" s="53" t="s">
        <v>513</v>
      </c>
      <c r="AN18" s="16" t="s">
        <v>782</v>
      </c>
      <c r="AO18" s="113" t="s">
        <v>511</v>
      </c>
      <c r="AP18" s="113" t="s">
        <v>512</v>
      </c>
      <c r="AQ18" s="53" t="s">
        <v>513</v>
      </c>
      <c r="AR18" s="44"/>
      <c r="AS18" s="16" t="s">
        <v>782</v>
      </c>
      <c r="AT18" s="113" t="s">
        <v>511</v>
      </c>
      <c r="AU18" s="113" t="s">
        <v>512</v>
      </c>
      <c r="AV18" s="53" t="s">
        <v>513</v>
      </c>
    </row>
    <row r="19" customFormat="false" ht="15" hidden="false" customHeight="false" outlineLevel="0" collapsed="false">
      <c r="C19" s="21" t="s">
        <v>783</v>
      </c>
      <c r="D19" s="55" t="s">
        <v>514</v>
      </c>
      <c r="E19" s="55" t="s">
        <v>514</v>
      </c>
      <c r="F19" s="55" t="s">
        <v>166</v>
      </c>
      <c r="G19" s="191"/>
      <c r="H19" s="21" t="s">
        <v>783</v>
      </c>
      <c r="I19" s="55" t="s">
        <v>784</v>
      </c>
      <c r="J19" s="55" t="s">
        <v>784</v>
      </c>
      <c r="K19" s="55" t="s">
        <v>167</v>
      </c>
      <c r="L19" s="191"/>
      <c r="M19" s="21" t="s">
        <v>783</v>
      </c>
      <c r="N19" s="55" t="s">
        <v>784</v>
      </c>
      <c r="O19" s="55" t="s">
        <v>784</v>
      </c>
      <c r="P19" s="55" t="s">
        <v>167</v>
      </c>
      <c r="R19" s="464"/>
      <c r="S19" s="464"/>
      <c r="T19" s="21" t="s">
        <v>783</v>
      </c>
      <c r="U19" s="55" t="s">
        <v>784</v>
      </c>
      <c r="V19" s="55" t="s">
        <v>784</v>
      </c>
      <c r="W19" s="55" t="s">
        <v>167</v>
      </c>
      <c r="Y19" s="21" t="s">
        <v>783</v>
      </c>
      <c r="Z19" s="55" t="s">
        <v>784</v>
      </c>
      <c r="AA19" s="55" t="s">
        <v>784</v>
      </c>
      <c r="AB19" s="55" t="s">
        <v>167</v>
      </c>
      <c r="AC19" s="191"/>
      <c r="AD19" s="21" t="s">
        <v>783</v>
      </c>
      <c r="AE19" s="55" t="s">
        <v>784</v>
      </c>
      <c r="AF19" s="55" t="s">
        <v>784</v>
      </c>
      <c r="AG19" s="55" t="s">
        <v>167</v>
      </c>
      <c r="AI19" s="21" t="s">
        <v>783</v>
      </c>
      <c r="AJ19" s="55" t="s">
        <v>514</v>
      </c>
      <c r="AK19" s="55" t="s">
        <v>514</v>
      </c>
      <c r="AL19" s="55" t="s">
        <v>166</v>
      </c>
      <c r="AN19" s="21" t="s">
        <v>783</v>
      </c>
      <c r="AO19" s="55" t="s">
        <v>514</v>
      </c>
      <c r="AP19" s="55" t="s">
        <v>514</v>
      </c>
      <c r="AQ19" s="55" t="s">
        <v>166</v>
      </c>
      <c r="AR19" s="44"/>
      <c r="AS19" s="21" t="s">
        <v>783</v>
      </c>
      <c r="AT19" s="55" t="s">
        <v>514</v>
      </c>
      <c r="AU19" s="55" t="s">
        <v>514</v>
      </c>
      <c r="AV19" s="55" t="s">
        <v>166</v>
      </c>
    </row>
    <row r="20" customFormat="false" ht="12.75" hidden="false" customHeight="false" outlineLevel="0" collapsed="false">
      <c r="C20" s="345" t="s">
        <v>785</v>
      </c>
      <c r="D20" s="465"/>
      <c r="E20" s="466"/>
      <c r="F20" s="465"/>
      <c r="G20" s="191"/>
      <c r="H20" s="345" t="s">
        <v>785</v>
      </c>
      <c r="I20" s="465"/>
      <c r="J20" s="466"/>
      <c r="K20" s="465"/>
      <c r="L20" s="191"/>
      <c r="M20" s="345" t="s">
        <v>785</v>
      </c>
      <c r="N20" s="465"/>
      <c r="O20" s="466"/>
      <c r="P20" s="465"/>
      <c r="R20" s="467" t="n">
        <v>1</v>
      </c>
      <c r="S20" s="467" t="n">
        <v>0.5</v>
      </c>
      <c r="T20" s="345" t="s">
        <v>785</v>
      </c>
      <c r="U20" s="469" t="str">
        <f aca="false">IF(D20="","",ROUND(4.184*D20+$S20*$T$9+$R20*$T$10,3))</f>
        <v/>
      </c>
      <c r="V20" s="469" t="str">
        <f aca="false">IF(E20="","",ROUND(4.184*E20,3))</f>
        <v/>
      </c>
      <c r="W20" s="469" t="str">
        <f aca="false">IF(F20="","",ROUND(4.184*F20,3))</f>
        <v/>
      </c>
      <c r="Y20" s="345" t="s">
        <v>785</v>
      </c>
      <c r="Z20" s="465"/>
      <c r="AA20" s="466"/>
      <c r="AB20" s="465"/>
      <c r="AC20" s="191"/>
      <c r="AD20" s="345" t="s">
        <v>785</v>
      </c>
      <c r="AE20" s="465"/>
      <c r="AF20" s="466"/>
      <c r="AG20" s="465"/>
      <c r="AI20" s="345" t="s">
        <v>785</v>
      </c>
      <c r="AJ20" s="470" t="str">
        <f aca="false">IF(D20="","",ROUND(D20+$S20*$AK$9+$R20*$AK$10,3))</f>
        <v/>
      </c>
      <c r="AK20" s="471" t="str">
        <f aca="false">IF(E20="","",ROUND(E20,3))</f>
        <v/>
      </c>
      <c r="AL20" s="470" t="str">
        <f aca="false">IF(F20="","",ROUND(F20,3))</f>
        <v/>
      </c>
      <c r="AN20" s="345" t="s">
        <v>785</v>
      </c>
      <c r="AO20" s="470" t="str">
        <f aca="false">IF(I20="","",ROUND(I20/4.184,3))</f>
        <v/>
      </c>
      <c r="AP20" s="471" t="str">
        <f aca="false">IF(J20="","",ROUND(J20/4.184,3))</f>
        <v/>
      </c>
      <c r="AQ20" s="470" t="str">
        <f aca="false">IF(K20="","",ROUND(K20/4.184,3))</f>
        <v/>
      </c>
      <c r="AR20" s="44"/>
      <c r="AS20" s="345" t="s">
        <v>785</v>
      </c>
      <c r="AT20" s="470" t="str">
        <f aca="false">IF(N20="","",ROUND(N20/4.184,3))</f>
        <v/>
      </c>
      <c r="AU20" s="471" t="str">
        <f aca="false">IF(O20="","",ROUND(O20/4.184,3))</f>
        <v/>
      </c>
      <c r="AV20" s="470" t="str">
        <f aca="false">IF(P20="","",ROUND(P20/4.184,3))</f>
        <v/>
      </c>
    </row>
    <row r="21" customFormat="false" ht="12.75" hidden="false" customHeight="false" outlineLevel="0" collapsed="false">
      <c r="C21" s="345" t="s">
        <v>787</v>
      </c>
      <c r="D21" s="472"/>
      <c r="E21" s="473"/>
      <c r="F21" s="472"/>
      <c r="G21" s="191"/>
      <c r="H21" s="345" t="s">
        <v>787</v>
      </c>
      <c r="I21" s="472"/>
      <c r="J21" s="466"/>
      <c r="K21" s="472"/>
      <c r="L21" s="191"/>
      <c r="M21" s="345" t="s">
        <v>787</v>
      </c>
      <c r="N21" s="472"/>
      <c r="O21" s="473"/>
      <c r="P21" s="472"/>
      <c r="R21" s="474" t="n">
        <v>-1</v>
      </c>
      <c r="S21" s="474" t="n">
        <v>1</v>
      </c>
      <c r="T21" s="345" t="s">
        <v>787</v>
      </c>
      <c r="U21" s="470" t="str">
        <f aca="false">IF(D21="","",ROUND(4.184*D21+$S21*$T$9+$R21*$T$10,3))</f>
        <v/>
      </c>
      <c r="V21" s="470" t="str">
        <f aca="false">IF(E21="","",ROUND(4.184*E21,3))</f>
        <v/>
      </c>
      <c r="W21" s="470" t="str">
        <f aca="false">IF(F21="","",ROUND(4.184*F21,3))</f>
        <v/>
      </c>
      <c r="Y21" s="345" t="s">
        <v>787</v>
      </c>
      <c r="Z21" s="472"/>
      <c r="AA21" s="466"/>
      <c r="AB21" s="472"/>
      <c r="AC21" s="191"/>
      <c r="AD21" s="345" t="s">
        <v>787</v>
      </c>
      <c r="AE21" s="472"/>
      <c r="AF21" s="473"/>
      <c r="AG21" s="472"/>
      <c r="AI21" s="345" t="s">
        <v>787</v>
      </c>
      <c r="AJ21" s="475" t="str">
        <f aca="false">IF(D21="","",ROUND(D21+$S21*$AK$9+$R21*$AK$10,3))</f>
        <v/>
      </c>
      <c r="AK21" s="476" t="str">
        <f aca="false">IF(E21="","",ROUND(E21,3))</f>
        <v/>
      </c>
      <c r="AL21" s="475" t="str">
        <f aca="false">IF(F21="","",ROUND(F21,3))</f>
        <v/>
      </c>
      <c r="AN21" s="345" t="s">
        <v>787</v>
      </c>
      <c r="AO21" s="475" t="str">
        <f aca="false">IF(I21="","",ROUND(I21/4.184,3))</f>
        <v/>
      </c>
      <c r="AP21" s="471" t="str">
        <f aca="false">IF(J21="","",ROUND(J21/4.184,3))</f>
        <v/>
      </c>
      <c r="AQ21" s="475" t="str">
        <f aca="false">IF(K21="","",ROUND(K21/4.184,3))</f>
        <v/>
      </c>
      <c r="AR21" s="44"/>
      <c r="AS21" s="345" t="s">
        <v>787</v>
      </c>
      <c r="AT21" s="475" t="str">
        <f aca="false">IF(N21="","",ROUND(N21/4.184,3))</f>
        <v/>
      </c>
      <c r="AU21" s="476" t="str">
        <f aca="false">IF(O21="","",ROUND(O21/4.184,3))</f>
        <v/>
      </c>
      <c r="AV21" s="475" t="str">
        <f aca="false">IF(P21="","",ROUND(P21/4.184,3))</f>
        <v/>
      </c>
    </row>
    <row r="22" customFormat="false" ht="12.75" hidden="false" customHeight="false" outlineLevel="0" collapsed="false">
      <c r="C22" s="345" t="s">
        <v>794</v>
      </c>
      <c r="D22" s="472"/>
      <c r="E22" s="473"/>
      <c r="F22" s="472"/>
      <c r="G22" s="191"/>
      <c r="H22" s="345" t="s">
        <v>794</v>
      </c>
      <c r="I22" s="465" t="s">
        <v>1513</v>
      </c>
      <c r="J22" s="466" t="s">
        <v>795</v>
      </c>
      <c r="K22" s="465" t="s">
        <v>800</v>
      </c>
      <c r="L22" s="191"/>
      <c r="M22" s="345" t="s">
        <v>794</v>
      </c>
      <c r="N22" s="472" t="s">
        <v>1513</v>
      </c>
      <c r="O22" s="466" t="s">
        <v>795</v>
      </c>
      <c r="P22" s="472" t="s">
        <v>800</v>
      </c>
      <c r="R22" s="474" t="n">
        <v>0</v>
      </c>
      <c r="S22" s="474" t="n">
        <v>1.5</v>
      </c>
      <c r="T22" s="345" t="s">
        <v>794</v>
      </c>
      <c r="U22" s="470" t="str">
        <f aca="false">IF(D22="","",ROUND(4.184*D22+$S22*$T$9+$R22*$T$10,3))</f>
        <v/>
      </c>
      <c r="V22" s="470" t="str">
        <f aca="false">IF(E22="","",ROUND(4.184*E22,3))</f>
        <v/>
      </c>
      <c r="W22" s="470" t="str">
        <f aca="false">IF(F22="","",ROUND(4.184*F22,3))</f>
        <v/>
      </c>
      <c r="Y22" s="345" t="s">
        <v>794</v>
      </c>
      <c r="Z22" s="465" t="s">
        <v>1513</v>
      </c>
      <c r="AA22" s="466" t="s">
        <v>795</v>
      </c>
      <c r="AB22" s="465" t="s">
        <v>800</v>
      </c>
      <c r="AC22" s="191"/>
      <c r="AD22" s="345" t="s">
        <v>794</v>
      </c>
      <c r="AE22" s="472" t="s">
        <v>1513</v>
      </c>
      <c r="AF22" s="466" t="s">
        <v>795</v>
      </c>
      <c r="AG22" s="472" t="s">
        <v>800</v>
      </c>
      <c r="AI22" s="345" t="s">
        <v>794</v>
      </c>
      <c r="AJ22" s="475" t="str">
        <f aca="false">IF(D22="","",ROUND(D22+$S22*$AK$9+$R22*$AK$10,3))</f>
        <v/>
      </c>
      <c r="AK22" s="476" t="str">
        <f aca="false">IF(E22="","",ROUND(E22,3))</f>
        <v/>
      </c>
      <c r="AL22" s="475" t="str">
        <f aca="false">IF(F22="","",ROUND(F22,3))</f>
        <v/>
      </c>
      <c r="AN22" s="345" t="s">
        <v>794</v>
      </c>
      <c r="AO22" s="475" t="n">
        <f aca="false">IF(I22="","",ROUND(I22/4.184,3))</f>
        <v>-56.678</v>
      </c>
      <c r="AP22" s="476" t="n">
        <f aca="false">IF(J22="","",ROUND(J22/4.184,3))</f>
        <v>-68.315</v>
      </c>
      <c r="AQ22" s="475" t="n">
        <f aca="false">IF(K22="","",ROUND(K22/4.184,3))</f>
        <v>16.718</v>
      </c>
      <c r="AR22" s="44"/>
      <c r="AS22" s="345" t="s">
        <v>794</v>
      </c>
      <c r="AT22" s="475" t="n">
        <f aca="false">IF(N22="","",ROUND(N22/4.184,3))</f>
        <v>-56.678</v>
      </c>
      <c r="AU22" s="471" t="n">
        <f aca="false">IF(O22="","",ROUND(O22/4.184,3))</f>
        <v>-68.315</v>
      </c>
      <c r="AV22" s="475" t="n">
        <f aca="false">IF(P22="","",ROUND(P22/4.184,3))</f>
        <v>16.718</v>
      </c>
    </row>
    <row r="23" customFormat="false" ht="12.75" hidden="false" customHeight="false" outlineLevel="0" collapsed="false">
      <c r="C23" s="345" t="s">
        <v>802</v>
      </c>
      <c r="D23" s="472"/>
      <c r="E23" s="473"/>
      <c r="F23" s="472"/>
      <c r="G23" s="191"/>
      <c r="H23" s="345" t="s">
        <v>802</v>
      </c>
      <c r="I23" s="472"/>
      <c r="J23" s="466"/>
      <c r="K23" s="472"/>
      <c r="L23" s="191"/>
      <c r="M23" s="345" t="s">
        <v>802</v>
      </c>
      <c r="N23" s="472"/>
      <c r="O23" s="473"/>
      <c r="P23" s="472"/>
      <c r="R23" s="474" t="n">
        <v>-1</v>
      </c>
      <c r="S23" s="474" t="n">
        <v>0.5</v>
      </c>
      <c r="T23" s="345" t="s">
        <v>802</v>
      </c>
      <c r="U23" s="470" t="str">
        <f aca="false">IF(D23="","",ROUND(4.184*D23+$S23*$T$9+$R23*$T$10,3))</f>
        <v/>
      </c>
      <c r="V23" s="470" t="str">
        <f aca="false">IF(E23="","",ROUND(4.184*E23,3))</f>
        <v/>
      </c>
      <c r="W23" s="470" t="str">
        <f aca="false">IF(F23="","",ROUND(4.184*F23,3))</f>
        <v/>
      </c>
      <c r="Y23" s="345" t="s">
        <v>802</v>
      </c>
      <c r="Z23" s="472"/>
      <c r="AA23" s="466"/>
      <c r="AB23" s="472"/>
      <c r="AC23" s="191"/>
      <c r="AD23" s="345" t="s">
        <v>802</v>
      </c>
      <c r="AE23" s="472"/>
      <c r="AF23" s="473"/>
      <c r="AG23" s="472"/>
      <c r="AI23" s="345" t="s">
        <v>802</v>
      </c>
      <c r="AJ23" s="475" t="str">
        <f aca="false">IF(D23="","",ROUND(D23+$S23*$AK$9+$R23*$AK$10,3))</f>
        <v/>
      </c>
      <c r="AK23" s="476" t="str">
        <f aca="false">IF(E23="","",ROUND(E23,3))</f>
        <v/>
      </c>
      <c r="AL23" s="475" t="str">
        <f aca="false">IF(F23="","",ROUND(F23,3))</f>
        <v/>
      </c>
      <c r="AN23" s="345" t="s">
        <v>802</v>
      </c>
      <c r="AO23" s="475" t="str">
        <f aca="false">IF(I23="","",ROUND(I23/4.184,3))</f>
        <v/>
      </c>
      <c r="AP23" s="471" t="str">
        <f aca="false">IF(J23="","",ROUND(J23/4.184,3))</f>
        <v/>
      </c>
      <c r="AQ23" s="475" t="str">
        <f aca="false">IF(K23="","",ROUND(K23/4.184,3))</f>
        <v/>
      </c>
      <c r="AR23" s="44"/>
      <c r="AS23" s="345" t="s">
        <v>802</v>
      </c>
      <c r="AT23" s="475" t="str">
        <f aca="false">IF(N23="","",ROUND(N23/4.184,3))</f>
        <v/>
      </c>
      <c r="AU23" s="476" t="str">
        <f aca="false">IF(O23="","",ROUND(O23/4.184,3))</f>
        <v/>
      </c>
      <c r="AV23" s="475" t="str">
        <f aca="false">IF(P23="","",ROUND(P23/4.184,3))</f>
        <v/>
      </c>
    </row>
    <row r="24" customFormat="false" ht="12.75" hidden="false" customHeight="false" outlineLevel="0" collapsed="false">
      <c r="C24" s="345" t="s">
        <v>812</v>
      </c>
      <c r="D24" s="465"/>
      <c r="E24" s="473"/>
      <c r="F24" s="472"/>
      <c r="G24" s="191"/>
      <c r="H24" s="345" t="s">
        <v>812</v>
      </c>
      <c r="I24" s="472"/>
      <c r="J24" s="473"/>
      <c r="K24" s="472"/>
      <c r="L24" s="191"/>
      <c r="M24" s="345" t="s">
        <v>812</v>
      </c>
      <c r="N24" s="472"/>
      <c r="O24" s="473"/>
      <c r="P24" s="472"/>
      <c r="R24" s="474" t="n">
        <v>-1</v>
      </c>
      <c r="S24" s="474" t="n">
        <v>0.5</v>
      </c>
      <c r="T24" s="345" t="s">
        <v>812</v>
      </c>
      <c r="U24" s="470" t="str">
        <f aca="false">IF(D24="","",ROUND(4.184*D24+$S24*$T$9+$R24*$T$10,3))</f>
        <v/>
      </c>
      <c r="V24" s="470" t="str">
        <f aca="false">IF(E24="","",ROUND(4.184*E24,3))</f>
        <v/>
      </c>
      <c r="W24" s="470" t="str">
        <f aca="false">IF(F24="","",ROUND(4.184*F24,3))</f>
        <v/>
      </c>
      <c r="Y24" s="345" t="s">
        <v>812</v>
      </c>
      <c r="Z24" s="472"/>
      <c r="AA24" s="473"/>
      <c r="AB24" s="472"/>
      <c r="AC24" s="191"/>
      <c r="AD24" s="345" t="s">
        <v>812</v>
      </c>
      <c r="AE24" s="472"/>
      <c r="AF24" s="473"/>
      <c r="AG24" s="472"/>
      <c r="AI24" s="345" t="s">
        <v>812</v>
      </c>
      <c r="AJ24" s="470" t="str">
        <f aca="false">IF(D24="","",ROUND(D24+$S24*$AK$9+$R24*$AK$10,3))</f>
        <v/>
      </c>
      <c r="AK24" s="476" t="str">
        <f aca="false">IF(E24="","",ROUND(E24,3))</f>
        <v/>
      </c>
      <c r="AL24" s="475" t="str">
        <f aca="false">IF(F24="","",ROUND(F24,3))</f>
        <v/>
      </c>
      <c r="AN24" s="345" t="s">
        <v>812</v>
      </c>
      <c r="AO24" s="475" t="str">
        <f aca="false">IF(I24="","",ROUND(I24/4.184,3))</f>
        <v/>
      </c>
      <c r="AP24" s="476" t="str">
        <f aca="false">IF(J24="","",ROUND(J24/4.184,3))</f>
        <v/>
      </c>
      <c r="AQ24" s="475" t="str">
        <f aca="false">IF(K24="","",ROUND(K24/4.184,3))</f>
        <v/>
      </c>
      <c r="AR24" s="44"/>
      <c r="AS24" s="345" t="s">
        <v>812</v>
      </c>
      <c r="AT24" s="475" t="str">
        <f aca="false">IF(N24="","",ROUND(N24/4.184,3))</f>
        <v/>
      </c>
      <c r="AU24" s="476" t="str">
        <f aca="false">IF(O24="","",ROUND(O24/4.184,3))</f>
        <v/>
      </c>
      <c r="AV24" s="475" t="str">
        <f aca="false">IF(P24="","",ROUND(P24/4.184,3))</f>
        <v/>
      </c>
    </row>
    <row r="25" customFormat="false" ht="12.75" hidden="false" customHeight="false" outlineLevel="0" collapsed="false">
      <c r="C25" s="345" t="s">
        <v>818</v>
      </c>
      <c r="D25" s="472"/>
      <c r="E25" s="466"/>
      <c r="F25" s="465"/>
      <c r="G25" s="191"/>
      <c r="H25" s="345" t="s">
        <v>818</v>
      </c>
      <c r="I25" s="472"/>
      <c r="J25" s="473"/>
      <c r="K25" s="472"/>
      <c r="L25" s="191"/>
      <c r="M25" s="345" t="s">
        <v>818</v>
      </c>
      <c r="N25" s="472"/>
      <c r="O25" s="473"/>
      <c r="P25" s="472"/>
      <c r="R25" s="474" t="n">
        <v>-1</v>
      </c>
      <c r="S25" s="474" t="n">
        <v>0</v>
      </c>
      <c r="T25" s="345" t="s">
        <v>818</v>
      </c>
      <c r="U25" s="470" t="str">
        <f aca="false">IF(D25="","",ROUND(4.184*D25+$S25*$T$9+$R25*$T$10,3))</f>
        <v/>
      </c>
      <c r="V25" s="470" t="str">
        <f aca="false">IF(E25="","",ROUND(4.184*E25,3))</f>
        <v/>
      </c>
      <c r="W25" s="470" t="str">
        <f aca="false">IF(F25="","",ROUND(4.184*F25,3))</f>
        <v/>
      </c>
      <c r="Y25" s="345" t="s">
        <v>818</v>
      </c>
      <c r="Z25" s="472"/>
      <c r="AA25" s="473"/>
      <c r="AB25" s="472"/>
      <c r="AC25" s="191"/>
      <c r="AD25" s="345" t="s">
        <v>818</v>
      </c>
      <c r="AE25" s="472"/>
      <c r="AF25" s="473"/>
      <c r="AG25" s="472"/>
      <c r="AI25" s="345" t="s">
        <v>818</v>
      </c>
      <c r="AJ25" s="475" t="str">
        <f aca="false">IF(D25="","",ROUND(D25+$S25*$AK$9+$R25*$AK$10,3))</f>
        <v/>
      </c>
      <c r="AK25" s="471" t="str">
        <f aca="false">IF(E25="","",ROUND(E25,3))</f>
        <v/>
      </c>
      <c r="AL25" s="470" t="str">
        <f aca="false">IF(F25="","",ROUND(F25,3))</f>
        <v/>
      </c>
      <c r="AN25" s="345" t="s">
        <v>818</v>
      </c>
      <c r="AO25" s="475" t="str">
        <f aca="false">IF(I25="","",ROUND(I25/4.184,3))</f>
        <v/>
      </c>
      <c r="AP25" s="476" t="str">
        <f aca="false">IF(J25="","",ROUND(J25/4.184,3))</f>
        <v/>
      </c>
      <c r="AQ25" s="475" t="str">
        <f aca="false">IF(K25="","",ROUND(K25/4.184,3))</f>
        <v/>
      </c>
      <c r="AR25" s="44"/>
      <c r="AS25" s="345" t="s">
        <v>818</v>
      </c>
      <c r="AT25" s="475" t="str">
        <f aca="false">IF(N25="","",ROUND(N25/4.184,3))</f>
        <v/>
      </c>
      <c r="AU25" s="476" t="str">
        <f aca="false">IF(O25="","",ROUND(O25/4.184,3))</f>
        <v/>
      </c>
      <c r="AV25" s="475" t="str">
        <f aca="false">IF(P25="","",ROUND(P25/4.184,3))</f>
        <v/>
      </c>
    </row>
    <row r="26" customFormat="false" ht="12.75" hidden="false" customHeight="false" outlineLevel="0" collapsed="false">
      <c r="C26" s="345" t="s">
        <v>825</v>
      </c>
      <c r="D26" s="465"/>
      <c r="E26" s="466"/>
      <c r="F26" s="465"/>
      <c r="G26" s="191"/>
      <c r="H26" s="345" t="s">
        <v>825</v>
      </c>
      <c r="I26" s="465"/>
      <c r="J26" s="466"/>
      <c r="K26" s="465"/>
      <c r="L26" s="191"/>
      <c r="M26" s="345" t="s">
        <v>825</v>
      </c>
      <c r="N26" s="465"/>
      <c r="O26" s="466"/>
      <c r="P26" s="465"/>
      <c r="R26" s="474" t="n">
        <v>-1</v>
      </c>
      <c r="S26" s="474" t="n">
        <v>0</v>
      </c>
      <c r="T26" s="345" t="s">
        <v>825</v>
      </c>
      <c r="U26" s="470" t="str">
        <f aca="false">IF(D26="","",ROUND(4.184*D26+$S26*$T$9+$R26*$T$10,3))</f>
        <v/>
      </c>
      <c r="V26" s="470" t="str">
        <f aca="false">IF(E26="","",ROUND(4.184*E26,3))</f>
        <v/>
      </c>
      <c r="W26" s="470" t="str">
        <f aca="false">IF(F26="","",ROUND(4.184*F26,3))</f>
        <v/>
      </c>
      <c r="Y26" s="345" t="s">
        <v>825</v>
      </c>
      <c r="Z26" s="465"/>
      <c r="AA26" s="466"/>
      <c r="AB26" s="465"/>
      <c r="AC26" s="191"/>
      <c r="AD26" s="345" t="s">
        <v>825</v>
      </c>
      <c r="AE26" s="465"/>
      <c r="AF26" s="466"/>
      <c r="AG26" s="465"/>
      <c r="AI26" s="345" t="s">
        <v>825</v>
      </c>
      <c r="AJ26" s="470" t="str">
        <f aca="false">IF(D26="","",ROUND(D26+$S26*$AK$9+$R26*$AK$10,3))</f>
        <v/>
      </c>
      <c r="AK26" s="471" t="str">
        <f aca="false">IF(E26="","",ROUND(E26,3))</f>
        <v/>
      </c>
      <c r="AL26" s="470" t="str">
        <f aca="false">IF(F26="","",ROUND(F26,3))</f>
        <v/>
      </c>
      <c r="AN26" s="345" t="s">
        <v>825</v>
      </c>
      <c r="AO26" s="470" t="str">
        <f aca="false">IF(I26="","",ROUND(I26/4.184,3))</f>
        <v/>
      </c>
      <c r="AP26" s="471" t="str">
        <f aca="false">IF(J26="","",ROUND(J26/4.184,3))</f>
        <v/>
      </c>
      <c r="AQ26" s="470" t="str">
        <f aca="false">IF(K26="","",ROUND(K26/4.184,3))</f>
        <v/>
      </c>
      <c r="AR26" s="44"/>
      <c r="AS26" s="345" t="s">
        <v>825</v>
      </c>
      <c r="AT26" s="470" t="str">
        <f aca="false">IF(N26="","",ROUND(N26/4.184,3))</f>
        <v/>
      </c>
      <c r="AU26" s="471" t="str">
        <f aca="false">IF(O26="","",ROUND(O26/4.184,3))</f>
        <v/>
      </c>
      <c r="AV26" s="470" t="str">
        <f aca="false">IF(P26="","",ROUND(P26/4.184,3))</f>
        <v/>
      </c>
    </row>
    <row r="27" customFormat="false" ht="12.75" hidden="false" customHeight="false" outlineLevel="0" collapsed="false">
      <c r="C27" s="345" t="s">
        <v>833</v>
      </c>
      <c r="D27" s="472"/>
      <c r="E27" s="466"/>
      <c r="F27" s="472"/>
      <c r="G27" s="191"/>
      <c r="H27" s="345" t="s">
        <v>833</v>
      </c>
      <c r="I27" s="472"/>
      <c r="J27" s="473"/>
      <c r="K27" s="472"/>
      <c r="L27" s="191"/>
      <c r="M27" s="345" t="s">
        <v>833</v>
      </c>
      <c r="N27" s="472"/>
      <c r="O27" s="473"/>
      <c r="P27" s="472"/>
      <c r="R27" s="474" t="n">
        <v>-2</v>
      </c>
      <c r="S27" s="474" t="n">
        <v>2</v>
      </c>
      <c r="T27" s="345" t="s">
        <v>833</v>
      </c>
      <c r="U27" s="470" t="str">
        <f aca="false">IF(D27="","",ROUND(4.184*D27+$S27*$T$9+$R27*$T$10,3))</f>
        <v/>
      </c>
      <c r="V27" s="470" t="str">
        <f aca="false">IF(E27="","",ROUND(4.184*E27,3))</f>
        <v/>
      </c>
      <c r="W27" s="470" t="str">
        <f aca="false">IF(F27="","",ROUND(4.184*F27,3))</f>
        <v/>
      </c>
      <c r="Y27" s="345" t="s">
        <v>833</v>
      </c>
      <c r="Z27" s="472"/>
      <c r="AA27" s="473"/>
      <c r="AB27" s="472"/>
      <c r="AC27" s="191"/>
      <c r="AD27" s="345" t="s">
        <v>833</v>
      </c>
      <c r="AE27" s="472"/>
      <c r="AF27" s="473"/>
      <c r="AG27" s="472"/>
      <c r="AI27" s="345" t="s">
        <v>833</v>
      </c>
      <c r="AJ27" s="298" t="str">
        <f aca="false">IF(D27="","",ROUND(D27+$S27*$AK$9+$R27*$AK$10,3))</f>
        <v/>
      </c>
      <c r="AK27" s="471" t="str">
        <f aca="false">IF(E27="","",ROUND(E27,3))</f>
        <v/>
      </c>
      <c r="AL27" s="475" t="str">
        <f aca="false">IF(F27="","",ROUND(F27,3))</f>
        <v/>
      </c>
      <c r="AN27" s="345" t="s">
        <v>833</v>
      </c>
      <c r="AO27" s="475" t="str">
        <f aca="false">IF(I27="","",ROUND(I27/4.184,3))</f>
        <v/>
      </c>
      <c r="AP27" s="476" t="str">
        <f aca="false">IF(J27="","",ROUND(J27/4.184,3))</f>
        <v/>
      </c>
      <c r="AQ27" s="475" t="str">
        <f aca="false">IF(K27="","",ROUND(K27/4.184,3))</f>
        <v/>
      </c>
      <c r="AR27" s="44"/>
      <c r="AS27" s="345" t="s">
        <v>833</v>
      </c>
      <c r="AT27" s="475" t="str">
        <f aca="false">IF(N27="","",ROUND(N27/4.184,3))</f>
        <v/>
      </c>
      <c r="AU27" s="476" t="str">
        <f aca="false">IF(O27="","",ROUND(O27/4.184,3))</f>
        <v/>
      </c>
      <c r="AV27" s="475" t="str">
        <f aca="false">IF(P27="","",ROUND(P27/4.184,3))</f>
        <v/>
      </c>
    </row>
    <row r="28" customFormat="false" ht="12.75" hidden="false" customHeight="false" outlineLevel="0" collapsed="false">
      <c r="C28" s="345" t="s">
        <v>840</v>
      </c>
      <c r="D28" s="472"/>
      <c r="E28" s="473"/>
      <c r="F28" s="472"/>
      <c r="G28" s="191"/>
      <c r="H28" s="345" t="s">
        <v>840</v>
      </c>
      <c r="I28" s="472"/>
      <c r="J28" s="473"/>
      <c r="K28" s="465"/>
      <c r="L28" s="191"/>
      <c r="M28" s="345" t="s">
        <v>840</v>
      </c>
      <c r="N28" s="472"/>
      <c r="O28" s="473"/>
      <c r="P28" s="472"/>
      <c r="R28" s="474" t="n">
        <v>-1</v>
      </c>
      <c r="S28" s="474" t="n">
        <v>0.5</v>
      </c>
      <c r="T28" s="345" t="s">
        <v>840</v>
      </c>
      <c r="U28" s="470" t="str">
        <f aca="false">IF(D28="","",ROUND(4.184*D28+$S28*$T$9+$R28*$T$10,3))</f>
        <v/>
      </c>
      <c r="V28" s="470" t="str">
        <f aca="false">IF(E28="","",ROUND(4.184*E28,3))</f>
        <v/>
      </c>
      <c r="W28" s="470" t="str">
        <f aca="false">IF(F28="","",ROUND(4.184*F28,3))</f>
        <v/>
      </c>
      <c r="Y28" s="345" t="s">
        <v>840</v>
      </c>
      <c r="Z28" s="472"/>
      <c r="AA28" s="473"/>
      <c r="AB28" s="465"/>
      <c r="AC28" s="191"/>
      <c r="AD28" s="345" t="s">
        <v>840</v>
      </c>
      <c r="AE28" s="472"/>
      <c r="AF28" s="473"/>
      <c r="AG28" s="472"/>
      <c r="AI28" s="345" t="s">
        <v>840</v>
      </c>
      <c r="AJ28" s="298" t="str">
        <f aca="false">IF(D28="","",ROUND(D28+$S28*$AK$9+$R28*$AK$10,3))</f>
        <v/>
      </c>
      <c r="AK28" s="476" t="str">
        <f aca="false">IF(E28="","",ROUND(E28,3))</f>
        <v/>
      </c>
      <c r="AL28" s="475" t="str">
        <f aca="false">IF(F28="","",ROUND(F28,3))</f>
        <v/>
      </c>
      <c r="AN28" s="345" t="s">
        <v>840</v>
      </c>
      <c r="AO28" s="475" t="str">
        <f aca="false">IF(I28="","",ROUND(I28/4.184,3))</f>
        <v/>
      </c>
      <c r="AP28" s="476" t="str">
        <f aca="false">IF(J28="","",ROUND(J28/4.184,3))</f>
        <v/>
      </c>
      <c r="AQ28" s="470" t="str">
        <f aca="false">IF(K28="","",ROUND(K28/4.184,3))</f>
        <v/>
      </c>
      <c r="AR28" s="44"/>
      <c r="AS28" s="345" t="s">
        <v>840</v>
      </c>
      <c r="AT28" s="298" t="str">
        <f aca="false">IF(N28="","",ROUND(N28/4.184,3))</f>
        <v/>
      </c>
      <c r="AU28" s="476" t="str">
        <f aca="false">IF(O28="","",ROUND(O28/4.184,3))</f>
        <v/>
      </c>
      <c r="AV28" s="475" t="str">
        <f aca="false">IF(P28="","",ROUND(P28/4.184,3))</f>
        <v/>
      </c>
    </row>
    <row r="29" customFormat="false" ht="12.75" hidden="false" customHeight="false" outlineLevel="0" collapsed="false">
      <c r="C29" s="345" t="s">
        <v>851</v>
      </c>
      <c r="D29" s="472"/>
      <c r="E29" s="473"/>
      <c r="F29" s="465"/>
      <c r="G29" s="191"/>
      <c r="H29" s="345" t="s">
        <v>851</v>
      </c>
      <c r="I29" s="472"/>
      <c r="J29" s="473"/>
      <c r="K29" s="465"/>
      <c r="L29" s="191"/>
      <c r="M29" s="345" t="s">
        <v>851</v>
      </c>
      <c r="N29" s="472"/>
      <c r="O29" s="466"/>
      <c r="P29" s="472"/>
      <c r="R29" s="474" t="n">
        <v>-1</v>
      </c>
      <c r="S29" s="474" t="n">
        <v>2</v>
      </c>
      <c r="T29" s="345" t="s">
        <v>851</v>
      </c>
      <c r="U29" s="470" t="str">
        <f aca="false">IF(D29="","",ROUND(4.184*D29+$S29*$T$9+$R29*$T$10,3))</f>
        <v/>
      </c>
      <c r="V29" s="470" t="str">
        <f aca="false">IF(E29="","",ROUND(4.184*E29,3))</f>
        <v/>
      </c>
      <c r="W29" s="470" t="str">
        <f aca="false">IF(F29="","",ROUND(4.184*F29,3))</f>
        <v/>
      </c>
      <c r="Y29" s="345" t="s">
        <v>851</v>
      </c>
      <c r="Z29" s="472"/>
      <c r="AA29" s="473"/>
      <c r="AB29" s="465"/>
      <c r="AC29" s="191"/>
      <c r="AD29" s="345" t="s">
        <v>851</v>
      </c>
      <c r="AE29" s="472"/>
      <c r="AF29" s="466"/>
      <c r="AG29" s="472"/>
      <c r="AI29" s="345" t="s">
        <v>851</v>
      </c>
      <c r="AJ29" s="298" t="str">
        <f aca="false">IF(D29="","",ROUND(D29+$S29*$AK$9+$R29*$AK$10,3))</f>
        <v/>
      </c>
      <c r="AK29" s="476" t="str">
        <f aca="false">IF(E29="","",ROUND(E29,3))</f>
        <v/>
      </c>
      <c r="AL29" s="470" t="str">
        <f aca="false">IF(F29="","",ROUND(F29,3))</f>
        <v/>
      </c>
      <c r="AN29" s="345" t="s">
        <v>851</v>
      </c>
      <c r="AO29" s="475" t="str">
        <f aca="false">IF(I29="","",ROUND(I29/4.184,3))</f>
        <v/>
      </c>
      <c r="AP29" s="476" t="str">
        <f aca="false">IF(J29="","",ROUND(J29/4.184,3))</f>
        <v/>
      </c>
      <c r="AQ29" s="470" t="str">
        <f aca="false">IF(K29="","",ROUND(K29/4.184,3))</f>
        <v/>
      </c>
      <c r="AR29" s="44"/>
      <c r="AS29" s="345" t="s">
        <v>851</v>
      </c>
      <c r="AT29" s="475" t="str">
        <f aca="false">IF(N29="","",ROUND(N29/4.184,3))</f>
        <v/>
      </c>
      <c r="AU29" s="471" t="str">
        <f aca="false">IF(O29="","",ROUND(O29/4.184,3))</f>
        <v/>
      </c>
      <c r="AV29" s="475" t="str">
        <f aca="false">IF(P29="","",ROUND(P29/4.184,3))</f>
        <v/>
      </c>
    </row>
    <row r="30" customFormat="false" ht="12.75" hidden="false" customHeight="false" outlineLevel="0" collapsed="false">
      <c r="C30" s="345" t="s">
        <v>858</v>
      </c>
      <c r="D30" s="472"/>
      <c r="E30" s="473"/>
      <c r="F30" s="472"/>
      <c r="G30" s="191"/>
      <c r="H30" s="345" t="s">
        <v>858</v>
      </c>
      <c r="I30" s="472"/>
      <c r="J30" s="473"/>
      <c r="K30" s="472"/>
      <c r="L30" s="191"/>
      <c r="M30" s="345" t="s">
        <v>858</v>
      </c>
      <c r="N30" s="465"/>
      <c r="O30" s="473"/>
      <c r="P30" s="472"/>
      <c r="R30" s="474" t="n">
        <v>0</v>
      </c>
      <c r="S30" s="474" t="n">
        <v>2</v>
      </c>
      <c r="T30" s="345" t="s">
        <v>858</v>
      </c>
      <c r="U30" s="470" t="str">
        <f aca="false">IF(D30="","",ROUND(4.184*D30+$S30*$T$9+$R30*$T$10,3))</f>
        <v/>
      </c>
      <c r="V30" s="470" t="str">
        <f aca="false">IF(E30="","",ROUND(4.184*E30,3))</f>
        <v/>
      </c>
      <c r="W30" s="470" t="str">
        <f aca="false">IF(F30="","",ROUND(4.184*F30,3))</f>
        <v/>
      </c>
      <c r="Y30" s="345" t="s">
        <v>858</v>
      </c>
      <c r="Z30" s="472"/>
      <c r="AA30" s="473"/>
      <c r="AB30" s="472"/>
      <c r="AC30" s="191"/>
      <c r="AD30" s="345" t="s">
        <v>858</v>
      </c>
      <c r="AE30" s="465"/>
      <c r="AF30" s="473"/>
      <c r="AG30" s="472"/>
      <c r="AI30" s="345" t="s">
        <v>858</v>
      </c>
      <c r="AJ30" s="298" t="str">
        <f aca="false">IF(D30="","",ROUND(D30+$S30*$AK$9+$R30*$AK$10,3))</f>
        <v/>
      </c>
      <c r="AK30" s="476" t="str">
        <f aca="false">IF(E30="","",ROUND(E30,3))</f>
        <v/>
      </c>
      <c r="AL30" s="475" t="str">
        <f aca="false">IF(F30="","",ROUND(F30,3))</f>
        <v/>
      </c>
      <c r="AN30" s="345" t="s">
        <v>858</v>
      </c>
      <c r="AO30" s="475" t="str">
        <f aca="false">IF(I30="","",ROUND(I30/4.184,3))</f>
        <v/>
      </c>
      <c r="AP30" s="476" t="str">
        <f aca="false">IF(J30="","",ROUND(J30/4.184,3))</f>
        <v/>
      </c>
      <c r="AQ30" s="475" t="str">
        <f aca="false">IF(K30="","",ROUND(K30/4.184,3))</f>
        <v/>
      </c>
      <c r="AR30" s="44"/>
      <c r="AS30" s="345" t="s">
        <v>858</v>
      </c>
      <c r="AT30" s="470" t="str">
        <f aca="false">IF(N30="","",ROUND(N30/4.184,3))</f>
        <v/>
      </c>
      <c r="AU30" s="476" t="str">
        <f aca="false">IF(O30="","",ROUND(O30/4.184,3))</f>
        <v/>
      </c>
      <c r="AV30" s="475" t="str">
        <f aca="false">IF(P30="","",ROUND(P30/4.184,3))</f>
        <v/>
      </c>
    </row>
    <row r="31" customFormat="false" ht="12.75" hidden="false" customHeight="false" outlineLevel="0" collapsed="false">
      <c r="C31" s="345" t="s">
        <v>865</v>
      </c>
      <c r="D31" s="465"/>
      <c r="E31" s="473"/>
      <c r="F31" s="472"/>
      <c r="G31" s="191"/>
      <c r="H31" s="345" t="s">
        <v>865</v>
      </c>
      <c r="I31" s="472"/>
      <c r="J31" s="473"/>
      <c r="K31" s="472"/>
      <c r="L31" s="240"/>
      <c r="M31" s="345" t="s">
        <v>865</v>
      </c>
      <c r="N31" s="472"/>
      <c r="O31" s="473"/>
      <c r="P31" s="472"/>
      <c r="R31" s="474" t="n">
        <v>1</v>
      </c>
      <c r="S31" s="474" t="n">
        <v>2.5</v>
      </c>
      <c r="T31" s="345" t="s">
        <v>865</v>
      </c>
      <c r="U31" s="470" t="str">
        <f aca="false">IF(D31="","",ROUND(4.184*D31+$S31*$T$9+$R31*$T$10,3))</f>
        <v/>
      </c>
      <c r="V31" s="470" t="str">
        <f aca="false">IF(E31="","",ROUND(4.184*E31,3))</f>
        <v/>
      </c>
      <c r="W31" s="470" t="str">
        <f aca="false">IF(F31="","",ROUND(4.184*F31,3))</f>
        <v/>
      </c>
      <c r="Y31" s="345" t="s">
        <v>865</v>
      </c>
      <c r="Z31" s="472"/>
      <c r="AA31" s="473"/>
      <c r="AB31" s="472"/>
      <c r="AC31" s="240"/>
      <c r="AD31" s="345" t="s">
        <v>865</v>
      </c>
      <c r="AE31" s="472"/>
      <c r="AF31" s="473"/>
      <c r="AG31" s="472"/>
      <c r="AI31" s="345" t="s">
        <v>865</v>
      </c>
      <c r="AJ31" s="294" t="str">
        <f aca="false">IF(D31="","",ROUND(D31+$S31*$AK$9+$R31*$AK$10,3))</f>
        <v/>
      </c>
      <c r="AK31" s="476" t="str">
        <f aca="false">IF(E31="","",ROUND(E31,3))</f>
        <v/>
      </c>
      <c r="AL31" s="475" t="str">
        <f aca="false">IF(F31="","",ROUND(F31,3))</f>
        <v/>
      </c>
      <c r="AN31" s="345" t="s">
        <v>865</v>
      </c>
      <c r="AO31" s="475" t="str">
        <f aca="false">IF(I31="","",ROUND(I31/4.184,3))</f>
        <v/>
      </c>
      <c r="AP31" s="476" t="str">
        <f aca="false">IF(J31="","",ROUND(J31/4.184,3))</f>
        <v/>
      </c>
      <c r="AQ31" s="475" t="str">
        <f aca="false">IF(K31="","",ROUND(K31/4.184,3))</f>
        <v/>
      </c>
      <c r="AR31" s="45"/>
      <c r="AS31" s="345" t="s">
        <v>865</v>
      </c>
      <c r="AT31" s="475" t="str">
        <f aca="false">IF(N31="","",ROUND(N31/4.184,3))</f>
        <v/>
      </c>
      <c r="AU31" s="476" t="str">
        <f aca="false">IF(O31="","",ROUND(O31/4.184,3))</f>
        <v/>
      </c>
      <c r="AV31" s="475" t="str">
        <f aca="false">IF(P31="","",ROUND(P31/4.184,3))</f>
        <v/>
      </c>
    </row>
    <row r="32" customFormat="false" ht="12.75" hidden="false" customHeight="false" outlineLevel="0" collapsed="false">
      <c r="C32" s="345" t="s">
        <v>872</v>
      </c>
      <c r="D32" s="472"/>
      <c r="E32" s="473"/>
      <c r="F32" s="472"/>
      <c r="G32" s="191"/>
      <c r="H32" s="345" t="s">
        <v>872</v>
      </c>
      <c r="I32" s="472"/>
      <c r="J32" s="473"/>
      <c r="K32" s="465"/>
      <c r="L32" s="191"/>
      <c r="M32" s="345" t="s">
        <v>872</v>
      </c>
      <c r="N32" s="472"/>
      <c r="O32" s="473"/>
      <c r="P32" s="472"/>
      <c r="R32" s="474" t="n">
        <v>-1</v>
      </c>
      <c r="S32" s="474" t="n">
        <v>2.5</v>
      </c>
      <c r="T32" s="345" t="s">
        <v>872</v>
      </c>
      <c r="U32" s="294" t="str">
        <f aca="false">IF(D32="","",ROUND(4.184*D32+$S32*$T$9+$R32*$T$10,3))</f>
        <v/>
      </c>
      <c r="V32" s="294" t="str">
        <f aca="false">IF(E32="","",ROUND(4.184*E32,3))</f>
        <v/>
      </c>
      <c r="W32" s="294" t="str">
        <f aca="false">IF(F32="","",ROUND(4.184*F32,3))</f>
        <v/>
      </c>
      <c r="Y32" s="345" t="s">
        <v>872</v>
      </c>
      <c r="Z32" s="472"/>
      <c r="AA32" s="473"/>
      <c r="AB32" s="465"/>
      <c r="AC32" s="191"/>
      <c r="AD32" s="345" t="s">
        <v>872</v>
      </c>
      <c r="AE32" s="472"/>
      <c r="AF32" s="473"/>
      <c r="AG32" s="472"/>
      <c r="AI32" s="345" t="s">
        <v>872</v>
      </c>
      <c r="AJ32" s="298" t="str">
        <f aca="false">IF(D32="","",ROUND(D32+$S32*$AK$9+$R32*$AK$10,3))</f>
        <v/>
      </c>
      <c r="AK32" s="480" t="str">
        <f aca="false">IF(E32="","",ROUND(E32,3))</f>
        <v/>
      </c>
      <c r="AL32" s="298" t="str">
        <f aca="false">IF(F32="","",ROUND(F32,3))</f>
        <v/>
      </c>
      <c r="AN32" s="345" t="s">
        <v>872</v>
      </c>
      <c r="AO32" s="298" t="str">
        <f aca="false">IF(I32="","",ROUND(I32/4.184,3))</f>
        <v/>
      </c>
      <c r="AP32" s="480" t="str">
        <f aca="false">IF(J32="","",ROUND(J32/4.184,3))</f>
        <v/>
      </c>
      <c r="AQ32" s="294" t="str">
        <f aca="false">IF(K32="","",ROUND(K32/4.184,3))</f>
        <v/>
      </c>
      <c r="AR32" s="191"/>
      <c r="AS32" s="345" t="s">
        <v>872</v>
      </c>
      <c r="AT32" s="298" t="str">
        <f aca="false">IF(N32="","",ROUND(N32/4.184,3))</f>
        <v/>
      </c>
      <c r="AU32" s="480" t="str">
        <f aca="false">IF(O32="","",ROUND(O32/4.184,3))</f>
        <v/>
      </c>
      <c r="AV32" s="298" t="str">
        <f aca="false">IF(P32="","",ROUND(P32/4.184,3))</f>
        <v/>
      </c>
    </row>
    <row r="33" customFormat="false" ht="12.75" hidden="false" customHeight="false" outlineLevel="0" collapsed="false">
      <c r="C33" s="345" t="s">
        <v>879</v>
      </c>
      <c r="D33" s="472"/>
      <c r="E33" s="473"/>
      <c r="F33" s="472"/>
      <c r="G33" s="240"/>
      <c r="H33" s="345" t="s">
        <v>879</v>
      </c>
      <c r="I33" s="292"/>
      <c r="J33" s="473"/>
      <c r="K33" s="472"/>
      <c r="L33" s="191"/>
      <c r="M33" s="345" t="s">
        <v>879</v>
      </c>
      <c r="N33" s="472"/>
      <c r="O33" s="473"/>
      <c r="P33" s="472"/>
      <c r="R33" s="474" t="n">
        <v>-2</v>
      </c>
      <c r="S33" s="474" t="n">
        <v>3</v>
      </c>
      <c r="T33" s="345" t="s">
        <v>879</v>
      </c>
      <c r="U33" s="294" t="str">
        <f aca="false">IF(D33="","",ROUND(4.184*D33+$S33*$T$9+$R33*$T$10,3))</f>
        <v/>
      </c>
      <c r="V33" s="294" t="str">
        <f aca="false">IF(E33="","",ROUND(4.184*E33,3))</f>
        <v/>
      </c>
      <c r="W33" s="294" t="str">
        <f aca="false">IF(F33="","",ROUND(4.184*F33,3))</f>
        <v/>
      </c>
      <c r="X33" s="10"/>
      <c r="Y33" s="345" t="s">
        <v>879</v>
      </c>
      <c r="Z33" s="292"/>
      <c r="AA33" s="473"/>
      <c r="AB33" s="472"/>
      <c r="AC33" s="191"/>
      <c r="AD33" s="345" t="s">
        <v>879</v>
      </c>
      <c r="AE33" s="472"/>
      <c r="AF33" s="473"/>
      <c r="AG33" s="472"/>
      <c r="AI33" s="345" t="s">
        <v>879</v>
      </c>
      <c r="AJ33" s="298" t="str">
        <f aca="false">IF(D33="","",ROUND(D33+$S33*$AK$9+$R33*$AK$10,3))</f>
        <v/>
      </c>
      <c r="AK33" s="480" t="str">
        <f aca="false">IF(E33="","",ROUND(E33,3))</f>
        <v/>
      </c>
      <c r="AL33" s="298" t="str">
        <f aca="false">IF(F33="","",ROUND(F33,3))</f>
        <v/>
      </c>
      <c r="AM33" s="10"/>
      <c r="AN33" s="345" t="s">
        <v>879</v>
      </c>
      <c r="AO33" s="294" t="str">
        <f aca="false">IF(I33="","",ROUND(I33/4.184,3))</f>
        <v/>
      </c>
      <c r="AP33" s="480" t="str">
        <f aca="false">IF(J33="","",ROUND(J33/4.184,3))</f>
        <v/>
      </c>
      <c r="AQ33" s="298" t="str">
        <f aca="false">IF(K33="","",ROUND(K33/4.184,3))</f>
        <v/>
      </c>
      <c r="AR33" s="191"/>
      <c r="AS33" s="345" t="s">
        <v>879</v>
      </c>
      <c r="AT33" s="298" t="str">
        <f aca="false">IF(N33="","",ROUND(N33/4.184,3))</f>
        <v/>
      </c>
      <c r="AU33" s="480" t="str">
        <f aca="false">IF(O33="","",ROUND(O33/4.184,3))</f>
        <v/>
      </c>
      <c r="AV33" s="298" t="str">
        <f aca="false">IF(P33="","",ROUND(P33/4.184,3))</f>
        <v/>
      </c>
    </row>
    <row r="34" customFormat="false" ht="12.75" hidden="false" customHeight="false" outlineLevel="0" collapsed="false">
      <c r="C34" s="345" t="s">
        <v>885</v>
      </c>
      <c r="D34" s="472"/>
      <c r="E34" s="473"/>
      <c r="F34" s="465"/>
      <c r="G34" s="240"/>
      <c r="H34" s="345" t="s">
        <v>885</v>
      </c>
      <c r="I34" s="472"/>
      <c r="J34" s="466"/>
      <c r="K34" s="472"/>
      <c r="L34" s="191"/>
      <c r="M34" s="345" t="s">
        <v>885</v>
      </c>
      <c r="N34" s="472"/>
      <c r="O34" s="466"/>
      <c r="P34" s="472"/>
      <c r="R34" s="474" t="n">
        <v>0</v>
      </c>
      <c r="S34" s="474" t="n">
        <v>1</v>
      </c>
      <c r="T34" s="345" t="s">
        <v>885</v>
      </c>
      <c r="U34" s="470" t="str">
        <f aca="false">IF(D34="","",ROUND(4.184*D34+$S34*$T$9+$R34*$T$10,3))</f>
        <v/>
      </c>
      <c r="V34" s="470" t="str">
        <f aca="false">IF(E34="","",ROUND(4.184*E34,3))</f>
        <v/>
      </c>
      <c r="W34" s="470" t="str">
        <f aca="false">IF(F34="","",ROUND(4.184*F34,3))</f>
        <v/>
      </c>
      <c r="X34" s="10"/>
      <c r="Y34" s="345" t="s">
        <v>885</v>
      </c>
      <c r="Z34" s="472"/>
      <c r="AA34" s="466"/>
      <c r="AB34" s="472"/>
      <c r="AC34" s="191"/>
      <c r="AD34" s="345" t="s">
        <v>885</v>
      </c>
      <c r="AE34" s="472"/>
      <c r="AF34" s="466"/>
      <c r="AG34" s="472"/>
      <c r="AI34" s="345" t="s">
        <v>885</v>
      </c>
      <c r="AJ34" s="298" t="str">
        <f aca="false">IF(D34="","",ROUND(D34+$S34*$AK$9+$R34*$AK$10,3))</f>
        <v/>
      </c>
      <c r="AK34" s="476" t="str">
        <f aca="false">IF(E34="","",ROUND(E34,3))</f>
        <v/>
      </c>
      <c r="AL34" s="470" t="str">
        <f aca="false">IF(F34="","",ROUND(F34,3))</f>
        <v/>
      </c>
      <c r="AM34" s="10"/>
      <c r="AN34" s="345" t="s">
        <v>885</v>
      </c>
      <c r="AO34" s="475" t="str">
        <f aca="false">IF(I34="","",ROUND(I34/4.184,3))</f>
        <v/>
      </c>
      <c r="AP34" s="471" t="str">
        <f aca="false">IF(J34="","",ROUND(J34/4.184,3))</f>
        <v/>
      </c>
      <c r="AQ34" s="475" t="str">
        <f aca="false">IF(K34="","",ROUND(K34/4.184,3))</f>
        <v/>
      </c>
      <c r="AR34" s="44"/>
      <c r="AS34" s="345" t="s">
        <v>885</v>
      </c>
      <c r="AT34" s="475" t="str">
        <f aca="false">IF(N34="","",ROUND(N34/4.184,3))</f>
        <v/>
      </c>
      <c r="AU34" s="471" t="str">
        <f aca="false">IF(O34="","",ROUND(O34/4.184,3))</f>
        <v/>
      </c>
      <c r="AV34" s="475" t="str">
        <f aca="false">IF(P34="","",ROUND(P34/4.184,3))</f>
        <v/>
      </c>
    </row>
    <row r="35" customFormat="false" ht="12.75" hidden="false" customHeight="false" outlineLevel="0" collapsed="false">
      <c r="B35" s="10"/>
      <c r="C35" s="345" t="s">
        <v>893</v>
      </c>
      <c r="D35" s="465"/>
      <c r="E35" s="473"/>
      <c r="F35" s="472"/>
      <c r="G35" s="240"/>
      <c r="H35" s="345" t="s">
        <v>893</v>
      </c>
      <c r="I35" s="472"/>
      <c r="J35" s="473"/>
      <c r="K35" s="472"/>
      <c r="L35" s="191"/>
      <c r="M35" s="345" t="s">
        <v>893</v>
      </c>
      <c r="N35" s="472"/>
      <c r="O35" s="473"/>
      <c r="P35" s="472"/>
      <c r="R35" s="474" t="n">
        <v>-2</v>
      </c>
      <c r="S35" s="474" t="n">
        <v>1.5</v>
      </c>
      <c r="T35" s="345" t="s">
        <v>893</v>
      </c>
      <c r="U35" s="470" t="str">
        <f aca="false">IF(D35="","",ROUND(4.184*D35+$S35*$T$9+$R35*$T$10,3))</f>
        <v/>
      </c>
      <c r="V35" s="470" t="str">
        <f aca="false">IF(E35="","",ROUND(4.184*E35,3))</f>
        <v/>
      </c>
      <c r="W35" s="470" t="str">
        <f aca="false">IF(F35="","",ROUND(4.184*F35,3))</f>
        <v/>
      </c>
      <c r="X35" s="10"/>
      <c r="Y35" s="345" t="s">
        <v>893</v>
      </c>
      <c r="Z35" s="472"/>
      <c r="AA35" s="473"/>
      <c r="AB35" s="472"/>
      <c r="AC35" s="191"/>
      <c r="AD35" s="345" t="s">
        <v>893</v>
      </c>
      <c r="AE35" s="472"/>
      <c r="AF35" s="473"/>
      <c r="AG35" s="472"/>
      <c r="AI35" s="345" t="s">
        <v>893</v>
      </c>
      <c r="AJ35" s="294" t="str">
        <f aca="false">IF(D35="","",ROUND(D35+$S35*$AK$9+$R35*$AK$10,3))</f>
        <v/>
      </c>
      <c r="AK35" s="476" t="str">
        <f aca="false">IF(E35="","",ROUND(E35,3))</f>
        <v/>
      </c>
      <c r="AL35" s="475" t="str">
        <f aca="false">IF(F35="","",ROUND(F35,3))</f>
        <v/>
      </c>
      <c r="AM35" s="10"/>
      <c r="AN35" s="345" t="s">
        <v>893</v>
      </c>
      <c r="AO35" s="475" t="str">
        <f aca="false">IF(I35="","",ROUND(I35/4.184,3))</f>
        <v/>
      </c>
      <c r="AP35" s="476" t="str">
        <f aca="false">IF(J35="","",ROUND(J35/4.184,3))</f>
        <v/>
      </c>
      <c r="AQ35" s="475" t="str">
        <f aca="false">IF(K35="","",ROUND(K35/4.184,3))</f>
        <v/>
      </c>
      <c r="AR35" s="44"/>
      <c r="AS35" s="345" t="s">
        <v>893</v>
      </c>
      <c r="AT35" s="475" t="str">
        <f aca="false">IF(N35="","",ROUND(N35/4.184,3))</f>
        <v/>
      </c>
      <c r="AU35" s="476" t="str">
        <f aca="false">IF(O35="","",ROUND(O35/4.184,3))</f>
        <v/>
      </c>
      <c r="AV35" s="475" t="str">
        <f aca="false">IF(P35="","",ROUND(P35/4.184,3))</f>
        <v/>
      </c>
    </row>
    <row r="36" customFormat="false" ht="12.75" hidden="false" customHeight="false" outlineLevel="0" collapsed="false">
      <c r="C36" s="345" t="s">
        <v>902</v>
      </c>
      <c r="D36" s="472"/>
      <c r="E36" s="473"/>
      <c r="F36" s="472"/>
      <c r="G36" s="191"/>
      <c r="H36" s="345" t="s">
        <v>902</v>
      </c>
      <c r="I36" s="472"/>
      <c r="J36" s="473"/>
      <c r="K36" s="472"/>
      <c r="L36" s="191"/>
      <c r="M36" s="345" t="s">
        <v>902</v>
      </c>
      <c r="N36" s="472"/>
      <c r="O36" s="473"/>
      <c r="P36" s="472"/>
      <c r="R36" s="474" t="n">
        <v>-1</v>
      </c>
      <c r="S36" s="474" t="n">
        <v>2</v>
      </c>
      <c r="T36" s="345" t="s">
        <v>902</v>
      </c>
      <c r="U36" s="470" t="str">
        <f aca="false">IF(D36="","",ROUND(4.184*D36+$S36*$T$9+$R36*$T$10,3))</f>
        <v/>
      </c>
      <c r="V36" s="470" t="str">
        <f aca="false">IF(E36="","",ROUND(4.184*E36,3))</f>
        <v/>
      </c>
      <c r="W36" s="470" t="str">
        <f aca="false">IF(F36="","",ROUND(4.184*F36,3))</f>
        <v/>
      </c>
      <c r="Y36" s="345" t="s">
        <v>902</v>
      </c>
      <c r="Z36" s="472"/>
      <c r="AA36" s="473"/>
      <c r="AB36" s="472"/>
      <c r="AC36" s="191"/>
      <c r="AD36" s="345" t="s">
        <v>902</v>
      </c>
      <c r="AE36" s="472"/>
      <c r="AF36" s="473"/>
      <c r="AG36" s="472"/>
      <c r="AI36" s="345" t="s">
        <v>902</v>
      </c>
      <c r="AJ36" s="298" t="str">
        <f aca="false">IF(D36="","",ROUND(D36+$S36*$AK$9+$R36*$AK$10,3))</f>
        <v/>
      </c>
      <c r="AK36" s="476" t="str">
        <f aca="false">IF(E36="","",ROUND(E36,3))</f>
        <v/>
      </c>
      <c r="AL36" s="475" t="str">
        <f aca="false">IF(F36="","",ROUND(F36,3))</f>
        <v/>
      </c>
      <c r="AN36" s="345" t="s">
        <v>902</v>
      </c>
      <c r="AO36" s="475" t="str">
        <f aca="false">IF(I36="","",ROUND(I36/4.184,3))</f>
        <v/>
      </c>
      <c r="AP36" s="476" t="str">
        <f aca="false">IF(J36="","",ROUND(J36/4.184,3))</f>
        <v/>
      </c>
      <c r="AQ36" s="475" t="str">
        <f aca="false">IF(K36="","",ROUND(K36/4.184,3))</f>
        <v/>
      </c>
      <c r="AR36" s="44"/>
      <c r="AS36" s="345" t="s">
        <v>902</v>
      </c>
      <c r="AT36" s="475" t="str">
        <f aca="false">IF(N36="","",ROUND(N36/4.184,3))</f>
        <v/>
      </c>
      <c r="AU36" s="476" t="str">
        <f aca="false">IF(O36="","",ROUND(O36/4.184,3))</f>
        <v/>
      </c>
      <c r="AV36" s="475" t="str">
        <f aca="false">IF(P36="","",ROUND(P36/4.184,3))</f>
        <v/>
      </c>
    </row>
    <row r="37" customFormat="false" ht="12.75" hidden="false" customHeight="false" outlineLevel="0" collapsed="false">
      <c r="B37" s="10"/>
      <c r="C37" s="345" t="s">
        <v>909</v>
      </c>
      <c r="D37" s="297"/>
      <c r="E37" s="477"/>
      <c r="F37" s="297"/>
      <c r="G37" s="240"/>
      <c r="H37" s="345" t="s">
        <v>909</v>
      </c>
      <c r="I37" s="472"/>
      <c r="J37" s="466"/>
      <c r="K37" s="465"/>
      <c r="L37" s="191"/>
      <c r="M37" s="345" t="s">
        <v>909</v>
      </c>
      <c r="N37" s="472"/>
      <c r="O37" s="473"/>
      <c r="P37" s="465"/>
      <c r="R37" s="474" t="n">
        <v>0</v>
      </c>
      <c r="S37" s="474" t="n">
        <v>4</v>
      </c>
      <c r="T37" s="345" t="s">
        <v>909</v>
      </c>
      <c r="U37" s="470" t="str">
        <f aca="false">IF(D37="","",ROUND(4.184*D37+$S37*$T$9+$R37*$T$10,3))</f>
        <v/>
      </c>
      <c r="V37" s="470" t="str">
        <f aca="false">IF(E37="","",ROUND(4.184*E37,3))</f>
        <v/>
      </c>
      <c r="W37" s="470" t="str">
        <f aca="false">IF(F37="","",ROUND(4.184*F37,3))</f>
        <v/>
      </c>
      <c r="X37" s="10"/>
      <c r="Y37" s="345" t="s">
        <v>909</v>
      </c>
      <c r="Z37" s="472"/>
      <c r="AA37" s="466"/>
      <c r="AB37" s="465"/>
      <c r="AC37" s="191"/>
      <c r="AD37" s="345" t="s">
        <v>909</v>
      </c>
      <c r="AE37" s="472"/>
      <c r="AF37" s="473"/>
      <c r="AG37" s="465"/>
      <c r="AI37" s="345" t="s">
        <v>909</v>
      </c>
      <c r="AJ37" s="298" t="str">
        <f aca="false">IF(D37="","",ROUND(D37+$S37*$AK$9+$R37*$AK$10,3))</f>
        <v/>
      </c>
      <c r="AK37" s="480" t="str">
        <f aca="false">IF(E37="","",ROUND(E37,3))</f>
        <v/>
      </c>
      <c r="AL37" s="298" t="str">
        <f aca="false">IF(F37="","",ROUND(F37,3))</f>
        <v/>
      </c>
      <c r="AM37" s="10"/>
      <c r="AN37" s="345" t="s">
        <v>909</v>
      </c>
      <c r="AO37" s="475" t="str">
        <f aca="false">IF(I37="","",ROUND(I37/4.184,3))</f>
        <v/>
      </c>
      <c r="AP37" s="471" t="str">
        <f aca="false">IF(J37="","",ROUND(J37/4.184,3))</f>
        <v/>
      </c>
      <c r="AQ37" s="470" t="str">
        <f aca="false">IF(K37="","",ROUND(K37/4.184,3))</f>
        <v/>
      </c>
      <c r="AR37" s="87"/>
      <c r="AS37" s="345" t="s">
        <v>909</v>
      </c>
      <c r="AT37" s="475" t="str">
        <f aca="false">IF(N37="","",ROUND(N37/4.184,3))</f>
        <v/>
      </c>
      <c r="AU37" s="476" t="str">
        <f aca="false">IF(O37="","",ROUND(O37/4.184,3))</f>
        <v/>
      </c>
      <c r="AV37" s="470" t="str">
        <f aca="false">IF(P37="","",ROUND(P37/4.184,3))</f>
        <v/>
      </c>
    </row>
    <row r="38" customFormat="false" ht="12.75" hidden="false" customHeight="false" outlineLevel="0" collapsed="false">
      <c r="B38" s="10"/>
      <c r="C38" s="345" t="s">
        <v>916</v>
      </c>
      <c r="D38" s="472"/>
      <c r="E38" s="473"/>
      <c r="F38" s="472"/>
      <c r="G38" s="240"/>
      <c r="H38" s="345" t="s">
        <v>916</v>
      </c>
      <c r="I38" s="472"/>
      <c r="J38" s="473"/>
      <c r="K38" s="472"/>
      <c r="L38" s="191"/>
      <c r="M38" s="345" t="s">
        <v>916</v>
      </c>
      <c r="N38" s="472"/>
      <c r="O38" s="473"/>
      <c r="P38" s="472"/>
      <c r="R38" s="474" t="n">
        <v>0</v>
      </c>
      <c r="S38" s="474" t="n">
        <v>3</v>
      </c>
      <c r="T38" s="345" t="s">
        <v>916</v>
      </c>
      <c r="U38" s="470" t="str">
        <f aca="false">IF(D38="","",ROUND(4.184*D38+$S38*$T$9+$R38*$T$10,3))</f>
        <v/>
      </c>
      <c r="V38" s="470" t="str">
        <f aca="false">IF(E38="","",ROUND(4.184*E38,3))</f>
        <v/>
      </c>
      <c r="W38" s="470" t="str">
        <f aca="false">IF(F38="","",ROUND(4.184*F38,3))</f>
        <v/>
      </c>
      <c r="X38" s="10"/>
      <c r="Y38" s="345" t="s">
        <v>916</v>
      </c>
      <c r="Z38" s="472"/>
      <c r="AA38" s="473"/>
      <c r="AB38" s="472"/>
      <c r="AC38" s="191"/>
      <c r="AD38" s="345" t="s">
        <v>916</v>
      </c>
      <c r="AE38" s="472"/>
      <c r="AF38" s="473"/>
      <c r="AG38" s="472"/>
      <c r="AI38" s="345" t="s">
        <v>916</v>
      </c>
      <c r="AJ38" s="475" t="str">
        <f aca="false">IF(D38="","",ROUND(D38+$S38*$AK$9+$R38*$AK$10,3))</f>
        <v/>
      </c>
      <c r="AK38" s="476" t="str">
        <f aca="false">IF(E38="","",ROUND(E38,3))</f>
        <v/>
      </c>
      <c r="AL38" s="475" t="str">
        <f aca="false">IF(F38="","",ROUND(F38,3))</f>
        <v/>
      </c>
      <c r="AM38" s="10"/>
      <c r="AN38" s="345" t="s">
        <v>916</v>
      </c>
      <c r="AO38" s="475" t="str">
        <f aca="false">IF(I38="","",ROUND(I38/4.184,3))</f>
        <v/>
      </c>
      <c r="AP38" s="476" t="str">
        <f aca="false">IF(J38="","",ROUND(J38/4.184,3))</f>
        <v/>
      </c>
      <c r="AQ38" s="475" t="str">
        <f aca="false">IF(K38="","",ROUND(K38/4.184,3))</f>
        <v/>
      </c>
      <c r="AR38" s="44"/>
      <c r="AS38" s="345" t="s">
        <v>916</v>
      </c>
      <c r="AT38" s="475" t="str">
        <f aca="false">IF(N38="","",ROUND(N38/4.184,3))</f>
        <v/>
      </c>
      <c r="AU38" s="476" t="str">
        <f aca="false">IF(O38="","",ROUND(O38/4.184,3))</f>
        <v/>
      </c>
      <c r="AV38" s="475" t="str">
        <f aca="false">IF(P38="","",ROUND(P38/4.184,3))</f>
        <v/>
      </c>
    </row>
    <row r="39" customFormat="false" ht="12.75" hidden="false" customHeight="false" outlineLevel="0" collapsed="false">
      <c r="B39" s="10"/>
      <c r="C39" s="345" t="s">
        <v>923</v>
      </c>
      <c r="D39" s="472"/>
      <c r="E39" s="473"/>
      <c r="F39" s="472"/>
      <c r="G39" s="240"/>
      <c r="H39" s="345" t="s">
        <v>923</v>
      </c>
      <c r="I39" s="472"/>
      <c r="J39" s="473"/>
      <c r="K39" s="472"/>
      <c r="L39" s="191"/>
      <c r="M39" s="345" t="s">
        <v>923</v>
      </c>
      <c r="N39" s="472"/>
      <c r="O39" s="473"/>
      <c r="P39" s="472"/>
      <c r="R39" s="474" t="n">
        <v>-1</v>
      </c>
      <c r="S39" s="474" t="n">
        <v>4</v>
      </c>
      <c r="T39" s="345" t="s">
        <v>923</v>
      </c>
      <c r="U39" s="470" t="str">
        <f aca="false">IF(D39="","",ROUND(4.184*D39+$S39*$T$9+$R39*$T$10,3))</f>
        <v/>
      </c>
      <c r="V39" s="470" t="str">
        <f aca="false">IF(E39="","",ROUND(4.184*E39,3))</f>
        <v/>
      </c>
      <c r="W39" s="470" t="str">
        <f aca="false">IF(F39="","",ROUND(4.184*F39,3))</f>
        <v/>
      </c>
      <c r="X39" s="10"/>
      <c r="Y39" s="345" t="s">
        <v>923</v>
      </c>
      <c r="Z39" s="472"/>
      <c r="AA39" s="473"/>
      <c r="AB39" s="472"/>
      <c r="AC39" s="191"/>
      <c r="AD39" s="345" t="s">
        <v>923</v>
      </c>
      <c r="AE39" s="472"/>
      <c r="AF39" s="473"/>
      <c r="AG39" s="472"/>
      <c r="AI39" s="345" t="s">
        <v>923</v>
      </c>
      <c r="AJ39" s="294" t="str">
        <f aca="false">IF(D39="","",ROUND(D39+$S39*$AK$9+$R39*$AK$10,3))</f>
        <v/>
      </c>
      <c r="AK39" s="480" t="str">
        <f aca="false">IF(E39="","",ROUND(E39,3))</f>
        <v/>
      </c>
      <c r="AL39" s="298" t="str">
        <f aca="false">IF(F39="","",ROUND(F39,3))</f>
        <v/>
      </c>
      <c r="AM39" s="10"/>
      <c r="AN39" s="345" t="s">
        <v>923</v>
      </c>
      <c r="AO39" s="475" t="str">
        <f aca="false">IF(I39="","",ROUND(I39/4.184,3))</f>
        <v/>
      </c>
      <c r="AP39" s="476" t="str">
        <f aca="false">IF(J39="","",ROUND(J39/4.184,3))</f>
        <v/>
      </c>
      <c r="AQ39" s="475" t="str">
        <f aca="false">IF(K39="","",ROUND(K39/4.184,3))</f>
        <v/>
      </c>
      <c r="AR39" s="44"/>
      <c r="AS39" s="345" t="s">
        <v>923</v>
      </c>
      <c r="AT39" s="475" t="str">
        <f aca="false">IF(N39="","",ROUND(N39/4.184,3))</f>
        <v/>
      </c>
      <c r="AU39" s="476" t="str">
        <f aca="false">IF(O39="","",ROUND(O39/4.184,3))</f>
        <v/>
      </c>
      <c r="AV39" s="475" t="str">
        <f aca="false">IF(P39="","",ROUND(P39/4.184,3))</f>
        <v/>
      </c>
    </row>
    <row r="40" customFormat="false" ht="12.75" hidden="false" customHeight="false" outlineLevel="0" collapsed="false">
      <c r="C40" s="345" t="s">
        <v>924</v>
      </c>
      <c r="D40" s="465"/>
      <c r="E40" s="473"/>
      <c r="F40" s="472"/>
      <c r="G40" s="191"/>
      <c r="H40" s="345" t="s">
        <v>924</v>
      </c>
      <c r="I40" s="465"/>
      <c r="J40" s="466"/>
      <c r="K40" s="472"/>
      <c r="L40" s="191"/>
      <c r="M40" s="345" t="s">
        <v>924</v>
      </c>
      <c r="N40" s="465"/>
      <c r="O40" s="466"/>
      <c r="P40" s="472"/>
      <c r="R40" s="474" t="n">
        <v>3</v>
      </c>
      <c r="S40" s="474" t="n">
        <v>0</v>
      </c>
      <c r="T40" s="345" t="s">
        <v>924</v>
      </c>
      <c r="U40" s="470" t="str">
        <f aca="false">IF(D40="","",ROUND(4.184*D40+$S40*$T$9+$R40*$T$10,3))</f>
        <v/>
      </c>
      <c r="V40" s="470" t="str">
        <f aca="false">IF(E40="","",ROUND(4.184*E40,3))</f>
        <v/>
      </c>
      <c r="W40" s="470" t="str">
        <f aca="false">IF(F40="","",ROUND(4.184*F40,3))</f>
        <v/>
      </c>
      <c r="Y40" s="345" t="s">
        <v>924</v>
      </c>
      <c r="Z40" s="465"/>
      <c r="AA40" s="466"/>
      <c r="AB40" s="472"/>
      <c r="AC40" s="191"/>
      <c r="AD40" s="345" t="s">
        <v>924</v>
      </c>
      <c r="AE40" s="465"/>
      <c r="AF40" s="466"/>
      <c r="AG40" s="472"/>
      <c r="AI40" s="345" t="s">
        <v>924</v>
      </c>
      <c r="AJ40" s="294" t="str">
        <f aca="false">IF(D40="","",ROUND(D40+$S40*$AK$9+$R40*$AK$10,3))</f>
        <v/>
      </c>
      <c r="AK40" s="480" t="str">
        <f aca="false">IF(E40="","",ROUND(E40,3))</f>
        <v/>
      </c>
      <c r="AL40" s="298" t="str">
        <f aca="false">IF(F40="","",ROUND(F40,3))</f>
        <v/>
      </c>
      <c r="AN40" s="345" t="s">
        <v>924</v>
      </c>
      <c r="AO40" s="470" t="str">
        <f aca="false">IF(I40="","",ROUND(I40/4.184,3))</f>
        <v/>
      </c>
      <c r="AP40" s="471" t="str">
        <f aca="false">IF(J40="","",ROUND(J40/4.184,3))</f>
        <v/>
      </c>
      <c r="AQ40" s="475" t="str">
        <f aca="false">IF(K40="","",ROUND(K40/4.184,3))</f>
        <v/>
      </c>
      <c r="AR40" s="44"/>
      <c r="AS40" s="345" t="s">
        <v>924</v>
      </c>
      <c r="AT40" s="470" t="str">
        <f aca="false">IF(N40="","",ROUND(N40/4.184,3))</f>
        <v/>
      </c>
      <c r="AU40" s="471" t="str">
        <f aca="false">IF(O40="","",ROUND(O40/4.184,3))</f>
        <v/>
      </c>
      <c r="AV40" s="475" t="str">
        <f aca="false">IF(P40="","",ROUND(P40/4.184,3))</f>
        <v/>
      </c>
    </row>
    <row r="41" customFormat="false" ht="12.75" hidden="false" customHeight="false" outlineLevel="0" collapsed="false">
      <c r="C41" s="345" t="s">
        <v>933</v>
      </c>
      <c r="D41" s="297"/>
      <c r="E41" s="477"/>
      <c r="F41" s="297"/>
      <c r="G41" s="191"/>
      <c r="H41" s="345" t="s">
        <v>933</v>
      </c>
      <c r="I41" s="472"/>
      <c r="J41" s="473"/>
      <c r="K41" s="465"/>
      <c r="L41" s="191"/>
      <c r="M41" s="345" t="s">
        <v>933</v>
      </c>
      <c r="N41" s="472"/>
      <c r="O41" s="473"/>
      <c r="P41" s="472"/>
      <c r="R41" s="474" t="n">
        <v>-1</v>
      </c>
      <c r="S41" s="474" t="n">
        <v>4</v>
      </c>
      <c r="T41" s="345" t="s">
        <v>933</v>
      </c>
      <c r="U41" s="470" t="str">
        <f aca="false">IF(D41="","",ROUND(4.184*D41+$S41*$T$9+$R41*$T$10,3))</f>
        <v/>
      </c>
      <c r="V41" s="470" t="str">
        <f aca="false">IF(E41="","",ROUND(4.184*E41,3))</f>
        <v/>
      </c>
      <c r="W41" s="470" t="str">
        <f aca="false">IF(F41="","",ROUND(4.184*F41,3))</f>
        <v/>
      </c>
      <c r="Y41" s="345" t="s">
        <v>933</v>
      </c>
      <c r="Z41" s="472"/>
      <c r="AA41" s="473"/>
      <c r="AB41" s="465"/>
      <c r="AC41" s="191"/>
      <c r="AD41" s="345" t="s">
        <v>933</v>
      </c>
      <c r="AE41" s="472"/>
      <c r="AF41" s="473"/>
      <c r="AG41" s="472"/>
      <c r="AI41" s="345" t="s">
        <v>933</v>
      </c>
      <c r="AJ41" s="298" t="str">
        <f aca="false">IF(D41="","",ROUND(D41+$S41*$AK$9+$R41*$AK$10,3))</f>
        <v/>
      </c>
      <c r="AK41" s="551" t="str">
        <f aca="false">IF(E41="","",ROUND(E41,3))</f>
        <v/>
      </c>
      <c r="AL41" s="298" t="str">
        <f aca="false">IF(F41="","",ROUND(F41,3))</f>
        <v/>
      </c>
      <c r="AN41" s="345" t="s">
        <v>933</v>
      </c>
      <c r="AO41" s="475" t="str">
        <f aca="false">IF(I41="","",ROUND(I41/4.184,3))</f>
        <v/>
      </c>
      <c r="AP41" s="476" t="str">
        <f aca="false">IF(J41="","",ROUND(J41/4.184,3))</f>
        <v/>
      </c>
      <c r="AQ41" s="470" t="str">
        <f aca="false">IF(K41="","",ROUND(K41/4.184,3))</f>
        <v/>
      </c>
      <c r="AR41" s="44"/>
      <c r="AS41" s="345" t="s">
        <v>933</v>
      </c>
      <c r="AT41" s="475" t="str">
        <f aca="false">IF(N41="","",ROUND(N41/4.184,3))</f>
        <v/>
      </c>
      <c r="AU41" s="476" t="str">
        <f aca="false">IF(O41="","",ROUND(O41/4.184,3))</f>
        <v/>
      </c>
      <c r="AV41" s="475" t="str">
        <f aca="false">IF(P41="","",ROUND(P41/4.184,3))</f>
        <v/>
      </c>
    </row>
    <row r="42" customFormat="false" ht="12.75" hidden="false" customHeight="false" outlineLevel="0" collapsed="false">
      <c r="C42" s="138" t="s">
        <v>934</v>
      </c>
      <c r="D42" s="472"/>
      <c r="E42" s="473"/>
      <c r="F42" s="472"/>
      <c r="G42" s="191"/>
      <c r="H42" s="138" t="s">
        <v>934</v>
      </c>
      <c r="I42" s="465"/>
      <c r="J42" s="466"/>
      <c r="K42" s="465"/>
      <c r="L42" s="191"/>
      <c r="M42" s="138" t="s">
        <v>934</v>
      </c>
      <c r="N42" s="465"/>
      <c r="O42" s="466"/>
      <c r="P42" s="465"/>
      <c r="R42" s="474" t="n">
        <v>2</v>
      </c>
      <c r="S42" s="474" t="n">
        <v>0</v>
      </c>
      <c r="T42" s="138" t="s">
        <v>934</v>
      </c>
      <c r="U42" s="470" t="str">
        <f aca="false">IF(D42="","",ROUND(4.184*D42+$S42*$T$9+$R42*$T$10,3))</f>
        <v/>
      </c>
      <c r="V42" s="470" t="str">
        <f aca="false">IF(E42="","",ROUND(4.184*E42,3))</f>
        <v/>
      </c>
      <c r="W42" s="470" t="str">
        <f aca="false">IF(F42="","",ROUND(4.184*F42,3))</f>
        <v/>
      </c>
      <c r="Y42" s="138" t="s">
        <v>934</v>
      </c>
      <c r="Z42" s="465"/>
      <c r="AA42" s="466"/>
      <c r="AB42" s="465"/>
      <c r="AC42" s="191"/>
      <c r="AD42" s="138" t="s">
        <v>934</v>
      </c>
      <c r="AE42" s="465"/>
      <c r="AF42" s="466"/>
      <c r="AG42" s="465"/>
      <c r="AI42" s="138" t="s">
        <v>934</v>
      </c>
      <c r="AJ42" s="475" t="str">
        <f aca="false">IF(D42="","",ROUND(D42+$S42*$AK$9+$R42*$AK$10,3))</f>
        <v/>
      </c>
      <c r="AK42" s="476" t="str">
        <f aca="false">IF(E42="","",ROUND(E42,3))</f>
        <v/>
      </c>
      <c r="AL42" s="475" t="str">
        <f aca="false">IF(F42="","",ROUND(F42,3))</f>
        <v/>
      </c>
      <c r="AN42" s="138" t="s">
        <v>934</v>
      </c>
      <c r="AO42" s="470" t="str">
        <f aca="false">IF(I42="","",ROUND(I42/4.184,3))</f>
        <v/>
      </c>
      <c r="AP42" s="471" t="str">
        <f aca="false">IF(J42="","",ROUND(J42/4.184,3))</f>
        <v/>
      </c>
      <c r="AQ42" s="470" t="str">
        <f aca="false">IF(K42="","",ROUND(K42/4.184,3))</f>
        <v/>
      </c>
      <c r="AR42" s="44"/>
      <c r="AS42" s="138" t="s">
        <v>934</v>
      </c>
      <c r="AT42" s="470" t="str">
        <f aca="false">IF(N42="","",ROUND(N42/4.184,3))</f>
        <v/>
      </c>
      <c r="AU42" s="471" t="str">
        <f aca="false">IF(O42="","",ROUND(O42/4.184,3))</f>
        <v/>
      </c>
      <c r="AV42" s="470" t="str">
        <f aca="false">IF(P42="","",ROUND(P42/4.184,3))</f>
        <v/>
      </c>
    </row>
    <row r="43" customFormat="false" ht="12.75" hidden="false" customHeight="false" outlineLevel="0" collapsed="false">
      <c r="B43" s="10"/>
      <c r="C43" s="345" t="s">
        <v>941</v>
      </c>
      <c r="D43" s="465"/>
      <c r="E43" s="466"/>
      <c r="F43" s="472"/>
      <c r="G43" s="240"/>
      <c r="H43" s="345" t="s">
        <v>941</v>
      </c>
      <c r="I43" s="472"/>
      <c r="J43" s="473"/>
      <c r="K43" s="472"/>
      <c r="L43" s="191"/>
      <c r="M43" s="345" t="s">
        <v>941</v>
      </c>
      <c r="N43" s="465"/>
      <c r="O43" s="473"/>
      <c r="P43" s="472"/>
      <c r="R43" s="474" t="n">
        <v>2</v>
      </c>
      <c r="S43" s="474" t="n">
        <v>0</v>
      </c>
      <c r="T43" s="345" t="s">
        <v>941</v>
      </c>
      <c r="U43" s="470" t="str">
        <f aca="false">IF(D43="","",ROUND(4.184*D43+$S43*$T$9+$R43*$T$10,3))</f>
        <v/>
      </c>
      <c r="V43" s="470" t="str">
        <f aca="false">IF(E43="","",ROUND(4.184*E43,3))</f>
        <v/>
      </c>
      <c r="W43" s="470" t="str">
        <f aca="false">IF(F43="","",ROUND(4.184*F43,3))</f>
        <v/>
      </c>
      <c r="X43" s="10"/>
      <c r="Y43" s="345" t="s">
        <v>941</v>
      </c>
      <c r="Z43" s="472"/>
      <c r="AA43" s="473"/>
      <c r="AB43" s="472"/>
      <c r="AC43" s="191"/>
      <c r="AD43" s="345" t="s">
        <v>941</v>
      </c>
      <c r="AE43" s="465"/>
      <c r="AF43" s="473"/>
      <c r="AG43" s="472"/>
      <c r="AI43" s="345" t="s">
        <v>941</v>
      </c>
      <c r="AJ43" s="470" t="str">
        <f aca="false">IF(D43="","",ROUND(D43+$S43*$AK$9+$R43*$AK$10,3))</f>
        <v/>
      </c>
      <c r="AK43" s="471" t="str">
        <f aca="false">IF(E43="","",ROUND(E43,3))</f>
        <v/>
      </c>
      <c r="AL43" s="475" t="str">
        <f aca="false">IF(F43="","",ROUND(F43,3))</f>
        <v/>
      </c>
      <c r="AM43" s="10"/>
      <c r="AN43" s="345" t="s">
        <v>941</v>
      </c>
      <c r="AO43" s="475" t="str">
        <f aca="false">IF(I43="","",ROUND(I43/4.184,3))</f>
        <v/>
      </c>
      <c r="AP43" s="476" t="str">
        <f aca="false">IF(J43="","",ROUND(J43/4.184,3))</f>
        <v/>
      </c>
      <c r="AQ43" s="475" t="str">
        <f aca="false">IF(K43="","",ROUND(K43/4.184,3))</f>
        <v/>
      </c>
      <c r="AR43" s="44"/>
      <c r="AS43" s="345" t="s">
        <v>941</v>
      </c>
      <c r="AT43" s="470" t="str">
        <f aca="false">IF(N43="","",ROUND(N43/4.184,3))</f>
        <v/>
      </c>
      <c r="AU43" s="476" t="str">
        <f aca="false">IF(O43="","",ROUND(O43/4.184,3))</f>
        <v/>
      </c>
      <c r="AV43" s="475" t="str">
        <f aca="false">IF(P43="","",ROUND(P43/4.184,3))</f>
        <v/>
      </c>
    </row>
    <row r="44" customFormat="false" ht="12.75" hidden="false" customHeight="false" outlineLevel="0" collapsed="false">
      <c r="B44" s="10"/>
      <c r="C44" s="345" t="s">
        <v>948</v>
      </c>
      <c r="D44" s="472"/>
      <c r="E44" s="473"/>
      <c r="F44" s="472"/>
      <c r="G44" s="240"/>
      <c r="H44" s="345" t="s">
        <v>948</v>
      </c>
      <c r="I44" s="472"/>
      <c r="J44" s="473"/>
      <c r="K44" s="472"/>
      <c r="L44" s="191"/>
      <c r="M44" s="345" t="s">
        <v>948</v>
      </c>
      <c r="N44" s="472"/>
      <c r="O44" s="473"/>
      <c r="P44" s="472"/>
      <c r="R44" s="474" t="n">
        <v>3</v>
      </c>
      <c r="S44" s="474" t="n">
        <v>0</v>
      </c>
      <c r="T44" s="345" t="s">
        <v>948</v>
      </c>
      <c r="U44" s="470" t="str">
        <f aca="false">IF(D44="","",ROUND(4.184*D44+$S44*$T$9+$R44*$T$10,3))</f>
        <v/>
      </c>
      <c r="V44" s="470" t="str">
        <f aca="false">IF(E44="","",ROUND(4.184*E44,3))</f>
        <v/>
      </c>
      <c r="W44" s="470" t="str">
        <f aca="false">IF(F44="","",ROUND(4.184*F44,3))</f>
        <v/>
      </c>
      <c r="X44" s="10"/>
      <c r="Y44" s="345" t="s">
        <v>948</v>
      </c>
      <c r="Z44" s="472"/>
      <c r="AA44" s="473"/>
      <c r="AB44" s="472"/>
      <c r="AC44" s="191"/>
      <c r="AD44" s="345" t="s">
        <v>948</v>
      </c>
      <c r="AE44" s="472"/>
      <c r="AF44" s="473"/>
      <c r="AG44" s="472"/>
      <c r="AI44" s="345" t="s">
        <v>948</v>
      </c>
      <c r="AJ44" s="475" t="str">
        <f aca="false">IF(D44="","",ROUND(D44+$S44*$AK$9+$R44*$AK$10,3))</f>
        <v/>
      </c>
      <c r="AK44" s="476" t="str">
        <f aca="false">IF(E44="","",ROUND(E44,3))</f>
        <v/>
      </c>
      <c r="AL44" s="475" t="str">
        <f aca="false">IF(F44="","",ROUND(F44,3))</f>
        <v/>
      </c>
      <c r="AM44" s="10"/>
      <c r="AN44" s="345" t="s">
        <v>948</v>
      </c>
      <c r="AO44" s="475" t="str">
        <f aca="false">IF(I44="","",ROUND(I44/4.184,3))</f>
        <v/>
      </c>
      <c r="AP44" s="476" t="str">
        <f aca="false">IF(J44="","",ROUND(J44/4.184,3))</f>
        <v/>
      </c>
      <c r="AQ44" s="475" t="str">
        <f aca="false">IF(K44="","",ROUND(K44/4.184,3))</f>
        <v/>
      </c>
      <c r="AR44" s="44"/>
      <c r="AS44" s="345" t="s">
        <v>948</v>
      </c>
      <c r="AT44" s="475" t="str">
        <f aca="false">IF(N44="","",ROUND(N44/4.184,3))</f>
        <v/>
      </c>
      <c r="AU44" s="476" t="str">
        <f aca="false">IF(O44="","",ROUND(O44/4.184,3))</f>
        <v/>
      </c>
      <c r="AV44" s="475" t="str">
        <f aca="false">IF(P44="","",ROUND(P44/4.184,3))</f>
        <v/>
      </c>
    </row>
    <row r="45" customFormat="false" ht="12.75" hidden="false" customHeight="false" outlineLevel="0" collapsed="false">
      <c r="C45" s="345" t="s">
        <v>954</v>
      </c>
      <c r="D45" s="472"/>
      <c r="E45" s="473"/>
      <c r="F45" s="472"/>
      <c r="G45" s="191"/>
      <c r="H45" s="345" t="s">
        <v>954</v>
      </c>
      <c r="I45" s="472"/>
      <c r="J45" s="473"/>
      <c r="K45" s="465"/>
      <c r="L45" s="191"/>
      <c r="M45" s="345" t="s">
        <v>954</v>
      </c>
      <c r="N45" s="472"/>
      <c r="O45" s="473"/>
      <c r="P45" s="472"/>
      <c r="R45" s="474" t="n">
        <v>2</v>
      </c>
      <c r="S45" s="474" t="n">
        <v>0</v>
      </c>
      <c r="T45" s="345" t="s">
        <v>954</v>
      </c>
      <c r="U45" s="470" t="str">
        <f aca="false">IF(D45="","",ROUND(4.184*D45+$S45*$T$9+$R45*$T$10,3))</f>
        <v/>
      </c>
      <c r="V45" s="470" t="str">
        <f aca="false">IF(E45="","",ROUND(4.184*E45,3))</f>
        <v/>
      </c>
      <c r="W45" s="470" t="str">
        <f aca="false">IF(F45="","",ROUND(4.184*F45,3))</f>
        <v/>
      </c>
      <c r="Y45" s="345" t="s">
        <v>954</v>
      </c>
      <c r="Z45" s="472"/>
      <c r="AA45" s="473"/>
      <c r="AB45" s="465"/>
      <c r="AC45" s="191"/>
      <c r="AD45" s="345" t="s">
        <v>954</v>
      </c>
      <c r="AE45" s="472"/>
      <c r="AF45" s="473"/>
      <c r="AG45" s="472"/>
      <c r="AI45" s="345" t="s">
        <v>954</v>
      </c>
      <c r="AJ45" s="475" t="str">
        <f aca="false">IF(D45="","",ROUND(D45+$S45*$AK$9+$R45*$AK$10,3))</f>
        <v/>
      </c>
      <c r="AK45" s="476" t="str">
        <f aca="false">IF(E45="","",ROUND(E45,3))</f>
        <v/>
      </c>
      <c r="AL45" s="475" t="str">
        <f aca="false">IF(F45="","",ROUND(F45,3))</f>
        <v/>
      </c>
      <c r="AN45" s="345" t="s">
        <v>954</v>
      </c>
      <c r="AO45" s="475" t="str">
        <f aca="false">IF(I45="","",ROUND(I45/4.184,3))</f>
        <v/>
      </c>
      <c r="AP45" s="476" t="str">
        <f aca="false">IF(J45="","",ROUND(J45/4.184,3))</f>
        <v/>
      </c>
      <c r="AQ45" s="470" t="str">
        <f aca="false">IF(K45="","",ROUND(K45/4.184,3))</f>
        <v/>
      </c>
      <c r="AR45" s="44"/>
      <c r="AS45" s="345" t="s">
        <v>954</v>
      </c>
      <c r="AT45" s="475" t="str">
        <f aca="false">IF(N45="","",ROUND(N45/4.184,3))</f>
        <v/>
      </c>
      <c r="AU45" s="476" t="str">
        <f aca="false">IF(O45="","",ROUND(O45/4.184,3))</f>
        <v/>
      </c>
      <c r="AV45" s="475" t="str">
        <f aca="false">IF(P45="","",ROUND(P45/4.184,3))</f>
        <v/>
      </c>
    </row>
    <row r="46" customFormat="false" ht="12.75" hidden="false" customHeight="false" outlineLevel="0" collapsed="false">
      <c r="C46" s="345" t="s">
        <v>963</v>
      </c>
      <c r="D46" s="472"/>
      <c r="E46" s="473"/>
      <c r="F46" s="472"/>
      <c r="G46" s="191"/>
      <c r="H46" s="345" t="s">
        <v>963</v>
      </c>
      <c r="I46" s="465"/>
      <c r="J46" s="473"/>
      <c r="K46" s="472"/>
      <c r="L46" s="191"/>
      <c r="M46" s="345" t="s">
        <v>963</v>
      </c>
      <c r="N46" s="472"/>
      <c r="O46" s="473"/>
      <c r="P46" s="472"/>
      <c r="R46" s="474" t="n">
        <v>2</v>
      </c>
      <c r="S46" s="474" t="n">
        <v>0</v>
      </c>
      <c r="T46" s="345" t="s">
        <v>963</v>
      </c>
      <c r="U46" s="470" t="str">
        <f aca="false">IF(D46="","",ROUND(4.184*D46+$S46*$T$9+$R46*$T$10,3))</f>
        <v/>
      </c>
      <c r="V46" s="470" t="str">
        <f aca="false">IF(E46="","",ROUND(4.184*E46,3))</f>
        <v/>
      </c>
      <c r="W46" s="470" t="str">
        <f aca="false">IF(F46="","",ROUND(4.184*F46,3))</f>
        <v/>
      </c>
      <c r="Y46" s="345" t="s">
        <v>963</v>
      </c>
      <c r="Z46" s="465"/>
      <c r="AA46" s="473"/>
      <c r="AB46" s="472"/>
      <c r="AC46" s="191"/>
      <c r="AD46" s="345" t="s">
        <v>963</v>
      </c>
      <c r="AE46" s="472"/>
      <c r="AF46" s="473"/>
      <c r="AG46" s="472"/>
      <c r="AI46" s="345" t="s">
        <v>963</v>
      </c>
      <c r="AJ46" s="475" t="str">
        <f aca="false">IF(D46="","",ROUND(D46+$S46*$AK$9+$R46*$AK$10,3))</f>
        <v/>
      </c>
      <c r="AK46" s="476" t="str">
        <f aca="false">IF(E46="","",ROUND(E46,3))</f>
        <v/>
      </c>
      <c r="AL46" s="475" t="str">
        <f aca="false">IF(F46="","",ROUND(F46,3))</f>
        <v/>
      </c>
      <c r="AN46" s="345" t="s">
        <v>963</v>
      </c>
      <c r="AO46" s="470" t="str">
        <f aca="false">IF(I46="","",ROUND(I46/4.184,3))</f>
        <v/>
      </c>
      <c r="AP46" s="476" t="str">
        <f aca="false">IF(J46="","",ROUND(J46/4.184,3))</f>
        <v/>
      </c>
      <c r="AQ46" s="475" t="str">
        <f aca="false">IF(K46="","",ROUND(K46/4.184,3))</f>
        <v/>
      </c>
      <c r="AR46" s="44"/>
      <c r="AS46" s="345" t="s">
        <v>963</v>
      </c>
      <c r="AT46" s="475" t="str">
        <f aca="false">IF(N46="","",ROUND(N46/4.184,3))</f>
        <v/>
      </c>
      <c r="AU46" s="476" t="str">
        <f aca="false">IF(O46="","",ROUND(O46/4.184,3))</f>
        <v/>
      </c>
      <c r="AV46" s="475" t="str">
        <f aca="false">IF(P46="","",ROUND(P46/4.184,3))</f>
        <v/>
      </c>
    </row>
    <row r="47" customFormat="false" ht="12.75" hidden="false" customHeight="false" outlineLevel="0" collapsed="false">
      <c r="C47" s="345" t="s">
        <v>970</v>
      </c>
      <c r="D47" s="472"/>
      <c r="E47" s="473"/>
      <c r="F47" s="472"/>
      <c r="G47" s="240"/>
      <c r="H47" s="345" t="s">
        <v>970</v>
      </c>
      <c r="I47" s="472"/>
      <c r="J47" s="473"/>
      <c r="K47" s="472"/>
      <c r="L47" s="191"/>
      <c r="M47" s="345" t="s">
        <v>970</v>
      </c>
      <c r="N47" s="472"/>
      <c r="O47" s="466"/>
      <c r="P47" s="472"/>
      <c r="R47" s="474" t="n">
        <v>2</v>
      </c>
      <c r="S47" s="474" t="n">
        <v>0</v>
      </c>
      <c r="T47" s="345" t="s">
        <v>970</v>
      </c>
      <c r="U47" s="470" t="str">
        <f aca="false">IF(D47="","",ROUND(4.184*D47+$S47*$T$9+$R47*$T$10,3))</f>
        <v/>
      </c>
      <c r="V47" s="470" t="str">
        <f aca="false">IF(E47="","",ROUND(4.184*E47,3))</f>
        <v/>
      </c>
      <c r="W47" s="470" t="str">
        <f aca="false">IF(F47="","",ROUND(4.184*F47,3))</f>
        <v/>
      </c>
      <c r="X47" s="10"/>
      <c r="Y47" s="345" t="s">
        <v>970</v>
      </c>
      <c r="Z47" s="472"/>
      <c r="AA47" s="473"/>
      <c r="AB47" s="472"/>
      <c r="AC47" s="191"/>
      <c r="AD47" s="345" t="s">
        <v>970</v>
      </c>
      <c r="AE47" s="472"/>
      <c r="AF47" s="466"/>
      <c r="AG47" s="472"/>
      <c r="AI47" s="345" t="s">
        <v>970</v>
      </c>
      <c r="AJ47" s="475" t="str">
        <f aca="false">IF(D47="","",ROUND(D47+$S47*$AK$9+$R47*$AK$10,3))</f>
        <v/>
      </c>
      <c r="AK47" s="476" t="str">
        <f aca="false">IF(E47="","",ROUND(E47,3))</f>
        <v/>
      </c>
      <c r="AL47" s="475" t="str">
        <f aca="false">IF(F47="","",ROUND(F47,3))</f>
        <v/>
      </c>
      <c r="AM47" s="10"/>
      <c r="AN47" s="345" t="s">
        <v>970</v>
      </c>
      <c r="AO47" s="475" t="str">
        <f aca="false">IF(I47="","",ROUND(I47/4.184,3))</f>
        <v/>
      </c>
      <c r="AP47" s="476" t="str">
        <f aca="false">IF(J47="","",ROUND(J47/4.184,3))</f>
        <v/>
      </c>
      <c r="AQ47" s="475" t="str">
        <f aca="false">IF(K47="","",ROUND(K47/4.184,3))</f>
        <v/>
      </c>
      <c r="AR47" s="44"/>
      <c r="AS47" s="345" t="s">
        <v>970</v>
      </c>
      <c r="AT47" s="475" t="str">
        <f aca="false">IF(N47="","",ROUND(N47/4.184,3))</f>
        <v/>
      </c>
      <c r="AU47" s="471" t="str">
        <f aca="false">IF(O47="","",ROUND(O47/4.184,3))</f>
        <v/>
      </c>
      <c r="AV47" s="475" t="str">
        <f aca="false">IF(P47="","",ROUND(P47/4.184,3))</f>
        <v/>
      </c>
    </row>
    <row r="48" customFormat="false" ht="12.75" hidden="false" customHeight="false" outlineLevel="0" collapsed="false">
      <c r="B48" s="10"/>
      <c r="C48" s="345" t="s">
        <v>975</v>
      </c>
      <c r="D48" s="465"/>
      <c r="E48" s="473"/>
      <c r="F48" s="465"/>
      <c r="G48" s="240"/>
      <c r="H48" s="345" t="s">
        <v>975</v>
      </c>
      <c r="I48" s="472"/>
      <c r="J48" s="466"/>
      <c r="K48" s="472"/>
      <c r="L48" s="240"/>
      <c r="M48" s="345" t="s">
        <v>975</v>
      </c>
      <c r="N48" s="465"/>
      <c r="O48" s="466"/>
      <c r="P48" s="465"/>
      <c r="R48" s="474" t="n">
        <v>2</v>
      </c>
      <c r="S48" s="474" t="n">
        <v>0</v>
      </c>
      <c r="T48" s="345" t="s">
        <v>975</v>
      </c>
      <c r="U48" s="470" t="str">
        <f aca="false">IF(D48="","",ROUND(4.184*D48+$S48*$T$9+$R48*$T$10,3))</f>
        <v/>
      </c>
      <c r="V48" s="470" t="str">
        <f aca="false">IF(E48="","",ROUND(4.184*E48,3))</f>
        <v/>
      </c>
      <c r="W48" s="470" t="str">
        <f aca="false">IF(F48="","",ROUND(4.184*F48,3))</f>
        <v/>
      </c>
      <c r="X48" s="10"/>
      <c r="Y48" s="345" t="s">
        <v>975</v>
      </c>
      <c r="Z48" s="472"/>
      <c r="AA48" s="466"/>
      <c r="AB48" s="472"/>
      <c r="AC48" s="240"/>
      <c r="AD48" s="345" t="s">
        <v>975</v>
      </c>
      <c r="AE48" s="465"/>
      <c r="AF48" s="466"/>
      <c r="AG48" s="465"/>
      <c r="AI48" s="345" t="s">
        <v>975</v>
      </c>
      <c r="AJ48" s="470" t="str">
        <f aca="false">IF(D48="","",ROUND(D48+$S48*$AK$9+$R48*$AK$10,3))</f>
        <v/>
      </c>
      <c r="AK48" s="476" t="str">
        <f aca="false">IF(E48="","",ROUND(E48,3))</f>
        <v/>
      </c>
      <c r="AL48" s="470" t="str">
        <f aca="false">IF(F48="","",ROUND(F48,3))</f>
        <v/>
      </c>
      <c r="AM48" s="10"/>
      <c r="AN48" s="345" t="s">
        <v>975</v>
      </c>
      <c r="AO48" s="475" t="str">
        <f aca="false">IF(I48="","",ROUND(I48/4.184,3))</f>
        <v/>
      </c>
      <c r="AP48" s="471" t="str">
        <f aca="false">IF(J48="","",ROUND(J48/4.184,3))</f>
        <v/>
      </c>
      <c r="AQ48" s="475" t="str">
        <f aca="false">IF(K48="","",ROUND(K48/4.184,3))</f>
        <v/>
      </c>
      <c r="AR48" s="45"/>
      <c r="AS48" s="345" t="s">
        <v>975</v>
      </c>
      <c r="AT48" s="470" t="str">
        <f aca="false">IF(N48="","",ROUND(N48/4.184,3))</f>
        <v/>
      </c>
      <c r="AU48" s="471" t="str">
        <f aca="false">IF(O48="","",ROUND(O48/4.184,3))</f>
        <v/>
      </c>
      <c r="AV48" s="470" t="str">
        <f aca="false">IF(P48="","",ROUND(P48/4.184,3))</f>
        <v/>
      </c>
    </row>
    <row r="49" customFormat="false" ht="12.75" hidden="false" customHeight="false" outlineLevel="0" collapsed="false">
      <c r="B49" s="10"/>
      <c r="C49" s="345" t="s">
        <v>981</v>
      </c>
      <c r="D49" s="465"/>
      <c r="E49" s="466"/>
      <c r="F49" s="465"/>
      <c r="G49" s="240"/>
      <c r="H49" s="345" t="s">
        <v>981</v>
      </c>
      <c r="I49" s="472"/>
      <c r="J49" s="473"/>
      <c r="K49" s="465"/>
      <c r="L49" s="240"/>
      <c r="M49" s="345" t="s">
        <v>981</v>
      </c>
      <c r="N49" s="465"/>
      <c r="O49" s="466"/>
      <c r="P49" s="465"/>
      <c r="R49" s="474" t="n">
        <v>2</v>
      </c>
      <c r="S49" s="474" t="n">
        <v>0</v>
      </c>
      <c r="T49" s="345" t="s">
        <v>981</v>
      </c>
      <c r="U49" s="470" t="str">
        <f aca="false">IF(D49="","",ROUND(4.184*D49+$S49*$T$9+$R49*$T$10,3))</f>
        <v/>
      </c>
      <c r="V49" s="470" t="str">
        <f aca="false">IF(E49="","",ROUND(4.184*E49,3))</f>
        <v/>
      </c>
      <c r="W49" s="470" t="str">
        <f aca="false">IF(F49="","",ROUND(4.184*F49,3))</f>
        <v/>
      </c>
      <c r="X49" s="10"/>
      <c r="Y49" s="345" t="s">
        <v>981</v>
      </c>
      <c r="Z49" s="472"/>
      <c r="AA49" s="473"/>
      <c r="AB49" s="465"/>
      <c r="AC49" s="240"/>
      <c r="AD49" s="345" t="s">
        <v>981</v>
      </c>
      <c r="AE49" s="465"/>
      <c r="AF49" s="466"/>
      <c r="AG49" s="465"/>
      <c r="AI49" s="345" t="s">
        <v>981</v>
      </c>
      <c r="AJ49" s="470" t="str">
        <f aca="false">IF(D49="","",ROUND(D49+$S49*$AK$9+$R49*$AK$10,3))</f>
        <v/>
      </c>
      <c r="AK49" s="471" t="str">
        <f aca="false">IF(E49="","",ROUND(E49,3))</f>
        <v/>
      </c>
      <c r="AL49" s="470" t="str">
        <f aca="false">IF(F49="","",ROUND(F49,3))</f>
        <v/>
      </c>
      <c r="AM49" s="10"/>
      <c r="AN49" s="345" t="s">
        <v>981</v>
      </c>
      <c r="AO49" s="475" t="str">
        <f aca="false">IF(I49="","",ROUND(I49/4.184,3))</f>
        <v/>
      </c>
      <c r="AP49" s="476" t="str">
        <f aca="false">IF(J49="","",ROUND(J49/4.184,3))</f>
        <v/>
      </c>
      <c r="AQ49" s="470" t="str">
        <f aca="false">IF(K49="","",ROUND(K49/4.184,3))</f>
        <v/>
      </c>
      <c r="AR49" s="45"/>
      <c r="AS49" s="345" t="s">
        <v>981</v>
      </c>
      <c r="AT49" s="470" t="str">
        <f aca="false">IF(N49="","",ROUND(N49/4.184,3))</f>
        <v/>
      </c>
      <c r="AU49" s="471" t="str">
        <f aca="false">IF(O49="","",ROUND(O49/4.184,3))</f>
        <v/>
      </c>
      <c r="AV49" s="470" t="str">
        <f aca="false">IF(P49="","",ROUND(P49/4.184,3))</f>
        <v/>
      </c>
    </row>
    <row r="50" customFormat="false" ht="12.75" hidden="false" customHeight="false" outlineLevel="0" collapsed="false">
      <c r="C50" s="345" t="s">
        <v>982</v>
      </c>
      <c r="D50" s="472"/>
      <c r="E50" s="473"/>
      <c r="F50" s="472"/>
      <c r="G50" s="240"/>
      <c r="H50" s="345" t="s">
        <v>982</v>
      </c>
      <c r="I50" s="465"/>
      <c r="J50" s="473"/>
      <c r="K50" s="472"/>
      <c r="L50" s="191"/>
      <c r="M50" s="345" t="s">
        <v>982</v>
      </c>
      <c r="N50" s="465"/>
      <c r="O50" s="473"/>
      <c r="P50" s="472"/>
      <c r="R50" s="474" t="n">
        <v>1</v>
      </c>
      <c r="S50" s="474" t="n">
        <v>0</v>
      </c>
      <c r="T50" s="345" t="s">
        <v>982</v>
      </c>
      <c r="U50" s="470" t="str">
        <f aca="false">IF(D50="","",ROUND(4.184*D50+$S50*$T$9+$R50*$T$10,3))</f>
        <v/>
      </c>
      <c r="V50" s="470" t="str">
        <f aca="false">IF(E50="","",ROUND(4.184*E50,3))</f>
        <v/>
      </c>
      <c r="W50" s="470" t="str">
        <f aca="false">IF(F50="","",ROUND(4.184*F50,3))</f>
        <v/>
      </c>
      <c r="X50" s="10"/>
      <c r="Y50" s="345" t="s">
        <v>982</v>
      </c>
      <c r="Z50" s="465"/>
      <c r="AA50" s="473"/>
      <c r="AB50" s="472"/>
      <c r="AC50" s="191"/>
      <c r="AD50" s="345" t="s">
        <v>982</v>
      </c>
      <c r="AE50" s="465"/>
      <c r="AF50" s="473"/>
      <c r="AG50" s="472"/>
      <c r="AI50" s="345" t="s">
        <v>982</v>
      </c>
      <c r="AJ50" s="475" t="str">
        <f aca="false">IF(D50="","",ROUND(D50+$S50*$AK$9+$R50*$AK$10,3))</f>
        <v/>
      </c>
      <c r="AK50" s="476" t="str">
        <f aca="false">IF(E50="","",ROUND(E50,3))</f>
        <v/>
      </c>
      <c r="AL50" s="475" t="str">
        <f aca="false">IF(F50="","",ROUND(F50,3))</f>
        <v/>
      </c>
      <c r="AM50" s="10"/>
      <c r="AN50" s="345" t="s">
        <v>982</v>
      </c>
      <c r="AO50" s="470" t="str">
        <f aca="false">IF(I50="","",ROUND(I50/4.184,3))</f>
        <v/>
      </c>
      <c r="AP50" s="476" t="str">
        <f aca="false">IF(J50="","",ROUND(J50/4.184,3))</f>
        <v/>
      </c>
      <c r="AQ50" s="475" t="str">
        <f aca="false">IF(K50="","",ROUND(K50/4.184,3))</f>
        <v/>
      </c>
      <c r="AR50" s="44"/>
      <c r="AS50" s="345" t="s">
        <v>982</v>
      </c>
      <c r="AT50" s="470" t="str">
        <f aca="false">IF(N50="","",ROUND(N50/4.184,3))</f>
        <v/>
      </c>
      <c r="AU50" s="476" t="str">
        <f aca="false">IF(O50="","",ROUND(O50/4.184,3))</f>
        <v/>
      </c>
      <c r="AV50" s="475" t="str">
        <f aca="false">IF(P50="","",ROUND(P50/4.184,3))</f>
        <v/>
      </c>
    </row>
    <row r="51" customFormat="false" ht="12.75" hidden="false" customHeight="false" outlineLevel="0" collapsed="false">
      <c r="C51" s="345" t="s">
        <v>989</v>
      </c>
      <c r="D51" s="472"/>
      <c r="E51" s="473"/>
      <c r="F51" s="472"/>
      <c r="G51" s="191"/>
      <c r="H51" s="345" t="s">
        <v>989</v>
      </c>
      <c r="I51" s="472"/>
      <c r="J51" s="473"/>
      <c r="K51" s="472"/>
      <c r="L51" s="191"/>
      <c r="M51" s="345" t="s">
        <v>989</v>
      </c>
      <c r="N51" s="472"/>
      <c r="O51" s="473"/>
      <c r="P51" s="465"/>
      <c r="R51" s="474" t="n">
        <v>1</v>
      </c>
      <c r="S51" s="474" t="n">
        <v>0</v>
      </c>
      <c r="T51" s="345" t="s">
        <v>989</v>
      </c>
      <c r="U51" s="470" t="str">
        <f aca="false">IF(D51="","",ROUND(4.184*D51+$S51*$T$9+$R51*$T$10,3))</f>
        <v/>
      </c>
      <c r="V51" s="470" t="str">
        <f aca="false">IF(E51="","",ROUND(4.184*E51,3))</f>
        <v/>
      </c>
      <c r="W51" s="470" t="str">
        <f aca="false">IF(F51="","",ROUND(4.184*F51,3))</f>
        <v/>
      </c>
      <c r="Y51" s="345" t="s">
        <v>989</v>
      </c>
      <c r="Z51" s="472"/>
      <c r="AA51" s="473"/>
      <c r="AB51" s="472"/>
      <c r="AC51" s="191"/>
      <c r="AD51" s="345" t="s">
        <v>989</v>
      </c>
      <c r="AE51" s="472"/>
      <c r="AF51" s="473"/>
      <c r="AG51" s="465"/>
      <c r="AI51" s="345" t="s">
        <v>989</v>
      </c>
      <c r="AJ51" s="475" t="str">
        <f aca="false">IF(D51="","",ROUND(D51+$S51*$AK$9+$R51*$AK$10,3))</f>
        <v/>
      </c>
      <c r="AK51" s="476" t="str">
        <f aca="false">IF(E51="","",ROUND(E51,3))</f>
        <v/>
      </c>
      <c r="AL51" s="475" t="str">
        <f aca="false">IF(F51="","",ROUND(F51,3))</f>
        <v/>
      </c>
      <c r="AN51" s="345" t="s">
        <v>989</v>
      </c>
      <c r="AO51" s="475" t="str">
        <f aca="false">IF(I51="","",ROUND(I51/4.184,3))</f>
        <v/>
      </c>
      <c r="AP51" s="476" t="str">
        <f aca="false">IF(J51="","",ROUND(J51/4.184,3))</f>
        <v/>
      </c>
      <c r="AQ51" s="475" t="str">
        <f aca="false">IF(K51="","",ROUND(K51/4.184,3))</f>
        <v/>
      </c>
      <c r="AR51" s="44"/>
      <c r="AS51" s="345" t="s">
        <v>989</v>
      </c>
      <c r="AT51" s="475" t="str">
        <f aca="false">IF(N51="","",ROUND(N51/4.184,3))</f>
        <v/>
      </c>
      <c r="AU51" s="476" t="str">
        <f aca="false">IF(O51="","",ROUND(O51/4.184,3))</f>
        <v/>
      </c>
      <c r="AV51" s="470" t="str">
        <f aca="false">IF(P51="","",ROUND(P51/4.184,3))</f>
        <v/>
      </c>
    </row>
    <row r="52" customFormat="false" ht="12.75" hidden="false" customHeight="false" outlineLevel="0" collapsed="false">
      <c r="C52" s="354" t="s">
        <v>998</v>
      </c>
      <c r="D52" s="488"/>
      <c r="E52" s="489"/>
      <c r="F52" s="488"/>
      <c r="G52" s="191"/>
      <c r="H52" s="354" t="s">
        <v>998</v>
      </c>
      <c r="I52" s="490"/>
      <c r="J52" s="489"/>
      <c r="K52" s="488"/>
      <c r="L52" s="191"/>
      <c r="M52" s="354" t="s">
        <v>998</v>
      </c>
      <c r="N52" s="488"/>
      <c r="O52" s="489"/>
      <c r="P52" s="488"/>
      <c r="R52" s="474" t="n">
        <v>1</v>
      </c>
      <c r="S52" s="474" t="n">
        <v>0</v>
      </c>
      <c r="T52" s="354" t="s">
        <v>998</v>
      </c>
      <c r="U52" s="470" t="str">
        <f aca="false">IF(D52="","",ROUND(4.184*D52+$S52*$T$9+$R52*$T$10,3))</f>
        <v/>
      </c>
      <c r="V52" s="470" t="str">
        <f aca="false">IF(E52="","",ROUND(4.184*E52,3))</f>
        <v/>
      </c>
      <c r="W52" s="470" t="str">
        <f aca="false">IF(F52="","",ROUND(4.184*F52,3))</f>
        <v/>
      </c>
      <c r="Y52" s="354" t="s">
        <v>998</v>
      </c>
      <c r="Z52" s="490"/>
      <c r="AA52" s="489"/>
      <c r="AB52" s="488"/>
      <c r="AC52" s="191"/>
      <c r="AD52" s="354" t="s">
        <v>998</v>
      </c>
      <c r="AE52" s="488"/>
      <c r="AF52" s="489"/>
      <c r="AG52" s="488"/>
      <c r="AI52" s="354" t="s">
        <v>998</v>
      </c>
      <c r="AJ52" s="491" t="str">
        <f aca="false">IF(D52="","",ROUND(D52+$S52*$AK$9+$R52*$AK$10,3))</f>
        <v/>
      </c>
      <c r="AK52" s="492" t="str">
        <f aca="false">IF(E52="","",ROUND(E52,3))</f>
        <v/>
      </c>
      <c r="AL52" s="491" t="str">
        <f aca="false">IF(F52="","",ROUND(F52,3))</f>
        <v/>
      </c>
      <c r="AN52" s="354" t="s">
        <v>998</v>
      </c>
      <c r="AO52" s="493" t="str">
        <f aca="false">IF(I52="","",ROUND(I52/4.184,3))</f>
        <v/>
      </c>
      <c r="AP52" s="492" t="str">
        <f aca="false">IF(J52="","",ROUND(J52/4.184,3))</f>
        <v/>
      </c>
      <c r="AQ52" s="491" t="str">
        <f aca="false">IF(K52="","",ROUND(K52/4.184,3))</f>
        <v/>
      </c>
      <c r="AR52" s="44"/>
      <c r="AS52" s="354" t="s">
        <v>998</v>
      </c>
      <c r="AT52" s="491" t="str">
        <f aca="false">IF(N52="","",ROUND(N52/4.184,3))</f>
        <v/>
      </c>
      <c r="AU52" s="492" t="str">
        <f aca="false">IF(O52="","",ROUND(O52/4.184,3))</f>
        <v/>
      </c>
      <c r="AV52" s="491" t="str">
        <f aca="false">IF(P52="","",ROUND(P52/4.184,3))</f>
        <v/>
      </c>
    </row>
    <row r="53" customFormat="false" ht="12.75" hidden="false" customHeight="false" outlineLevel="0" collapsed="false">
      <c r="C53" s="354" t="s">
        <v>1005</v>
      </c>
      <c r="D53" s="490"/>
      <c r="E53" s="494"/>
      <c r="F53" s="490"/>
      <c r="G53" s="191"/>
      <c r="H53" s="354" t="s">
        <v>1005</v>
      </c>
      <c r="I53" s="488"/>
      <c r="J53" s="489"/>
      <c r="K53" s="488"/>
      <c r="L53" s="191"/>
      <c r="M53" s="354" t="s">
        <v>1005</v>
      </c>
      <c r="N53" s="490"/>
      <c r="O53" s="494"/>
      <c r="P53" s="490"/>
      <c r="R53" s="474" t="n">
        <v>1</v>
      </c>
      <c r="S53" s="474" t="n">
        <v>0</v>
      </c>
      <c r="T53" s="354" t="s">
        <v>1005</v>
      </c>
      <c r="U53" s="470" t="str">
        <f aca="false">IF(D53="","",ROUND(4.184*D53+$S53*$T$9+$R53*$T$10,3))</f>
        <v/>
      </c>
      <c r="V53" s="470" t="str">
        <f aca="false">IF(E53="","",ROUND(4.184*E53,3))</f>
        <v/>
      </c>
      <c r="W53" s="470" t="str">
        <f aca="false">IF(F53="","",ROUND(4.184*F53,3))</f>
        <v/>
      </c>
      <c r="Y53" s="354" t="s">
        <v>1005</v>
      </c>
      <c r="Z53" s="488"/>
      <c r="AA53" s="489"/>
      <c r="AB53" s="488"/>
      <c r="AC53" s="191"/>
      <c r="AD53" s="354" t="s">
        <v>1005</v>
      </c>
      <c r="AE53" s="490"/>
      <c r="AF53" s="494"/>
      <c r="AG53" s="490"/>
      <c r="AI53" s="354" t="s">
        <v>1005</v>
      </c>
      <c r="AJ53" s="493" t="str">
        <f aca="false">IF(D53="","",ROUND(D53+$S53*$AK$9+$R53*$AK$10,3))</f>
        <v/>
      </c>
      <c r="AK53" s="495" t="str">
        <f aca="false">IF(E53="","",ROUND(E53,3))</f>
        <v/>
      </c>
      <c r="AL53" s="493" t="str">
        <f aca="false">IF(F53="","",ROUND(F53,3))</f>
        <v/>
      </c>
      <c r="AN53" s="354" t="s">
        <v>1005</v>
      </c>
      <c r="AO53" s="491" t="str">
        <f aca="false">IF(I53="","",ROUND(I53/4.184,3))</f>
        <v/>
      </c>
      <c r="AP53" s="492" t="str">
        <f aca="false">IF(J53="","",ROUND(J53/4.184,3))</f>
        <v/>
      </c>
      <c r="AQ53" s="491" t="str">
        <f aca="false">IF(K53="","",ROUND(K53/4.184,3))</f>
        <v/>
      </c>
      <c r="AR53" s="44"/>
      <c r="AS53" s="354" t="s">
        <v>1005</v>
      </c>
      <c r="AT53" s="493" t="str">
        <f aca="false">IF(N53="","",ROUND(N53/4.184,3))</f>
        <v/>
      </c>
      <c r="AU53" s="495" t="str">
        <f aca="false">IF(O53="","",ROUND(O53/4.184,3))</f>
        <v/>
      </c>
      <c r="AV53" s="493" t="str">
        <f aca="false">IF(P53="","",ROUND(P53/4.184,3))</f>
        <v/>
      </c>
    </row>
    <row r="54" customFormat="false" ht="13.5" hidden="false" customHeight="false" outlineLevel="0" collapsed="false">
      <c r="C54" s="375" t="s">
        <v>1012</v>
      </c>
      <c r="D54" s="496"/>
      <c r="E54" s="497"/>
      <c r="F54" s="496"/>
      <c r="G54" s="191"/>
      <c r="H54" s="375" t="s">
        <v>1012</v>
      </c>
      <c r="I54" s="498"/>
      <c r="J54" s="499"/>
      <c r="K54" s="496"/>
      <c r="L54" s="191"/>
      <c r="M54" s="375" t="s">
        <v>1012</v>
      </c>
      <c r="N54" s="496"/>
      <c r="O54" s="497"/>
      <c r="P54" s="496"/>
      <c r="R54" s="474" t="n">
        <v>1</v>
      </c>
      <c r="S54" s="474" t="n">
        <v>0</v>
      </c>
      <c r="T54" s="375" t="s">
        <v>1012</v>
      </c>
      <c r="U54" s="500" t="str">
        <f aca="false">IF(D54="","",ROUND(4.184*D54+$S54*$T$9+$R54*$T$10,3))</f>
        <v/>
      </c>
      <c r="V54" s="500" t="str">
        <f aca="false">IF(E54="","",ROUND(4.184*E54,3))</f>
        <v/>
      </c>
      <c r="W54" s="500" t="str">
        <f aca="false">IF(F54="","",ROUND(4.184*F54,3))</f>
        <v/>
      </c>
      <c r="Y54" s="375" t="s">
        <v>1012</v>
      </c>
      <c r="Z54" s="498"/>
      <c r="AA54" s="499"/>
      <c r="AB54" s="496"/>
      <c r="AC54" s="191"/>
      <c r="AD54" s="375" t="s">
        <v>1012</v>
      </c>
      <c r="AE54" s="496"/>
      <c r="AF54" s="497"/>
      <c r="AG54" s="496"/>
      <c r="AI54" s="375" t="s">
        <v>1012</v>
      </c>
      <c r="AJ54" s="500" t="str">
        <f aca="false">IF(D54="","",ROUND(D54+$S54*$AK$9+$R54*$AK$10,3))</f>
        <v/>
      </c>
      <c r="AK54" s="501" t="str">
        <f aca="false">IF(E54="","",ROUND(E54,3))</f>
        <v/>
      </c>
      <c r="AL54" s="500" t="str">
        <f aca="false">IF(F54="","",ROUND(F54,3))</f>
        <v/>
      </c>
      <c r="AN54" s="375" t="s">
        <v>1012</v>
      </c>
      <c r="AO54" s="511" t="str">
        <f aca="false">IF(I54="","",ROUND(I54/4.184,3))</f>
        <v/>
      </c>
      <c r="AP54" s="503" t="str">
        <f aca="false">IF(J54="","",ROUND(J54/4.184,3))</f>
        <v/>
      </c>
      <c r="AQ54" s="500" t="str">
        <f aca="false">IF(K54="","",ROUND(K54/4.184,3))</f>
        <v/>
      </c>
      <c r="AR54" s="44"/>
      <c r="AS54" s="375" t="s">
        <v>1012</v>
      </c>
      <c r="AT54" s="500" t="str">
        <f aca="false">IF(N54="","",ROUND(N54/4.184,3))</f>
        <v/>
      </c>
      <c r="AU54" s="501" t="str">
        <f aca="false">IF(O54="","",ROUND(O54/4.184,3))</f>
        <v/>
      </c>
      <c r="AV54" s="500" t="str">
        <f aca="false">IF(P54="","",ROUND(P54/4.184,3))</f>
        <v/>
      </c>
    </row>
    <row r="55" customFormat="false" ht="12.75" hidden="false" customHeight="false" outlineLevel="0" collapsed="false">
      <c r="C55" s="280"/>
      <c r="D55" s="274"/>
      <c r="E55" s="274"/>
      <c r="F55" s="274"/>
      <c r="G55" s="191"/>
      <c r="H55" s="280"/>
      <c r="I55" s="504"/>
      <c r="J55" s="504"/>
      <c r="K55" s="274"/>
      <c r="L55" s="191"/>
      <c r="M55" s="280"/>
      <c r="N55" s="274"/>
      <c r="O55" s="274"/>
      <c r="P55" s="274"/>
      <c r="T55" s="280"/>
      <c r="U55" s="274"/>
      <c r="V55" s="274"/>
      <c r="W55" s="274"/>
      <c r="Y55" s="280"/>
      <c r="Z55" s="504"/>
      <c r="AA55" s="504"/>
      <c r="AB55" s="274"/>
      <c r="AC55" s="191"/>
      <c r="AD55" s="280"/>
      <c r="AE55" s="274"/>
      <c r="AF55" s="274"/>
      <c r="AG55" s="274"/>
      <c r="AI55" s="280"/>
      <c r="AJ55" s="274"/>
      <c r="AK55" s="274"/>
      <c r="AL55" s="274"/>
      <c r="AN55" s="280"/>
      <c r="AO55" s="504"/>
      <c r="AP55" s="504"/>
      <c r="AQ55" s="274"/>
      <c r="AR55" s="44"/>
      <c r="AS55" s="280"/>
      <c r="AT55" s="274"/>
      <c r="AU55" s="274"/>
      <c r="AV55" s="274"/>
    </row>
    <row r="56" customFormat="false" ht="12.75" hidden="false" customHeight="false" outlineLevel="0" collapsed="false">
      <c r="C56" s="280"/>
      <c r="D56" s="274"/>
      <c r="E56" s="274"/>
      <c r="F56" s="274"/>
      <c r="G56" s="191"/>
      <c r="H56" s="280"/>
      <c r="I56" s="504"/>
      <c r="J56" s="504"/>
      <c r="K56" s="274"/>
      <c r="L56" s="191"/>
      <c r="M56" s="280"/>
      <c r="N56" s="274"/>
      <c r="O56" s="274"/>
      <c r="P56" s="274"/>
      <c r="T56" s="280"/>
      <c r="U56" s="274"/>
      <c r="V56" s="274"/>
      <c r="W56" s="274"/>
      <c r="Y56" s="280"/>
      <c r="Z56" s="504"/>
      <c r="AA56" s="504"/>
      <c r="AB56" s="274"/>
      <c r="AC56" s="191"/>
      <c r="AD56" s="280"/>
      <c r="AE56" s="274"/>
      <c r="AF56" s="274"/>
      <c r="AG56" s="274"/>
      <c r="AI56" s="280"/>
      <c r="AJ56" s="274"/>
      <c r="AK56" s="274"/>
      <c r="AL56" s="274"/>
      <c r="AN56" s="280"/>
      <c r="AO56" s="504"/>
      <c r="AP56" s="504"/>
      <c r="AQ56" s="274"/>
      <c r="AR56" s="44"/>
      <c r="AS56" s="280"/>
      <c r="AT56" s="274"/>
      <c r="AU56" s="274"/>
      <c r="AV56" s="274"/>
    </row>
    <row r="57" customFormat="false" ht="12.75" hidden="false" customHeight="false" outlineLevel="0" collapsed="false">
      <c r="C57" s="280"/>
      <c r="D57" s="274"/>
      <c r="E57" s="274"/>
      <c r="F57" s="274"/>
      <c r="G57" s="191"/>
      <c r="H57" s="280"/>
      <c r="I57" s="504"/>
      <c r="J57" s="504"/>
      <c r="K57" s="274"/>
      <c r="L57" s="191"/>
      <c r="M57" s="280"/>
      <c r="N57" s="274"/>
      <c r="O57" s="274"/>
      <c r="P57" s="274"/>
      <c r="T57" s="280"/>
      <c r="U57" s="274"/>
      <c r="V57" s="274"/>
      <c r="W57" s="274"/>
      <c r="Y57" s="280"/>
      <c r="Z57" s="504"/>
      <c r="AA57" s="504"/>
      <c r="AB57" s="274"/>
      <c r="AC57" s="191"/>
      <c r="AD57" s="280"/>
      <c r="AE57" s="274"/>
      <c r="AF57" s="274"/>
      <c r="AG57" s="274"/>
      <c r="AI57" s="280"/>
      <c r="AJ57" s="274"/>
      <c r="AK57" s="274"/>
      <c r="AL57" s="274"/>
      <c r="AN57" s="280"/>
      <c r="AO57" s="504"/>
      <c r="AP57" s="504"/>
      <c r="AQ57" s="274"/>
      <c r="AR57" s="44"/>
      <c r="AS57" s="280"/>
      <c r="AT57" s="274"/>
      <c r="AU57" s="274"/>
      <c r="AV57" s="274"/>
    </row>
    <row r="58" customFormat="false" ht="13.5" hidden="false" customHeight="false" outlineLevel="0" collapsed="false">
      <c r="C58" s="280"/>
      <c r="D58" s="274"/>
      <c r="E58" s="274"/>
      <c r="F58" s="274"/>
      <c r="G58" s="191"/>
      <c r="H58" s="280"/>
      <c r="I58" s="504"/>
      <c r="J58" s="504"/>
      <c r="K58" s="274"/>
      <c r="L58" s="191"/>
      <c r="M58" s="280"/>
      <c r="N58" s="274"/>
      <c r="O58" s="274"/>
      <c r="P58" s="274"/>
      <c r="T58" s="280"/>
      <c r="U58" s="274"/>
      <c r="V58" s="274"/>
      <c r="W58" s="274"/>
      <c r="Y58" s="280"/>
      <c r="Z58" s="504"/>
      <c r="AA58" s="504"/>
      <c r="AB58" s="274"/>
      <c r="AC58" s="191"/>
      <c r="AD58" s="280"/>
      <c r="AE58" s="274"/>
      <c r="AF58" s="274"/>
      <c r="AG58" s="274"/>
      <c r="AI58" s="280"/>
      <c r="AJ58" s="274"/>
      <c r="AK58" s="274"/>
      <c r="AL58" s="274"/>
      <c r="AN58" s="280"/>
      <c r="AO58" s="504"/>
      <c r="AP58" s="504"/>
      <c r="AQ58" s="274"/>
      <c r="AR58" s="44"/>
      <c r="AS58" s="280"/>
      <c r="AT58" s="274"/>
      <c r="AU58" s="274"/>
      <c r="AV58" s="274"/>
    </row>
    <row r="59" customFormat="false" ht="12.75" hidden="false" customHeight="false" outlineLevel="0" collapsed="false">
      <c r="C59" s="11" t="s">
        <v>1020</v>
      </c>
      <c r="D59" s="11"/>
      <c r="E59" s="11"/>
      <c r="F59" s="11"/>
      <c r="G59" s="191"/>
      <c r="H59" s="11" t="s">
        <v>1020</v>
      </c>
      <c r="I59" s="11"/>
      <c r="J59" s="11"/>
      <c r="K59" s="11"/>
      <c r="L59" s="191"/>
      <c r="M59" s="11" t="s">
        <v>1020</v>
      </c>
      <c r="N59" s="11"/>
      <c r="O59" s="11"/>
      <c r="P59" s="11"/>
      <c r="T59" s="11" t="s">
        <v>1020</v>
      </c>
      <c r="U59" s="11"/>
      <c r="V59" s="11"/>
      <c r="W59" s="11"/>
      <c r="Y59" s="11" t="s">
        <v>1020</v>
      </c>
      <c r="Z59" s="11"/>
      <c r="AA59" s="11"/>
      <c r="AB59" s="11"/>
      <c r="AC59" s="191"/>
      <c r="AD59" s="11" t="s">
        <v>1020</v>
      </c>
      <c r="AE59" s="11"/>
      <c r="AF59" s="11"/>
      <c r="AG59" s="11"/>
      <c r="AI59" s="11" t="s">
        <v>1020</v>
      </c>
      <c r="AJ59" s="11"/>
      <c r="AK59" s="11"/>
      <c r="AL59" s="11"/>
      <c r="AN59" s="11" t="s">
        <v>1020</v>
      </c>
      <c r="AO59" s="11"/>
      <c r="AP59" s="11"/>
      <c r="AQ59" s="11"/>
      <c r="AR59" s="44"/>
      <c r="AS59" s="11" t="s">
        <v>1020</v>
      </c>
      <c r="AT59" s="11"/>
      <c r="AU59" s="11"/>
      <c r="AV59" s="11"/>
    </row>
    <row r="60" customFormat="false" ht="14.25" hidden="false" customHeight="false" outlineLevel="0" collapsed="false">
      <c r="C60" s="16" t="s">
        <v>782</v>
      </c>
      <c r="D60" s="113" t="s">
        <v>511</v>
      </c>
      <c r="E60" s="113" t="s">
        <v>512</v>
      </c>
      <c r="F60" s="53" t="s">
        <v>513</v>
      </c>
      <c r="G60" s="191"/>
      <c r="H60" s="16" t="s">
        <v>782</v>
      </c>
      <c r="I60" s="113" t="s">
        <v>511</v>
      </c>
      <c r="J60" s="113" t="s">
        <v>512</v>
      </c>
      <c r="K60" s="53" t="s">
        <v>513</v>
      </c>
      <c r="L60" s="191"/>
      <c r="M60" s="16" t="s">
        <v>782</v>
      </c>
      <c r="N60" s="113" t="s">
        <v>511</v>
      </c>
      <c r="O60" s="113" t="s">
        <v>512</v>
      </c>
      <c r="P60" s="53" t="s">
        <v>513</v>
      </c>
      <c r="T60" s="16" t="s">
        <v>782</v>
      </c>
      <c r="U60" s="113" t="s">
        <v>511</v>
      </c>
      <c r="V60" s="113" t="s">
        <v>512</v>
      </c>
      <c r="W60" s="53" t="s">
        <v>513</v>
      </c>
      <c r="Y60" s="16" t="s">
        <v>782</v>
      </c>
      <c r="Z60" s="113" t="s">
        <v>511</v>
      </c>
      <c r="AA60" s="113" t="s">
        <v>512</v>
      </c>
      <c r="AB60" s="53" t="s">
        <v>513</v>
      </c>
      <c r="AC60" s="191"/>
      <c r="AD60" s="16" t="s">
        <v>782</v>
      </c>
      <c r="AE60" s="113" t="s">
        <v>511</v>
      </c>
      <c r="AF60" s="113" t="s">
        <v>512</v>
      </c>
      <c r="AG60" s="53" t="s">
        <v>513</v>
      </c>
      <c r="AI60" s="16" t="s">
        <v>782</v>
      </c>
      <c r="AJ60" s="113" t="s">
        <v>511</v>
      </c>
      <c r="AK60" s="113" t="s">
        <v>512</v>
      </c>
      <c r="AL60" s="53" t="s">
        <v>513</v>
      </c>
      <c r="AN60" s="16" t="s">
        <v>782</v>
      </c>
      <c r="AO60" s="113" t="s">
        <v>511</v>
      </c>
      <c r="AP60" s="113" t="s">
        <v>512</v>
      </c>
      <c r="AQ60" s="53" t="s">
        <v>513</v>
      </c>
      <c r="AR60" s="44"/>
      <c r="AS60" s="16" t="s">
        <v>782</v>
      </c>
      <c r="AT60" s="113" t="s">
        <v>511</v>
      </c>
      <c r="AU60" s="113" t="s">
        <v>512</v>
      </c>
      <c r="AV60" s="53" t="s">
        <v>513</v>
      </c>
    </row>
    <row r="61" customFormat="false" ht="15" hidden="false" customHeight="false" outlineLevel="0" collapsed="false">
      <c r="C61" s="21" t="s">
        <v>783</v>
      </c>
      <c r="D61" s="55" t="s">
        <v>514</v>
      </c>
      <c r="E61" s="55" t="s">
        <v>514</v>
      </c>
      <c r="F61" s="55" t="s">
        <v>166</v>
      </c>
      <c r="G61" s="191"/>
      <c r="H61" s="21" t="s">
        <v>783</v>
      </c>
      <c r="I61" s="55" t="s">
        <v>784</v>
      </c>
      <c r="J61" s="55" t="s">
        <v>784</v>
      </c>
      <c r="K61" s="55" t="s">
        <v>167</v>
      </c>
      <c r="L61" s="191"/>
      <c r="M61" s="21" t="s">
        <v>783</v>
      </c>
      <c r="N61" s="55" t="s">
        <v>784</v>
      </c>
      <c r="O61" s="55" t="s">
        <v>784</v>
      </c>
      <c r="P61" s="55" t="s">
        <v>167</v>
      </c>
      <c r="T61" s="21" t="s">
        <v>783</v>
      </c>
      <c r="U61" s="55" t="s">
        <v>784</v>
      </c>
      <c r="V61" s="55" t="s">
        <v>784</v>
      </c>
      <c r="W61" s="55" t="s">
        <v>167</v>
      </c>
      <c r="Y61" s="21" t="s">
        <v>783</v>
      </c>
      <c r="Z61" s="55" t="s">
        <v>784</v>
      </c>
      <c r="AA61" s="55" t="s">
        <v>784</v>
      </c>
      <c r="AB61" s="55" t="s">
        <v>167</v>
      </c>
      <c r="AC61" s="191"/>
      <c r="AD61" s="21" t="s">
        <v>783</v>
      </c>
      <c r="AE61" s="55" t="s">
        <v>784</v>
      </c>
      <c r="AF61" s="55" t="s">
        <v>784</v>
      </c>
      <c r="AG61" s="55" t="s">
        <v>167</v>
      </c>
      <c r="AI61" s="21" t="s">
        <v>783</v>
      </c>
      <c r="AJ61" s="55" t="s">
        <v>514</v>
      </c>
      <c r="AK61" s="55" t="s">
        <v>514</v>
      </c>
      <c r="AL61" s="55" t="s">
        <v>166</v>
      </c>
      <c r="AN61" s="21" t="s">
        <v>783</v>
      </c>
      <c r="AO61" s="55" t="s">
        <v>514</v>
      </c>
      <c r="AP61" s="55" t="s">
        <v>514</v>
      </c>
      <c r="AQ61" s="55" t="s">
        <v>166</v>
      </c>
      <c r="AR61" s="44"/>
      <c r="AS61" s="21" t="s">
        <v>783</v>
      </c>
      <c r="AT61" s="55" t="s">
        <v>514</v>
      </c>
      <c r="AU61" s="55" t="s">
        <v>514</v>
      </c>
      <c r="AV61" s="55" t="s">
        <v>166</v>
      </c>
    </row>
    <row r="62" customFormat="false" ht="12.75" hidden="false" customHeight="false" outlineLevel="0" collapsed="false">
      <c r="C62" s="310" t="s">
        <v>1021</v>
      </c>
      <c r="D62" s="613"/>
      <c r="E62" s="508"/>
      <c r="F62" s="508"/>
      <c r="G62" s="240"/>
      <c r="H62" s="310" t="s">
        <v>1021</v>
      </c>
      <c r="I62" s="584"/>
      <c r="J62" s="509"/>
      <c r="K62" s="509"/>
      <c r="L62" s="240"/>
      <c r="M62" s="310" t="s">
        <v>1021</v>
      </c>
      <c r="N62" s="584"/>
      <c r="O62" s="509"/>
      <c r="P62" s="509"/>
      <c r="T62" s="310" t="s">
        <v>1021</v>
      </c>
      <c r="U62" s="584"/>
      <c r="V62" s="509"/>
      <c r="W62" s="509"/>
      <c r="X62" s="45"/>
      <c r="Y62" s="310" t="s">
        <v>1021</v>
      </c>
      <c r="Z62" s="584"/>
      <c r="AA62" s="509"/>
      <c r="AB62" s="509"/>
      <c r="AC62" s="240"/>
      <c r="AD62" s="310" t="s">
        <v>1021</v>
      </c>
      <c r="AE62" s="584"/>
      <c r="AF62" s="509"/>
      <c r="AG62" s="509"/>
      <c r="AI62" s="310" t="s">
        <v>1021</v>
      </c>
      <c r="AJ62" s="508"/>
      <c r="AK62" s="508"/>
      <c r="AL62" s="508"/>
      <c r="AM62" s="45"/>
      <c r="AN62" s="310" t="s">
        <v>1021</v>
      </c>
      <c r="AO62" s="509"/>
      <c r="AP62" s="509"/>
      <c r="AQ62" s="509"/>
      <c r="AR62" s="45"/>
      <c r="AS62" s="310" t="s">
        <v>1021</v>
      </c>
      <c r="AT62" s="509"/>
      <c r="AU62" s="509"/>
      <c r="AV62" s="509"/>
    </row>
    <row r="63" customFormat="false" ht="12.75" hidden="false" customHeight="false" outlineLevel="0" collapsed="false">
      <c r="C63" s="313" t="s">
        <v>1022</v>
      </c>
      <c r="D63" s="614"/>
      <c r="E63" s="315"/>
      <c r="F63" s="315"/>
      <c r="G63" s="240"/>
      <c r="H63" s="313" t="s">
        <v>1022</v>
      </c>
      <c r="I63" s="585"/>
      <c r="J63" s="510"/>
      <c r="K63" s="510"/>
      <c r="L63" s="240"/>
      <c r="M63" s="313" t="s">
        <v>1022</v>
      </c>
      <c r="N63" s="585"/>
      <c r="O63" s="510"/>
      <c r="P63" s="510"/>
      <c r="T63" s="313" t="s">
        <v>1022</v>
      </c>
      <c r="U63" s="585"/>
      <c r="V63" s="510"/>
      <c r="W63" s="510"/>
      <c r="X63" s="45"/>
      <c r="Y63" s="313" t="s">
        <v>1022</v>
      </c>
      <c r="Z63" s="585"/>
      <c r="AA63" s="510"/>
      <c r="AB63" s="510"/>
      <c r="AC63" s="240"/>
      <c r="AD63" s="313" t="s">
        <v>1022</v>
      </c>
      <c r="AE63" s="585"/>
      <c r="AF63" s="510"/>
      <c r="AG63" s="510"/>
      <c r="AI63" s="313" t="s">
        <v>1022</v>
      </c>
      <c r="AJ63" s="315"/>
      <c r="AK63" s="315"/>
      <c r="AL63" s="315"/>
      <c r="AM63" s="45"/>
      <c r="AN63" s="313" t="s">
        <v>1022</v>
      </c>
      <c r="AO63" s="510"/>
      <c r="AP63" s="510"/>
      <c r="AQ63" s="510"/>
      <c r="AR63" s="45"/>
      <c r="AS63" s="313" t="s">
        <v>1022</v>
      </c>
      <c r="AT63" s="510"/>
      <c r="AU63" s="510"/>
      <c r="AV63" s="510"/>
    </row>
    <row r="64" customFormat="false" ht="13.5" hidden="false" customHeight="false" outlineLevel="0" collapsed="false">
      <c r="C64" s="317" t="s">
        <v>1023</v>
      </c>
      <c r="D64" s="615"/>
      <c r="E64" s="500"/>
      <c r="F64" s="502"/>
      <c r="G64" s="240"/>
      <c r="H64" s="317" t="s">
        <v>1023</v>
      </c>
      <c r="I64" s="587"/>
      <c r="J64" s="512"/>
      <c r="K64" s="512"/>
      <c r="L64" s="240"/>
      <c r="M64" s="317" t="s">
        <v>1023</v>
      </c>
      <c r="N64" s="587"/>
      <c r="O64" s="512"/>
      <c r="P64" s="512"/>
      <c r="T64" s="317" t="s">
        <v>1023</v>
      </c>
      <c r="U64" s="587"/>
      <c r="V64" s="512"/>
      <c r="W64" s="512"/>
      <c r="X64" s="45"/>
      <c r="Y64" s="317" t="s">
        <v>1023</v>
      </c>
      <c r="Z64" s="587"/>
      <c r="AA64" s="512"/>
      <c r="AB64" s="512"/>
      <c r="AC64" s="240"/>
      <c r="AD64" s="317" t="s">
        <v>1023</v>
      </c>
      <c r="AE64" s="587"/>
      <c r="AF64" s="512"/>
      <c r="AG64" s="512"/>
      <c r="AI64" s="317" t="s">
        <v>1023</v>
      </c>
      <c r="AJ64" s="511"/>
      <c r="AK64" s="309"/>
      <c r="AL64" s="511"/>
      <c r="AM64" s="45"/>
      <c r="AN64" s="317" t="s">
        <v>1023</v>
      </c>
      <c r="AO64" s="512"/>
      <c r="AP64" s="512"/>
      <c r="AQ64" s="512"/>
      <c r="AR64" s="45"/>
      <c r="AS64" s="317" t="s">
        <v>1023</v>
      </c>
      <c r="AT64" s="512"/>
      <c r="AU64" s="512"/>
      <c r="AV64" s="512"/>
    </row>
    <row r="65" customFormat="false" ht="12.75" hidden="false" customHeight="false" outlineLevel="0" collapsed="false">
      <c r="C65" s="280"/>
      <c r="D65" s="274"/>
      <c r="E65" s="274"/>
      <c r="F65" s="274"/>
      <c r="G65" s="191"/>
      <c r="H65" s="280"/>
      <c r="I65" s="274"/>
      <c r="J65" s="274"/>
      <c r="K65" s="274"/>
      <c r="L65" s="191"/>
      <c r="M65" s="280"/>
      <c r="N65" s="274"/>
      <c r="O65" s="274"/>
      <c r="P65" s="274"/>
      <c r="T65" s="280"/>
      <c r="U65" s="274"/>
      <c r="V65" s="274"/>
      <c r="W65" s="274"/>
      <c r="Y65" s="280"/>
      <c r="Z65" s="274"/>
      <c r="AA65" s="274"/>
      <c r="AB65" s="274"/>
      <c r="AC65" s="191"/>
      <c r="AD65" s="280"/>
      <c r="AE65" s="274"/>
      <c r="AF65" s="274"/>
      <c r="AG65" s="274"/>
      <c r="AI65" s="280"/>
      <c r="AJ65" s="274"/>
      <c r="AK65" s="274"/>
      <c r="AL65" s="274"/>
      <c r="AN65" s="280"/>
      <c r="AO65" s="274"/>
      <c r="AP65" s="274"/>
      <c r="AQ65" s="274"/>
      <c r="AR65" s="44"/>
      <c r="AS65" s="280"/>
      <c r="AT65" s="274"/>
      <c r="AU65" s="274"/>
      <c r="AV65" s="274"/>
    </row>
    <row r="66" customFormat="false" ht="12.75" hidden="false" customHeight="false" outlineLevel="0" collapsed="false">
      <c r="C66" s="280"/>
      <c r="D66" s="274"/>
      <c r="E66" s="274"/>
      <c r="F66" s="274"/>
      <c r="G66" s="191"/>
      <c r="H66" s="280"/>
      <c r="I66" s="504"/>
      <c r="J66" s="504"/>
      <c r="K66" s="274"/>
      <c r="L66" s="191"/>
      <c r="M66" s="280"/>
      <c r="N66" s="274"/>
      <c r="O66" s="274"/>
      <c r="P66" s="274"/>
      <c r="T66" s="280"/>
      <c r="U66" s="274"/>
      <c r="V66" s="274"/>
      <c r="W66" s="274"/>
      <c r="Y66" s="280"/>
      <c r="Z66" s="504"/>
      <c r="AA66" s="504"/>
      <c r="AB66" s="274"/>
      <c r="AC66" s="191"/>
      <c r="AD66" s="280"/>
      <c r="AE66" s="274"/>
      <c r="AF66" s="274"/>
      <c r="AG66" s="274"/>
      <c r="AI66" s="280"/>
      <c r="AJ66" s="274"/>
      <c r="AK66" s="274"/>
      <c r="AL66" s="274"/>
      <c r="AN66" s="280"/>
      <c r="AO66" s="274"/>
      <c r="AP66" s="274"/>
      <c r="AQ66" s="274"/>
      <c r="AR66" s="44"/>
      <c r="AS66" s="280"/>
      <c r="AT66" s="274"/>
      <c r="AU66" s="274"/>
      <c r="AV66" s="274"/>
    </row>
    <row r="67" customFormat="false" ht="12.75" hidden="false" customHeight="false" outlineLevel="0" collapsed="false">
      <c r="C67" s="280"/>
      <c r="D67" s="274"/>
      <c r="E67" s="274"/>
      <c r="F67" s="274"/>
      <c r="G67" s="191"/>
      <c r="H67" s="280"/>
      <c r="I67" s="504"/>
      <c r="J67" s="504"/>
      <c r="K67" s="274"/>
      <c r="L67" s="191"/>
      <c r="M67" s="280"/>
      <c r="N67" s="274"/>
      <c r="O67" s="274"/>
      <c r="P67" s="274"/>
      <c r="T67" s="280"/>
      <c r="U67" s="274"/>
      <c r="V67" s="274"/>
      <c r="W67" s="274"/>
      <c r="Y67" s="280"/>
      <c r="Z67" s="504"/>
      <c r="AA67" s="504"/>
      <c r="AB67" s="274"/>
      <c r="AC67" s="191"/>
      <c r="AD67" s="280"/>
      <c r="AE67" s="274"/>
      <c r="AF67" s="274"/>
      <c r="AG67" s="274"/>
      <c r="AI67" s="280"/>
      <c r="AJ67" s="274"/>
      <c r="AK67" s="274"/>
      <c r="AL67" s="274"/>
      <c r="AN67" s="280"/>
      <c r="AO67" s="504"/>
      <c r="AP67" s="504"/>
      <c r="AQ67" s="274"/>
      <c r="AR67" s="44"/>
      <c r="AS67" s="280"/>
      <c r="AT67" s="274"/>
      <c r="AU67" s="274"/>
      <c r="AV67" s="274"/>
    </row>
    <row r="68" customFormat="false" ht="13.5" hidden="false" customHeight="false" outlineLevel="0" collapsed="false">
      <c r="C68" s="274"/>
      <c r="D68" s="274"/>
      <c r="E68" s="274"/>
      <c r="F68" s="274"/>
      <c r="G68" s="191"/>
      <c r="H68" s="280"/>
      <c r="I68" s="504"/>
      <c r="J68" s="504"/>
      <c r="K68" s="274"/>
      <c r="L68" s="191"/>
      <c r="M68" s="280"/>
      <c r="N68" s="274"/>
      <c r="O68" s="274"/>
      <c r="P68" s="274"/>
      <c r="T68" s="274"/>
      <c r="U68" s="274"/>
      <c r="V68" s="274"/>
      <c r="W68" s="274"/>
      <c r="Y68" s="280"/>
      <c r="Z68" s="504"/>
      <c r="AA68" s="504"/>
      <c r="AB68" s="274"/>
      <c r="AC68" s="191"/>
      <c r="AD68" s="280"/>
      <c r="AE68" s="274"/>
      <c r="AF68" s="274"/>
      <c r="AG68" s="274"/>
      <c r="AI68" s="274"/>
      <c r="AJ68" s="274"/>
      <c r="AK68" s="274"/>
      <c r="AL68" s="274"/>
      <c r="AN68" s="280"/>
      <c r="AO68" s="504"/>
      <c r="AP68" s="504"/>
      <c r="AQ68" s="274"/>
      <c r="AR68" s="44"/>
      <c r="AS68" s="280"/>
      <c r="AT68" s="274"/>
      <c r="AU68" s="274"/>
      <c r="AV68" s="274"/>
    </row>
    <row r="69" customFormat="false" ht="12.75" hidden="false" customHeight="false" outlineLevel="0" collapsed="false">
      <c r="C69" s="11"/>
      <c r="D69" s="11"/>
      <c r="E69" s="11"/>
      <c r="F69" s="11"/>
      <c r="G69" s="191"/>
      <c r="H69" s="11"/>
      <c r="I69" s="11"/>
      <c r="J69" s="11"/>
      <c r="K69" s="11"/>
      <c r="L69" s="191"/>
      <c r="M69" s="519"/>
      <c r="N69" s="11"/>
      <c r="O69" s="11"/>
      <c r="P69" s="11"/>
      <c r="R69" s="520" t="s">
        <v>1024</v>
      </c>
      <c r="S69" s="50"/>
      <c r="T69" s="11"/>
      <c r="U69" s="11"/>
      <c r="V69" s="11"/>
      <c r="W69" s="11"/>
      <c r="Y69" s="11"/>
      <c r="Z69" s="11"/>
      <c r="AA69" s="11"/>
      <c r="AB69" s="11"/>
      <c r="AC69" s="191"/>
      <c r="AD69" s="519"/>
      <c r="AE69" s="11"/>
      <c r="AF69" s="11"/>
      <c r="AG69" s="11"/>
      <c r="AI69" s="11"/>
      <c r="AJ69" s="11"/>
      <c r="AK69" s="11"/>
      <c r="AL69" s="11"/>
      <c r="AN69" s="11"/>
      <c r="AO69" s="11"/>
      <c r="AP69" s="11"/>
      <c r="AQ69" s="11"/>
      <c r="AR69" s="44"/>
      <c r="AS69" s="519"/>
      <c r="AT69" s="11"/>
      <c r="AU69" s="11"/>
      <c r="AV69" s="11"/>
    </row>
    <row r="70" customFormat="false" ht="14.25" hidden="false" customHeight="false" outlineLevel="0" collapsed="false">
      <c r="C70" s="16" t="s">
        <v>1024</v>
      </c>
      <c r="D70" s="113" t="s">
        <v>511</v>
      </c>
      <c r="E70" s="113" t="s">
        <v>512</v>
      </c>
      <c r="F70" s="53" t="s">
        <v>513</v>
      </c>
      <c r="G70" s="191"/>
      <c r="H70" s="16" t="s">
        <v>1024</v>
      </c>
      <c r="I70" s="113" t="s">
        <v>511</v>
      </c>
      <c r="J70" s="113" t="s">
        <v>512</v>
      </c>
      <c r="K70" s="53" t="s">
        <v>513</v>
      </c>
      <c r="L70" s="191"/>
      <c r="M70" s="521" t="s">
        <v>1024</v>
      </c>
      <c r="N70" s="113" t="s">
        <v>511</v>
      </c>
      <c r="O70" s="113" t="s">
        <v>512</v>
      </c>
      <c r="P70" s="53" t="s">
        <v>513</v>
      </c>
      <c r="R70" s="522" t="s">
        <v>1305</v>
      </c>
      <c r="S70" s="53" t="s">
        <v>1214</v>
      </c>
      <c r="T70" s="16" t="s">
        <v>1024</v>
      </c>
      <c r="U70" s="113" t="s">
        <v>511</v>
      </c>
      <c r="V70" s="113" t="s">
        <v>512</v>
      </c>
      <c r="W70" s="53" t="s">
        <v>513</v>
      </c>
      <c r="Y70" s="16" t="s">
        <v>1024</v>
      </c>
      <c r="Z70" s="113" t="s">
        <v>511</v>
      </c>
      <c r="AA70" s="113" t="s">
        <v>512</v>
      </c>
      <c r="AB70" s="53" t="s">
        <v>513</v>
      </c>
      <c r="AC70" s="191"/>
      <c r="AD70" s="521" t="s">
        <v>1024</v>
      </c>
      <c r="AE70" s="113" t="s">
        <v>511</v>
      </c>
      <c r="AF70" s="113" t="s">
        <v>512</v>
      </c>
      <c r="AG70" s="53" t="s">
        <v>513</v>
      </c>
      <c r="AI70" s="16" t="s">
        <v>1024</v>
      </c>
      <c r="AJ70" s="113" t="s">
        <v>511</v>
      </c>
      <c r="AK70" s="113" t="s">
        <v>512</v>
      </c>
      <c r="AL70" s="53" t="s">
        <v>513</v>
      </c>
      <c r="AN70" s="16" t="s">
        <v>1024</v>
      </c>
      <c r="AO70" s="113" t="s">
        <v>511</v>
      </c>
      <c r="AP70" s="113" t="s">
        <v>512</v>
      </c>
      <c r="AQ70" s="53" t="s">
        <v>513</v>
      </c>
      <c r="AR70" s="44"/>
      <c r="AS70" s="521" t="s">
        <v>1024</v>
      </c>
      <c r="AT70" s="113" t="s">
        <v>511</v>
      </c>
      <c r="AU70" s="113" t="s">
        <v>512</v>
      </c>
      <c r="AV70" s="53" t="s">
        <v>513</v>
      </c>
    </row>
    <row r="71" customFormat="false" ht="15" hidden="false" customHeight="false" outlineLevel="0" collapsed="false">
      <c r="C71" s="21" t="s">
        <v>783</v>
      </c>
      <c r="D71" s="55" t="s">
        <v>514</v>
      </c>
      <c r="E71" s="55" t="s">
        <v>514</v>
      </c>
      <c r="F71" s="55" t="s">
        <v>166</v>
      </c>
      <c r="G71" s="191"/>
      <c r="H71" s="21" t="s">
        <v>783</v>
      </c>
      <c r="I71" s="55" t="s">
        <v>784</v>
      </c>
      <c r="J71" s="55" t="s">
        <v>784</v>
      </c>
      <c r="K71" s="55" t="s">
        <v>167</v>
      </c>
      <c r="L71" s="191"/>
      <c r="M71" s="523" t="s">
        <v>783</v>
      </c>
      <c r="N71" s="55" t="s">
        <v>784</v>
      </c>
      <c r="O71" s="55" t="s">
        <v>784</v>
      </c>
      <c r="P71" s="55" t="s">
        <v>167</v>
      </c>
      <c r="R71" s="524" t="s">
        <v>28</v>
      </c>
      <c r="S71" s="464"/>
      <c r="T71" s="21" t="s">
        <v>783</v>
      </c>
      <c r="U71" s="55" t="s">
        <v>784</v>
      </c>
      <c r="V71" s="55" t="s">
        <v>784</v>
      </c>
      <c r="W71" s="55" t="s">
        <v>167</v>
      </c>
      <c r="Y71" s="21" t="s">
        <v>783</v>
      </c>
      <c r="Z71" s="55" t="s">
        <v>784</v>
      </c>
      <c r="AA71" s="55" t="s">
        <v>784</v>
      </c>
      <c r="AB71" s="55" t="s">
        <v>167</v>
      </c>
      <c r="AC71" s="191"/>
      <c r="AD71" s="523" t="s">
        <v>783</v>
      </c>
      <c r="AE71" s="55" t="s">
        <v>784</v>
      </c>
      <c r="AF71" s="55" t="s">
        <v>784</v>
      </c>
      <c r="AG71" s="55" t="s">
        <v>167</v>
      </c>
      <c r="AI71" s="21" t="s">
        <v>783</v>
      </c>
      <c r="AJ71" s="55" t="s">
        <v>514</v>
      </c>
      <c r="AK71" s="55" t="s">
        <v>514</v>
      </c>
      <c r="AL71" s="55" t="s">
        <v>166</v>
      </c>
      <c r="AN71" s="21" t="s">
        <v>783</v>
      </c>
      <c r="AO71" s="55" t="s">
        <v>514</v>
      </c>
      <c r="AP71" s="55" t="s">
        <v>514</v>
      </c>
      <c r="AQ71" s="55" t="s">
        <v>166</v>
      </c>
      <c r="AR71" s="44"/>
      <c r="AS71" s="523" t="s">
        <v>783</v>
      </c>
      <c r="AT71" s="55" t="s">
        <v>514</v>
      </c>
      <c r="AU71" s="55" t="s">
        <v>514</v>
      </c>
      <c r="AV71" s="55" t="s">
        <v>166</v>
      </c>
    </row>
    <row r="72" customFormat="false" ht="12.75" hidden="false" customHeight="false" outlineLevel="0" collapsed="false">
      <c r="B72" s="10"/>
      <c r="C72" s="525" t="s">
        <v>1025</v>
      </c>
      <c r="D72" s="526" t="s">
        <v>1865</v>
      </c>
      <c r="E72" s="527" t="s">
        <v>1865</v>
      </c>
      <c r="F72" s="526" t="s">
        <v>393</v>
      </c>
      <c r="G72" s="213"/>
      <c r="H72" s="525" t="s">
        <v>1025</v>
      </c>
      <c r="I72" s="526" t="s">
        <v>1500</v>
      </c>
      <c r="J72" s="527" t="s">
        <v>1500</v>
      </c>
      <c r="K72" s="526" t="s">
        <v>1866</v>
      </c>
      <c r="L72" s="315"/>
      <c r="M72" s="525" t="s">
        <v>1025</v>
      </c>
      <c r="N72" s="526" t="s">
        <v>1500</v>
      </c>
      <c r="O72" s="527" t="s">
        <v>1500</v>
      </c>
      <c r="P72" s="526" t="s">
        <v>1866</v>
      </c>
      <c r="R72" s="528" t="n">
        <v>1</v>
      </c>
      <c r="S72" s="529" t="n">
        <v>1</v>
      </c>
      <c r="T72" s="530" t="s">
        <v>1025</v>
      </c>
      <c r="U72" s="469" t="n">
        <f aca="false">IF(D72="","",ROUND(4.184*D72+($S72-$R72)*$T$9,3))</f>
        <v>0</v>
      </c>
      <c r="V72" s="469" t="n">
        <f aca="false">IF(E72="","",ROUND(4.184*E72,3))</f>
        <v>0</v>
      </c>
      <c r="W72" s="469" t="n">
        <f aca="false">IF(F72="","",ROUND(4.184*F72+$R72*$T$8,3))</f>
        <v>205.142</v>
      </c>
      <c r="Y72" s="525" t="s">
        <v>1025</v>
      </c>
      <c r="Z72" s="526" t="s">
        <v>1500</v>
      </c>
      <c r="AA72" s="527" t="s">
        <v>1500</v>
      </c>
      <c r="AB72" s="526" t="s">
        <v>1866</v>
      </c>
      <c r="AC72" s="315"/>
      <c r="AD72" s="525" t="s">
        <v>1025</v>
      </c>
      <c r="AE72" s="526" t="s">
        <v>1500</v>
      </c>
      <c r="AF72" s="527" t="s">
        <v>1500</v>
      </c>
      <c r="AG72" s="526" t="s">
        <v>1866</v>
      </c>
      <c r="AI72" s="525" t="s">
        <v>1025</v>
      </c>
      <c r="AJ72" s="469" t="n">
        <f aca="false">IF(D72="","",ROUND(D72+($S72-$R72)*$AK$9,3))</f>
        <v>0</v>
      </c>
      <c r="AK72" s="531" t="n">
        <f aca="false">IF(E72="","",ROUND(E72,3))</f>
        <v>0</v>
      </c>
      <c r="AL72" s="469" t="n">
        <f aca="false">IF(F72="","",ROUND(F72+$R72*$AK$8,3))</f>
        <v>49.03</v>
      </c>
      <c r="AN72" s="525" t="s">
        <v>1025</v>
      </c>
      <c r="AO72" s="469" t="n">
        <f aca="false">IF(I72="","",ROUND(I72/4.184,3))</f>
        <v>0</v>
      </c>
      <c r="AP72" s="531" t="n">
        <f aca="false">IF(J72="","",ROUND(J72/4.184,3))</f>
        <v>0</v>
      </c>
      <c r="AQ72" s="469" t="n">
        <f aca="false">IF(K72="","",ROUND(K72/4.184,3))</f>
        <v>49.031</v>
      </c>
      <c r="AR72" s="44"/>
      <c r="AS72" s="525" t="s">
        <v>1025</v>
      </c>
      <c r="AT72" s="469" t="n">
        <f aca="false">IF(N72="","",ROUND(N72/4.184,3))</f>
        <v>0</v>
      </c>
      <c r="AU72" s="531" t="n">
        <f aca="false">IF(O72="","",ROUND(O72/4.184,3))</f>
        <v>0</v>
      </c>
      <c r="AV72" s="469" t="n">
        <f aca="false">IF(P72="","",ROUND(P72/4.184,3))</f>
        <v>49.031</v>
      </c>
    </row>
    <row r="73" customFormat="false" ht="12.75" hidden="false" customHeight="false" outlineLevel="0" collapsed="false">
      <c r="B73" s="10"/>
      <c r="C73" s="354" t="s">
        <v>1026</v>
      </c>
      <c r="D73" s="465" t="s">
        <v>1865</v>
      </c>
      <c r="E73" s="466" t="s">
        <v>1865</v>
      </c>
      <c r="F73" s="465" t="s">
        <v>324</v>
      </c>
      <c r="G73" s="213"/>
      <c r="H73" s="354" t="s">
        <v>1026</v>
      </c>
      <c r="I73" s="465" t="s">
        <v>1500</v>
      </c>
      <c r="J73" s="466" t="s">
        <v>1500</v>
      </c>
      <c r="K73" s="465" t="s">
        <v>623</v>
      </c>
      <c r="L73" s="315"/>
      <c r="M73" s="354" t="s">
        <v>1026</v>
      </c>
      <c r="N73" s="465" t="s">
        <v>1500</v>
      </c>
      <c r="O73" s="466" t="s">
        <v>1500</v>
      </c>
      <c r="P73" s="465" t="s">
        <v>623</v>
      </c>
      <c r="R73" s="532" t="n">
        <v>1</v>
      </c>
      <c r="S73" s="533" t="n">
        <v>1</v>
      </c>
      <c r="T73" s="534" t="s">
        <v>1026</v>
      </c>
      <c r="U73" s="470" t="n">
        <f aca="false">IF(D73="","",ROUND(4.184*D73+($S73-$R73)*$T$9,3))</f>
        <v>0</v>
      </c>
      <c r="V73" s="470" t="n">
        <f aca="false">IF(E73="","",ROUND(4.184*E73,3))</f>
        <v>0</v>
      </c>
      <c r="W73" s="470" t="n">
        <f aca="false">IF(F73="","",ROUND(4.184*F73+$R73*$T$8,3))</f>
        <v>130.684</v>
      </c>
      <c r="Y73" s="354" t="s">
        <v>1026</v>
      </c>
      <c r="Z73" s="465" t="s">
        <v>1500</v>
      </c>
      <c r="AA73" s="466" t="s">
        <v>1500</v>
      </c>
      <c r="AB73" s="465" t="s">
        <v>623</v>
      </c>
      <c r="AC73" s="315"/>
      <c r="AD73" s="354" t="s">
        <v>1026</v>
      </c>
      <c r="AE73" s="465" t="s">
        <v>1500</v>
      </c>
      <c r="AF73" s="466" t="s">
        <v>1500</v>
      </c>
      <c r="AG73" s="465" t="s">
        <v>623</v>
      </c>
      <c r="AI73" s="354" t="s">
        <v>1026</v>
      </c>
      <c r="AJ73" s="470" t="n">
        <f aca="false">IF(D73="","",ROUND(D73+($S73-$R73)*$AK$9,3))</f>
        <v>0</v>
      </c>
      <c r="AK73" s="471" t="n">
        <f aca="false">IF(E73="","",ROUND(E73,3))</f>
        <v>0</v>
      </c>
      <c r="AL73" s="470" t="n">
        <f aca="false">IF(F73="","",ROUND(F73+$R73*$AK$8,3))</f>
        <v>31.234</v>
      </c>
      <c r="AN73" s="354" t="s">
        <v>1026</v>
      </c>
      <c r="AO73" s="470" t="n">
        <f aca="false">IF(I73="","",ROUND(I73/4.184,3))</f>
        <v>0</v>
      </c>
      <c r="AP73" s="471" t="n">
        <f aca="false">IF(J73="","",ROUND(J73/4.184,3))</f>
        <v>0</v>
      </c>
      <c r="AQ73" s="470" t="n">
        <f aca="false">IF(K73="","",ROUND(K73/4.184,3))</f>
        <v>31.233</v>
      </c>
      <c r="AR73" s="44"/>
      <c r="AS73" s="354" t="s">
        <v>1026</v>
      </c>
      <c r="AT73" s="470" t="n">
        <f aca="false">IF(N73="","",ROUND(N73/4.184,3))</f>
        <v>0</v>
      </c>
      <c r="AU73" s="471" t="n">
        <f aca="false">IF(O73="","",ROUND(O73/4.184,3))</f>
        <v>0</v>
      </c>
      <c r="AV73" s="470" t="n">
        <f aca="false">IF(P73="","",ROUND(P73/4.184,3))</f>
        <v>31.233</v>
      </c>
    </row>
    <row r="74" customFormat="false" ht="12.75" hidden="false" customHeight="false" outlineLevel="0" collapsed="false">
      <c r="B74" s="10"/>
      <c r="C74" s="345" t="s">
        <v>1027</v>
      </c>
      <c r="D74" s="465" t="s">
        <v>1867</v>
      </c>
      <c r="E74" s="466" t="s">
        <v>1868</v>
      </c>
      <c r="F74" s="465" t="s">
        <v>1311</v>
      </c>
      <c r="G74" s="213"/>
      <c r="H74" s="345" t="s">
        <v>1027</v>
      </c>
      <c r="I74" s="465" t="s">
        <v>1030</v>
      </c>
      <c r="J74" s="466" t="s">
        <v>1028</v>
      </c>
      <c r="K74" s="465" t="s">
        <v>1869</v>
      </c>
      <c r="L74" s="315"/>
      <c r="M74" s="345" t="s">
        <v>1027</v>
      </c>
      <c r="N74" s="465" t="s">
        <v>1030</v>
      </c>
      <c r="O74" s="466" t="s">
        <v>1028</v>
      </c>
      <c r="P74" s="465" t="s">
        <v>1869</v>
      </c>
      <c r="R74" s="532" t="n">
        <v>1</v>
      </c>
      <c r="S74" s="533" t="n">
        <v>1.5</v>
      </c>
      <c r="T74" s="535" t="s">
        <v>1027</v>
      </c>
      <c r="U74" s="470" t="n">
        <f aca="false">IF(D74="","",ROUND(4.184*D74+($S74-$R74)*$T$9,3))</f>
        <v>-228.581</v>
      </c>
      <c r="V74" s="470" t="n">
        <f aca="false">IF(E74="","",ROUND(4.184*E74,3))</f>
        <v>-241.827</v>
      </c>
      <c r="W74" s="470" t="n">
        <f aca="false">IF(F74="","",ROUND(4.184*F74+$R74*$T$8,3))</f>
        <v>188.833</v>
      </c>
      <c r="Y74" s="345" t="s">
        <v>1027</v>
      </c>
      <c r="Z74" s="465" t="s">
        <v>1030</v>
      </c>
      <c r="AA74" s="466" t="s">
        <v>1028</v>
      </c>
      <c r="AB74" s="465" t="s">
        <v>1869</v>
      </c>
      <c r="AC74" s="315"/>
      <c r="AD74" s="345" t="s">
        <v>1027</v>
      </c>
      <c r="AE74" s="465" t="s">
        <v>1030</v>
      </c>
      <c r="AF74" s="466" t="s">
        <v>1028</v>
      </c>
      <c r="AG74" s="465" t="s">
        <v>1869</v>
      </c>
      <c r="AI74" s="345" t="s">
        <v>1027</v>
      </c>
      <c r="AJ74" s="470" t="n">
        <f aca="false">IF(D74="","",ROUND(D74+($S74-$R74)*$AK$9,3))</f>
        <v>-54.632</v>
      </c>
      <c r="AK74" s="471" t="n">
        <f aca="false">IF(E74="","",ROUND(E74,3))</f>
        <v>-57.798</v>
      </c>
      <c r="AL74" s="470" t="n">
        <f aca="false">IF(F74="","",ROUND(F74+$R74*$AK$8,3))</f>
        <v>45.132</v>
      </c>
      <c r="AN74" s="345" t="s">
        <v>1027</v>
      </c>
      <c r="AO74" s="470" t="n">
        <f aca="false">IF(I74="","",ROUND(I74/4.184,3))</f>
        <v>-54.632</v>
      </c>
      <c r="AP74" s="471" t="n">
        <f aca="false">IF(J74="","",ROUND(J74/4.184,3))</f>
        <v>-57.798</v>
      </c>
      <c r="AQ74" s="470" t="n">
        <f aca="false">IF(K74="","",ROUND(K74/4.184,3))</f>
        <v>45.132</v>
      </c>
      <c r="AR74" s="44"/>
      <c r="AS74" s="345" t="s">
        <v>1027</v>
      </c>
      <c r="AT74" s="470" t="n">
        <f aca="false">IF(N74="","",ROUND(N74/4.184,3))</f>
        <v>-54.632</v>
      </c>
      <c r="AU74" s="471" t="n">
        <f aca="false">IF(O74="","",ROUND(O74/4.184,3))</f>
        <v>-57.798</v>
      </c>
      <c r="AV74" s="470" t="n">
        <f aca="false">IF(P74="","",ROUND(P74/4.184,3))</f>
        <v>45.132</v>
      </c>
    </row>
    <row r="75" customFormat="false" ht="13.5" hidden="false" customHeight="false" outlineLevel="0" collapsed="false">
      <c r="B75" s="10"/>
      <c r="C75" s="375" t="s">
        <v>1031</v>
      </c>
      <c r="D75" s="496" t="s">
        <v>1870</v>
      </c>
      <c r="E75" s="497" t="s">
        <v>1871</v>
      </c>
      <c r="F75" s="496" t="s">
        <v>1872</v>
      </c>
      <c r="G75" s="213"/>
      <c r="H75" s="375" t="s">
        <v>1031</v>
      </c>
      <c r="I75" s="496" t="s">
        <v>1873</v>
      </c>
      <c r="J75" s="497" t="s">
        <v>1874</v>
      </c>
      <c r="K75" s="496" t="s">
        <v>1875</v>
      </c>
      <c r="L75" s="315"/>
      <c r="M75" s="375" t="s">
        <v>1031</v>
      </c>
      <c r="N75" s="496" t="s">
        <v>1873</v>
      </c>
      <c r="O75" s="497" t="s">
        <v>1874</v>
      </c>
      <c r="P75" s="496" t="s">
        <v>1875</v>
      </c>
      <c r="R75" s="536" t="n">
        <v>1</v>
      </c>
      <c r="S75" s="537" t="n">
        <v>1</v>
      </c>
      <c r="T75" s="538" t="s">
        <v>1031</v>
      </c>
      <c r="U75" s="500" t="n">
        <f aca="false">IF(D75="","",ROUND(4.184*D75+($S75-$R75)*$T$9,3))</f>
        <v>-394.405</v>
      </c>
      <c r="V75" s="500" t="n">
        <f aca="false">IF(E75="","",ROUND(4.184*E75,3))</f>
        <v>-393.522</v>
      </c>
      <c r="W75" s="500" t="n">
        <f aca="false">IF(F75="","",ROUND(4.184*F75+$R75*$T$8,3))</f>
        <v>213.795</v>
      </c>
      <c r="Y75" s="375" t="s">
        <v>1031</v>
      </c>
      <c r="Z75" s="496" t="s">
        <v>1873</v>
      </c>
      <c r="AA75" s="497" t="s">
        <v>1874</v>
      </c>
      <c r="AB75" s="496" t="s">
        <v>1875</v>
      </c>
      <c r="AC75" s="315"/>
      <c r="AD75" s="375" t="s">
        <v>1031</v>
      </c>
      <c r="AE75" s="496" t="s">
        <v>1873</v>
      </c>
      <c r="AF75" s="497" t="s">
        <v>1874</v>
      </c>
      <c r="AG75" s="496" t="s">
        <v>1875</v>
      </c>
      <c r="AI75" s="375" t="s">
        <v>1031</v>
      </c>
      <c r="AJ75" s="500" t="n">
        <f aca="false">IF(D75="","",ROUND(D75+($S75-$R75)*$AK$9,3))</f>
        <v>-94.265</v>
      </c>
      <c r="AK75" s="501" t="n">
        <f aca="false">IF(E75="","",ROUND(E75,3))</f>
        <v>-94.054</v>
      </c>
      <c r="AL75" s="500" t="n">
        <f aca="false">IF(F75="","",ROUND(F75+$R75*$AK$8,3))</f>
        <v>51.098</v>
      </c>
      <c r="AN75" s="375" t="s">
        <v>1031</v>
      </c>
      <c r="AO75" s="500" t="n">
        <f aca="false">IF(I75="","",ROUND(I75/4.184,3))</f>
        <v>-94.261</v>
      </c>
      <c r="AP75" s="501" t="n">
        <f aca="false">IF(J75="","",ROUND(J75/4.184,3))</f>
        <v>-94.054</v>
      </c>
      <c r="AQ75" s="500" t="n">
        <f aca="false">IF(K75="","",ROUND(K75/4.184,3))</f>
        <v>51.098</v>
      </c>
      <c r="AR75" s="44"/>
      <c r="AS75" s="375" t="s">
        <v>1031</v>
      </c>
      <c r="AT75" s="500" t="n">
        <f aca="false">IF(N75="","",ROUND(N75/4.184,3))</f>
        <v>-94.261</v>
      </c>
      <c r="AU75" s="501" t="n">
        <f aca="false">IF(O75="","",ROUND(O75/4.184,3))</f>
        <v>-94.054</v>
      </c>
      <c r="AV75" s="500" t="n">
        <f aca="false">IF(P75="","",ROUND(P75/4.184,3))</f>
        <v>51.098</v>
      </c>
    </row>
    <row r="76" customFormat="false" ht="12.75" hidden="false" customHeight="false" outlineLevel="0" collapsed="false">
      <c r="C76" s="280"/>
      <c r="D76" s="274"/>
      <c r="E76" s="274"/>
      <c r="F76" s="274"/>
      <c r="H76" s="280"/>
      <c r="I76" s="504"/>
      <c r="J76" s="504"/>
      <c r="K76" s="274"/>
      <c r="L76" s="191"/>
      <c r="M76" s="280"/>
      <c r="N76" s="274"/>
      <c r="O76" s="274"/>
      <c r="P76" s="274"/>
      <c r="T76" s="280"/>
      <c r="U76" s="274"/>
      <c r="V76" s="274"/>
      <c r="W76" s="274"/>
      <c r="Y76" s="280"/>
      <c r="Z76" s="504"/>
      <c r="AA76" s="504"/>
      <c r="AB76" s="274"/>
      <c r="AC76" s="191"/>
      <c r="AD76" s="280"/>
      <c r="AE76" s="274"/>
      <c r="AF76" s="274"/>
      <c r="AG76" s="274"/>
      <c r="AI76" s="280"/>
      <c r="AJ76" s="274"/>
      <c r="AK76" s="274"/>
      <c r="AL76" s="274"/>
      <c r="AN76" s="280"/>
      <c r="AO76" s="504"/>
      <c r="AP76" s="504"/>
      <c r="AQ76" s="274"/>
      <c r="AR76" s="44"/>
      <c r="AS76" s="280"/>
      <c r="AT76" s="274"/>
      <c r="AU76" s="274"/>
      <c r="AV76" s="274"/>
    </row>
    <row r="77" customFormat="false" ht="12.75" hidden="false" customHeight="false" outlineLevel="0" collapsed="false">
      <c r="C77" s="280"/>
      <c r="D77" s="274"/>
      <c r="E77" s="274"/>
      <c r="F77" s="274"/>
      <c r="H77" s="280"/>
      <c r="I77" s="504"/>
      <c r="J77" s="504"/>
      <c r="K77" s="274"/>
      <c r="L77" s="191"/>
      <c r="M77" s="280"/>
      <c r="N77" s="274"/>
      <c r="O77" s="274"/>
      <c r="P77" s="274"/>
      <c r="T77" s="280"/>
      <c r="U77" s="274"/>
      <c r="V77" s="274"/>
      <c r="W77" s="274"/>
      <c r="Y77" s="280"/>
      <c r="Z77" s="504"/>
      <c r="AA77" s="504"/>
      <c r="AB77" s="274"/>
      <c r="AC77" s="191"/>
      <c r="AD77" s="280"/>
      <c r="AE77" s="274"/>
      <c r="AF77" s="274"/>
      <c r="AG77" s="274"/>
      <c r="AI77" s="280"/>
      <c r="AJ77" s="274"/>
      <c r="AK77" s="274"/>
      <c r="AL77" s="274"/>
      <c r="AN77" s="280"/>
      <c r="AO77" s="504"/>
      <c r="AP77" s="504"/>
      <c r="AQ77" s="274"/>
      <c r="AR77" s="44"/>
      <c r="AS77" s="280"/>
      <c r="AT77" s="274"/>
      <c r="AU77" s="274"/>
      <c r="AV77" s="274"/>
    </row>
    <row r="78" customFormat="false" ht="12.75" hidden="false" customHeight="false" outlineLevel="0" collapsed="false">
      <c r="C78" s="280"/>
      <c r="D78" s="274"/>
      <c r="E78" s="274"/>
      <c r="F78" s="274"/>
      <c r="H78" s="280"/>
      <c r="I78" s="504"/>
      <c r="J78" s="504"/>
      <c r="K78" s="274"/>
      <c r="L78" s="191"/>
      <c r="M78" s="280"/>
      <c r="N78" s="274"/>
      <c r="O78" s="274"/>
      <c r="P78" s="274"/>
      <c r="T78" s="280"/>
      <c r="U78" s="274"/>
      <c r="V78" s="274"/>
      <c r="W78" s="274"/>
      <c r="Y78" s="280"/>
      <c r="Z78" s="504"/>
      <c r="AA78" s="504"/>
      <c r="AB78" s="274"/>
      <c r="AC78" s="191"/>
      <c r="AD78" s="280"/>
      <c r="AE78" s="274"/>
      <c r="AF78" s="274"/>
      <c r="AG78" s="274"/>
      <c r="AI78" s="280"/>
      <c r="AJ78" s="274"/>
      <c r="AK78" s="274"/>
      <c r="AL78" s="274"/>
      <c r="AN78" s="280"/>
      <c r="AO78" s="504"/>
      <c r="AP78" s="504"/>
      <c r="AQ78" s="274"/>
      <c r="AR78" s="44"/>
      <c r="AS78" s="280"/>
      <c r="AT78" s="274"/>
      <c r="AU78" s="274"/>
      <c r="AV78" s="274"/>
    </row>
    <row r="79" customFormat="false" ht="13.5" hidden="false" customHeight="false" outlineLevel="0" collapsed="false">
      <c r="C79" s="280"/>
      <c r="D79" s="274"/>
      <c r="E79" s="274"/>
      <c r="F79" s="274"/>
      <c r="H79" s="280"/>
      <c r="I79" s="504"/>
      <c r="J79" s="504"/>
      <c r="K79" s="274"/>
      <c r="L79" s="191"/>
      <c r="M79" s="280"/>
      <c r="N79" s="274"/>
      <c r="O79" s="274"/>
      <c r="P79" s="274"/>
      <c r="T79" s="280"/>
      <c r="U79" s="274"/>
      <c r="V79" s="274"/>
      <c r="W79" s="274"/>
      <c r="Y79" s="280"/>
      <c r="Z79" s="504"/>
      <c r="AA79" s="504"/>
      <c r="AB79" s="274"/>
      <c r="AC79" s="191"/>
      <c r="AD79" s="280"/>
      <c r="AE79" s="274"/>
      <c r="AF79" s="274"/>
      <c r="AG79" s="274"/>
      <c r="AI79" s="280"/>
      <c r="AJ79" s="274"/>
      <c r="AK79" s="274"/>
      <c r="AL79" s="274"/>
      <c r="AN79" s="280"/>
      <c r="AO79" s="504"/>
      <c r="AP79" s="504"/>
      <c r="AQ79" s="274"/>
      <c r="AR79" s="44"/>
      <c r="AS79" s="280"/>
      <c r="AT79" s="274"/>
      <c r="AU79" s="274"/>
      <c r="AV79" s="274"/>
    </row>
    <row r="80" customFormat="false" ht="12.75" hidden="false" customHeight="false" outlineLevel="0" collapsed="false">
      <c r="B80" s="11"/>
      <c r="C80" s="11"/>
      <c r="D80" s="11"/>
      <c r="E80" s="11"/>
      <c r="F80" s="11"/>
      <c r="G80" s="213"/>
      <c r="H80" s="11"/>
      <c r="I80" s="11"/>
      <c r="J80" s="11"/>
      <c r="K80" s="11"/>
      <c r="L80" s="191"/>
      <c r="M80" s="11"/>
      <c r="N80" s="11"/>
      <c r="O80" s="11"/>
      <c r="P80" s="11"/>
      <c r="S80" s="50"/>
      <c r="T80" s="11"/>
      <c r="U80" s="11"/>
      <c r="V80" s="11"/>
      <c r="W80" s="11"/>
      <c r="Y80" s="11"/>
      <c r="Z80" s="11"/>
      <c r="AA80" s="11"/>
      <c r="AB80" s="11"/>
      <c r="AC80" s="191"/>
      <c r="AD80" s="11"/>
      <c r="AE80" s="11"/>
      <c r="AF80" s="11"/>
      <c r="AG80" s="11"/>
      <c r="AI80" s="11"/>
      <c r="AJ80" s="11"/>
      <c r="AK80" s="11"/>
      <c r="AL80" s="11"/>
      <c r="AN80" s="11"/>
      <c r="AO80" s="11"/>
      <c r="AP80" s="11"/>
      <c r="AQ80" s="11"/>
      <c r="AR80" s="44"/>
      <c r="AS80" s="11"/>
      <c r="AT80" s="11"/>
      <c r="AU80" s="11"/>
      <c r="AV80" s="11"/>
    </row>
    <row r="81" customFormat="false" ht="14.25" hidden="false" customHeight="false" outlineLevel="0" collapsed="false">
      <c r="B81" s="16" t="s">
        <v>1039</v>
      </c>
      <c r="C81" s="16" t="s">
        <v>1039</v>
      </c>
      <c r="D81" s="113" t="s">
        <v>511</v>
      </c>
      <c r="E81" s="113" t="s">
        <v>512</v>
      </c>
      <c r="F81" s="53" t="s">
        <v>513</v>
      </c>
      <c r="G81" s="213"/>
      <c r="H81" s="16" t="s">
        <v>1039</v>
      </c>
      <c r="I81" s="113" t="s">
        <v>511</v>
      </c>
      <c r="J81" s="113" t="s">
        <v>512</v>
      </c>
      <c r="K81" s="53" t="s">
        <v>513</v>
      </c>
      <c r="L81" s="191"/>
      <c r="M81" s="16" t="s">
        <v>1039</v>
      </c>
      <c r="N81" s="113" t="s">
        <v>511</v>
      </c>
      <c r="O81" s="113" t="s">
        <v>512</v>
      </c>
      <c r="P81" s="53" t="s">
        <v>513</v>
      </c>
      <c r="S81" s="53" t="s">
        <v>1214</v>
      </c>
      <c r="T81" s="16" t="s">
        <v>1039</v>
      </c>
      <c r="U81" s="113" t="s">
        <v>511</v>
      </c>
      <c r="V81" s="113" t="s">
        <v>512</v>
      </c>
      <c r="W81" s="53" t="s">
        <v>513</v>
      </c>
      <c r="Y81" s="16" t="s">
        <v>1039</v>
      </c>
      <c r="Z81" s="113" t="s">
        <v>511</v>
      </c>
      <c r="AA81" s="113" t="s">
        <v>512</v>
      </c>
      <c r="AB81" s="53" t="s">
        <v>513</v>
      </c>
      <c r="AC81" s="191"/>
      <c r="AD81" s="16" t="s">
        <v>1039</v>
      </c>
      <c r="AE81" s="113" t="s">
        <v>511</v>
      </c>
      <c r="AF81" s="113" t="s">
        <v>512</v>
      </c>
      <c r="AG81" s="53" t="s">
        <v>513</v>
      </c>
      <c r="AI81" s="16" t="s">
        <v>1039</v>
      </c>
      <c r="AJ81" s="113" t="s">
        <v>511</v>
      </c>
      <c r="AK81" s="113" t="s">
        <v>512</v>
      </c>
      <c r="AL81" s="53" t="s">
        <v>513</v>
      </c>
      <c r="AN81" s="16" t="s">
        <v>1039</v>
      </c>
      <c r="AO81" s="113" t="s">
        <v>511</v>
      </c>
      <c r="AP81" s="113" t="s">
        <v>512</v>
      </c>
      <c r="AQ81" s="53" t="s">
        <v>513</v>
      </c>
      <c r="AR81" s="44"/>
      <c r="AS81" s="16" t="s">
        <v>1039</v>
      </c>
      <c r="AT81" s="113" t="s">
        <v>511</v>
      </c>
      <c r="AU81" s="113" t="s">
        <v>512</v>
      </c>
      <c r="AV81" s="53" t="s">
        <v>513</v>
      </c>
    </row>
    <row r="82" customFormat="false" ht="15" hidden="false" customHeight="false" outlineLevel="0" collapsed="false">
      <c r="B82" s="21" t="s">
        <v>1040</v>
      </c>
      <c r="C82" s="21" t="s">
        <v>783</v>
      </c>
      <c r="D82" s="55" t="s">
        <v>514</v>
      </c>
      <c r="E82" s="55" t="s">
        <v>514</v>
      </c>
      <c r="F82" s="55" t="s">
        <v>166</v>
      </c>
      <c r="G82" s="213"/>
      <c r="H82" s="21" t="s">
        <v>783</v>
      </c>
      <c r="I82" s="55" t="s">
        <v>784</v>
      </c>
      <c r="J82" s="55" t="s">
        <v>784</v>
      </c>
      <c r="K82" s="55" t="s">
        <v>167</v>
      </c>
      <c r="L82" s="191"/>
      <c r="M82" s="21" t="s">
        <v>783</v>
      </c>
      <c r="N82" s="55" t="s">
        <v>784</v>
      </c>
      <c r="O82" s="55" t="s">
        <v>784</v>
      </c>
      <c r="P82" s="55" t="s">
        <v>167</v>
      </c>
      <c r="S82" s="464"/>
      <c r="T82" s="21" t="s">
        <v>783</v>
      </c>
      <c r="U82" s="55" t="s">
        <v>784</v>
      </c>
      <c r="V82" s="55" t="s">
        <v>784</v>
      </c>
      <c r="W82" s="55" t="s">
        <v>167</v>
      </c>
      <c r="Y82" s="21" t="s">
        <v>783</v>
      </c>
      <c r="Z82" s="55" t="s">
        <v>784</v>
      </c>
      <c r="AA82" s="55" t="s">
        <v>784</v>
      </c>
      <c r="AB82" s="55" t="s">
        <v>167</v>
      </c>
      <c r="AC82" s="191"/>
      <c r="AD82" s="21" t="s">
        <v>783</v>
      </c>
      <c r="AE82" s="55" t="s">
        <v>784</v>
      </c>
      <c r="AF82" s="55" t="s">
        <v>784</v>
      </c>
      <c r="AG82" s="55" t="s">
        <v>167</v>
      </c>
      <c r="AI82" s="21" t="s">
        <v>783</v>
      </c>
      <c r="AJ82" s="55" t="s">
        <v>514</v>
      </c>
      <c r="AK82" s="55" t="s">
        <v>514</v>
      </c>
      <c r="AL82" s="55" t="s">
        <v>166</v>
      </c>
      <c r="AN82" s="21" t="s">
        <v>783</v>
      </c>
      <c r="AO82" s="55" t="s">
        <v>514</v>
      </c>
      <c r="AP82" s="55" t="s">
        <v>514</v>
      </c>
      <c r="AQ82" s="55" t="s">
        <v>166</v>
      </c>
      <c r="AR82" s="44"/>
      <c r="AS82" s="21" t="s">
        <v>783</v>
      </c>
      <c r="AT82" s="55" t="s">
        <v>514</v>
      </c>
      <c r="AU82" s="55" t="s">
        <v>514</v>
      </c>
      <c r="AV82" s="55" t="s">
        <v>166</v>
      </c>
    </row>
    <row r="83" customFormat="false" ht="13.5" hidden="false" customHeight="false" outlineLevel="0" collapsed="false">
      <c r="A83" s="10"/>
      <c r="B83" s="335" t="s">
        <v>187</v>
      </c>
      <c r="C83" s="335" t="s">
        <v>187</v>
      </c>
      <c r="D83" s="337" t="s">
        <v>1876</v>
      </c>
      <c r="E83" s="539" t="s">
        <v>1877</v>
      </c>
      <c r="F83" s="337" t="s">
        <v>1878</v>
      </c>
      <c r="G83" s="213"/>
      <c r="H83" s="335" t="s">
        <v>187</v>
      </c>
      <c r="I83" s="540" t="s">
        <v>1500</v>
      </c>
      <c r="J83" s="541" t="s">
        <v>1500</v>
      </c>
      <c r="K83" s="337" t="s">
        <v>1879</v>
      </c>
      <c r="L83" s="210"/>
      <c r="M83" s="335" t="s">
        <v>187</v>
      </c>
      <c r="N83" s="616" t="s">
        <v>1500</v>
      </c>
      <c r="O83" s="617" t="s">
        <v>1500</v>
      </c>
      <c r="P83" s="542" t="s">
        <v>1879</v>
      </c>
      <c r="S83" s="467" t="n">
        <v>0</v>
      </c>
      <c r="T83" s="544" t="s">
        <v>187</v>
      </c>
      <c r="U83" s="469" t="n">
        <f aca="false">IF(D83="","",ROUND(4.184*D83+$S83*$T$9,3))</f>
        <v>12.012</v>
      </c>
      <c r="V83" s="469" t="n">
        <f aca="false">IF(E83="","",ROUND(4.184*E83,3))</f>
        <v>17.46</v>
      </c>
      <c r="W83" s="469" t="n">
        <f aca="false">IF(F83="","",ROUND(4.184*F83,3))</f>
        <v>41.079</v>
      </c>
      <c r="Y83" s="335" t="s">
        <v>187</v>
      </c>
      <c r="Z83" s="540" t="s">
        <v>1500</v>
      </c>
      <c r="AA83" s="541" t="s">
        <v>1500</v>
      </c>
      <c r="AB83" s="337" t="s">
        <v>1879</v>
      </c>
      <c r="AC83" s="210"/>
      <c r="AD83" s="335" t="s">
        <v>187</v>
      </c>
      <c r="AE83" s="542" t="s">
        <v>1500</v>
      </c>
      <c r="AF83" s="543" t="s">
        <v>1500</v>
      </c>
      <c r="AG83" s="542" t="s">
        <v>1879</v>
      </c>
      <c r="AI83" s="335" t="s">
        <v>187</v>
      </c>
      <c r="AJ83" s="312" t="n">
        <f aca="false">IF(D83="","",ROUND(D83+$S83*$AK$9,3))</f>
        <v>2.871</v>
      </c>
      <c r="AK83" s="545" t="n">
        <f aca="false">IF(E83="","",ROUND(E83,3))</f>
        <v>4.173</v>
      </c>
      <c r="AL83" s="312" t="n">
        <f aca="false">IF(F83="","",ROUND(F83,3))</f>
        <v>9.818</v>
      </c>
      <c r="AN83" s="335" t="s">
        <v>187</v>
      </c>
      <c r="AO83" s="508" t="n">
        <f aca="false">IF(I83="","",ROUND(I83/4.184,3))</f>
        <v>0</v>
      </c>
      <c r="AP83" s="546" t="n">
        <f aca="false">IF(J83="","",ROUND(J83/4.184,3))</f>
        <v>0</v>
      </c>
      <c r="AQ83" s="508" t="n">
        <f aca="false">IF(K83="","",ROUND(K83/4.184,3))</f>
        <v>9.818</v>
      </c>
      <c r="AR83" s="44"/>
      <c r="AS83" s="335" t="s">
        <v>187</v>
      </c>
      <c r="AT83" s="547" t="n">
        <f aca="false">IF(N83="","",ROUND(N83/4.184,3))</f>
        <v>0</v>
      </c>
      <c r="AU83" s="548" t="n">
        <f aca="false">IF(O83="","",ROUND(O83/4.184,3))</f>
        <v>0</v>
      </c>
      <c r="AV83" s="547" t="n">
        <f aca="false">IF(P83="","",ROUND(P83/4.184,3))</f>
        <v>9.818</v>
      </c>
    </row>
    <row r="84" customFormat="false" ht="12.75" hidden="false" customHeight="false" outlineLevel="0" collapsed="false">
      <c r="A84" s="10"/>
      <c r="B84" s="342" t="s">
        <v>188</v>
      </c>
      <c r="C84" s="342" t="s">
        <v>188</v>
      </c>
      <c r="D84" s="292" t="s">
        <v>521</v>
      </c>
      <c r="E84" s="549" t="s">
        <v>521</v>
      </c>
      <c r="F84" s="292" t="s">
        <v>400</v>
      </c>
      <c r="G84" s="213"/>
      <c r="H84" s="342" t="s">
        <v>188</v>
      </c>
      <c r="I84" s="292" t="s">
        <v>1844</v>
      </c>
      <c r="J84" s="549" t="s">
        <v>1845</v>
      </c>
      <c r="K84" s="292" t="s">
        <v>1846</v>
      </c>
      <c r="L84" s="210"/>
      <c r="M84" s="342" t="s">
        <v>188</v>
      </c>
      <c r="N84" s="542" t="s">
        <v>1844</v>
      </c>
      <c r="O84" s="473" t="s">
        <v>1845</v>
      </c>
      <c r="P84" s="465" t="s">
        <v>1846</v>
      </c>
      <c r="S84" s="474" t="n">
        <v>0</v>
      </c>
      <c r="T84" s="550" t="s">
        <v>188</v>
      </c>
      <c r="U84" s="470" t="n">
        <f aca="false">IF(D84="","",ROUND(4.184*D84+$S84*$T$9,3))</f>
        <v>0</v>
      </c>
      <c r="V84" s="470" t="n">
        <f aca="false">IF(E84="","",ROUND(4.184*E84,3))</f>
        <v>0</v>
      </c>
      <c r="W84" s="470" t="n">
        <f aca="false">IF(F84="","",ROUND(4.184*F84,3))</f>
        <v>22.803</v>
      </c>
      <c r="Y84" s="342" t="s">
        <v>188</v>
      </c>
      <c r="Z84" s="292" t="s">
        <v>1844</v>
      </c>
      <c r="AA84" s="549" t="s">
        <v>1845</v>
      </c>
      <c r="AB84" s="292" t="s">
        <v>1846</v>
      </c>
      <c r="AC84" s="210"/>
      <c r="AD84" s="342" t="s">
        <v>188</v>
      </c>
      <c r="AE84" s="472" t="s">
        <v>1844</v>
      </c>
      <c r="AF84" s="473" t="s">
        <v>1845</v>
      </c>
      <c r="AG84" s="465" t="s">
        <v>1846</v>
      </c>
      <c r="AI84" s="342" t="s">
        <v>188</v>
      </c>
      <c r="AJ84" s="294" t="n">
        <f aca="false">IF(D84="","",ROUND(D84+$S84*$AK$9,3))</f>
        <v>0</v>
      </c>
      <c r="AK84" s="551" t="n">
        <f aca="false">IF(E84="","",ROUND(E84,3))</f>
        <v>0</v>
      </c>
      <c r="AL84" s="294" t="n">
        <f aca="false">IF(F84="","",ROUND(F84,3))</f>
        <v>5.45</v>
      </c>
      <c r="AN84" s="342" t="s">
        <v>188</v>
      </c>
      <c r="AO84" s="298" t="n">
        <f aca="false">IF(I84="","",ROUND(I84/4.184,3))</f>
        <v>-2.874</v>
      </c>
      <c r="AP84" s="480" t="n">
        <f aca="false">IF(J84="","",ROUND(J84/4.184,3))</f>
        <v>-4.173</v>
      </c>
      <c r="AQ84" s="298" t="n">
        <f aca="false">IF(K84="","",ROUND(K84/4.184,3))</f>
        <v>5.462</v>
      </c>
      <c r="AR84" s="44"/>
      <c r="AS84" s="342" t="s">
        <v>188</v>
      </c>
      <c r="AT84" s="475" t="n">
        <f aca="false">IF(N84="","",ROUND(N84/4.184,3))</f>
        <v>-2.874</v>
      </c>
      <c r="AU84" s="476" t="n">
        <f aca="false">IF(O84="","",ROUND(O84/4.184,3))</f>
        <v>-4.173</v>
      </c>
      <c r="AV84" s="470" t="n">
        <f aca="false">IF(P84="","",ROUND(P84/4.184,3))</f>
        <v>5.462</v>
      </c>
    </row>
    <row r="85" customFormat="false" ht="12.75" hidden="false" customHeight="false" outlineLevel="0" collapsed="false">
      <c r="A85" s="10"/>
      <c r="B85" s="345" t="s">
        <v>1041</v>
      </c>
      <c r="C85" s="345" t="s">
        <v>1041</v>
      </c>
      <c r="D85" s="292" t="s">
        <v>1880</v>
      </c>
      <c r="E85" s="549" t="s">
        <v>1881</v>
      </c>
      <c r="F85" s="292" t="s">
        <v>1882</v>
      </c>
      <c r="G85" s="213"/>
      <c r="H85" s="345" t="s">
        <v>1041</v>
      </c>
      <c r="I85" s="292" t="s">
        <v>1883</v>
      </c>
      <c r="J85" s="549" t="s">
        <v>1884</v>
      </c>
      <c r="K85" s="292" t="s">
        <v>1885</v>
      </c>
      <c r="L85" s="210"/>
      <c r="M85" s="345" t="s">
        <v>1041</v>
      </c>
      <c r="N85" s="472" t="s">
        <v>1883</v>
      </c>
      <c r="O85" s="466" t="s">
        <v>1884</v>
      </c>
      <c r="P85" s="465" t="s">
        <v>1885</v>
      </c>
      <c r="S85" s="474" t="n">
        <v>5</v>
      </c>
      <c r="T85" s="535" t="s">
        <v>1041</v>
      </c>
      <c r="U85" s="294" t="n">
        <f aca="false">IF(D85="","",ROUND(4.184*D85+$S85*$T$9,3))</f>
        <v>-2675.296</v>
      </c>
      <c r="V85" s="294" t="n">
        <f aca="false">IF(E85="","",ROUND(4.184*E85,3))</f>
        <v>-2940.097</v>
      </c>
      <c r="W85" s="294" t="n">
        <f aca="false">IF(F85="","",ROUND(4.184*F85,3))</f>
        <v>228.781</v>
      </c>
      <c r="Y85" s="345" t="s">
        <v>1041</v>
      </c>
      <c r="Z85" s="292" t="s">
        <v>1883</v>
      </c>
      <c r="AA85" s="549" t="s">
        <v>1884</v>
      </c>
      <c r="AB85" s="292" t="s">
        <v>1885</v>
      </c>
      <c r="AC85" s="210"/>
      <c r="AD85" s="345" t="s">
        <v>1041</v>
      </c>
      <c r="AE85" s="472" t="s">
        <v>1883</v>
      </c>
      <c r="AF85" s="466" t="s">
        <v>1884</v>
      </c>
      <c r="AG85" s="465" t="s">
        <v>1885</v>
      </c>
      <c r="AI85" s="345" t="s">
        <v>1041</v>
      </c>
      <c r="AJ85" s="294" t="n">
        <f aca="false">IF(D85="","",ROUND(D85+$S85*$AK$9,3))</f>
        <v>-639.411</v>
      </c>
      <c r="AK85" s="551" t="n">
        <f aca="false">IF(E85="","",ROUND(E85,3))</f>
        <v>-702.7</v>
      </c>
      <c r="AL85" s="294" t="n">
        <f aca="false">IF(F85="","",ROUND(F85,3))</f>
        <v>54.68</v>
      </c>
      <c r="AN85" s="345" t="s">
        <v>1041</v>
      </c>
      <c r="AO85" s="294" t="n">
        <f aca="false">IF(I85="","",ROUND(I85/4.184,3))</f>
        <v>-650.893</v>
      </c>
      <c r="AP85" s="551" t="n">
        <f aca="false">IF(J85="","",ROUND(J85/4.184,3))</f>
        <v>-719.392</v>
      </c>
      <c r="AQ85" s="294" t="n">
        <f aca="false">IF(K85="","",ROUND(K85/4.184,3))</f>
        <v>54.68</v>
      </c>
      <c r="AR85" s="44"/>
      <c r="AS85" s="345" t="s">
        <v>1041</v>
      </c>
      <c r="AT85" s="298" t="n">
        <f aca="false">IF(N85="","",ROUND(N85/4.184,3))</f>
        <v>-650.893</v>
      </c>
      <c r="AU85" s="551" t="n">
        <f aca="false">IF(O85="","",ROUND(O85/4.184,3))</f>
        <v>-719.392</v>
      </c>
      <c r="AV85" s="294" t="n">
        <f aca="false">IF(P85="","",ROUND(P85/4.184,3))</f>
        <v>54.68</v>
      </c>
    </row>
    <row r="86" customFormat="false" ht="12.75" hidden="false" customHeight="false" outlineLevel="0" collapsed="false">
      <c r="A86" s="10"/>
      <c r="B86" s="342" t="s">
        <v>1042</v>
      </c>
      <c r="C86" s="345" t="s">
        <v>1043</v>
      </c>
      <c r="D86" s="292" t="s">
        <v>1886</v>
      </c>
      <c r="E86" s="549" t="s">
        <v>1887</v>
      </c>
      <c r="F86" s="292" t="s">
        <v>1888</v>
      </c>
      <c r="G86" s="213"/>
      <c r="H86" s="345" t="s">
        <v>1043</v>
      </c>
      <c r="I86" s="292" t="s">
        <v>1889</v>
      </c>
      <c r="J86" s="549" t="s">
        <v>1890</v>
      </c>
      <c r="K86" s="292" t="s">
        <v>1891</v>
      </c>
      <c r="L86" s="210"/>
      <c r="M86" s="345" t="s">
        <v>1043</v>
      </c>
      <c r="N86" s="472" t="s">
        <v>1889</v>
      </c>
      <c r="O86" s="473" t="s">
        <v>1890</v>
      </c>
      <c r="P86" s="465" t="s">
        <v>1891</v>
      </c>
      <c r="S86" s="474" t="n">
        <v>1</v>
      </c>
      <c r="T86" s="535" t="s">
        <v>1043</v>
      </c>
      <c r="U86" s="470" t="n">
        <f aca="false">IF(D86="","",ROUND(4.184*D86+$S86*$T$9,3))</f>
        <v>-856.445</v>
      </c>
      <c r="V86" s="470" t="n">
        <f aca="false">IF(E86="","",ROUND(4.184*E86,3))</f>
        <v>-910.857</v>
      </c>
      <c r="W86" s="470" t="n">
        <f aca="false">IF(F86="","",ROUND(4.184*F86,3))</f>
        <v>41.463</v>
      </c>
      <c r="X86" s="10"/>
      <c r="Y86" s="345" t="s">
        <v>1043</v>
      </c>
      <c r="Z86" s="292" t="s">
        <v>1889</v>
      </c>
      <c r="AA86" s="549" t="s">
        <v>1890</v>
      </c>
      <c r="AB86" s="292" t="s">
        <v>1891</v>
      </c>
      <c r="AC86" s="210"/>
      <c r="AD86" s="345" t="s">
        <v>1043</v>
      </c>
      <c r="AE86" s="472" t="s">
        <v>1889</v>
      </c>
      <c r="AF86" s="473" t="s">
        <v>1890</v>
      </c>
      <c r="AG86" s="465" t="s">
        <v>1891</v>
      </c>
      <c r="AI86" s="345" t="s">
        <v>1043</v>
      </c>
      <c r="AJ86" s="294" t="n">
        <f aca="false">IF(D86="","",ROUND(D86+$S86*$AK$9,3))</f>
        <v>-204.695</v>
      </c>
      <c r="AK86" s="551" t="n">
        <f aca="false">IF(E86="","",ROUND(E86,3))</f>
        <v>-217.7</v>
      </c>
      <c r="AL86" s="294" t="n">
        <f aca="false">IF(F86="","",ROUND(F86,3))</f>
        <v>9.91</v>
      </c>
      <c r="AM86" s="10"/>
      <c r="AN86" s="345" t="s">
        <v>1043</v>
      </c>
      <c r="AO86" s="298" t="n">
        <f aca="false">IF(I86="","",ROUND(I86/4.184,3))</f>
        <v>-204.695</v>
      </c>
      <c r="AP86" s="480" t="n">
        <f aca="false">IF(J86="","",ROUND(J86/4.184,3))</f>
        <v>-217.7</v>
      </c>
      <c r="AQ86" s="294" t="n">
        <f aca="false">IF(K86="","",ROUND(K86/4.184,3))</f>
        <v>9.91</v>
      </c>
      <c r="AR86" s="45"/>
      <c r="AS86" s="345" t="s">
        <v>1043</v>
      </c>
      <c r="AT86" s="475" t="n">
        <f aca="false">IF(N86="","",ROUND(N86/4.184,3))</f>
        <v>-204.695</v>
      </c>
      <c r="AU86" s="476" t="n">
        <f aca="false">IF(O86="","",ROUND(O86/4.184,3))</f>
        <v>-217.7</v>
      </c>
      <c r="AV86" s="475" t="n">
        <f aca="false">IF(P86="","",ROUND(P86/4.184,3))</f>
        <v>9.91</v>
      </c>
    </row>
    <row r="87" customFormat="false" ht="12.75" hidden="false" customHeight="false" outlineLevel="0" collapsed="false">
      <c r="A87" s="10"/>
      <c r="B87" s="345" t="s">
        <v>1050</v>
      </c>
      <c r="C87" s="345" t="s">
        <v>1050</v>
      </c>
      <c r="D87" s="256" t="s">
        <v>1892</v>
      </c>
      <c r="E87" s="552" t="s">
        <v>1692</v>
      </c>
      <c r="F87" s="292" t="s">
        <v>1893</v>
      </c>
      <c r="G87" s="213"/>
      <c r="H87" s="345" t="s">
        <v>1050</v>
      </c>
      <c r="I87" s="292" t="s">
        <v>1894</v>
      </c>
      <c r="J87" s="549" t="s">
        <v>1895</v>
      </c>
      <c r="K87" s="292" t="s">
        <v>1896</v>
      </c>
      <c r="L87" s="210"/>
      <c r="M87" s="345" t="s">
        <v>1050</v>
      </c>
      <c r="N87" s="472" t="s">
        <v>1894</v>
      </c>
      <c r="O87" s="473" t="s">
        <v>1895</v>
      </c>
      <c r="P87" s="472" t="s">
        <v>1896</v>
      </c>
      <c r="S87" s="474" t="n">
        <v>1.5</v>
      </c>
      <c r="T87" s="535" t="s">
        <v>1050</v>
      </c>
      <c r="U87" s="479" t="n">
        <f aca="false">IF(D87="","",ROUND(4.184*D87+$S87*$T$9,3))</f>
        <v>-1191.24</v>
      </c>
      <c r="V87" s="479" t="n">
        <f aca="false">IF(E87="","",ROUND(4.184*E87,3))</f>
        <v>-1270.43</v>
      </c>
      <c r="W87" s="470" t="n">
        <f aca="false">IF(F87="","",ROUND(4.184*F87,3))</f>
        <v>53.848</v>
      </c>
      <c r="X87" s="10"/>
      <c r="Y87" s="345" t="s">
        <v>1050</v>
      </c>
      <c r="Z87" s="292" t="s">
        <v>1894</v>
      </c>
      <c r="AA87" s="549" t="s">
        <v>1895</v>
      </c>
      <c r="AB87" s="292" t="s">
        <v>1896</v>
      </c>
      <c r="AC87" s="210"/>
      <c r="AD87" s="345" t="s">
        <v>1050</v>
      </c>
      <c r="AE87" s="472" t="s">
        <v>1894</v>
      </c>
      <c r="AF87" s="473" t="s">
        <v>1895</v>
      </c>
      <c r="AG87" s="472" t="s">
        <v>1896</v>
      </c>
      <c r="AI87" s="345" t="s">
        <v>1050</v>
      </c>
      <c r="AJ87" s="479" t="n">
        <f aca="false">IF(D87="","",ROUND(D87+$S87*$AK$9,3))</f>
        <v>-284.713</v>
      </c>
      <c r="AK87" s="553" t="n">
        <f aca="false">IF(E87="","",ROUND(E87,3))</f>
        <v>-303.64</v>
      </c>
      <c r="AL87" s="294" t="n">
        <f aca="false">IF(F87="","",ROUND(F87,3))</f>
        <v>12.87</v>
      </c>
      <c r="AM87" s="10"/>
      <c r="AN87" s="345" t="s">
        <v>1050</v>
      </c>
      <c r="AO87" s="294" t="n">
        <f aca="false">IF(I87="","",ROUND(I87/4.184,3))</f>
        <v>-285.085</v>
      </c>
      <c r="AP87" s="551" t="n">
        <f aca="false">IF(J87="","",ROUND(J87/4.184,3))</f>
        <v>-304</v>
      </c>
      <c r="AQ87" s="294" t="n">
        <f aca="false">IF(K87="","",ROUND(K87/4.184,3))</f>
        <v>12.895</v>
      </c>
      <c r="AR87" s="45"/>
      <c r="AS87" s="345" t="s">
        <v>1050</v>
      </c>
      <c r="AT87" s="475" t="n">
        <f aca="false">IF(N87="","",ROUND(N87/4.184,3))</f>
        <v>-285.085</v>
      </c>
      <c r="AU87" s="476" t="n">
        <f aca="false">IF(O87="","",ROUND(O87/4.184,3))</f>
        <v>-304</v>
      </c>
      <c r="AV87" s="475" t="n">
        <f aca="false">IF(P87="","",ROUND(P87/4.184,3))</f>
        <v>12.895</v>
      </c>
    </row>
    <row r="88" customFormat="false" ht="12.75" hidden="false" customHeight="false" outlineLevel="0" collapsed="false">
      <c r="A88" s="10"/>
      <c r="B88" s="345" t="s">
        <v>1058</v>
      </c>
      <c r="C88" s="345" t="s">
        <v>1059</v>
      </c>
      <c r="D88" s="292" t="s">
        <v>1897</v>
      </c>
      <c r="E88" s="549" t="s">
        <v>1898</v>
      </c>
      <c r="F88" s="292" t="s">
        <v>1899</v>
      </c>
      <c r="G88" s="213"/>
      <c r="H88" s="345" t="s">
        <v>1059</v>
      </c>
      <c r="I88" s="292" t="s">
        <v>1900</v>
      </c>
      <c r="J88" s="549" t="s">
        <v>1901</v>
      </c>
      <c r="K88" s="292" t="s">
        <v>1902</v>
      </c>
      <c r="L88" s="210"/>
      <c r="M88" s="345" t="s">
        <v>1059</v>
      </c>
      <c r="N88" s="472" t="s">
        <v>1900</v>
      </c>
      <c r="O88" s="473" t="s">
        <v>1901</v>
      </c>
      <c r="P88" s="472" t="s">
        <v>1902</v>
      </c>
      <c r="S88" s="474" t="n">
        <v>3</v>
      </c>
      <c r="T88" s="535" t="s">
        <v>1059</v>
      </c>
      <c r="U88" s="470" t="n">
        <f aca="false">IF(D88="","",ROUND(4.184*D88+$S88*$T$9,3))</f>
        <v>-968.511</v>
      </c>
      <c r="V88" s="470" t="n">
        <f aca="false">IF(E88="","",ROUND(4.184*E88,3))</f>
        <v>-1093.99</v>
      </c>
      <c r="W88" s="470" t="n">
        <f aca="false">IF(F88="","",ROUND(4.184*F88,3))</f>
        <v>88.743</v>
      </c>
      <c r="X88" s="10"/>
      <c r="Y88" s="345" t="s">
        <v>1059</v>
      </c>
      <c r="Z88" s="292" t="s">
        <v>1900</v>
      </c>
      <c r="AA88" s="549" t="s">
        <v>1901</v>
      </c>
      <c r="AB88" s="292" t="s">
        <v>1902</v>
      </c>
      <c r="AC88" s="210"/>
      <c r="AD88" s="345" t="s">
        <v>1059</v>
      </c>
      <c r="AE88" s="472" t="s">
        <v>1900</v>
      </c>
      <c r="AF88" s="473" t="s">
        <v>1901</v>
      </c>
      <c r="AG88" s="472" t="s">
        <v>1902</v>
      </c>
      <c r="AI88" s="345" t="s">
        <v>1059</v>
      </c>
      <c r="AJ88" s="294" t="n">
        <f aca="false">IF(D88="","",ROUND(D88+$S88*$AK$9,3))</f>
        <v>-231.48</v>
      </c>
      <c r="AK88" s="551" t="n">
        <f aca="false">IF(E88="","",ROUND(E88,3))</f>
        <v>-261.47</v>
      </c>
      <c r="AL88" s="294" t="n">
        <f aca="false">IF(F88="","",ROUND(F88,3))</f>
        <v>21.21</v>
      </c>
      <c r="AM88" s="10"/>
      <c r="AN88" s="345" t="s">
        <v>1059</v>
      </c>
      <c r="AO88" s="294" t="n">
        <f aca="false">IF(I88="","",ROUND(I88/4.184,3))</f>
        <v>-231.482</v>
      </c>
      <c r="AP88" s="551" t="n">
        <f aca="false">IF(J88="","",ROUND(J88/4.184,3))</f>
        <v>-261.47</v>
      </c>
      <c r="AQ88" s="294" t="n">
        <f aca="false">IF(K88="","",ROUND(K88/4.184,3))</f>
        <v>21.21</v>
      </c>
      <c r="AR88" s="45"/>
      <c r="AS88" s="345" t="s">
        <v>1059</v>
      </c>
      <c r="AT88" s="475" t="n">
        <f aca="false">IF(N88="","",ROUND(N88/4.184,3))</f>
        <v>-231.482</v>
      </c>
      <c r="AU88" s="476" t="n">
        <f aca="false">IF(O88="","",ROUND(O88/4.184,3))</f>
        <v>-261.47</v>
      </c>
      <c r="AV88" s="475" t="n">
        <f aca="false">IF(P88="","",ROUND(P88/4.184,3))</f>
        <v>21.21</v>
      </c>
    </row>
    <row r="89" customFormat="false" ht="12.75" hidden="false" customHeight="false" outlineLevel="0" collapsed="false">
      <c r="A89" s="10"/>
      <c r="B89" s="342" t="s">
        <v>1066</v>
      </c>
      <c r="C89" s="345" t="s">
        <v>1067</v>
      </c>
      <c r="D89" s="256" t="s">
        <v>1903</v>
      </c>
      <c r="E89" s="552" t="s">
        <v>1697</v>
      </c>
      <c r="F89" s="292" t="s">
        <v>1904</v>
      </c>
      <c r="G89" s="213"/>
      <c r="H89" s="345" t="s">
        <v>1067</v>
      </c>
      <c r="I89" s="292" t="s">
        <v>1905</v>
      </c>
      <c r="J89" s="549" t="s">
        <v>1906</v>
      </c>
      <c r="K89" s="292" t="s">
        <v>1907</v>
      </c>
      <c r="L89" s="210"/>
      <c r="M89" s="345" t="s">
        <v>1067</v>
      </c>
      <c r="N89" s="472" t="s">
        <v>1905</v>
      </c>
      <c r="O89" s="473" t="s">
        <v>1906</v>
      </c>
      <c r="P89" s="472" t="s">
        <v>1907</v>
      </c>
      <c r="S89" s="474" t="n">
        <v>1.5</v>
      </c>
      <c r="T89" s="535" t="s">
        <v>1067</v>
      </c>
      <c r="U89" s="479" t="n">
        <f aca="false">IF(D89="","",ROUND(4.184*D89+$S89*$T$9,3))</f>
        <v>-1581.829</v>
      </c>
      <c r="V89" s="479" t="n">
        <f aca="false">IF(E89="","",ROUND(4.184*E89,3))</f>
        <v>-1675.274</v>
      </c>
      <c r="W89" s="470" t="n">
        <f aca="false">IF(F89="","",ROUND(4.184*F89,3))</f>
        <v>50.936</v>
      </c>
      <c r="X89" s="10"/>
      <c r="Y89" s="345" t="s">
        <v>1067</v>
      </c>
      <c r="Z89" s="292" t="s">
        <v>1905</v>
      </c>
      <c r="AA89" s="549" t="s">
        <v>1906</v>
      </c>
      <c r="AB89" s="292" t="s">
        <v>1907</v>
      </c>
      <c r="AC89" s="210"/>
      <c r="AD89" s="345" t="s">
        <v>1067</v>
      </c>
      <c r="AE89" s="472" t="s">
        <v>1905</v>
      </c>
      <c r="AF89" s="473" t="s">
        <v>1906</v>
      </c>
      <c r="AG89" s="472" t="s">
        <v>1907</v>
      </c>
      <c r="AI89" s="345" t="s">
        <v>1067</v>
      </c>
      <c r="AJ89" s="479" t="n">
        <f aca="false">IF(D89="","",ROUND(D89+$S89*$AK$9,3))</f>
        <v>-378.066</v>
      </c>
      <c r="AK89" s="553" t="n">
        <f aca="false">IF(E89="","",ROUND(E89,3))</f>
        <v>-400.4</v>
      </c>
      <c r="AL89" s="294" t="n">
        <f aca="false">IF(F89="","",ROUND(F89,3))</f>
        <v>12.174</v>
      </c>
      <c r="AM89" s="10"/>
      <c r="AN89" s="345" t="s">
        <v>1067</v>
      </c>
      <c r="AO89" s="298" t="n">
        <f aca="false">IF(I89="","",ROUND(I89/4.184,3))</f>
        <v>-378.173</v>
      </c>
      <c r="AP89" s="480" t="n">
        <f aca="false">IF(J89="","",ROUND(J89/4.184,3))</f>
        <v>-400.5</v>
      </c>
      <c r="AQ89" s="298" t="n">
        <f aca="false">IF(K89="","",ROUND(K89/4.184,3))</f>
        <v>12.177</v>
      </c>
      <c r="AR89" s="191"/>
      <c r="AS89" s="345" t="s">
        <v>1067</v>
      </c>
      <c r="AT89" s="475" t="n">
        <f aca="false">IF(N89="","",ROUND(N89/4.184,3))</f>
        <v>-378.173</v>
      </c>
      <c r="AU89" s="476" t="n">
        <f aca="false">IF(O89="","",ROUND(O89/4.184,3))</f>
        <v>-400.5</v>
      </c>
      <c r="AV89" s="475" t="n">
        <f aca="false">IF(P89="","",ROUND(P89/4.184,3))</f>
        <v>12.177</v>
      </c>
    </row>
    <row r="90" customFormat="false" ht="12.75" hidden="false" customHeight="false" outlineLevel="0" collapsed="false">
      <c r="A90" s="10"/>
      <c r="B90" s="342" t="s">
        <v>1075</v>
      </c>
      <c r="C90" s="345" t="s">
        <v>1076</v>
      </c>
      <c r="D90" s="292"/>
      <c r="E90" s="549"/>
      <c r="F90" s="292"/>
      <c r="G90" s="213"/>
      <c r="H90" s="345" t="s">
        <v>1076</v>
      </c>
      <c r="I90" s="297"/>
      <c r="J90" s="477"/>
      <c r="K90" s="297"/>
      <c r="L90" s="210"/>
      <c r="M90" s="345" t="s">
        <v>1076</v>
      </c>
      <c r="N90" s="472"/>
      <c r="O90" s="473"/>
      <c r="P90" s="465"/>
      <c r="S90" s="474" t="n">
        <v>3</v>
      </c>
      <c r="T90" s="535" t="s">
        <v>1076</v>
      </c>
      <c r="U90" s="470" t="str">
        <f aca="false">IF(D90="","",ROUND(4.184*D90+$S90*$T$9,3))</f>
        <v/>
      </c>
      <c r="V90" s="470" t="str">
        <f aca="false">IF(E90="","",ROUND(4.184*E90,3))</f>
        <v/>
      </c>
      <c r="W90" s="470" t="str">
        <f aca="false">IF(F90="","",ROUND(4.184*F90,3))</f>
        <v/>
      </c>
      <c r="X90" s="10"/>
      <c r="Y90" s="345" t="s">
        <v>1076</v>
      </c>
      <c r="Z90" s="297"/>
      <c r="AA90" s="477"/>
      <c r="AB90" s="297"/>
      <c r="AC90" s="210"/>
      <c r="AD90" s="345" t="s">
        <v>1076</v>
      </c>
      <c r="AE90" s="472"/>
      <c r="AF90" s="473"/>
      <c r="AG90" s="465"/>
      <c r="AI90" s="345" t="s">
        <v>1076</v>
      </c>
      <c r="AJ90" s="294" t="str">
        <f aca="false">IF(D90="","",ROUND(D90+$S90*$AK$9,3))</f>
        <v/>
      </c>
      <c r="AK90" s="551" t="str">
        <f aca="false">IF(E90="","",ROUND(E90,3))</f>
        <v/>
      </c>
      <c r="AL90" s="294" t="str">
        <f aca="false">IF(F90="","",ROUND(F90,3))</f>
        <v/>
      </c>
      <c r="AM90" s="10"/>
      <c r="AN90" s="345" t="s">
        <v>1076</v>
      </c>
      <c r="AO90" s="298" t="str">
        <f aca="false">IF(I90="","",ROUND(I90/4.184,3))</f>
        <v/>
      </c>
      <c r="AP90" s="480" t="str">
        <f aca="false">IF(J90="","",ROUND(J90/4.184,3))</f>
        <v/>
      </c>
      <c r="AQ90" s="298" t="str">
        <f aca="false">IF(K90="","",ROUND(K90/4.184,3))</f>
        <v/>
      </c>
      <c r="AR90" s="191"/>
      <c r="AS90" s="345" t="s">
        <v>1076</v>
      </c>
      <c r="AT90" s="475" t="str">
        <f aca="false">IF(N90="","",ROUND(N90/4.184,3))</f>
        <v/>
      </c>
      <c r="AU90" s="476" t="str">
        <f aca="false">IF(O90="","",ROUND(O90/4.184,3))</f>
        <v/>
      </c>
      <c r="AV90" s="470" t="str">
        <f aca="false">IF(P90="","",ROUND(P90/4.184,3))</f>
        <v/>
      </c>
    </row>
    <row r="91" customFormat="false" ht="12.75" hidden="false" customHeight="false" outlineLevel="0" collapsed="false">
      <c r="A91" s="10"/>
      <c r="B91" s="342" t="s">
        <v>1080</v>
      </c>
      <c r="C91" s="345" t="s">
        <v>1080</v>
      </c>
      <c r="D91" s="292"/>
      <c r="E91" s="549"/>
      <c r="F91" s="292"/>
      <c r="G91" s="213"/>
      <c r="H91" s="345" t="s">
        <v>1080</v>
      </c>
      <c r="I91" s="292"/>
      <c r="J91" s="549"/>
      <c r="K91" s="292"/>
      <c r="L91" s="210"/>
      <c r="M91" s="345" t="s">
        <v>1080</v>
      </c>
      <c r="N91" s="465"/>
      <c r="O91" s="466"/>
      <c r="P91" s="465"/>
      <c r="S91" s="474" t="n">
        <v>10.5</v>
      </c>
      <c r="T91" s="535" t="s">
        <v>1080</v>
      </c>
      <c r="U91" s="470" t="str">
        <f aca="false">IF(D91="","",ROUND(4.184*D91+$S91*$T$9,3))</f>
        <v/>
      </c>
      <c r="V91" s="470" t="str">
        <f aca="false">IF(E91="","",ROUND(4.184*E91,3))</f>
        <v/>
      </c>
      <c r="W91" s="470" t="str">
        <f aca="false">IF(F91="","",ROUND(4.184*F91,3))</f>
        <v/>
      </c>
      <c r="X91" s="133"/>
      <c r="Y91" s="345" t="s">
        <v>1080</v>
      </c>
      <c r="Z91" s="292"/>
      <c r="AA91" s="549"/>
      <c r="AB91" s="292"/>
      <c r="AC91" s="210"/>
      <c r="AD91" s="345" t="s">
        <v>1080</v>
      </c>
      <c r="AE91" s="465"/>
      <c r="AF91" s="466"/>
      <c r="AG91" s="465"/>
      <c r="AI91" s="345" t="s">
        <v>1080</v>
      </c>
      <c r="AJ91" s="294" t="str">
        <f aca="false">IF(D91="","",ROUND(D91+$S91*$AK$9,3))</f>
        <v/>
      </c>
      <c r="AK91" s="551" t="str">
        <f aca="false">IF(E91="","",ROUND(E91,3))</f>
        <v/>
      </c>
      <c r="AL91" s="294" t="str">
        <f aca="false">IF(F91="","",ROUND(F91,3))</f>
        <v/>
      </c>
      <c r="AM91" s="133"/>
      <c r="AN91" s="345" t="s">
        <v>1080</v>
      </c>
      <c r="AO91" s="294" t="str">
        <f aca="false">IF(I91="","",ROUND(I91/4.184,3))</f>
        <v/>
      </c>
      <c r="AP91" s="551" t="str">
        <f aca="false">IF(J91="","",ROUND(J91/4.184,3))</f>
        <v/>
      </c>
      <c r="AQ91" s="294" t="str">
        <f aca="false">IF(K91="","",ROUND(K91/4.184,3))</f>
        <v/>
      </c>
      <c r="AR91" s="191"/>
      <c r="AS91" s="345" t="s">
        <v>1080</v>
      </c>
      <c r="AT91" s="470" t="str">
        <f aca="false">IF(N91="","",ROUND(N91/4.184,3))</f>
        <v/>
      </c>
      <c r="AU91" s="471" t="str">
        <f aca="false">IF(O91="","",ROUND(O91/4.184,3))</f>
        <v/>
      </c>
      <c r="AV91" s="470" t="str">
        <f aca="false">IF(P91="","",ROUND(P91/4.184,3))</f>
        <v/>
      </c>
    </row>
    <row r="92" customFormat="false" ht="12.75" hidden="false" customHeight="false" outlineLevel="0" collapsed="false">
      <c r="A92" s="10"/>
      <c r="B92" s="342" t="s">
        <v>1084</v>
      </c>
      <c r="C92" s="345" t="s">
        <v>1085</v>
      </c>
      <c r="D92" s="292" t="s">
        <v>1908</v>
      </c>
      <c r="E92" s="549" t="s">
        <v>1909</v>
      </c>
      <c r="F92" s="292" t="s">
        <v>1910</v>
      </c>
      <c r="G92" s="213"/>
      <c r="H92" s="345" t="s">
        <v>1085</v>
      </c>
      <c r="I92" s="292" t="s">
        <v>1911</v>
      </c>
      <c r="J92" s="549" t="s">
        <v>1912</v>
      </c>
      <c r="K92" s="292" t="s">
        <v>1913</v>
      </c>
      <c r="L92" s="210"/>
      <c r="M92" s="345" t="s">
        <v>1085</v>
      </c>
      <c r="N92" s="465" t="s">
        <v>1911</v>
      </c>
      <c r="O92" s="466" t="s">
        <v>1912</v>
      </c>
      <c r="P92" s="465" t="s">
        <v>1913</v>
      </c>
      <c r="S92" s="474" t="n">
        <v>2.5</v>
      </c>
      <c r="T92" s="535" t="s">
        <v>1085</v>
      </c>
      <c r="U92" s="470" t="n">
        <f aca="false">IF(D92="","",ROUND(4.184*D92+$S92*$T$9,3))</f>
        <v>-2444.458</v>
      </c>
      <c r="V92" s="470" t="n">
        <f aca="false">IF(E92="","",ROUND(4.184*E92,3))</f>
        <v>-2592.072</v>
      </c>
      <c r="W92" s="470" t="n">
        <f aca="false">IF(F92="","",ROUND(4.184*F92,3))</f>
        <v>93.22</v>
      </c>
      <c r="X92" s="133"/>
      <c r="Y92" s="345" t="s">
        <v>1085</v>
      </c>
      <c r="Z92" s="292" t="s">
        <v>1911</v>
      </c>
      <c r="AA92" s="549" t="s">
        <v>1912</v>
      </c>
      <c r="AB92" s="292" t="s">
        <v>1913</v>
      </c>
      <c r="AC92" s="210"/>
      <c r="AD92" s="345" t="s">
        <v>1085</v>
      </c>
      <c r="AE92" s="465" t="s">
        <v>1911</v>
      </c>
      <c r="AF92" s="466" t="s">
        <v>1912</v>
      </c>
      <c r="AG92" s="465" t="s">
        <v>1913</v>
      </c>
      <c r="AI92" s="345" t="s">
        <v>1085</v>
      </c>
      <c r="AJ92" s="294" t="n">
        <f aca="false">IF(D92="","",ROUND(D92+$S92*$AK$9,3))</f>
        <v>-584.24</v>
      </c>
      <c r="AK92" s="551" t="n">
        <f aca="false">IF(E92="","",ROUND(E92,3))</f>
        <v>-619.52</v>
      </c>
      <c r="AL92" s="294" t="n">
        <f aca="false">IF(F92="","",ROUND(F92,3))</f>
        <v>22.28</v>
      </c>
      <c r="AM92" s="133"/>
      <c r="AN92" s="345" t="s">
        <v>1085</v>
      </c>
      <c r="AO92" s="294" t="n">
        <f aca="false">IF(I92="","",ROUND(I92/4.184,3))</f>
        <v>-584.245</v>
      </c>
      <c r="AP92" s="551" t="n">
        <f aca="false">IF(J92="","",ROUND(J92/4.184,3))</f>
        <v>-619.52</v>
      </c>
      <c r="AQ92" s="294" t="n">
        <f aca="false">IF(K92="","",ROUND(K92/4.184,3))</f>
        <v>22.28</v>
      </c>
      <c r="AR92" s="191"/>
      <c r="AS92" s="345" t="s">
        <v>1085</v>
      </c>
      <c r="AT92" s="470" t="n">
        <f aca="false">IF(N92="","",ROUND(N92/4.184,3))</f>
        <v>-584.245</v>
      </c>
      <c r="AU92" s="471" t="n">
        <f aca="false">IF(O92="","",ROUND(O92/4.184,3))</f>
        <v>-619.52</v>
      </c>
      <c r="AV92" s="470" t="n">
        <f aca="false">IF(P92="","",ROUND(P92/4.184,3))</f>
        <v>22.28</v>
      </c>
    </row>
    <row r="93" customFormat="false" ht="12.75" hidden="false" customHeight="false" outlineLevel="0" collapsed="false">
      <c r="A93" s="10"/>
      <c r="B93" s="353" t="s">
        <v>1086</v>
      </c>
      <c r="C93" s="354" t="s">
        <v>1087</v>
      </c>
      <c r="D93" s="301" t="s">
        <v>1914</v>
      </c>
      <c r="E93" s="557" t="s">
        <v>1717</v>
      </c>
      <c r="F93" s="301" t="s">
        <v>1915</v>
      </c>
      <c r="G93" s="213"/>
      <c r="H93" s="354" t="s">
        <v>1087</v>
      </c>
      <c r="I93" s="301" t="s">
        <v>1916</v>
      </c>
      <c r="J93" s="557" t="s">
        <v>1917</v>
      </c>
      <c r="K93" s="301" t="s">
        <v>1092</v>
      </c>
      <c r="L93" s="210"/>
      <c r="M93" s="354" t="s">
        <v>1087</v>
      </c>
      <c r="N93" s="490" t="s">
        <v>1916</v>
      </c>
      <c r="O93" s="494" t="s">
        <v>1917</v>
      </c>
      <c r="P93" s="490" t="s">
        <v>1092</v>
      </c>
      <c r="S93" s="558" t="n">
        <v>1.5</v>
      </c>
      <c r="T93" s="534" t="s">
        <v>1087</v>
      </c>
      <c r="U93" s="470" t="n">
        <f aca="false">IF(D93="","",ROUND(4.184*D93+$S93*$T$9,3))</f>
        <v>-743.527</v>
      </c>
      <c r="V93" s="470" t="n">
        <f aca="false">IF(E93="","",ROUND(4.184*E93,3))</f>
        <v>-825.503</v>
      </c>
      <c r="W93" s="470" t="n">
        <f aca="false">IF(F93="","",ROUND(4.184*F93,3))</f>
        <v>87.4</v>
      </c>
      <c r="X93" s="133"/>
      <c r="Y93" s="354" t="s">
        <v>1087</v>
      </c>
      <c r="Z93" s="301" t="s">
        <v>1916</v>
      </c>
      <c r="AA93" s="557" t="s">
        <v>1917</v>
      </c>
      <c r="AB93" s="301" t="s">
        <v>1092</v>
      </c>
      <c r="AC93" s="210"/>
      <c r="AD93" s="354" t="s">
        <v>1087</v>
      </c>
      <c r="AE93" s="490" t="s">
        <v>1916</v>
      </c>
      <c r="AF93" s="494" t="s">
        <v>1917</v>
      </c>
      <c r="AG93" s="490" t="s">
        <v>1092</v>
      </c>
      <c r="AI93" s="354" t="s">
        <v>1087</v>
      </c>
      <c r="AJ93" s="303" t="n">
        <f aca="false">IF(D93="","",ROUND(D93+$S93*$AK$9,3))</f>
        <v>-177.707</v>
      </c>
      <c r="AK93" s="559" t="n">
        <f aca="false">IF(E93="","",ROUND(E93,3))</f>
        <v>-197.3</v>
      </c>
      <c r="AL93" s="303" t="n">
        <f aca="false">IF(F93="","",ROUND(F93,3))</f>
        <v>20.889</v>
      </c>
      <c r="AM93" s="133"/>
      <c r="AN93" s="354" t="s">
        <v>1087</v>
      </c>
      <c r="AO93" s="303" t="n">
        <f aca="false">IF(I93="","",ROUND(I93/4.184,3))</f>
        <v>-177.706</v>
      </c>
      <c r="AP93" s="559" t="n">
        <f aca="false">IF(J93="","",ROUND(J93/4.184,3))</f>
        <v>-197.3</v>
      </c>
      <c r="AQ93" s="303" t="n">
        <f aca="false">IF(K93="","",ROUND(K93/4.184,3))</f>
        <v>20.889</v>
      </c>
      <c r="AR93" s="191"/>
      <c r="AS93" s="354" t="s">
        <v>1087</v>
      </c>
      <c r="AT93" s="493" t="n">
        <f aca="false">IF(N93="","",ROUND(N93/4.184,3))</f>
        <v>-177.706</v>
      </c>
      <c r="AU93" s="495" t="n">
        <f aca="false">IF(O93="","",ROUND(O93/4.184,3))</f>
        <v>-197.3</v>
      </c>
      <c r="AV93" s="493" t="n">
        <f aca="false">IF(P93="","",ROUND(P93/4.184,3))</f>
        <v>20.889</v>
      </c>
    </row>
    <row r="94" customFormat="false" ht="12.75" hidden="false" customHeight="false" outlineLevel="0" collapsed="false">
      <c r="A94" s="10"/>
      <c r="B94" s="353" t="s">
        <v>1093</v>
      </c>
      <c r="C94" s="354" t="s">
        <v>1094</v>
      </c>
      <c r="D94" s="301" t="s">
        <v>1918</v>
      </c>
      <c r="E94" s="557" t="s">
        <v>1919</v>
      </c>
      <c r="F94" s="301" t="s">
        <v>1920</v>
      </c>
      <c r="G94" s="213"/>
      <c r="H94" s="354" t="s">
        <v>1094</v>
      </c>
      <c r="I94" s="301" t="s">
        <v>1921</v>
      </c>
      <c r="J94" s="557" t="s">
        <v>1922</v>
      </c>
      <c r="K94" s="301" t="s">
        <v>1923</v>
      </c>
      <c r="L94" s="210"/>
      <c r="M94" s="354" t="s">
        <v>1094</v>
      </c>
      <c r="N94" s="490" t="s">
        <v>1921</v>
      </c>
      <c r="O94" s="494" t="s">
        <v>1922</v>
      </c>
      <c r="P94" s="490" t="s">
        <v>1923</v>
      </c>
      <c r="S94" s="558" t="n">
        <v>2</v>
      </c>
      <c r="T94" s="534" t="s">
        <v>1094</v>
      </c>
      <c r="U94" s="470" t="n">
        <f aca="false">IF(D94="","",ROUND(4.184*D94+$S94*$T$9,3))</f>
        <v>-1017.446</v>
      </c>
      <c r="V94" s="470" t="n">
        <f aca="false">IF(E94="","",ROUND(4.184*E94,3))</f>
        <v>-1120.894</v>
      </c>
      <c r="W94" s="470" t="n">
        <f aca="false">IF(F94="","",ROUND(4.184*F94,3))</f>
        <v>145.268</v>
      </c>
      <c r="X94" s="133"/>
      <c r="Y94" s="354" t="s">
        <v>1094</v>
      </c>
      <c r="Z94" s="301" t="s">
        <v>1921</v>
      </c>
      <c r="AA94" s="557" t="s">
        <v>1922</v>
      </c>
      <c r="AB94" s="301" t="s">
        <v>1923</v>
      </c>
      <c r="AC94" s="210"/>
      <c r="AD94" s="354" t="s">
        <v>1094</v>
      </c>
      <c r="AE94" s="490" t="s">
        <v>1921</v>
      </c>
      <c r="AF94" s="494" t="s">
        <v>1922</v>
      </c>
      <c r="AG94" s="490" t="s">
        <v>1923</v>
      </c>
      <c r="AI94" s="354" t="s">
        <v>1094</v>
      </c>
      <c r="AJ94" s="303" t="n">
        <f aca="false">IF(D94="","",ROUND(D94+$S94*$AK$9,3))</f>
        <v>-243.175</v>
      </c>
      <c r="AK94" s="559" t="n">
        <f aca="false">IF(E94="","",ROUND(E94,3))</f>
        <v>-267.9</v>
      </c>
      <c r="AL94" s="303" t="n">
        <f aca="false">IF(F94="","",ROUND(F94,3))</f>
        <v>34.72</v>
      </c>
      <c r="AM94" s="133"/>
      <c r="AN94" s="354" t="s">
        <v>1094</v>
      </c>
      <c r="AO94" s="303" t="n">
        <f aca="false">IF(I94="","",ROUND(I94/4.184,3))</f>
        <v>-243.174</v>
      </c>
      <c r="AP94" s="559" t="n">
        <f aca="false">IF(J94="","",ROUND(J94/4.184,3))</f>
        <v>-267.9</v>
      </c>
      <c r="AQ94" s="303" t="n">
        <f aca="false">IF(K94="","",ROUND(K94/4.184,3))</f>
        <v>34.719</v>
      </c>
      <c r="AR94" s="191"/>
      <c r="AS94" s="354" t="s">
        <v>1094</v>
      </c>
      <c r="AT94" s="493" t="n">
        <f aca="false">IF(N94="","",ROUND(N94/4.184,3))</f>
        <v>-243.174</v>
      </c>
      <c r="AU94" s="495" t="n">
        <f aca="false">IF(O94="","",ROUND(O94/4.184,3))</f>
        <v>-267.9</v>
      </c>
      <c r="AV94" s="493" t="n">
        <f aca="false">IF(P94="","",ROUND(P94/4.184,3))</f>
        <v>34.719</v>
      </c>
    </row>
    <row r="95" customFormat="false" ht="12.75" hidden="false" customHeight="false" outlineLevel="0" collapsed="false">
      <c r="A95" s="10"/>
      <c r="B95" s="353" t="s">
        <v>1100</v>
      </c>
      <c r="C95" s="354" t="s">
        <v>1101</v>
      </c>
      <c r="D95" s="301"/>
      <c r="E95" s="557"/>
      <c r="F95" s="301"/>
      <c r="G95" s="213"/>
      <c r="H95" s="354" t="s">
        <v>1101</v>
      </c>
      <c r="I95" s="301"/>
      <c r="J95" s="557"/>
      <c r="K95" s="301"/>
      <c r="L95" s="210"/>
      <c r="M95" s="354" t="s">
        <v>1101</v>
      </c>
      <c r="N95" s="490"/>
      <c r="O95" s="494"/>
      <c r="P95" s="490"/>
      <c r="S95" s="558" t="n">
        <v>2</v>
      </c>
      <c r="T95" s="534" t="s">
        <v>1101</v>
      </c>
      <c r="U95" s="470" t="str">
        <f aca="false">IF(D95="","",ROUND(4.184*D95+$S95*$T$9,3))</f>
        <v/>
      </c>
      <c r="V95" s="470" t="str">
        <f aca="false">IF(E95="","",ROUND(4.184*E95,3))</f>
        <v/>
      </c>
      <c r="W95" s="470" t="str">
        <f aca="false">IF(F95="","",ROUND(4.184*F95,3))</f>
        <v/>
      </c>
      <c r="X95" s="133"/>
      <c r="Y95" s="354" t="s">
        <v>1101</v>
      </c>
      <c r="Z95" s="301"/>
      <c r="AA95" s="557"/>
      <c r="AB95" s="301"/>
      <c r="AC95" s="210"/>
      <c r="AD95" s="354" t="s">
        <v>1101</v>
      </c>
      <c r="AE95" s="490"/>
      <c r="AF95" s="494"/>
      <c r="AG95" s="490"/>
      <c r="AI95" s="354" t="s">
        <v>1101</v>
      </c>
      <c r="AJ95" s="303" t="str">
        <f aca="false">IF(D95="","",ROUND(D95+$S95*$AK$9,3))</f>
        <v/>
      </c>
      <c r="AK95" s="559" t="str">
        <f aca="false">IF(E95="","",ROUND(E95,3))</f>
        <v/>
      </c>
      <c r="AL95" s="303" t="str">
        <f aca="false">IF(F95="","",ROUND(F95,3))</f>
        <v/>
      </c>
      <c r="AM95" s="133"/>
      <c r="AN95" s="354" t="s">
        <v>1101</v>
      </c>
      <c r="AO95" s="303" t="str">
        <f aca="false">IF(I95="","",ROUND(I95/4.184,3))</f>
        <v/>
      </c>
      <c r="AP95" s="559" t="str">
        <f aca="false">IF(J95="","",ROUND(J95/4.184,3))</f>
        <v/>
      </c>
      <c r="AQ95" s="303" t="str">
        <f aca="false">IF(K95="","",ROUND(K95/4.184,3))</f>
        <v/>
      </c>
      <c r="AR95" s="191"/>
      <c r="AS95" s="354" t="s">
        <v>1101</v>
      </c>
      <c r="AT95" s="493" t="str">
        <f aca="false">IF(N95="","",ROUND(N95/4.184,3))</f>
        <v/>
      </c>
      <c r="AU95" s="495" t="str">
        <f aca="false">IF(O95="","",ROUND(O95/4.184,3))</f>
        <v/>
      </c>
      <c r="AV95" s="493" t="str">
        <f aca="false">IF(P95="","",ROUND(P95/4.184,3))</f>
        <v/>
      </c>
    </row>
    <row r="96" customFormat="false" ht="12.75" hidden="false" customHeight="false" outlineLevel="0" collapsed="false">
      <c r="A96" s="10"/>
      <c r="B96" s="353" t="s">
        <v>1107</v>
      </c>
      <c r="C96" s="354" t="s">
        <v>1108</v>
      </c>
      <c r="D96" s="301" t="s">
        <v>1924</v>
      </c>
      <c r="E96" s="557" t="s">
        <v>1925</v>
      </c>
      <c r="F96" s="301" t="s">
        <v>1926</v>
      </c>
      <c r="G96" s="213"/>
      <c r="H96" s="354" t="s">
        <v>1108</v>
      </c>
      <c r="I96" s="301" t="s">
        <v>1927</v>
      </c>
      <c r="J96" s="557" t="s">
        <v>1928</v>
      </c>
      <c r="K96" s="301" t="s">
        <v>1929</v>
      </c>
      <c r="L96" s="210"/>
      <c r="M96" s="354" t="s">
        <v>1108</v>
      </c>
      <c r="N96" s="490" t="s">
        <v>1927</v>
      </c>
      <c r="O96" s="494" t="s">
        <v>1928</v>
      </c>
      <c r="P96" s="490" t="s">
        <v>1929</v>
      </c>
      <c r="S96" s="558" t="n">
        <v>0.5</v>
      </c>
      <c r="T96" s="534" t="s">
        <v>1108</v>
      </c>
      <c r="U96" s="470" t="n">
        <f aca="false">IF(D96="","",ROUND(4.184*D96+$S96*$T$9,3))</f>
        <v>-568.945</v>
      </c>
      <c r="V96" s="470" t="n">
        <f aca="false">IF(E96="","",ROUND(4.184*E96,3))</f>
        <v>-601.241</v>
      </c>
      <c r="W96" s="470" t="n">
        <f aca="false">IF(F96="","",ROUND(4.184*F96,3))</f>
        <v>26.945</v>
      </c>
      <c r="X96" s="133"/>
      <c r="Y96" s="354" t="s">
        <v>1108</v>
      </c>
      <c r="Z96" s="301" t="s">
        <v>1927</v>
      </c>
      <c r="AA96" s="557" t="s">
        <v>1928</v>
      </c>
      <c r="AB96" s="301" t="s">
        <v>1929</v>
      </c>
      <c r="AC96" s="210"/>
      <c r="AD96" s="354" t="s">
        <v>1108</v>
      </c>
      <c r="AE96" s="490" t="s">
        <v>1927</v>
      </c>
      <c r="AF96" s="494" t="s">
        <v>1928</v>
      </c>
      <c r="AG96" s="490" t="s">
        <v>1929</v>
      </c>
      <c r="AI96" s="354" t="s">
        <v>1108</v>
      </c>
      <c r="AJ96" s="303" t="n">
        <f aca="false">IF(D96="","",ROUND(D96+$S96*$AK$9,3))</f>
        <v>-135.981</v>
      </c>
      <c r="AK96" s="559" t="n">
        <f aca="false">IF(E96="","",ROUND(E96,3))</f>
        <v>-143.7</v>
      </c>
      <c r="AL96" s="303" t="n">
        <f aca="false">IF(F96="","",ROUND(F96,3))</f>
        <v>6.44</v>
      </c>
      <c r="AM96" s="133"/>
      <c r="AN96" s="354" t="s">
        <v>1108</v>
      </c>
      <c r="AO96" s="303" t="n">
        <f aca="false">IF(I96="","",ROUND(I96/4.184,3))</f>
        <v>-135.981</v>
      </c>
      <c r="AP96" s="559" t="n">
        <f aca="false">IF(J96="","",ROUND(J96/4.184,3))</f>
        <v>-143.7</v>
      </c>
      <c r="AQ96" s="303" t="n">
        <f aca="false">IF(K96="","",ROUND(K96/4.184,3))</f>
        <v>6.435</v>
      </c>
      <c r="AR96" s="191"/>
      <c r="AS96" s="354" t="s">
        <v>1108</v>
      </c>
      <c r="AT96" s="493" t="n">
        <f aca="false">IF(N96="","",ROUND(N96/4.184,3))</f>
        <v>-135.981</v>
      </c>
      <c r="AU96" s="495" t="n">
        <f aca="false">IF(O96="","",ROUND(O96/4.184,3))</f>
        <v>-143.7</v>
      </c>
      <c r="AV96" s="493" t="n">
        <f aca="false">IF(P96="","",ROUND(P96/4.184,3))</f>
        <v>6.435</v>
      </c>
    </row>
    <row r="97" customFormat="false" ht="12.75" hidden="false" customHeight="false" outlineLevel="0" collapsed="false">
      <c r="A97" s="10"/>
      <c r="B97" s="353" t="s">
        <v>1114</v>
      </c>
      <c r="C97" s="354" t="s">
        <v>1115</v>
      </c>
      <c r="D97" s="301" t="s">
        <v>1930</v>
      </c>
      <c r="E97" s="557" t="s">
        <v>1931</v>
      </c>
      <c r="F97" s="301" t="s">
        <v>1932</v>
      </c>
      <c r="G97" s="213"/>
      <c r="H97" s="354" t="s">
        <v>1115</v>
      </c>
      <c r="I97" s="301" t="s">
        <v>1933</v>
      </c>
      <c r="J97" s="557" t="s">
        <v>1934</v>
      </c>
      <c r="K97" s="301" t="s">
        <v>1935</v>
      </c>
      <c r="L97" s="210"/>
      <c r="M97" s="354" t="s">
        <v>1115</v>
      </c>
      <c r="N97" s="490" t="s">
        <v>1933</v>
      </c>
      <c r="O97" s="494" t="s">
        <v>1934</v>
      </c>
      <c r="P97" s="490" t="s">
        <v>1935</v>
      </c>
      <c r="S97" s="558" t="n">
        <v>2</v>
      </c>
      <c r="T97" s="534" t="s">
        <v>1115</v>
      </c>
      <c r="U97" s="470" t="n">
        <f aca="false">IF(D97="","",ROUND(4.184*D97+$S97*$T$9,3))</f>
        <v>-833.626</v>
      </c>
      <c r="V97" s="470" t="n">
        <f aca="false">IF(E97="","",ROUND(4.184*E97,3))</f>
        <v>-924.664</v>
      </c>
      <c r="W97" s="470" t="n">
        <f aca="false">IF(F97="","",ROUND(4.184*F97,3))</f>
        <v>63.178</v>
      </c>
      <c r="X97" s="133"/>
      <c r="Y97" s="354" t="s">
        <v>1115</v>
      </c>
      <c r="Z97" s="301" t="s">
        <v>1933</v>
      </c>
      <c r="AA97" s="557" t="s">
        <v>1934</v>
      </c>
      <c r="AB97" s="301" t="s">
        <v>1935</v>
      </c>
      <c r="AC97" s="210"/>
      <c r="AD97" s="354" t="s">
        <v>1115</v>
      </c>
      <c r="AE97" s="490" t="s">
        <v>1933</v>
      </c>
      <c r="AF97" s="494" t="s">
        <v>1934</v>
      </c>
      <c r="AG97" s="490" t="s">
        <v>1935</v>
      </c>
      <c r="AI97" s="354" t="s">
        <v>1115</v>
      </c>
      <c r="AJ97" s="303" t="n">
        <f aca="false">IF(D97="","",ROUND(D97+$S97*$AK$9,3))</f>
        <v>-199.241</v>
      </c>
      <c r="AK97" s="559" t="n">
        <f aca="false">IF(E97="","",ROUND(E97,3))</f>
        <v>-221</v>
      </c>
      <c r="AL97" s="303" t="n">
        <f aca="false">IF(F97="","",ROUND(F97,3))</f>
        <v>15.1</v>
      </c>
      <c r="AM97" s="133"/>
      <c r="AN97" s="354" t="s">
        <v>1115</v>
      </c>
      <c r="AO97" s="303" t="n">
        <f aca="false">IF(I97="","",ROUND(I97/4.184,3))</f>
        <v>-199.248</v>
      </c>
      <c r="AP97" s="559" t="n">
        <f aca="false">IF(J97="","",ROUND(J97/4.184,3))</f>
        <v>-221</v>
      </c>
      <c r="AQ97" s="303" t="n">
        <f aca="false">IF(K97="","",ROUND(K97/4.184,3))</f>
        <v>15.115</v>
      </c>
      <c r="AR97" s="191"/>
      <c r="AS97" s="354" t="s">
        <v>1115</v>
      </c>
      <c r="AT97" s="493" t="n">
        <f aca="false">IF(N97="","",ROUND(N97/4.184,3))</f>
        <v>-199.248</v>
      </c>
      <c r="AU97" s="495" t="n">
        <f aca="false">IF(O97="","",ROUND(O97/4.184,3))</f>
        <v>-221</v>
      </c>
      <c r="AV97" s="493" t="n">
        <f aca="false">IF(P97="","",ROUND(P97/4.184,3))</f>
        <v>15.115</v>
      </c>
    </row>
    <row r="98" customFormat="false" ht="12.75" hidden="false" customHeight="false" outlineLevel="0" collapsed="false">
      <c r="A98" s="10"/>
      <c r="B98" s="353" t="s">
        <v>1119</v>
      </c>
      <c r="C98" s="354" t="s">
        <v>1120</v>
      </c>
      <c r="D98" s="301" t="s">
        <v>1936</v>
      </c>
      <c r="E98" s="557" t="s">
        <v>1937</v>
      </c>
      <c r="F98" s="301" t="s">
        <v>1938</v>
      </c>
      <c r="G98" s="213"/>
      <c r="H98" s="354" t="s">
        <v>1120</v>
      </c>
      <c r="I98" s="301" t="s">
        <v>1939</v>
      </c>
      <c r="J98" s="557" t="s">
        <v>1940</v>
      </c>
      <c r="K98" s="301" t="s">
        <v>1941</v>
      </c>
      <c r="L98" s="210"/>
      <c r="M98" s="354" t="s">
        <v>1120</v>
      </c>
      <c r="N98" s="490" t="s">
        <v>1939</v>
      </c>
      <c r="O98" s="494" t="s">
        <v>1940</v>
      </c>
      <c r="P98" s="490" t="s">
        <v>1941</v>
      </c>
      <c r="S98" s="558" t="n">
        <v>1.5</v>
      </c>
      <c r="T98" s="534" t="s">
        <v>1120</v>
      </c>
      <c r="U98" s="470" t="n">
        <f aca="false">IF(D98="","",ROUND(4.184*D98+$S98*$T$9,3))</f>
        <v>-1028.136</v>
      </c>
      <c r="V98" s="470" t="n">
        <f aca="false">IF(E98="","",ROUND(4.184*E98,3))</f>
        <v>-1111.689</v>
      </c>
      <c r="W98" s="470" t="n">
        <f aca="false">IF(F98="","",ROUND(4.184*F98,3))</f>
        <v>65.856</v>
      </c>
      <c r="X98" s="133"/>
      <c r="Y98" s="354" t="s">
        <v>1120</v>
      </c>
      <c r="Z98" s="301" t="s">
        <v>1939</v>
      </c>
      <c r="AA98" s="557" t="s">
        <v>1940</v>
      </c>
      <c r="AB98" s="301" t="s">
        <v>1941</v>
      </c>
      <c r="AC98" s="210"/>
      <c r="AD98" s="354" t="s">
        <v>1120</v>
      </c>
      <c r="AE98" s="490" t="s">
        <v>1939</v>
      </c>
      <c r="AF98" s="494" t="s">
        <v>1940</v>
      </c>
      <c r="AG98" s="490" t="s">
        <v>1941</v>
      </c>
      <c r="AI98" s="354" t="s">
        <v>1120</v>
      </c>
      <c r="AJ98" s="303" t="n">
        <f aca="false">IF(D98="","",ROUND(D98+$S98*$AK$9,3))</f>
        <v>-245.73</v>
      </c>
      <c r="AK98" s="559" t="n">
        <f aca="false">IF(E98="","",ROUND(E98,3))</f>
        <v>-265.7</v>
      </c>
      <c r="AL98" s="303" t="n">
        <f aca="false">IF(F98="","",ROUND(F98,3))</f>
        <v>15.74</v>
      </c>
      <c r="AM98" s="133"/>
      <c r="AN98" s="354" t="s">
        <v>1120</v>
      </c>
      <c r="AO98" s="303" t="n">
        <f aca="false">IF(I98="","",ROUND(I98/4.184,3))</f>
        <v>-245.728</v>
      </c>
      <c r="AP98" s="559" t="n">
        <f aca="false">IF(J98="","",ROUND(J98/4.184,3))</f>
        <v>-265.7</v>
      </c>
      <c r="AQ98" s="303" t="n">
        <f aca="false">IF(K98="","",ROUND(K98/4.184,3))</f>
        <v>15.739</v>
      </c>
      <c r="AR98" s="191"/>
      <c r="AS98" s="354" t="s">
        <v>1120</v>
      </c>
      <c r="AT98" s="493" t="n">
        <f aca="false">IF(N98="","",ROUND(N98/4.184,3))</f>
        <v>-245.728</v>
      </c>
      <c r="AU98" s="495" t="n">
        <f aca="false">IF(O98="","",ROUND(O98/4.184,3))</f>
        <v>-265.7</v>
      </c>
      <c r="AV98" s="493" t="n">
        <f aca="false">IF(P98="","",ROUND(P98/4.184,3))</f>
        <v>15.739</v>
      </c>
    </row>
    <row r="99" customFormat="false" ht="12.75" hidden="false" customHeight="false" outlineLevel="0" collapsed="false">
      <c r="A99" s="10"/>
      <c r="B99" s="353" t="s">
        <v>1121</v>
      </c>
      <c r="C99" s="354" t="s">
        <v>1122</v>
      </c>
      <c r="D99" s="301" t="s">
        <v>1942</v>
      </c>
      <c r="E99" s="557" t="s">
        <v>1943</v>
      </c>
      <c r="F99" s="301" t="s">
        <v>1944</v>
      </c>
      <c r="G99" s="213"/>
      <c r="H99" s="354" t="s">
        <v>1122</v>
      </c>
      <c r="I99" s="301" t="s">
        <v>1945</v>
      </c>
      <c r="J99" s="557" t="s">
        <v>1946</v>
      </c>
      <c r="K99" s="301" t="s">
        <v>1947</v>
      </c>
      <c r="L99" s="210"/>
      <c r="M99" s="354" t="s">
        <v>1122</v>
      </c>
      <c r="N99" s="490" t="s">
        <v>1945</v>
      </c>
      <c r="O99" s="494" t="s">
        <v>1946</v>
      </c>
      <c r="P99" s="490" t="s">
        <v>1947</v>
      </c>
      <c r="S99" s="558" t="n">
        <v>2</v>
      </c>
      <c r="T99" s="534" t="s">
        <v>1122</v>
      </c>
      <c r="U99" s="470" t="n">
        <f aca="false">IF(D99="","",ROUND(4.184*D99+$S99*$T$9,3))</f>
        <v>-2057.869</v>
      </c>
      <c r="V99" s="470" t="n">
        <f aca="false">IF(E99="","",ROUND(4.184*E99,3))</f>
        <v>-2176.935</v>
      </c>
      <c r="W99" s="470" t="n">
        <f aca="false">IF(F99="","",ROUND(4.184*F99,3))</f>
        <v>95.14</v>
      </c>
      <c r="X99" s="133"/>
      <c r="Y99" s="354" t="s">
        <v>1122</v>
      </c>
      <c r="Z99" s="301" t="s">
        <v>1945</v>
      </c>
      <c r="AA99" s="557" t="s">
        <v>1946</v>
      </c>
      <c r="AB99" s="301" t="s">
        <v>1947</v>
      </c>
      <c r="AC99" s="210"/>
      <c r="AD99" s="354" t="s">
        <v>1122</v>
      </c>
      <c r="AE99" s="490" t="s">
        <v>1945</v>
      </c>
      <c r="AF99" s="494" t="s">
        <v>1946</v>
      </c>
      <c r="AG99" s="490" t="s">
        <v>1947</v>
      </c>
      <c r="AI99" s="354" t="s">
        <v>1122</v>
      </c>
      <c r="AJ99" s="303" t="n">
        <f aca="false">IF(D99="","",ROUND(D99+$S99*$AK$9,3))</f>
        <v>-491.842</v>
      </c>
      <c r="AK99" s="559" t="n">
        <f aca="false">IF(E99="","",ROUND(E99,3))</f>
        <v>-520.3</v>
      </c>
      <c r="AL99" s="303" t="n">
        <f aca="false">IF(F99="","",ROUND(F99,3))</f>
        <v>22.739</v>
      </c>
      <c r="AM99" s="133"/>
      <c r="AN99" s="354" t="s">
        <v>1122</v>
      </c>
      <c r="AO99" s="303" t="n">
        <f aca="false">IF(I99="","",ROUND(I99/4.184,3))</f>
        <v>-491.845</v>
      </c>
      <c r="AP99" s="559" t="n">
        <f aca="false">IF(J99="","",ROUND(J99/4.184,3))</f>
        <v>-520.3</v>
      </c>
      <c r="AQ99" s="303" t="n">
        <f aca="false">IF(K99="","",ROUND(K99/4.184,3))</f>
        <v>22.739</v>
      </c>
      <c r="AR99" s="191"/>
      <c r="AS99" s="354" t="s">
        <v>1122</v>
      </c>
      <c r="AT99" s="493" t="n">
        <f aca="false">IF(N99="","",ROUND(N99/4.184,3))</f>
        <v>-491.845</v>
      </c>
      <c r="AU99" s="495" t="n">
        <f aca="false">IF(O99="","",ROUND(O99/4.184,3))</f>
        <v>-520.3</v>
      </c>
      <c r="AV99" s="493" t="n">
        <f aca="false">IF(P99="","",ROUND(P99/4.184,3))</f>
        <v>22.739</v>
      </c>
    </row>
    <row r="100" customFormat="false" ht="12.75" hidden="false" customHeight="false" outlineLevel="0" collapsed="false">
      <c r="A100" s="10"/>
      <c r="B100" s="353" t="s">
        <v>1123</v>
      </c>
      <c r="C100" s="354" t="s">
        <v>1124</v>
      </c>
      <c r="D100" s="301"/>
      <c r="E100" s="557"/>
      <c r="F100" s="301"/>
      <c r="G100" s="213"/>
      <c r="H100" s="354" t="s">
        <v>1124</v>
      </c>
      <c r="I100" s="301" t="s">
        <v>1948</v>
      </c>
      <c r="J100" s="557" t="s">
        <v>1775</v>
      </c>
      <c r="K100" s="301" t="s">
        <v>1949</v>
      </c>
      <c r="L100" s="210"/>
      <c r="M100" s="354" t="s">
        <v>1124</v>
      </c>
      <c r="N100" s="490" t="s">
        <v>1948</v>
      </c>
      <c r="O100" s="494" t="s">
        <v>1775</v>
      </c>
      <c r="P100" s="490" t="s">
        <v>1949</v>
      </c>
      <c r="S100" s="558" t="n">
        <v>0.5</v>
      </c>
      <c r="T100" s="534" t="s">
        <v>1124</v>
      </c>
      <c r="U100" s="470" t="str">
        <f aca="false">IF(D100="","",ROUND(4.184*D100+$S100*$T$9,3))</f>
        <v/>
      </c>
      <c r="V100" s="470" t="str">
        <f aca="false">IF(E100="","",ROUND(4.184*E100,3))</f>
        <v/>
      </c>
      <c r="W100" s="470" t="str">
        <f aca="false">IF(F100="","",ROUND(4.184*F100,3))</f>
        <v/>
      </c>
      <c r="X100" s="133"/>
      <c r="Y100" s="354" t="s">
        <v>1124</v>
      </c>
      <c r="Z100" s="301" t="s">
        <v>1948</v>
      </c>
      <c r="AA100" s="557" t="s">
        <v>1775</v>
      </c>
      <c r="AB100" s="301" t="s">
        <v>1949</v>
      </c>
      <c r="AC100" s="210"/>
      <c r="AD100" s="354" t="s">
        <v>1124</v>
      </c>
      <c r="AE100" s="490" t="s">
        <v>1948</v>
      </c>
      <c r="AF100" s="494" t="s">
        <v>1775</v>
      </c>
      <c r="AG100" s="490" t="s">
        <v>1949</v>
      </c>
      <c r="AI100" s="354" t="s">
        <v>1124</v>
      </c>
      <c r="AJ100" s="303" t="str">
        <f aca="false">IF(D100="","",ROUND(D100+$S100*$AK$9,3))</f>
        <v/>
      </c>
      <c r="AK100" s="559" t="str">
        <f aca="false">IF(E100="","",ROUND(E100,3))</f>
        <v/>
      </c>
      <c r="AL100" s="303" t="str">
        <f aca="false">IF(F100="","",ROUND(F100,3))</f>
        <v/>
      </c>
      <c r="AM100" s="133"/>
      <c r="AN100" s="354" t="s">
        <v>1124</v>
      </c>
      <c r="AO100" s="303" t="n">
        <f aca="false">IF(I100="","",ROUND(I100/4.184,3))</f>
        <v>-144.24</v>
      </c>
      <c r="AP100" s="559" t="n">
        <f aca="false">IF(J100="","",ROUND(J100/4.184,3))</f>
        <v>-151.79</v>
      </c>
      <c r="AQ100" s="303" t="n">
        <f aca="false">IF(K100="","",ROUND(K100/4.184,3))</f>
        <v>9.133</v>
      </c>
      <c r="AR100" s="191"/>
      <c r="AS100" s="354" t="s">
        <v>1124</v>
      </c>
      <c r="AT100" s="493" t="n">
        <f aca="false">IF(N100="","",ROUND(N100/4.184,3))</f>
        <v>-144.24</v>
      </c>
      <c r="AU100" s="495" t="n">
        <f aca="false">IF(O100="","",ROUND(O100/4.184,3))</f>
        <v>-151.79</v>
      </c>
      <c r="AV100" s="493" t="n">
        <f aca="false">IF(P100="","",ROUND(P100/4.184,3))</f>
        <v>9.133</v>
      </c>
    </row>
    <row r="101" customFormat="false" ht="12.75" hidden="false" customHeight="false" outlineLevel="0" collapsed="false">
      <c r="A101" s="10"/>
      <c r="B101" s="353" t="s">
        <v>1134</v>
      </c>
      <c r="C101" s="354" t="s">
        <v>1135</v>
      </c>
      <c r="D101" s="301"/>
      <c r="E101" s="557"/>
      <c r="F101" s="301"/>
      <c r="G101" s="213"/>
      <c r="H101" s="354" t="s">
        <v>1135</v>
      </c>
      <c r="I101" s="301" t="s">
        <v>1950</v>
      </c>
      <c r="J101" s="557" t="s">
        <v>1782</v>
      </c>
      <c r="K101" s="301" t="s">
        <v>1951</v>
      </c>
      <c r="L101" s="210"/>
      <c r="M101" s="354" t="s">
        <v>1135</v>
      </c>
      <c r="N101" s="490" t="s">
        <v>1950</v>
      </c>
      <c r="O101" s="494" t="s">
        <v>1782</v>
      </c>
      <c r="P101" s="490" t="s">
        <v>1951</v>
      </c>
      <c r="S101" s="558" t="n">
        <v>2</v>
      </c>
      <c r="T101" s="534" t="s">
        <v>1135</v>
      </c>
      <c r="U101" s="470" t="str">
        <f aca="false">IF(D101="","",ROUND(4.184*D101+$S101*$T$9,3))</f>
        <v/>
      </c>
      <c r="V101" s="470" t="str">
        <f aca="false">IF(E101="","",ROUND(4.184*E101,3))</f>
        <v/>
      </c>
      <c r="W101" s="470" t="str">
        <f aca="false">IF(F101="","",ROUND(4.184*F101,3))</f>
        <v/>
      </c>
      <c r="X101" s="133"/>
      <c r="Y101" s="354" t="s">
        <v>1135</v>
      </c>
      <c r="Z101" s="301" t="s">
        <v>1950</v>
      </c>
      <c r="AA101" s="557" t="s">
        <v>1782</v>
      </c>
      <c r="AB101" s="301" t="s">
        <v>1951</v>
      </c>
      <c r="AC101" s="210"/>
      <c r="AD101" s="354" t="s">
        <v>1135</v>
      </c>
      <c r="AE101" s="490" t="s">
        <v>1950</v>
      </c>
      <c r="AF101" s="494" t="s">
        <v>1782</v>
      </c>
      <c r="AG101" s="490" t="s">
        <v>1951</v>
      </c>
      <c r="AI101" s="354" t="s">
        <v>1135</v>
      </c>
      <c r="AJ101" s="303" t="str">
        <f aca="false">IF(D101="","",ROUND(D101+$S101*$AK$9,3))</f>
        <v/>
      </c>
      <c r="AK101" s="559" t="str">
        <f aca="false">IF(E101="","",ROUND(E101,3))</f>
        <v/>
      </c>
      <c r="AL101" s="303" t="str">
        <f aca="false">IF(F101="","",ROUND(F101,3))</f>
        <v/>
      </c>
      <c r="AM101" s="133"/>
      <c r="AN101" s="354" t="s">
        <v>1135</v>
      </c>
      <c r="AO101" s="303" t="n">
        <f aca="false">IF(I101="","",ROUND(I101/4.184,3))</f>
        <v>-214.728</v>
      </c>
      <c r="AP101" s="559" t="n">
        <f aca="false">IF(J101="","",ROUND(J101/4.184,3))</f>
        <v>-235.68</v>
      </c>
      <c r="AQ101" s="303" t="n">
        <f aca="false">IF(K101="","",ROUND(K101/4.184,3))</f>
        <v>19.93</v>
      </c>
      <c r="AR101" s="191"/>
      <c r="AS101" s="354" t="s">
        <v>1135</v>
      </c>
      <c r="AT101" s="493" t="n">
        <f aca="false">IF(N101="","",ROUND(N101/4.184,3))</f>
        <v>-214.728</v>
      </c>
      <c r="AU101" s="495" t="n">
        <f aca="false">IF(O101="","",ROUND(O101/4.184,3))</f>
        <v>-235.68</v>
      </c>
      <c r="AV101" s="493" t="n">
        <f aca="false">IF(P101="","",ROUND(P101/4.184,3))</f>
        <v>19.93</v>
      </c>
    </row>
    <row r="102" customFormat="false" ht="12.75" hidden="false" customHeight="false" outlineLevel="0" collapsed="false">
      <c r="A102" s="10"/>
      <c r="B102" s="353" t="s">
        <v>1139</v>
      </c>
      <c r="C102" s="354" t="s">
        <v>1140</v>
      </c>
      <c r="D102" s="301"/>
      <c r="E102" s="557"/>
      <c r="F102" s="301"/>
      <c r="G102" s="213"/>
      <c r="H102" s="354" t="s">
        <v>1140</v>
      </c>
      <c r="I102" s="301"/>
      <c r="J102" s="557"/>
      <c r="K102" s="301"/>
      <c r="L102" s="210"/>
      <c r="M102" s="354" t="s">
        <v>1140</v>
      </c>
      <c r="N102" s="490"/>
      <c r="O102" s="494"/>
      <c r="P102" s="490"/>
      <c r="S102" s="558" t="n">
        <v>1.5</v>
      </c>
      <c r="T102" s="534" t="s">
        <v>1140</v>
      </c>
      <c r="U102" s="470" t="str">
        <f aca="false">IF(D102="","",ROUND(4.184*D102+$S102*$T$9,3))</f>
        <v/>
      </c>
      <c r="V102" s="470" t="str">
        <f aca="false">IF(E102="","",ROUND(4.184*E102,3))</f>
        <v/>
      </c>
      <c r="W102" s="470" t="str">
        <f aca="false">IF(F102="","",ROUND(4.184*F102,3))</f>
        <v/>
      </c>
      <c r="X102" s="133"/>
      <c r="Y102" s="354" t="s">
        <v>1140</v>
      </c>
      <c r="Z102" s="301"/>
      <c r="AA102" s="557"/>
      <c r="AB102" s="301"/>
      <c r="AC102" s="210"/>
      <c r="AD102" s="354" t="s">
        <v>1140</v>
      </c>
      <c r="AE102" s="490"/>
      <c r="AF102" s="494"/>
      <c r="AG102" s="490"/>
      <c r="AI102" s="354" t="s">
        <v>1140</v>
      </c>
      <c r="AJ102" s="303" t="str">
        <f aca="false">IF(D102="","",ROUND(D102+$S102*$AK$9,3))</f>
        <v/>
      </c>
      <c r="AK102" s="559" t="str">
        <f aca="false">IF(E102="","",ROUND(E102,3))</f>
        <v/>
      </c>
      <c r="AL102" s="303" t="str">
        <f aca="false">IF(F102="","",ROUND(F102,3))</f>
        <v/>
      </c>
      <c r="AM102" s="133"/>
      <c r="AN102" s="354" t="s">
        <v>1140</v>
      </c>
      <c r="AO102" s="303" t="str">
        <f aca="false">IF(I102="","",ROUND(I102/4.184,3))</f>
        <v/>
      </c>
      <c r="AP102" s="559" t="str">
        <f aca="false">IF(J102="","",ROUND(J102/4.184,3))</f>
        <v/>
      </c>
      <c r="AQ102" s="303" t="str">
        <f aca="false">IF(K102="","",ROUND(K102/4.184,3))</f>
        <v/>
      </c>
      <c r="AR102" s="191"/>
      <c r="AS102" s="354" t="s">
        <v>1140</v>
      </c>
      <c r="AT102" s="493" t="str">
        <f aca="false">IF(N102="","",ROUND(N102/4.184,3))</f>
        <v/>
      </c>
      <c r="AU102" s="495" t="str">
        <f aca="false">IF(O102="","",ROUND(O102/4.184,3))</f>
        <v/>
      </c>
      <c r="AV102" s="493" t="str">
        <f aca="false">IF(P102="","",ROUND(P102/4.184,3))</f>
        <v/>
      </c>
    </row>
    <row r="103" customFormat="false" ht="12.75" hidden="false" customHeight="false" outlineLevel="0" collapsed="false">
      <c r="A103" s="10"/>
      <c r="B103" s="353" t="s">
        <v>1144</v>
      </c>
      <c r="C103" s="354" t="s">
        <v>1145</v>
      </c>
      <c r="D103" s="301"/>
      <c r="E103" s="557"/>
      <c r="F103" s="301"/>
      <c r="G103" s="213"/>
      <c r="H103" s="354" t="s">
        <v>1145</v>
      </c>
      <c r="I103" s="301"/>
      <c r="J103" s="557"/>
      <c r="K103" s="301"/>
      <c r="L103" s="210"/>
      <c r="M103" s="354" t="s">
        <v>1145</v>
      </c>
      <c r="N103" s="490"/>
      <c r="O103" s="494"/>
      <c r="P103" s="490"/>
      <c r="S103" s="558" t="n">
        <v>1.5</v>
      </c>
      <c r="T103" s="534" t="s">
        <v>1145</v>
      </c>
      <c r="U103" s="470" t="str">
        <f aca="false">IF(D103="","",ROUND(4.184*D103+$S103*$T$9,3))</f>
        <v/>
      </c>
      <c r="V103" s="470" t="str">
        <f aca="false">IF(E103="","",ROUND(4.184*E103,3))</f>
        <v/>
      </c>
      <c r="W103" s="470" t="str">
        <f aca="false">IF(F103="","",ROUND(4.184*F103,3))</f>
        <v/>
      </c>
      <c r="X103" s="133"/>
      <c r="Y103" s="354" t="s">
        <v>1145</v>
      </c>
      <c r="Z103" s="301"/>
      <c r="AA103" s="557"/>
      <c r="AB103" s="301"/>
      <c r="AC103" s="210"/>
      <c r="AD103" s="354" t="s">
        <v>1145</v>
      </c>
      <c r="AE103" s="490"/>
      <c r="AF103" s="494"/>
      <c r="AG103" s="490"/>
      <c r="AI103" s="354" t="s">
        <v>1145</v>
      </c>
      <c r="AJ103" s="303" t="str">
        <f aca="false">IF(D103="","",ROUND(D103+$S103*$AK$9,3))</f>
        <v/>
      </c>
      <c r="AK103" s="559" t="str">
        <f aca="false">IF(E103="","",ROUND(E103,3))</f>
        <v/>
      </c>
      <c r="AL103" s="303" t="str">
        <f aca="false">IF(F103="","",ROUND(F103,3))</f>
        <v/>
      </c>
      <c r="AM103" s="133"/>
      <c r="AN103" s="354" t="s">
        <v>1145</v>
      </c>
      <c r="AO103" s="303" t="str">
        <f aca="false">IF(I103="","",ROUND(I103/4.184,3))</f>
        <v/>
      </c>
      <c r="AP103" s="559" t="str">
        <f aca="false">IF(J103="","",ROUND(J103/4.184,3))</f>
        <v/>
      </c>
      <c r="AQ103" s="303" t="str">
        <f aca="false">IF(K103="","",ROUND(K103/4.184,3))</f>
        <v/>
      </c>
      <c r="AR103" s="191"/>
      <c r="AS103" s="354" t="s">
        <v>1145</v>
      </c>
      <c r="AT103" s="493" t="str">
        <f aca="false">IF(N103="","",ROUND(N103/4.184,3))</f>
        <v/>
      </c>
      <c r="AU103" s="495" t="str">
        <f aca="false">IF(O103="","",ROUND(O103/4.184,3))</f>
        <v/>
      </c>
      <c r="AV103" s="493" t="str">
        <f aca="false">IF(P103="","",ROUND(P103/4.184,3))</f>
        <v/>
      </c>
    </row>
    <row r="104" customFormat="false" ht="12.75" hidden="false" customHeight="false" outlineLevel="0" collapsed="false">
      <c r="A104" s="10"/>
      <c r="B104" s="354" t="s">
        <v>1146</v>
      </c>
      <c r="C104" s="354" t="s">
        <v>1146</v>
      </c>
      <c r="D104" s="301" t="s">
        <v>1952</v>
      </c>
      <c r="E104" s="557" t="s">
        <v>1953</v>
      </c>
      <c r="F104" s="301" t="s">
        <v>1954</v>
      </c>
      <c r="G104" s="213"/>
      <c r="H104" s="354" t="s">
        <v>1146</v>
      </c>
      <c r="I104" s="301" t="s">
        <v>1955</v>
      </c>
      <c r="J104" s="557" t="s">
        <v>1956</v>
      </c>
      <c r="K104" s="301" t="s">
        <v>1957</v>
      </c>
      <c r="L104" s="210"/>
      <c r="M104" s="354" t="s">
        <v>1146</v>
      </c>
      <c r="N104" s="490" t="s">
        <v>1955</v>
      </c>
      <c r="O104" s="494" t="s">
        <v>1956</v>
      </c>
      <c r="P104" s="490" t="s">
        <v>1957</v>
      </c>
      <c r="S104" s="558" t="n">
        <v>0.5</v>
      </c>
      <c r="T104" s="534" t="s">
        <v>1146</v>
      </c>
      <c r="U104" s="470" t="n">
        <f aca="false">IF(D104="","",ROUND(4.184*D104+$S104*$T$9,3))</f>
        <v>-379.092</v>
      </c>
      <c r="V104" s="470" t="n">
        <f aca="false">IF(E104="","",ROUND(4.184*E104,3))</f>
        <v>-417.982</v>
      </c>
      <c r="W104" s="470" t="n">
        <f aca="false">IF(F104="","",ROUND(4.184*F104,3))</f>
        <v>75.04</v>
      </c>
      <c r="X104" s="133"/>
      <c r="Y104" s="354" t="s">
        <v>1146</v>
      </c>
      <c r="Z104" s="301" t="s">
        <v>1955</v>
      </c>
      <c r="AA104" s="557" t="s">
        <v>1956</v>
      </c>
      <c r="AB104" s="301" t="s">
        <v>1957</v>
      </c>
      <c r="AC104" s="210"/>
      <c r="AD104" s="354" t="s">
        <v>1146</v>
      </c>
      <c r="AE104" s="490" t="s">
        <v>1955</v>
      </c>
      <c r="AF104" s="494" t="s">
        <v>1956</v>
      </c>
      <c r="AG104" s="490" t="s">
        <v>1957</v>
      </c>
      <c r="AI104" s="354" t="s">
        <v>1146</v>
      </c>
      <c r="AJ104" s="303" t="n">
        <f aca="false">IF(D104="","",ROUND(D104+$S104*$AK$9,3))</f>
        <v>-90.605</v>
      </c>
      <c r="AK104" s="559" t="n">
        <f aca="false">IF(E104="","",ROUND(E104,3))</f>
        <v>-99.9</v>
      </c>
      <c r="AL104" s="303" t="n">
        <f aca="false">IF(F104="","",ROUND(F104,3))</f>
        <v>17.935</v>
      </c>
      <c r="AM104" s="133"/>
      <c r="AN104" s="354" t="s">
        <v>1146</v>
      </c>
      <c r="AO104" s="303" t="n">
        <f aca="false">IF(I104="","",ROUND(I104/4.184,3))</f>
        <v>-90.605</v>
      </c>
      <c r="AP104" s="559" t="n">
        <f aca="false">IF(J104="","",ROUND(J104/4.184,3))</f>
        <v>-99.9</v>
      </c>
      <c r="AQ104" s="303" t="n">
        <f aca="false">IF(K104="","",ROUND(K104/4.184,3))</f>
        <v>17.935</v>
      </c>
      <c r="AR104" s="191"/>
      <c r="AS104" s="354" t="s">
        <v>1146</v>
      </c>
      <c r="AT104" s="493" t="n">
        <f aca="false">IF(N104="","",ROUND(N104/4.184,3))</f>
        <v>-90.605</v>
      </c>
      <c r="AU104" s="495" t="n">
        <f aca="false">IF(O104="","",ROUND(O104/4.184,3))</f>
        <v>-99.9</v>
      </c>
      <c r="AV104" s="493" t="n">
        <f aca="false">IF(P104="","",ROUND(P104/4.184,3))</f>
        <v>17.935</v>
      </c>
    </row>
    <row r="105" customFormat="false" ht="12.75" hidden="false" customHeight="false" outlineLevel="0" collapsed="false">
      <c r="A105" s="10"/>
      <c r="B105" s="353" t="s">
        <v>1147</v>
      </c>
      <c r="C105" s="354" t="s">
        <v>1148</v>
      </c>
      <c r="D105" s="301" t="s">
        <v>1958</v>
      </c>
      <c r="E105" s="557" t="s">
        <v>1813</v>
      </c>
      <c r="F105" s="301" t="s">
        <v>1959</v>
      </c>
      <c r="G105" s="213"/>
      <c r="H105" s="354" t="s">
        <v>1148</v>
      </c>
      <c r="I105" s="301" t="s">
        <v>1960</v>
      </c>
      <c r="J105" s="557" t="s">
        <v>1961</v>
      </c>
      <c r="K105" s="301" t="s">
        <v>1962</v>
      </c>
      <c r="L105" s="210"/>
      <c r="M105" s="354" t="s">
        <v>1148</v>
      </c>
      <c r="N105" s="490" t="s">
        <v>1960</v>
      </c>
      <c r="O105" s="494" t="s">
        <v>1961</v>
      </c>
      <c r="P105" s="490" t="s">
        <v>1962</v>
      </c>
      <c r="R105" s="10"/>
      <c r="S105" s="558" t="n">
        <v>0.5</v>
      </c>
      <c r="T105" s="534" t="s">
        <v>1148</v>
      </c>
      <c r="U105" s="470" t="n">
        <f aca="false">IF(D105="","",ROUND(4.184*D105+$S105*$T$9,3))</f>
        <v>-384.025</v>
      </c>
      <c r="V105" s="470" t="n">
        <f aca="false">IF(E105="","",ROUND(4.184*E105,3))</f>
        <v>-411.12</v>
      </c>
      <c r="W105" s="470" t="n">
        <f aca="false">IF(F105="","",ROUND(4.184*F105,3))</f>
        <v>72.115</v>
      </c>
      <c r="X105" s="133"/>
      <c r="Y105" s="354" t="s">
        <v>1148</v>
      </c>
      <c r="Z105" s="301" t="s">
        <v>1960</v>
      </c>
      <c r="AA105" s="557" t="s">
        <v>1961</v>
      </c>
      <c r="AB105" s="301" t="s">
        <v>1962</v>
      </c>
      <c r="AC105" s="210"/>
      <c r="AD105" s="354" t="s">
        <v>1148</v>
      </c>
      <c r="AE105" s="490" t="s">
        <v>1960</v>
      </c>
      <c r="AF105" s="494" t="s">
        <v>1961</v>
      </c>
      <c r="AG105" s="490" t="s">
        <v>1962</v>
      </c>
      <c r="AI105" s="354" t="s">
        <v>1148</v>
      </c>
      <c r="AJ105" s="303" t="n">
        <f aca="false">IF(D105="","",ROUND(D105+$S105*$AK$9,3))</f>
        <v>-91.784</v>
      </c>
      <c r="AK105" s="559" t="n">
        <f aca="false">IF(E105="","",ROUND(E105,3))</f>
        <v>-98.26</v>
      </c>
      <c r="AL105" s="303" t="n">
        <f aca="false">IF(F105="","",ROUND(F105,3))</f>
        <v>17.236</v>
      </c>
      <c r="AM105" s="133"/>
      <c r="AN105" s="354" t="s">
        <v>1148</v>
      </c>
      <c r="AO105" s="303" t="n">
        <f aca="false">IF(I105="","",ROUND(I105/4.184,3))</f>
        <v>-91.784</v>
      </c>
      <c r="AP105" s="559" t="n">
        <f aca="false">IF(J105="","",ROUND(J105/4.184,3))</f>
        <v>-98.26</v>
      </c>
      <c r="AQ105" s="303" t="n">
        <f aca="false">IF(K105="","",ROUND(K105/4.184,3))</f>
        <v>17.236</v>
      </c>
      <c r="AR105" s="191"/>
      <c r="AS105" s="354" t="s">
        <v>1148</v>
      </c>
      <c r="AT105" s="493" t="n">
        <f aca="false">IF(N105="","",ROUND(N105/4.184,3))</f>
        <v>-91.784</v>
      </c>
      <c r="AU105" s="495" t="n">
        <f aca="false">IF(O105="","",ROUND(O105/4.184,3))</f>
        <v>-98.26</v>
      </c>
      <c r="AV105" s="493" t="n">
        <f aca="false">IF(P105="","",ROUND(P105/4.184,3))</f>
        <v>17.236</v>
      </c>
    </row>
    <row r="106" customFormat="false" ht="12.75" hidden="false" customHeight="false" outlineLevel="0" collapsed="false">
      <c r="A106" s="10"/>
      <c r="B106" s="354" t="s">
        <v>1154</v>
      </c>
      <c r="C106" s="354" t="s">
        <v>1154</v>
      </c>
      <c r="D106" s="292" t="s">
        <v>1963</v>
      </c>
      <c r="E106" s="557" t="s">
        <v>1820</v>
      </c>
      <c r="F106" s="292" t="s">
        <v>1964</v>
      </c>
      <c r="G106" s="213"/>
      <c r="H106" s="354" t="s">
        <v>1154</v>
      </c>
      <c r="I106" s="301" t="s">
        <v>1965</v>
      </c>
      <c r="J106" s="557" t="s">
        <v>1823</v>
      </c>
      <c r="K106" s="301" t="s">
        <v>1966</v>
      </c>
      <c r="L106" s="210"/>
      <c r="M106" s="354" t="s">
        <v>1154</v>
      </c>
      <c r="N106" s="490" t="s">
        <v>1965</v>
      </c>
      <c r="O106" s="494" t="s">
        <v>1823</v>
      </c>
      <c r="P106" s="490" t="s">
        <v>1966</v>
      </c>
      <c r="S106" s="558" t="n">
        <v>0.5</v>
      </c>
      <c r="T106" s="534" t="s">
        <v>1154</v>
      </c>
      <c r="U106" s="470" t="n">
        <f aca="false">IF(D106="","",ROUND(4.184*D106+$S106*$T$9,3))</f>
        <v>-322.093</v>
      </c>
      <c r="V106" s="470" t="n">
        <f aca="false">IF(E106="","",ROUND(4.184*E106,3))</f>
        <v>-363.171</v>
      </c>
      <c r="W106" s="470" t="n">
        <f aca="false">IF(F106="","",ROUND(4.184*F106,3))</f>
        <v>94.14</v>
      </c>
      <c r="X106" s="133"/>
      <c r="Y106" s="354" t="s">
        <v>1154</v>
      </c>
      <c r="Z106" s="301" t="s">
        <v>1965</v>
      </c>
      <c r="AA106" s="557" t="s">
        <v>1823</v>
      </c>
      <c r="AB106" s="301" t="s">
        <v>1966</v>
      </c>
      <c r="AC106" s="210"/>
      <c r="AD106" s="354" t="s">
        <v>1154</v>
      </c>
      <c r="AE106" s="490" t="s">
        <v>1965</v>
      </c>
      <c r="AF106" s="494" t="s">
        <v>1823</v>
      </c>
      <c r="AG106" s="490" t="s">
        <v>1966</v>
      </c>
      <c r="AI106" s="354" t="s">
        <v>1154</v>
      </c>
      <c r="AJ106" s="294" t="n">
        <f aca="false">IF(D106="","",ROUND(D106+$S106*$AK$9,3))</f>
        <v>-76.982</v>
      </c>
      <c r="AK106" s="559" t="n">
        <f aca="false">IF(E106="","",ROUND(E106,3))</f>
        <v>-86.8</v>
      </c>
      <c r="AL106" s="294" t="n">
        <f aca="false">IF(F106="","",ROUND(F106,3))</f>
        <v>22.5</v>
      </c>
      <c r="AM106" s="133"/>
      <c r="AN106" s="354" t="s">
        <v>1154</v>
      </c>
      <c r="AO106" s="303" t="n">
        <f aca="false">IF(I106="","",ROUND(I106/4.184,3))</f>
        <v>-76.982</v>
      </c>
      <c r="AP106" s="559" t="n">
        <f aca="false">IF(J106="","",ROUND(J106/4.184,3))</f>
        <v>-86.8</v>
      </c>
      <c r="AQ106" s="303" t="n">
        <f aca="false">IF(K106="","",ROUND(K106/4.184,3))</f>
        <v>22.5</v>
      </c>
      <c r="AR106" s="191"/>
      <c r="AS106" s="354" t="s">
        <v>1154</v>
      </c>
      <c r="AT106" s="493" t="n">
        <f aca="false">IF(N106="","",ROUND(N106/4.184,3))</f>
        <v>-76.982</v>
      </c>
      <c r="AU106" s="495" t="n">
        <f aca="false">IF(O106="","",ROUND(O106/4.184,3))</f>
        <v>-86.8</v>
      </c>
      <c r="AV106" s="493" t="n">
        <f aca="false">IF(P106="","",ROUND(P106/4.184,3))</f>
        <v>22.5</v>
      </c>
    </row>
    <row r="107" customFormat="false" ht="13.5" hidden="false" customHeight="false" outlineLevel="0" collapsed="false">
      <c r="A107" s="10"/>
      <c r="B107" s="374" t="s">
        <v>1155</v>
      </c>
      <c r="C107" s="375" t="s">
        <v>1156</v>
      </c>
      <c r="D107" s="307" t="s">
        <v>1967</v>
      </c>
      <c r="E107" s="564" t="s">
        <v>1828</v>
      </c>
      <c r="F107" s="307" t="s">
        <v>1968</v>
      </c>
      <c r="G107" s="213"/>
      <c r="H107" s="375" t="s">
        <v>1156</v>
      </c>
      <c r="I107" s="307" t="s">
        <v>1969</v>
      </c>
      <c r="J107" s="564" t="s">
        <v>1970</v>
      </c>
      <c r="K107" s="307" t="s">
        <v>1971</v>
      </c>
      <c r="L107" s="210"/>
      <c r="M107" s="375" t="s">
        <v>1156</v>
      </c>
      <c r="N107" s="498" t="s">
        <v>1969</v>
      </c>
      <c r="O107" s="499" t="s">
        <v>1970</v>
      </c>
      <c r="P107" s="498" t="s">
        <v>1971</v>
      </c>
      <c r="S107" s="565" t="n">
        <v>0.5</v>
      </c>
      <c r="T107" s="538" t="s">
        <v>1156</v>
      </c>
      <c r="U107" s="500" t="n">
        <f aca="false">IF(D107="","",ROUND(4.184*D107+$S107*$T$9,3))</f>
        <v>-408.76</v>
      </c>
      <c r="V107" s="500" t="n">
        <f aca="false">IF(E107="","",ROUND(4.184*E107,3))</f>
        <v>-436.684</v>
      </c>
      <c r="W107" s="500" t="n">
        <f aca="false">IF(F107="","",ROUND(4.184*F107,3))</f>
        <v>82.555</v>
      </c>
      <c r="X107" s="10"/>
      <c r="Y107" s="375" t="s">
        <v>1156</v>
      </c>
      <c r="Z107" s="307" t="s">
        <v>1969</v>
      </c>
      <c r="AA107" s="564" t="s">
        <v>1970</v>
      </c>
      <c r="AB107" s="307" t="s">
        <v>1971</v>
      </c>
      <c r="AC107" s="210"/>
      <c r="AD107" s="375" t="s">
        <v>1156</v>
      </c>
      <c r="AE107" s="498" t="s">
        <v>1969</v>
      </c>
      <c r="AF107" s="499" t="s">
        <v>1970</v>
      </c>
      <c r="AG107" s="498" t="s">
        <v>1971</v>
      </c>
      <c r="AI107" s="375" t="s">
        <v>1156</v>
      </c>
      <c r="AJ107" s="309" t="n">
        <f aca="false">IF(D107="","",ROUND(D107+$S107*$AK$9,3))</f>
        <v>-97.696</v>
      </c>
      <c r="AK107" s="566" t="n">
        <f aca="false">IF(E107="","",ROUND(E107,3))</f>
        <v>-104.37</v>
      </c>
      <c r="AL107" s="309" t="n">
        <f aca="false">IF(F107="","",ROUND(F107,3))</f>
        <v>19.731</v>
      </c>
      <c r="AM107" s="10"/>
      <c r="AN107" s="375" t="s">
        <v>1156</v>
      </c>
      <c r="AO107" s="309" t="n">
        <f aca="false">IF(I107="","",ROUND(I107/4.184,3))</f>
        <v>-97.696</v>
      </c>
      <c r="AP107" s="566" t="n">
        <f aca="false">IF(J107="","",ROUND(J107/4.184,3))</f>
        <v>-104.37</v>
      </c>
      <c r="AQ107" s="309" t="n">
        <f aca="false">IF(K107="","",ROUND(K107/4.184,3))</f>
        <v>19.731</v>
      </c>
      <c r="AR107" s="45"/>
      <c r="AS107" s="375" t="s">
        <v>1156</v>
      </c>
      <c r="AT107" s="502" t="n">
        <f aca="false">IF(N107="","",ROUND(N107/4.184,3))</f>
        <v>-97.696</v>
      </c>
      <c r="AU107" s="503" t="n">
        <f aca="false">IF(O107="","",ROUND(O107/4.184,3))</f>
        <v>-104.37</v>
      </c>
      <c r="AV107" s="502" t="n">
        <f aca="false">IF(P107="","",ROUND(P107/4.184,3))</f>
        <v>19.731</v>
      </c>
    </row>
    <row r="108" customFormat="false" ht="12.75" hidden="false" customHeight="false" outlineLevel="0" collapsed="false">
      <c r="B108" s="280"/>
      <c r="C108" s="280"/>
      <c r="D108" s="274"/>
      <c r="E108" s="274"/>
      <c r="F108" s="274"/>
      <c r="G108" s="10"/>
      <c r="H108" s="280"/>
      <c r="I108" s="274"/>
      <c r="J108" s="504"/>
      <c r="K108" s="504"/>
      <c r="L108" s="45"/>
      <c r="M108" s="280"/>
      <c r="N108" s="504"/>
      <c r="O108" s="504"/>
      <c r="P108" s="504"/>
      <c r="Y108" s="280"/>
      <c r="Z108" s="274"/>
      <c r="AA108" s="504"/>
      <c r="AB108" s="504"/>
      <c r="AC108" s="45"/>
      <c r="AD108" s="280"/>
      <c r="AE108" s="504"/>
      <c r="AF108" s="504"/>
      <c r="AG108" s="504"/>
    </row>
    <row r="109" customFormat="false" ht="12.75" hidden="false" customHeight="false" outlineLevel="0" collapsed="false">
      <c r="B109" s="112" t="s">
        <v>1972</v>
      </c>
      <c r="C109" s="84"/>
      <c r="H109" s="84"/>
      <c r="M109" s="84"/>
      <c r="S109" s="273"/>
      <c r="T109" s="10" t="s">
        <v>1973</v>
      </c>
      <c r="Y109" s="84" t="s">
        <v>1974</v>
      </c>
      <c r="Z109" s="44"/>
      <c r="AA109" s="44"/>
      <c r="AB109" s="44"/>
      <c r="AC109" s="44"/>
      <c r="AD109" s="84"/>
      <c r="AE109" s="44"/>
      <c r="AF109" s="44"/>
      <c r="AG109" s="44"/>
    </row>
    <row r="110" customFormat="false" ht="12.75" hidden="false" customHeight="false" outlineLevel="0" collapsed="false">
      <c r="B110" s="112"/>
      <c r="C110" s="84"/>
      <c r="H110" s="84"/>
      <c r="M110" s="84"/>
      <c r="T110" s="516" t="s">
        <v>1041</v>
      </c>
      <c r="U110" s="612" t="n">
        <f aca="false">ROUND(U85-4*U83,3)</f>
        <v>-2723.344</v>
      </c>
      <c r="V110" s="612" t="n">
        <f aca="false">ROUND(V85-4*V83,3)</f>
        <v>-3009.937</v>
      </c>
      <c r="W110" s="612" t="n">
        <f aca="false">W85</f>
        <v>228.781</v>
      </c>
      <c r="Y110" s="84"/>
      <c r="Z110" s="44"/>
      <c r="AA110" s="44"/>
      <c r="AB110" s="44"/>
    </row>
    <row r="111" customFormat="false" ht="12.75" hidden="false" customHeight="false" outlineLevel="0" collapsed="false">
      <c r="T111" s="112" t="s">
        <v>1975</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sheetPr filterMode="false">
    <pageSetUpPr fitToPage="false"/>
  </sheetPr>
  <dimension ref="A1:R1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8" activeCellId="2" sqref="B16:B122 E16:F122 B8"/>
    </sheetView>
  </sheetViews>
  <sheetFormatPr defaultRowHeight="12.75" zeroHeight="false" outlineLevelRow="0" outlineLevelCol="0"/>
  <cols>
    <col collapsed="false" customWidth="true" hidden="false" outlineLevel="0" max="6" min="1" style="0" width="10.71"/>
    <col collapsed="false" customWidth="true" hidden="false" outlineLevel="0" max="7" min="7" style="44" width="10.71"/>
    <col collapsed="false" customWidth="true" hidden="false" outlineLevel="0" max="1025" min="8" style="0" width="10.71"/>
  </cols>
  <sheetData>
    <row r="1" customFormat="false" ht="12.75" hidden="false" customHeight="false" outlineLevel="0" collapsed="false">
      <c r="A1" s="9" t="str">
        <f aca="true">MID(CELL("filename",$A$1),   FIND("\[",CELL("filename",$A$1))+2,   FIND("]",CELL("filename",$A$1),FIND("\[",CELL("filename",$A$1))+2)-FIND("\[",CELL("filename",$A$1))-2)</f>
        <v>TDProperties_Rev0_v69.xlsx</v>
      </c>
    </row>
    <row r="2" customFormat="false" ht="12.75" hidden="false" customHeight="false" outlineLevel="0" collapsed="false">
      <c r="A2" s="0" t="str">
        <f aca="true">MID(CELL("filename",A1),FIND("]",CELL("filename",A1))+1,256)</f>
        <v>AGS Species USBM 677</v>
      </c>
    </row>
    <row r="3" customFormat="false" ht="12.75" hidden="false" customHeight="false" outlineLevel="0" collapsed="false">
      <c r="A3" s="44"/>
    </row>
    <row r="4" customFormat="false" ht="12.75" hidden="false" customHeight="false" outlineLevel="0" collapsed="false">
      <c r="A4" s="281" t="s">
        <v>1976</v>
      </c>
    </row>
    <row r="5" customFormat="false" ht="12.75" hidden="false" customHeight="false" outlineLevel="0" collapsed="false">
      <c r="A5" s="10" t="s">
        <v>150</v>
      </c>
    </row>
    <row r="6" customFormat="false" ht="12.75" hidden="false" customHeight="false" outlineLevel="0" collapsed="false">
      <c r="A6" s="10" t="s">
        <v>775</v>
      </c>
    </row>
    <row r="7" customFormat="false" ht="12.75" hidden="false" customHeight="false" outlineLevel="0" collapsed="false">
      <c r="A7" s="10"/>
    </row>
    <row r="8" customFormat="false" ht="14.25" hidden="false" customHeight="false" outlineLevel="0" collapsed="false">
      <c r="A8" s="281"/>
      <c r="C8" s="10" t="s">
        <v>1977</v>
      </c>
      <c r="H8" s="10" t="s">
        <v>1199</v>
      </c>
      <c r="J8" s="458" t="n">
        <v>0.1094</v>
      </c>
      <c r="K8" s="280" t="s">
        <v>1200</v>
      </c>
    </row>
    <row r="9" customFormat="false" ht="14.25" hidden="false" customHeight="false" outlineLevel="0" collapsed="false">
      <c r="C9" s="45" t="s">
        <v>1978</v>
      </c>
      <c r="H9" s="10" t="s">
        <v>1203</v>
      </c>
      <c r="J9" s="460" t="n">
        <f aca="false">(298.15/1000)*J8</f>
        <v>0.03261761</v>
      </c>
      <c r="K9" s="280" t="s">
        <v>1204</v>
      </c>
    </row>
    <row r="10" customFormat="false" ht="14.25" hidden="false" customHeight="false" outlineLevel="0" collapsed="false">
      <c r="C10" s="45"/>
      <c r="H10" s="10" t="s">
        <v>1207</v>
      </c>
      <c r="J10" s="460" t="n">
        <f aca="false">-J9/2</f>
        <v>-0.016308805</v>
      </c>
      <c r="K10" s="280" t="s">
        <v>1208</v>
      </c>
    </row>
    <row r="11" customFormat="false" ht="12.75" hidden="false" customHeight="false" outlineLevel="0" collapsed="false">
      <c r="C11" s="10" t="s">
        <v>1979</v>
      </c>
    </row>
    <row r="12" customFormat="false" ht="12.75" hidden="false" customHeight="false" outlineLevel="0" collapsed="false">
      <c r="C12" s="10" t="s">
        <v>1980</v>
      </c>
    </row>
    <row r="13" customFormat="false" ht="12.75" hidden="false" customHeight="false" outlineLevel="0" collapsed="false">
      <c r="C13" s="9" t="s">
        <v>152</v>
      </c>
      <c r="J13" s="9" t="s">
        <v>712</v>
      </c>
      <c r="N13" s="44"/>
      <c r="O13" s="9" t="s">
        <v>712</v>
      </c>
    </row>
    <row r="14" customFormat="false" ht="12.75" hidden="false" customHeight="false" outlineLevel="0" collapsed="false">
      <c r="C14" s="9" t="s">
        <v>159</v>
      </c>
      <c r="J14" s="9" t="s">
        <v>157</v>
      </c>
      <c r="N14" s="44"/>
      <c r="O14" s="9" t="s">
        <v>158</v>
      </c>
    </row>
    <row r="15" customFormat="false" ht="13.5" hidden="false" customHeight="false" outlineLevel="0" collapsed="false">
      <c r="N15" s="44"/>
    </row>
    <row r="16" customFormat="false" ht="13.5" hidden="false" customHeight="false" outlineLevel="0" collapsed="false">
      <c r="A16" s="10"/>
      <c r="B16" s="10"/>
      <c r="C16" s="47" t="s">
        <v>1981</v>
      </c>
      <c r="D16" s="461"/>
      <c r="E16" s="461"/>
      <c r="F16" s="268"/>
      <c r="G16" s="191"/>
      <c r="H16" s="10"/>
      <c r="I16" s="10"/>
      <c r="J16" s="47" t="s">
        <v>1981</v>
      </c>
      <c r="K16" s="461"/>
      <c r="L16" s="461"/>
      <c r="M16" s="268"/>
      <c r="N16" s="455"/>
      <c r="O16" s="47" t="s">
        <v>1981</v>
      </c>
      <c r="P16" s="461"/>
      <c r="Q16" s="461"/>
      <c r="R16" s="268"/>
    </row>
    <row r="17" customFormat="false" ht="12.75" hidden="false" customHeight="false" outlineLevel="0" collapsed="false">
      <c r="A17" s="10"/>
      <c r="B17" s="10"/>
      <c r="C17" s="11"/>
      <c r="D17" s="11"/>
      <c r="E17" s="11"/>
      <c r="F17" s="11"/>
      <c r="G17" s="191"/>
      <c r="H17" s="50"/>
      <c r="I17" s="50"/>
      <c r="J17" s="11"/>
      <c r="K17" s="11"/>
      <c r="L17" s="11"/>
      <c r="M17" s="11"/>
      <c r="O17" s="11"/>
      <c r="P17" s="11"/>
      <c r="Q17" s="11"/>
      <c r="R17" s="11"/>
    </row>
    <row r="18" customFormat="false" ht="14.25" hidden="false" customHeight="false" outlineLevel="0" collapsed="false">
      <c r="C18" s="16" t="s">
        <v>782</v>
      </c>
      <c r="D18" s="113" t="s">
        <v>511</v>
      </c>
      <c r="E18" s="113" t="s">
        <v>512</v>
      </c>
      <c r="F18" s="53" t="s">
        <v>513</v>
      </c>
      <c r="G18" s="191"/>
      <c r="H18" s="53" t="s">
        <v>1187</v>
      </c>
      <c r="I18" s="53" t="s">
        <v>1214</v>
      </c>
      <c r="J18" s="16" t="s">
        <v>782</v>
      </c>
      <c r="K18" s="113" t="s">
        <v>511</v>
      </c>
      <c r="L18" s="113" t="s">
        <v>512</v>
      </c>
      <c r="M18" s="53" t="s">
        <v>513</v>
      </c>
      <c r="O18" s="16" t="s">
        <v>782</v>
      </c>
      <c r="P18" s="113" t="s">
        <v>511</v>
      </c>
      <c r="Q18" s="113" t="s">
        <v>512</v>
      </c>
      <c r="R18" s="53" t="s">
        <v>513</v>
      </c>
    </row>
    <row r="19" customFormat="false" ht="15" hidden="false" customHeight="false" outlineLevel="0" collapsed="false">
      <c r="C19" s="21" t="s">
        <v>783</v>
      </c>
      <c r="D19" s="55" t="s">
        <v>514</v>
      </c>
      <c r="E19" s="55" t="s">
        <v>514</v>
      </c>
      <c r="F19" s="55" t="s">
        <v>166</v>
      </c>
      <c r="G19" s="191"/>
      <c r="H19" s="464"/>
      <c r="I19" s="464"/>
      <c r="J19" s="21" t="s">
        <v>783</v>
      </c>
      <c r="K19" s="55" t="s">
        <v>784</v>
      </c>
      <c r="L19" s="55" t="s">
        <v>784</v>
      </c>
      <c r="M19" s="55" t="s">
        <v>167</v>
      </c>
      <c r="O19" s="21" t="s">
        <v>783</v>
      </c>
      <c r="P19" s="55" t="s">
        <v>514</v>
      </c>
      <c r="Q19" s="55" t="s">
        <v>514</v>
      </c>
      <c r="R19" s="55" t="s">
        <v>166</v>
      </c>
    </row>
    <row r="20" customFormat="false" ht="12.75" hidden="false" customHeight="false" outlineLevel="0" collapsed="false">
      <c r="C20" s="345" t="s">
        <v>785</v>
      </c>
      <c r="D20" s="465"/>
      <c r="E20" s="466"/>
      <c r="F20" s="465"/>
      <c r="G20" s="191"/>
      <c r="H20" s="467" t="n">
        <v>1</v>
      </c>
      <c r="I20" s="467" t="n">
        <v>0.5</v>
      </c>
      <c r="J20" s="345" t="s">
        <v>785</v>
      </c>
      <c r="K20" s="469" t="str">
        <f aca="false">IF(D20="","",ROUND(4.184*D20+$I20*$J$9+$H20*$J$10,3))</f>
        <v/>
      </c>
      <c r="L20" s="469" t="str">
        <f aca="false">IF(E20="","",ROUND(4.184*E20,3))</f>
        <v/>
      </c>
      <c r="M20" s="469" t="str">
        <f aca="false">IF(F20="","",ROUND(4.184*F20,3))</f>
        <v/>
      </c>
      <c r="O20" s="345" t="s">
        <v>785</v>
      </c>
      <c r="P20" s="469" t="str">
        <f aca="false">IF(D20="","",ROUND(D20+(($I20*$J$9+$H20*$J$10)/4.184),3))</f>
        <v/>
      </c>
      <c r="Q20" s="469" t="str">
        <f aca="false">IF(E20="","",ROUND(E20,3))</f>
        <v/>
      </c>
      <c r="R20" s="469" t="str">
        <f aca="false">IF(F20="","",ROUND(F20,3))</f>
        <v/>
      </c>
    </row>
    <row r="21" customFormat="false" ht="12.75" hidden="false" customHeight="false" outlineLevel="0" collapsed="false">
      <c r="C21" s="345" t="s">
        <v>787</v>
      </c>
      <c r="D21" s="472"/>
      <c r="E21" s="473"/>
      <c r="F21" s="472"/>
      <c r="G21" s="191"/>
      <c r="H21" s="474" t="n">
        <v>-1</v>
      </c>
      <c r="I21" s="474" t="n">
        <v>1</v>
      </c>
      <c r="J21" s="345" t="s">
        <v>787</v>
      </c>
      <c r="K21" s="470" t="str">
        <f aca="false">IF(D21="","",ROUND(4.184*D21+$I21*$J$9+$H21*$J$10,3))</f>
        <v/>
      </c>
      <c r="L21" s="470" t="str">
        <f aca="false">IF(E21="","",ROUND(4.184*E21,3))</f>
        <v/>
      </c>
      <c r="M21" s="470" t="str">
        <f aca="false">IF(F21="","",ROUND(4.184*F21,3))</f>
        <v/>
      </c>
      <c r="O21" s="345" t="s">
        <v>787</v>
      </c>
      <c r="P21" s="470" t="str">
        <f aca="false">IF(D21="","",ROUND(D21+(($I21*$J$9+$H21*$J$10)/4.184),3))</f>
        <v/>
      </c>
      <c r="Q21" s="470" t="str">
        <f aca="false">IF(E21="","",ROUND(E21,3))</f>
        <v/>
      </c>
      <c r="R21" s="470" t="str">
        <f aca="false">IF(F21="","",ROUND(F21,3))</f>
        <v/>
      </c>
    </row>
    <row r="22" customFormat="false" ht="12.75" hidden="false" customHeight="false" outlineLevel="0" collapsed="false">
      <c r="C22" s="345" t="s">
        <v>794</v>
      </c>
      <c r="D22" s="465" t="s">
        <v>1982</v>
      </c>
      <c r="E22" s="466" t="s">
        <v>1511</v>
      </c>
      <c r="F22" s="465" t="s">
        <v>1983</v>
      </c>
      <c r="G22" s="191"/>
      <c r="H22" s="474" t="n">
        <v>0</v>
      </c>
      <c r="I22" s="474" t="n">
        <v>1.5</v>
      </c>
      <c r="J22" s="345" t="s">
        <v>794</v>
      </c>
      <c r="K22" s="470" t="n">
        <f aca="false">IF(D22="","",ROUND(4.184*D22+$I22*$J$9+$H22*$J$10,3))</f>
        <v>-237.142</v>
      </c>
      <c r="L22" s="470" t="n">
        <f aca="false">IF(E22="","",ROUND(4.184*E22,3))</f>
        <v>-285.83</v>
      </c>
      <c r="M22" s="470" t="n">
        <f aca="false">IF(F22="","",ROUND(4.184*F22,3))</f>
        <v>69.948</v>
      </c>
      <c r="O22" s="345" t="s">
        <v>794</v>
      </c>
      <c r="P22" s="470" t="n">
        <f aca="false">IF(D22="","",ROUND(D22+(($I22*$J$9+$H22*$J$10)/4.184),3))</f>
        <v>-56.678</v>
      </c>
      <c r="Q22" s="470" t="n">
        <f aca="false">IF(E22="","",ROUND(E22,3))</f>
        <v>-68.315</v>
      </c>
      <c r="R22" s="470" t="n">
        <f aca="false">IF(F22="","",ROUND(F22,3))</f>
        <v>16.718</v>
      </c>
    </row>
    <row r="23" customFormat="false" ht="12.75" hidden="false" customHeight="false" outlineLevel="0" collapsed="false">
      <c r="C23" s="345" t="s">
        <v>802</v>
      </c>
      <c r="D23" s="472"/>
      <c r="E23" s="473"/>
      <c r="F23" s="472"/>
      <c r="G23" s="191"/>
      <c r="H23" s="474" t="n">
        <v>-1</v>
      </c>
      <c r="I23" s="474" t="n">
        <v>0.5</v>
      </c>
      <c r="J23" s="345" t="s">
        <v>802</v>
      </c>
      <c r="K23" s="470" t="str">
        <f aca="false">IF(D23="","",ROUND(4.184*D23+$I23*$J$9+$H23*$J$10,3))</f>
        <v/>
      </c>
      <c r="L23" s="470" t="str">
        <f aca="false">IF(E23="","",ROUND(4.184*E23,3))</f>
        <v/>
      </c>
      <c r="M23" s="470" t="str">
        <f aca="false">IF(F23="","",ROUND(4.184*F23,3))</f>
        <v/>
      </c>
      <c r="O23" s="345" t="s">
        <v>802</v>
      </c>
      <c r="P23" s="470" t="str">
        <f aca="false">IF(D23="","",ROUND(D23+(($I23*$J$9+$H23*$J$10)/4.184),3))</f>
        <v/>
      </c>
      <c r="Q23" s="470" t="str">
        <f aca="false">IF(E23="","",ROUND(E23,3))</f>
        <v/>
      </c>
      <c r="R23" s="470" t="str">
        <f aca="false">IF(F23="","",ROUND(F23,3))</f>
        <v/>
      </c>
    </row>
    <row r="24" customFormat="false" ht="12.75" hidden="false" customHeight="false" outlineLevel="0" collapsed="false">
      <c r="C24" s="345" t="s">
        <v>812</v>
      </c>
      <c r="D24" s="465"/>
      <c r="E24" s="473"/>
      <c r="F24" s="472"/>
      <c r="G24" s="191"/>
      <c r="H24" s="474" t="n">
        <v>-1</v>
      </c>
      <c r="I24" s="474" t="n">
        <v>0.5</v>
      </c>
      <c r="J24" s="345" t="s">
        <v>812</v>
      </c>
      <c r="K24" s="470" t="str">
        <f aca="false">IF(D24="","",ROUND(4.184*D24+$I24*$J$9+$H24*$J$10,3))</f>
        <v/>
      </c>
      <c r="L24" s="470" t="str">
        <f aca="false">IF(E24="","",ROUND(4.184*E24,3))</f>
        <v/>
      </c>
      <c r="M24" s="470" t="str">
        <f aca="false">IF(F24="","",ROUND(4.184*F24,3))</f>
        <v/>
      </c>
      <c r="O24" s="345" t="s">
        <v>812</v>
      </c>
      <c r="P24" s="470" t="str">
        <f aca="false">IF(D24="","",ROUND(D24+(($I24*$J$9+$H24*$J$10)/4.184),3))</f>
        <v/>
      </c>
      <c r="Q24" s="470" t="str">
        <f aca="false">IF(E24="","",ROUND(E24,3))</f>
        <v/>
      </c>
      <c r="R24" s="470" t="str">
        <f aca="false">IF(F24="","",ROUND(F24,3))</f>
        <v/>
      </c>
    </row>
    <row r="25" customFormat="false" ht="12.75" hidden="false" customHeight="false" outlineLevel="0" collapsed="false">
      <c r="C25" s="345" t="s">
        <v>818</v>
      </c>
      <c r="D25" s="472"/>
      <c r="E25" s="466"/>
      <c r="F25" s="465"/>
      <c r="G25" s="191"/>
      <c r="H25" s="474" t="n">
        <v>-1</v>
      </c>
      <c r="I25" s="474" t="n">
        <v>0</v>
      </c>
      <c r="J25" s="345" t="s">
        <v>818</v>
      </c>
      <c r="K25" s="470" t="str">
        <f aca="false">IF(D25="","",ROUND(4.184*D25+$I25*$J$9+$H25*$J$10,3))</f>
        <v/>
      </c>
      <c r="L25" s="470" t="str">
        <f aca="false">IF(E25="","",ROUND(4.184*E25,3))</f>
        <v/>
      </c>
      <c r="M25" s="470" t="str">
        <f aca="false">IF(F25="","",ROUND(4.184*F25,3))</f>
        <v/>
      </c>
      <c r="O25" s="345" t="s">
        <v>818</v>
      </c>
      <c r="P25" s="470" t="str">
        <f aca="false">IF(D25="","",ROUND(D25+(($I25*$J$9+$H25*$J$10)/4.184),3))</f>
        <v/>
      </c>
      <c r="Q25" s="470" t="str">
        <f aca="false">IF(E25="","",ROUND(E25,3))</f>
        <v/>
      </c>
      <c r="R25" s="470" t="str">
        <f aca="false">IF(F25="","",ROUND(F25,3))</f>
        <v/>
      </c>
    </row>
    <row r="26" customFormat="false" ht="12.75" hidden="false" customHeight="false" outlineLevel="0" collapsed="false">
      <c r="C26" s="345" t="s">
        <v>825</v>
      </c>
      <c r="D26" s="465"/>
      <c r="E26" s="466"/>
      <c r="F26" s="465"/>
      <c r="G26" s="191"/>
      <c r="H26" s="474" t="n">
        <v>-1</v>
      </c>
      <c r="I26" s="474" t="n">
        <v>0</v>
      </c>
      <c r="J26" s="345" t="s">
        <v>825</v>
      </c>
      <c r="K26" s="470" t="str">
        <f aca="false">IF(D26="","",ROUND(4.184*D26+$I26*$J$9+$H26*$J$10,3))</f>
        <v/>
      </c>
      <c r="L26" s="470" t="str">
        <f aca="false">IF(E26="","",ROUND(4.184*E26,3))</f>
        <v/>
      </c>
      <c r="M26" s="470" t="str">
        <f aca="false">IF(F26="","",ROUND(4.184*F26,3))</f>
        <v/>
      </c>
      <c r="O26" s="345" t="s">
        <v>825</v>
      </c>
      <c r="P26" s="470" t="str">
        <f aca="false">IF(D26="","",ROUND(D26+(($I26*$J$9+$H26*$J$10)/4.184),3))</f>
        <v/>
      </c>
      <c r="Q26" s="470" t="str">
        <f aca="false">IF(E26="","",ROUND(E26,3))</f>
        <v/>
      </c>
      <c r="R26" s="470" t="str">
        <f aca="false">IF(F26="","",ROUND(F26,3))</f>
        <v/>
      </c>
    </row>
    <row r="27" customFormat="false" ht="12.75" hidden="false" customHeight="false" outlineLevel="0" collapsed="false">
      <c r="C27" s="345" t="s">
        <v>833</v>
      </c>
      <c r="D27" s="472"/>
      <c r="E27" s="466"/>
      <c r="F27" s="472"/>
      <c r="G27" s="191"/>
      <c r="H27" s="474" t="n">
        <v>-2</v>
      </c>
      <c r="I27" s="474" t="n">
        <v>2</v>
      </c>
      <c r="J27" s="345" t="s">
        <v>833</v>
      </c>
      <c r="K27" s="470" t="str">
        <f aca="false">IF(D27="","",ROUND(4.184*D27+$I27*$J$9+$H27*$J$10,3))</f>
        <v/>
      </c>
      <c r="L27" s="470" t="str">
        <f aca="false">IF(E27="","",ROUND(4.184*E27,3))</f>
        <v/>
      </c>
      <c r="M27" s="470" t="str">
        <f aca="false">IF(F27="","",ROUND(4.184*F27,3))</f>
        <v/>
      </c>
      <c r="O27" s="345" t="s">
        <v>833</v>
      </c>
      <c r="P27" s="470" t="str">
        <f aca="false">IF(D27="","",ROUND(D27+(($I27*$J$9+$H27*$J$10)/4.184),3))</f>
        <v/>
      </c>
      <c r="Q27" s="470" t="str">
        <f aca="false">IF(E27="","",ROUND(E27,3))</f>
        <v/>
      </c>
      <c r="R27" s="470" t="str">
        <f aca="false">IF(F27="","",ROUND(F27,3))</f>
        <v/>
      </c>
    </row>
    <row r="28" customFormat="false" ht="12.75" hidden="false" customHeight="false" outlineLevel="0" collapsed="false">
      <c r="C28" s="345" t="s">
        <v>840</v>
      </c>
      <c r="D28" s="472"/>
      <c r="E28" s="473"/>
      <c r="F28" s="472"/>
      <c r="G28" s="191"/>
      <c r="H28" s="474" t="n">
        <v>-1</v>
      </c>
      <c r="I28" s="474" t="n">
        <v>0.5</v>
      </c>
      <c r="J28" s="345" t="s">
        <v>840</v>
      </c>
      <c r="K28" s="470" t="str">
        <f aca="false">IF(D28="","",ROUND(4.184*D28+$I28*$J$9+$H28*$J$10,3))</f>
        <v/>
      </c>
      <c r="L28" s="470" t="str">
        <f aca="false">IF(E28="","",ROUND(4.184*E28,3))</f>
        <v/>
      </c>
      <c r="M28" s="470" t="str">
        <f aca="false">IF(F28="","",ROUND(4.184*F28,3))</f>
        <v/>
      </c>
      <c r="O28" s="345" t="s">
        <v>840</v>
      </c>
      <c r="P28" s="470" t="str">
        <f aca="false">IF(D28="","",ROUND(D28+(($I28*$J$9+$H28*$J$10)/4.184),3))</f>
        <v/>
      </c>
      <c r="Q28" s="470" t="str">
        <f aca="false">IF(E28="","",ROUND(E28,3))</f>
        <v/>
      </c>
      <c r="R28" s="470" t="str">
        <f aca="false">IF(F28="","",ROUND(F28,3))</f>
        <v/>
      </c>
    </row>
    <row r="29" customFormat="false" ht="12.75" hidden="false" customHeight="false" outlineLevel="0" collapsed="false">
      <c r="C29" s="345" t="s">
        <v>851</v>
      </c>
      <c r="D29" s="472"/>
      <c r="E29" s="473"/>
      <c r="F29" s="465"/>
      <c r="G29" s="191"/>
      <c r="H29" s="474" t="n">
        <v>-1</v>
      </c>
      <c r="I29" s="474" t="n">
        <v>2</v>
      </c>
      <c r="J29" s="345" t="s">
        <v>851</v>
      </c>
      <c r="K29" s="470" t="str">
        <f aca="false">IF(D29="","",ROUND(4.184*D29+$I29*$J$9+$H29*$J$10,3))</f>
        <v/>
      </c>
      <c r="L29" s="470" t="str">
        <f aca="false">IF(E29="","",ROUND(4.184*E29,3))</f>
        <v/>
      </c>
      <c r="M29" s="470" t="str">
        <f aca="false">IF(F29="","",ROUND(4.184*F29,3))</f>
        <v/>
      </c>
      <c r="O29" s="345" t="s">
        <v>851</v>
      </c>
      <c r="P29" s="470" t="str">
        <f aca="false">IF(D29="","",ROUND(D29+(($I29*$J$9+$H29*$J$10)/4.184),3))</f>
        <v/>
      </c>
      <c r="Q29" s="470" t="str">
        <f aca="false">IF(E29="","",ROUND(E29,3))</f>
        <v/>
      </c>
      <c r="R29" s="470" t="str">
        <f aca="false">IF(F29="","",ROUND(F29,3))</f>
        <v/>
      </c>
    </row>
    <row r="30" customFormat="false" ht="12.75" hidden="false" customHeight="false" outlineLevel="0" collapsed="false">
      <c r="C30" s="345" t="s">
        <v>858</v>
      </c>
      <c r="D30" s="472"/>
      <c r="E30" s="473"/>
      <c r="F30" s="472"/>
      <c r="G30" s="191"/>
      <c r="H30" s="474" t="n">
        <v>0</v>
      </c>
      <c r="I30" s="474" t="n">
        <v>2</v>
      </c>
      <c r="J30" s="345" t="s">
        <v>858</v>
      </c>
      <c r="K30" s="470" t="str">
        <f aca="false">IF(D30="","",ROUND(4.184*D30+$I30*$J$9+$H30*$J$10,3))</f>
        <v/>
      </c>
      <c r="L30" s="470" t="str">
        <f aca="false">IF(E30="","",ROUND(4.184*E30,3))</f>
        <v/>
      </c>
      <c r="M30" s="470" t="str">
        <f aca="false">IF(F30="","",ROUND(4.184*F30,3))</f>
        <v/>
      </c>
      <c r="O30" s="345" t="s">
        <v>858</v>
      </c>
      <c r="P30" s="470" t="str">
        <f aca="false">IF(D30="","",ROUND(D30+(($I30*$J$9+$H30*$J$10)/4.184),3))</f>
        <v/>
      </c>
      <c r="Q30" s="470" t="str">
        <f aca="false">IF(E30="","",ROUND(E30,3))</f>
        <v/>
      </c>
      <c r="R30" s="470" t="str">
        <f aca="false">IF(F30="","",ROUND(F30,3))</f>
        <v/>
      </c>
    </row>
    <row r="31" customFormat="false" ht="12.75" hidden="false" customHeight="false" outlineLevel="0" collapsed="false">
      <c r="C31" s="345" t="s">
        <v>865</v>
      </c>
      <c r="D31" s="465"/>
      <c r="E31" s="473"/>
      <c r="F31" s="472"/>
      <c r="G31" s="191"/>
      <c r="H31" s="474" t="n">
        <v>1</v>
      </c>
      <c r="I31" s="474" t="n">
        <v>2.5</v>
      </c>
      <c r="J31" s="345" t="s">
        <v>865</v>
      </c>
      <c r="K31" s="470" t="str">
        <f aca="false">IF(D31="","",ROUND(4.184*D31+$I31*$J$9+$H31*$J$10,3))</f>
        <v/>
      </c>
      <c r="L31" s="470" t="str">
        <f aca="false">IF(E31="","",ROUND(4.184*E31,3))</f>
        <v/>
      </c>
      <c r="M31" s="470" t="str">
        <f aca="false">IF(F31="","",ROUND(4.184*F31,3))</f>
        <v/>
      </c>
      <c r="O31" s="345" t="s">
        <v>865</v>
      </c>
      <c r="P31" s="470" t="str">
        <f aca="false">IF(D31="","",ROUND(D31+(($I31*$J$9+$H31*$J$10)/4.184),3))</f>
        <v/>
      </c>
      <c r="Q31" s="470" t="str">
        <f aca="false">IF(E31="","",ROUND(E31,3))</f>
        <v/>
      </c>
      <c r="R31" s="470" t="str">
        <f aca="false">IF(F31="","",ROUND(F31,3))</f>
        <v/>
      </c>
    </row>
    <row r="32" customFormat="false" ht="12.75" hidden="false" customHeight="false" outlineLevel="0" collapsed="false">
      <c r="C32" s="345" t="s">
        <v>872</v>
      </c>
      <c r="D32" s="472"/>
      <c r="E32" s="473"/>
      <c r="F32" s="472"/>
      <c r="G32" s="191"/>
      <c r="H32" s="474" t="n">
        <v>-1</v>
      </c>
      <c r="I32" s="474" t="n">
        <v>2.5</v>
      </c>
      <c r="J32" s="345" t="s">
        <v>872</v>
      </c>
      <c r="K32" s="294" t="str">
        <f aca="false">IF(D32="","",ROUND(4.184*D32+$I32*$J$9+$H32*$J$10,3))</f>
        <v/>
      </c>
      <c r="L32" s="294" t="str">
        <f aca="false">IF(E32="","",ROUND(4.184*E32,3))</f>
        <v/>
      </c>
      <c r="M32" s="294" t="str">
        <f aca="false">IF(F32="","",ROUND(4.184*F32,3))</f>
        <v/>
      </c>
      <c r="O32" s="345" t="s">
        <v>872</v>
      </c>
      <c r="P32" s="470" t="str">
        <f aca="false">IF(D32="","",ROUND(D32+(($I32*$J$9+$H32*$J$10)/4.184),3))</f>
        <v/>
      </c>
      <c r="Q32" s="470" t="str">
        <f aca="false">IF(E32="","",ROUND(E32,3))</f>
        <v/>
      </c>
      <c r="R32" s="470" t="str">
        <f aca="false">IF(F32="","",ROUND(F32,3))</f>
        <v/>
      </c>
    </row>
    <row r="33" customFormat="false" ht="12.75" hidden="false" customHeight="false" outlineLevel="0" collapsed="false">
      <c r="C33" s="345" t="s">
        <v>879</v>
      </c>
      <c r="D33" s="472"/>
      <c r="E33" s="473"/>
      <c r="F33" s="472"/>
      <c r="G33" s="240"/>
      <c r="H33" s="474" t="n">
        <v>-2</v>
      </c>
      <c r="I33" s="474" t="n">
        <v>3</v>
      </c>
      <c r="J33" s="345" t="s">
        <v>879</v>
      </c>
      <c r="K33" s="294" t="str">
        <f aca="false">IF(D33="","",ROUND(4.184*D33+$I33*$J$9+$H33*$J$10,3))</f>
        <v/>
      </c>
      <c r="L33" s="294" t="str">
        <f aca="false">IF(E33="","",ROUND(4.184*E33,3))</f>
        <v/>
      </c>
      <c r="M33" s="294" t="str">
        <f aca="false">IF(F33="","",ROUND(4.184*F33,3))</f>
        <v/>
      </c>
      <c r="N33" s="10"/>
      <c r="O33" s="345" t="s">
        <v>879</v>
      </c>
      <c r="P33" s="470" t="str">
        <f aca="false">IF(D33="","",ROUND(D33+(($I33*$J$9+$H33*$J$10)/4.184),3))</f>
        <v/>
      </c>
      <c r="Q33" s="470" t="str">
        <f aca="false">IF(E33="","",ROUND(E33,3))</f>
        <v/>
      </c>
      <c r="R33" s="470" t="str">
        <f aca="false">IF(F33="","",ROUND(F33,3))</f>
        <v/>
      </c>
    </row>
    <row r="34" customFormat="false" ht="12.75" hidden="false" customHeight="false" outlineLevel="0" collapsed="false">
      <c r="C34" s="345" t="s">
        <v>885</v>
      </c>
      <c r="D34" s="472"/>
      <c r="E34" s="473"/>
      <c r="F34" s="465"/>
      <c r="G34" s="240"/>
      <c r="H34" s="474" t="n">
        <v>0</v>
      </c>
      <c r="I34" s="474" t="n">
        <v>1</v>
      </c>
      <c r="J34" s="345" t="s">
        <v>885</v>
      </c>
      <c r="K34" s="470" t="str">
        <f aca="false">IF(D34="","",ROUND(4.184*D34+$I34*$J$9+$H34*$J$10,3))</f>
        <v/>
      </c>
      <c r="L34" s="470" t="str">
        <f aca="false">IF(E34="","",ROUND(4.184*E34,3))</f>
        <v/>
      </c>
      <c r="M34" s="470" t="str">
        <f aca="false">IF(F34="","",ROUND(4.184*F34,3))</f>
        <v/>
      </c>
      <c r="N34" s="10"/>
      <c r="O34" s="345" t="s">
        <v>885</v>
      </c>
      <c r="P34" s="470" t="str">
        <f aca="false">IF(D34="","",ROUND(D34+(($I34*$J$9+$H34*$J$10)/4.184),3))</f>
        <v/>
      </c>
      <c r="Q34" s="470" t="str">
        <f aca="false">IF(E34="","",ROUND(E34,3))</f>
        <v/>
      </c>
      <c r="R34" s="470" t="str">
        <f aca="false">IF(F34="","",ROUND(F34,3))</f>
        <v/>
      </c>
    </row>
    <row r="35" customFormat="false" ht="12.75" hidden="false" customHeight="false" outlineLevel="0" collapsed="false">
      <c r="B35" s="10"/>
      <c r="C35" s="345" t="s">
        <v>893</v>
      </c>
      <c r="D35" s="465"/>
      <c r="E35" s="473"/>
      <c r="F35" s="472"/>
      <c r="G35" s="240"/>
      <c r="H35" s="474" t="n">
        <v>-2</v>
      </c>
      <c r="I35" s="474" t="n">
        <v>1.5</v>
      </c>
      <c r="J35" s="345" t="s">
        <v>893</v>
      </c>
      <c r="K35" s="470" t="str">
        <f aca="false">IF(D35="","",ROUND(4.184*D35+$I35*$J$9+$H35*$J$10,3))</f>
        <v/>
      </c>
      <c r="L35" s="470" t="str">
        <f aca="false">IF(E35="","",ROUND(4.184*E35,3))</f>
        <v/>
      </c>
      <c r="M35" s="470" t="str">
        <f aca="false">IF(F35="","",ROUND(4.184*F35,3))</f>
        <v/>
      </c>
      <c r="N35" s="10"/>
      <c r="O35" s="345" t="s">
        <v>893</v>
      </c>
      <c r="P35" s="470" t="str">
        <f aca="false">IF(D35="","",ROUND(D35+(($I35*$J$9+$H35*$J$10)/4.184),3))</f>
        <v/>
      </c>
      <c r="Q35" s="470" t="str">
        <f aca="false">IF(E35="","",ROUND(E35,3))</f>
        <v/>
      </c>
      <c r="R35" s="470" t="str">
        <f aca="false">IF(F35="","",ROUND(F35,3))</f>
        <v/>
      </c>
    </row>
    <row r="36" customFormat="false" ht="12.75" hidden="false" customHeight="false" outlineLevel="0" collapsed="false">
      <c r="C36" s="345" t="s">
        <v>902</v>
      </c>
      <c r="D36" s="472"/>
      <c r="E36" s="473"/>
      <c r="F36" s="472"/>
      <c r="G36" s="191"/>
      <c r="H36" s="474" t="n">
        <v>-1</v>
      </c>
      <c r="I36" s="474" t="n">
        <v>2</v>
      </c>
      <c r="J36" s="345" t="s">
        <v>902</v>
      </c>
      <c r="K36" s="470" t="str">
        <f aca="false">IF(D36="","",ROUND(4.184*D36+$I36*$J$9+$H36*$J$10,3))</f>
        <v/>
      </c>
      <c r="L36" s="470" t="str">
        <f aca="false">IF(E36="","",ROUND(4.184*E36,3))</f>
        <v/>
      </c>
      <c r="M36" s="470" t="str">
        <f aca="false">IF(F36="","",ROUND(4.184*F36,3))</f>
        <v/>
      </c>
      <c r="O36" s="345" t="s">
        <v>902</v>
      </c>
      <c r="P36" s="470" t="str">
        <f aca="false">IF(D36="","",ROUND(D36+(($I36*$J$9+$H36*$J$10)/4.184),3))</f>
        <v/>
      </c>
      <c r="Q36" s="470" t="str">
        <f aca="false">IF(E36="","",ROUND(E36,3))</f>
        <v/>
      </c>
      <c r="R36" s="470" t="str">
        <f aca="false">IF(F36="","",ROUND(F36,3))</f>
        <v/>
      </c>
    </row>
    <row r="37" customFormat="false" ht="12.75" hidden="false" customHeight="false" outlineLevel="0" collapsed="false">
      <c r="B37" s="10"/>
      <c r="C37" s="345" t="s">
        <v>909</v>
      </c>
      <c r="D37" s="297"/>
      <c r="E37" s="477"/>
      <c r="F37" s="297"/>
      <c r="G37" s="240"/>
      <c r="H37" s="474" t="n">
        <v>0</v>
      </c>
      <c r="I37" s="474" t="n">
        <v>4</v>
      </c>
      <c r="J37" s="345" t="s">
        <v>909</v>
      </c>
      <c r="K37" s="470" t="str">
        <f aca="false">IF(D37="","",ROUND(4.184*D37+$I37*$J$9+$H37*$J$10,3))</f>
        <v/>
      </c>
      <c r="L37" s="470" t="str">
        <f aca="false">IF(E37="","",ROUND(4.184*E37,3))</f>
        <v/>
      </c>
      <c r="M37" s="470" t="str">
        <f aca="false">IF(F37="","",ROUND(4.184*F37,3))</f>
        <v/>
      </c>
      <c r="N37" s="10"/>
      <c r="O37" s="345" t="s">
        <v>909</v>
      </c>
      <c r="P37" s="470" t="str">
        <f aca="false">IF(D37="","",ROUND(D37+(($I37*$J$9+$H37*$J$10)/4.184),3))</f>
        <v/>
      </c>
      <c r="Q37" s="470" t="str">
        <f aca="false">IF(E37="","",ROUND(E37,3))</f>
        <v/>
      </c>
      <c r="R37" s="470" t="str">
        <f aca="false">IF(F37="","",ROUND(F37,3))</f>
        <v/>
      </c>
    </row>
    <row r="38" customFormat="false" ht="12.75" hidden="false" customHeight="false" outlineLevel="0" collapsed="false">
      <c r="B38" s="10"/>
      <c r="C38" s="345" t="s">
        <v>916</v>
      </c>
      <c r="D38" s="472"/>
      <c r="E38" s="473"/>
      <c r="F38" s="472"/>
      <c r="G38" s="240"/>
      <c r="H38" s="474" t="n">
        <v>0</v>
      </c>
      <c r="I38" s="474" t="n">
        <v>3</v>
      </c>
      <c r="J38" s="345" t="s">
        <v>916</v>
      </c>
      <c r="K38" s="470" t="str">
        <f aca="false">IF(D38="","",ROUND(4.184*D38+$I38*$J$9+$H38*$J$10,3))</f>
        <v/>
      </c>
      <c r="L38" s="470" t="str">
        <f aca="false">IF(E38="","",ROUND(4.184*E38,3))</f>
        <v/>
      </c>
      <c r="M38" s="470" t="str">
        <f aca="false">IF(F38="","",ROUND(4.184*F38,3))</f>
        <v/>
      </c>
      <c r="N38" s="10"/>
      <c r="O38" s="345" t="s">
        <v>916</v>
      </c>
      <c r="P38" s="470" t="str">
        <f aca="false">IF(D38="","",ROUND(D38+(($I38*$J$9+$H38*$J$10)/4.184),3))</f>
        <v/>
      </c>
      <c r="Q38" s="470" t="str">
        <f aca="false">IF(E38="","",ROUND(E38,3))</f>
        <v/>
      </c>
      <c r="R38" s="470" t="str">
        <f aca="false">IF(F38="","",ROUND(F38,3))</f>
        <v/>
      </c>
    </row>
    <row r="39" customFormat="false" ht="12.75" hidden="false" customHeight="false" outlineLevel="0" collapsed="false">
      <c r="B39" s="10"/>
      <c r="C39" s="345" t="s">
        <v>923</v>
      </c>
      <c r="D39" s="472"/>
      <c r="E39" s="473"/>
      <c r="F39" s="472"/>
      <c r="G39" s="240"/>
      <c r="H39" s="474" t="n">
        <v>-1</v>
      </c>
      <c r="I39" s="474" t="n">
        <v>4</v>
      </c>
      <c r="J39" s="345" t="s">
        <v>923</v>
      </c>
      <c r="K39" s="470" t="str">
        <f aca="false">IF(D39="","",ROUND(4.184*D39+$I39*$J$9+$H39*$J$10,3))</f>
        <v/>
      </c>
      <c r="L39" s="470" t="str">
        <f aca="false">IF(E39="","",ROUND(4.184*E39,3))</f>
        <v/>
      </c>
      <c r="M39" s="470" t="str">
        <f aca="false">IF(F39="","",ROUND(4.184*F39,3))</f>
        <v/>
      </c>
      <c r="N39" s="10"/>
      <c r="O39" s="345" t="s">
        <v>923</v>
      </c>
      <c r="P39" s="470" t="str">
        <f aca="false">IF(D39="","",ROUND(D39+(($I39*$J$9+$H39*$J$10)/4.184),3))</f>
        <v/>
      </c>
      <c r="Q39" s="470" t="str">
        <f aca="false">IF(E39="","",ROUND(E39,3))</f>
        <v/>
      </c>
      <c r="R39" s="470" t="str">
        <f aca="false">IF(F39="","",ROUND(F39,3))</f>
        <v/>
      </c>
    </row>
    <row r="40" customFormat="false" ht="12.75" hidden="false" customHeight="false" outlineLevel="0" collapsed="false">
      <c r="C40" s="345" t="s">
        <v>924</v>
      </c>
      <c r="D40" s="465"/>
      <c r="E40" s="473"/>
      <c r="F40" s="472"/>
      <c r="G40" s="191"/>
      <c r="H40" s="474" t="n">
        <v>3</v>
      </c>
      <c r="I40" s="474" t="n">
        <v>0</v>
      </c>
      <c r="J40" s="345" t="s">
        <v>924</v>
      </c>
      <c r="K40" s="470" t="str">
        <f aca="false">IF(D40="","",ROUND(4.184*D40+$I40*$J$9+$H40*$J$10,3))</f>
        <v/>
      </c>
      <c r="L40" s="470" t="str">
        <f aca="false">IF(E40="","",ROUND(4.184*E40,3))</f>
        <v/>
      </c>
      <c r="M40" s="470" t="str">
        <f aca="false">IF(F40="","",ROUND(4.184*F40,3))</f>
        <v/>
      </c>
      <c r="O40" s="345" t="s">
        <v>924</v>
      </c>
      <c r="P40" s="470" t="str">
        <f aca="false">IF(D40="","",ROUND(D40+(($I40*$J$9+$H40*$J$10)/4.184),3))</f>
        <v/>
      </c>
      <c r="Q40" s="470" t="str">
        <f aca="false">IF(E40="","",ROUND(E40,3))</f>
        <v/>
      </c>
      <c r="R40" s="470" t="str">
        <f aca="false">IF(F40="","",ROUND(F40,3))</f>
        <v/>
      </c>
    </row>
    <row r="41" customFormat="false" ht="12.75" hidden="false" customHeight="false" outlineLevel="0" collapsed="false">
      <c r="C41" s="345" t="s">
        <v>933</v>
      </c>
      <c r="D41" s="297"/>
      <c r="E41" s="477"/>
      <c r="F41" s="297"/>
      <c r="G41" s="191"/>
      <c r="H41" s="474" t="n">
        <v>-1</v>
      </c>
      <c r="I41" s="474" t="n">
        <v>4</v>
      </c>
      <c r="J41" s="345" t="s">
        <v>933</v>
      </c>
      <c r="K41" s="470" t="str">
        <f aca="false">IF(D41="","",ROUND(4.184*D41+$I41*$J$9+$H41*$J$10,3))</f>
        <v/>
      </c>
      <c r="L41" s="470" t="str">
        <f aca="false">IF(E41="","",ROUND(4.184*E41,3))</f>
        <v/>
      </c>
      <c r="M41" s="470" t="str">
        <f aca="false">IF(F41="","",ROUND(4.184*F41,3))</f>
        <v/>
      </c>
      <c r="O41" s="345" t="s">
        <v>933</v>
      </c>
      <c r="P41" s="470" t="str">
        <f aca="false">IF(D41="","",ROUND(D41+(($I41*$J$9+$H41*$J$10)/4.184),3))</f>
        <v/>
      </c>
      <c r="Q41" s="470" t="str">
        <f aca="false">IF(E41="","",ROUND(E41,3))</f>
        <v/>
      </c>
      <c r="R41" s="470" t="str">
        <f aca="false">IF(F41="","",ROUND(F41,3))</f>
        <v/>
      </c>
    </row>
    <row r="42" customFormat="false" ht="12.75" hidden="false" customHeight="false" outlineLevel="0" collapsed="false">
      <c r="C42" s="138" t="s">
        <v>934</v>
      </c>
      <c r="D42" s="472"/>
      <c r="E42" s="473"/>
      <c r="F42" s="472"/>
      <c r="G42" s="191"/>
      <c r="H42" s="474" t="n">
        <v>2</v>
      </c>
      <c r="I42" s="474" t="n">
        <v>0</v>
      </c>
      <c r="J42" s="138" t="s">
        <v>934</v>
      </c>
      <c r="K42" s="470" t="str">
        <f aca="false">IF(D42="","",ROUND(4.184*D42+$I42*$J$9+$H42*$J$10,3))</f>
        <v/>
      </c>
      <c r="L42" s="470" t="str">
        <f aca="false">IF(E42="","",ROUND(4.184*E42,3))</f>
        <v/>
      </c>
      <c r="M42" s="470" t="str">
        <f aca="false">IF(F42="","",ROUND(4.184*F42,3))</f>
        <v/>
      </c>
      <c r="O42" s="138" t="s">
        <v>934</v>
      </c>
      <c r="P42" s="470" t="str">
        <f aca="false">IF(D42="","",ROUND(D42+(($I42*$J$9+$H42*$J$10)/4.184),3))</f>
        <v/>
      </c>
      <c r="Q42" s="470" t="str">
        <f aca="false">IF(E42="","",ROUND(E42,3))</f>
        <v/>
      </c>
      <c r="R42" s="470" t="str">
        <f aca="false">IF(F42="","",ROUND(F42,3))</f>
        <v/>
      </c>
    </row>
    <row r="43" customFormat="false" ht="12.75" hidden="false" customHeight="false" outlineLevel="0" collapsed="false">
      <c r="B43" s="10"/>
      <c r="C43" s="345" t="s">
        <v>941</v>
      </c>
      <c r="D43" s="465"/>
      <c r="E43" s="466"/>
      <c r="F43" s="472"/>
      <c r="G43" s="240"/>
      <c r="H43" s="474" t="n">
        <v>2</v>
      </c>
      <c r="I43" s="474" t="n">
        <v>0</v>
      </c>
      <c r="J43" s="345" t="s">
        <v>941</v>
      </c>
      <c r="K43" s="470" t="str">
        <f aca="false">IF(D43="","",ROUND(4.184*D43+$I43*$J$9+$H43*$J$10,3))</f>
        <v/>
      </c>
      <c r="L43" s="470" t="str">
        <f aca="false">IF(E43="","",ROUND(4.184*E43,3))</f>
        <v/>
      </c>
      <c r="M43" s="470" t="str">
        <f aca="false">IF(F43="","",ROUND(4.184*F43,3))</f>
        <v/>
      </c>
      <c r="N43" s="10"/>
      <c r="O43" s="345" t="s">
        <v>941</v>
      </c>
      <c r="P43" s="470" t="str">
        <f aca="false">IF(D43="","",ROUND(D43+(($I43*$J$9+$H43*$J$10)/4.184),3))</f>
        <v/>
      </c>
      <c r="Q43" s="470" t="str">
        <f aca="false">IF(E43="","",ROUND(E43,3))</f>
        <v/>
      </c>
      <c r="R43" s="470" t="str">
        <f aca="false">IF(F43="","",ROUND(F43,3))</f>
        <v/>
      </c>
    </row>
    <row r="44" customFormat="false" ht="12.75" hidden="false" customHeight="false" outlineLevel="0" collapsed="false">
      <c r="B44" s="10"/>
      <c r="C44" s="345" t="s">
        <v>948</v>
      </c>
      <c r="D44" s="472"/>
      <c r="E44" s="473"/>
      <c r="F44" s="472"/>
      <c r="G44" s="240"/>
      <c r="H44" s="474" t="n">
        <v>3</v>
      </c>
      <c r="I44" s="474" t="n">
        <v>0</v>
      </c>
      <c r="J44" s="345" t="s">
        <v>948</v>
      </c>
      <c r="K44" s="470" t="str">
        <f aca="false">IF(D44="","",ROUND(4.184*D44+$I44*$J$9+$H44*$J$10,3))</f>
        <v/>
      </c>
      <c r="L44" s="470" t="str">
        <f aca="false">IF(E44="","",ROUND(4.184*E44,3))</f>
        <v/>
      </c>
      <c r="M44" s="470" t="str">
        <f aca="false">IF(F44="","",ROUND(4.184*F44,3))</f>
        <v/>
      </c>
      <c r="N44" s="10"/>
      <c r="O44" s="345" t="s">
        <v>948</v>
      </c>
      <c r="P44" s="470" t="str">
        <f aca="false">IF(D44="","",ROUND(D44+(($I44*$J$9+$H44*$J$10)/4.184),3))</f>
        <v/>
      </c>
      <c r="Q44" s="470" t="str">
        <f aca="false">IF(E44="","",ROUND(E44,3))</f>
        <v/>
      </c>
      <c r="R44" s="470" t="str">
        <f aca="false">IF(F44="","",ROUND(F44,3))</f>
        <v/>
      </c>
    </row>
    <row r="45" customFormat="false" ht="12.75" hidden="false" customHeight="false" outlineLevel="0" collapsed="false">
      <c r="C45" s="345" t="s">
        <v>954</v>
      </c>
      <c r="D45" s="472"/>
      <c r="E45" s="473"/>
      <c r="F45" s="472"/>
      <c r="G45" s="191"/>
      <c r="H45" s="474" t="n">
        <v>2</v>
      </c>
      <c r="I45" s="474" t="n">
        <v>0</v>
      </c>
      <c r="J45" s="345" t="s">
        <v>954</v>
      </c>
      <c r="K45" s="470" t="str">
        <f aca="false">IF(D45="","",ROUND(4.184*D45+$I45*$J$9+$H45*$J$10,3))</f>
        <v/>
      </c>
      <c r="L45" s="470" t="str">
        <f aca="false">IF(E45="","",ROUND(4.184*E45,3))</f>
        <v/>
      </c>
      <c r="M45" s="470" t="str">
        <f aca="false">IF(F45="","",ROUND(4.184*F45,3))</f>
        <v/>
      </c>
      <c r="O45" s="345" t="s">
        <v>954</v>
      </c>
      <c r="P45" s="470" t="str">
        <f aca="false">IF(D45="","",ROUND(D45+(($I45*$J$9+$H45*$J$10)/4.184),3))</f>
        <v/>
      </c>
      <c r="Q45" s="470" t="str">
        <f aca="false">IF(E45="","",ROUND(E45,3))</f>
        <v/>
      </c>
      <c r="R45" s="470" t="str">
        <f aca="false">IF(F45="","",ROUND(F45,3))</f>
        <v/>
      </c>
    </row>
    <row r="46" customFormat="false" ht="12.75" hidden="false" customHeight="false" outlineLevel="0" collapsed="false">
      <c r="C46" s="345" t="s">
        <v>963</v>
      </c>
      <c r="D46" s="472"/>
      <c r="E46" s="473"/>
      <c r="F46" s="472"/>
      <c r="G46" s="191"/>
      <c r="H46" s="474" t="n">
        <v>2</v>
      </c>
      <c r="I46" s="474" t="n">
        <v>0</v>
      </c>
      <c r="J46" s="345" t="s">
        <v>963</v>
      </c>
      <c r="K46" s="470" t="str">
        <f aca="false">IF(D46="","",ROUND(4.184*D46+$I46*$J$9+$H46*$J$10,3))</f>
        <v/>
      </c>
      <c r="L46" s="470" t="str">
        <f aca="false">IF(E46="","",ROUND(4.184*E46,3))</f>
        <v/>
      </c>
      <c r="M46" s="470" t="str">
        <f aca="false">IF(F46="","",ROUND(4.184*F46,3))</f>
        <v/>
      </c>
      <c r="O46" s="345" t="s">
        <v>963</v>
      </c>
      <c r="P46" s="470" t="str">
        <f aca="false">IF(D46="","",ROUND(D46+(($I46*$J$9+$H46*$J$10)/4.184),3))</f>
        <v/>
      </c>
      <c r="Q46" s="470" t="str">
        <f aca="false">IF(E46="","",ROUND(E46,3))</f>
        <v/>
      </c>
      <c r="R46" s="470" t="str">
        <f aca="false">IF(F46="","",ROUND(F46,3))</f>
        <v/>
      </c>
    </row>
    <row r="47" customFormat="false" ht="12.75" hidden="false" customHeight="false" outlineLevel="0" collapsed="false">
      <c r="C47" s="345" t="s">
        <v>970</v>
      </c>
      <c r="D47" s="472"/>
      <c r="E47" s="473"/>
      <c r="F47" s="472"/>
      <c r="G47" s="240"/>
      <c r="H47" s="474" t="n">
        <v>2</v>
      </c>
      <c r="I47" s="474" t="n">
        <v>0</v>
      </c>
      <c r="J47" s="345" t="s">
        <v>970</v>
      </c>
      <c r="K47" s="470" t="str">
        <f aca="false">IF(D47="","",ROUND(4.184*D47+$I47*$J$9+$H47*$J$10,3))</f>
        <v/>
      </c>
      <c r="L47" s="470" t="str">
        <f aca="false">IF(E47="","",ROUND(4.184*E47,3))</f>
        <v/>
      </c>
      <c r="M47" s="470" t="str">
        <f aca="false">IF(F47="","",ROUND(4.184*F47,3))</f>
        <v/>
      </c>
      <c r="N47" s="10"/>
      <c r="O47" s="345" t="s">
        <v>970</v>
      </c>
      <c r="P47" s="470" t="str">
        <f aca="false">IF(D47="","",ROUND(D47+(($I47*$J$9+$H47*$J$10)/4.184),3))</f>
        <v/>
      </c>
      <c r="Q47" s="470" t="str">
        <f aca="false">IF(E47="","",ROUND(E47,3))</f>
        <v/>
      </c>
      <c r="R47" s="470" t="str">
        <f aca="false">IF(F47="","",ROUND(F47,3))</f>
        <v/>
      </c>
    </row>
    <row r="48" customFormat="false" ht="12.75" hidden="false" customHeight="false" outlineLevel="0" collapsed="false">
      <c r="B48" s="10"/>
      <c r="C48" s="345" t="s">
        <v>975</v>
      </c>
      <c r="D48" s="465"/>
      <c r="E48" s="473"/>
      <c r="F48" s="465"/>
      <c r="G48" s="240"/>
      <c r="H48" s="474" t="n">
        <v>2</v>
      </c>
      <c r="I48" s="474" t="n">
        <v>0</v>
      </c>
      <c r="J48" s="345" t="s">
        <v>975</v>
      </c>
      <c r="K48" s="470" t="str">
        <f aca="false">IF(D48="","",ROUND(4.184*D48+$I48*$J$9+$H48*$J$10,3))</f>
        <v/>
      </c>
      <c r="L48" s="470" t="str">
        <f aca="false">IF(E48="","",ROUND(4.184*E48,3))</f>
        <v/>
      </c>
      <c r="M48" s="470" t="str">
        <f aca="false">IF(F48="","",ROUND(4.184*F48,3))</f>
        <v/>
      </c>
      <c r="N48" s="10"/>
      <c r="O48" s="345" t="s">
        <v>975</v>
      </c>
      <c r="P48" s="470" t="str">
        <f aca="false">IF(D48="","",ROUND(D48+(($I48*$J$9+$H48*$J$10)/4.184),3))</f>
        <v/>
      </c>
      <c r="Q48" s="470" t="str">
        <f aca="false">IF(E48="","",ROUND(E48,3))</f>
        <v/>
      </c>
      <c r="R48" s="470" t="str">
        <f aca="false">IF(F48="","",ROUND(F48,3))</f>
        <v/>
      </c>
    </row>
    <row r="49" customFormat="false" ht="12.75" hidden="false" customHeight="false" outlineLevel="0" collapsed="false">
      <c r="B49" s="10"/>
      <c r="C49" s="345" t="s">
        <v>981</v>
      </c>
      <c r="D49" s="465"/>
      <c r="E49" s="466"/>
      <c r="F49" s="465"/>
      <c r="G49" s="240"/>
      <c r="H49" s="474" t="n">
        <v>2</v>
      </c>
      <c r="I49" s="474" t="n">
        <v>0</v>
      </c>
      <c r="J49" s="345" t="s">
        <v>981</v>
      </c>
      <c r="K49" s="470" t="str">
        <f aca="false">IF(D49="","",ROUND(4.184*D49+$I49*$J$9+$H49*$J$10,3))</f>
        <v/>
      </c>
      <c r="L49" s="470" t="str">
        <f aca="false">IF(E49="","",ROUND(4.184*E49,3))</f>
        <v/>
      </c>
      <c r="M49" s="470" t="str">
        <f aca="false">IF(F49="","",ROUND(4.184*F49,3))</f>
        <v/>
      </c>
      <c r="N49" s="10"/>
      <c r="O49" s="345" t="s">
        <v>981</v>
      </c>
      <c r="P49" s="470" t="str">
        <f aca="false">IF(D49="","",ROUND(D49+(($I49*$J$9+$H49*$J$10)/4.184),3))</f>
        <v/>
      </c>
      <c r="Q49" s="470" t="str">
        <f aca="false">IF(E49="","",ROUND(E49,3))</f>
        <v/>
      </c>
      <c r="R49" s="470" t="str">
        <f aca="false">IF(F49="","",ROUND(F49,3))</f>
        <v/>
      </c>
    </row>
    <row r="50" customFormat="false" ht="12.75" hidden="false" customHeight="false" outlineLevel="0" collapsed="false">
      <c r="C50" s="345" t="s">
        <v>982</v>
      </c>
      <c r="D50" s="472"/>
      <c r="E50" s="473"/>
      <c r="F50" s="472"/>
      <c r="G50" s="240"/>
      <c r="H50" s="474" t="n">
        <v>1</v>
      </c>
      <c r="I50" s="474" t="n">
        <v>0</v>
      </c>
      <c r="J50" s="345" t="s">
        <v>982</v>
      </c>
      <c r="K50" s="470" t="str">
        <f aca="false">IF(D50="","",ROUND(4.184*D50+$I50*$J$9+$H50*$J$10,3))</f>
        <v/>
      </c>
      <c r="L50" s="470" t="str">
        <f aca="false">IF(E50="","",ROUND(4.184*E50,3))</f>
        <v/>
      </c>
      <c r="M50" s="470" t="str">
        <f aca="false">IF(F50="","",ROUND(4.184*F50,3))</f>
        <v/>
      </c>
      <c r="N50" s="10"/>
      <c r="O50" s="345" t="s">
        <v>982</v>
      </c>
      <c r="P50" s="470" t="str">
        <f aca="false">IF(D50="","",ROUND(D50+(($I50*$J$9+$H50*$J$10)/4.184),3))</f>
        <v/>
      </c>
      <c r="Q50" s="470" t="str">
        <f aca="false">IF(E50="","",ROUND(E50,3))</f>
        <v/>
      </c>
      <c r="R50" s="470" t="str">
        <f aca="false">IF(F50="","",ROUND(F50,3))</f>
        <v/>
      </c>
    </row>
    <row r="51" customFormat="false" ht="12.75" hidden="false" customHeight="false" outlineLevel="0" collapsed="false">
      <c r="C51" s="345" t="s">
        <v>989</v>
      </c>
      <c r="D51" s="472"/>
      <c r="E51" s="473"/>
      <c r="F51" s="472"/>
      <c r="G51" s="191"/>
      <c r="H51" s="474" t="n">
        <v>1</v>
      </c>
      <c r="I51" s="474" t="n">
        <v>0</v>
      </c>
      <c r="J51" s="345" t="s">
        <v>989</v>
      </c>
      <c r="K51" s="470" t="str">
        <f aca="false">IF(D51="","",ROUND(4.184*D51+$I51*$J$9+$H51*$J$10,3))</f>
        <v/>
      </c>
      <c r="L51" s="470" t="str">
        <f aca="false">IF(E51="","",ROUND(4.184*E51,3))</f>
        <v/>
      </c>
      <c r="M51" s="470" t="str">
        <f aca="false">IF(F51="","",ROUND(4.184*F51,3))</f>
        <v/>
      </c>
      <c r="O51" s="345" t="s">
        <v>989</v>
      </c>
      <c r="P51" s="470" t="str">
        <f aca="false">IF(D51="","",ROUND(D51+(($I51*$J$9+$H51*$J$10)/4.184),3))</f>
        <v/>
      </c>
      <c r="Q51" s="470" t="str">
        <f aca="false">IF(E51="","",ROUND(E51,3))</f>
        <v/>
      </c>
      <c r="R51" s="470" t="str">
        <f aca="false">IF(F51="","",ROUND(F51,3))</f>
        <v/>
      </c>
    </row>
    <row r="52" customFormat="false" ht="12.75" hidden="false" customHeight="false" outlineLevel="0" collapsed="false">
      <c r="C52" s="354" t="s">
        <v>998</v>
      </c>
      <c r="D52" s="488"/>
      <c r="E52" s="489"/>
      <c r="F52" s="488"/>
      <c r="G52" s="191"/>
      <c r="H52" s="474" t="n">
        <v>1</v>
      </c>
      <c r="I52" s="474" t="n">
        <v>0</v>
      </c>
      <c r="J52" s="354" t="s">
        <v>998</v>
      </c>
      <c r="K52" s="470" t="str">
        <f aca="false">IF(D52="","",ROUND(4.184*D52+$I52*$J$9+$H52*$J$10,3))</f>
        <v/>
      </c>
      <c r="L52" s="470" t="str">
        <f aca="false">IF(E52="","",ROUND(4.184*E52,3))</f>
        <v/>
      </c>
      <c r="M52" s="470" t="str">
        <f aca="false">IF(F52="","",ROUND(4.184*F52,3))</f>
        <v/>
      </c>
      <c r="O52" s="354" t="s">
        <v>998</v>
      </c>
      <c r="P52" s="470" t="str">
        <f aca="false">IF(D52="","",ROUND(D52+(($I52*$J$9+$H52*$J$10)/4.184),3))</f>
        <v/>
      </c>
      <c r="Q52" s="470" t="str">
        <f aca="false">IF(E52="","",ROUND(E52,3))</f>
        <v/>
      </c>
      <c r="R52" s="470" t="str">
        <f aca="false">IF(F52="","",ROUND(F52,3))</f>
        <v/>
      </c>
    </row>
    <row r="53" customFormat="false" ht="12.75" hidden="false" customHeight="false" outlineLevel="0" collapsed="false">
      <c r="C53" s="354" t="s">
        <v>1005</v>
      </c>
      <c r="D53" s="490"/>
      <c r="E53" s="494"/>
      <c r="F53" s="490"/>
      <c r="G53" s="191"/>
      <c r="H53" s="474" t="n">
        <v>1</v>
      </c>
      <c r="I53" s="474" t="n">
        <v>0</v>
      </c>
      <c r="J53" s="354" t="s">
        <v>1005</v>
      </c>
      <c r="K53" s="470" t="str">
        <f aca="false">IF(D53="","",ROUND(4.184*D53+$I53*$J$9+$H53*$J$10,3))</f>
        <v/>
      </c>
      <c r="L53" s="470" t="str">
        <f aca="false">IF(E53="","",ROUND(4.184*E53,3))</f>
        <v/>
      </c>
      <c r="M53" s="470" t="str">
        <f aca="false">IF(F53="","",ROUND(4.184*F53,3))</f>
        <v/>
      </c>
      <c r="O53" s="354" t="s">
        <v>1005</v>
      </c>
      <c r="P53" s="470" t="str">
        <f aca="false">IF(D53="","",ROUND(D53+(($I53*$J$9+$H53*$J$10)/4.184),3))</f>
        <v/>
      </c>
      <c r="Q53" s="470" t="str">
        <f aca="false">IF(E53="","",ROUND(E53,3))</f>
        <v/>
      </c>
      <c r="R53" s="470" t="str">
        <f aca="false">IF(F53="","",ROUND(F53,3))</f>
        <v/>
      </c>
    </row>
    <row r="54" customFormat="false" ht="13.5" hidden="false" customHeight="false" outlineLevel="0" collapsed="false">
      <c r="C54" s="375" t="s">
        <v>1012</v>
      </c>
      <c r="D54" s="496"/>
      <c r="E54" s="497"/>
      <c r="F54" s="496"/>
      <c r="G54" s="191"/>
      <c r="H54" s="474" t="n">
        <v>1</v>
      </c>
      <c r="I54" s="474" t="n">
        <v>0</v>
      </c>
      <c r="J54" s="375" t="s">
        <v>1012</v>
      </c>
      <c r="K54" s="500" t="str">
        <f aca="false">IF(D54="","",ROUND(4.184*D54+$I54*$J$9+$H54*$J$10,3))</f>
        <v/>
      </c>
      <c r="L54" s="500" t="str">
        <f aca="false">IF(E54="","",ROUND(4.184*E54,3))</f>
        <v/>
      </c>
      <c r="M54" s="500" t="str">
        <f aca="false">IF(F54="","",ROUND(4.184*F54,3))</f>
        <v/>
      </c>
      <c r="O54" s="375" t="s">
        <v>1012</v>
      </c>
      <c r="P54" s="500" t="str">
        <f aca="false">IF(D54="","",ROUND(D54+(($I54*$J$9+$H54*$J$10)/4.184),3))</f>
        <v/>
      </c>
      <c r="Q54" s="500" t="str">
        <f aca="false">IF(E54="","",ROUND(E54,3))</f>
        <v/>
      </c>
      <c r="R54" s="500" t="str">
        <f aca="false">IF(F54="","",ROUND(F54,3))</f>
        <v/>
      </c>
    </row>
    <row r="55" customFormat="false" ht="12.75" hidden="false" customHeight="false" outlineLevel="0" collapsed="false">
      <c r="C55" s="280"/>
      <c r="D55" s="274"/>
      <c r="E55" s="274"/>
      <c r="F55" s="274"/>
      <c r="G55" s="191"/>
      <c r="J55" s="280"/>
      <c r="K55" s="274"/>
      <c r="L55" s="274"/>
      <c r="M55" s="274"/>
      <c r="O55" s="280"/>
      <c r="P55" s="274"/>
      <c r="Q55" s="274"/>
      <c r="R55" s="274"/>
    </row>
    <row r="56" customFormat="false" ht="12.75" hidden="false" customHeight="false" outlineLevel="0" collapsed="false">
      <c r="C56" s="280"/>
      <c r="D56" s="274"/>
      <c r="E56" s="274"/>
      <c r="F56" s="274"/>
      <c r="G56" s="191"/>
      <c r="J56" s="280"/>
      <c r="K56" s="274"/>
      <c r="L56" s="274"/>
      <c r="M56" s="274"/>
      <c r="O56" s="280"/>
      <c r="P56" s="274"/>
      <c r="Q56" s="274"/>
      <c r="R56" s="274"/>
    </row>
    <row r="57" customFormat="false" ht="12.75" hidden="false" customHeight="false" outlineLevel="0" collapsed="false">
      <c r="C57" s="280"/>
      <c r="D57" s="274"/>
      <c r="E57" s="274"/>
      <c r="F57" s="274"/>
      <c r="G57" s="191"/>
      <c r="J57" s="280"/>
      <c r="K57" s="274"/>
      <c r="L57" s="274"/>
      <c r="M57" s="274"/>
      <c r="O57" s="280"/>
      <c r="P57" s="274"/>
      <c r="Q57" s="274"/>
      <c r="R57" s="274"/>
    </row>
    <row r="58" customFormat="false" ht="13.5" hidden="false" customHeight="false" outlineLevel="0" collapsed="false">
      <c r="C58" s="280"/>
      <c r="D58" s="274"/>
      <c r="E58" s="274"/>
      <c r="F58" s="274"/>
      <c r="G58" s="191"/>
      <c r="J58" s="280"/>
      <c r="K58" s="274"/>
      <c r="L58" s="274"/>
      <c r="M58" s="274"/>
      <c r="O58" s="280"/>
      <c r="P58" s="274"/>
      <c r="Q58" s="274"/>
      <c r="R58" s="274"/>
    </row>
    <row r="59" customFormat="false" ht="12.75" hidden="false" customHeight="false" outlineLevel="0" collapsed="false">
      <c r="C59" s="11" t="s">
        <v>1020</v>
      </c>
      <c r="D59" s="11"/>
      <c r="E59" s="11"/>
      <c r="F59" s="11"/>
      <c r="G59" s="191"/>
      <c r="J59" s="11" t="s">
        <v>1020</v>
      </c>
      <c r="K59" s="11"/>
      <c r="L59" s="11"/>
      <c r="M59" s="11"/>
      <c r="O59" s="11" t="s">
        <v>1020</v>
      </c>
      <c r="P59" s="11"/>
      <c r="Q59" s="11"/>
      <c r="R59" s="11"/>
    </row>
    <row r="60" customFormat="false" ht="14.25" hidden="false" customHeight="false" outlineLevel="0" collapsed="false">
      <c r="C60" s="16" t="s">
        <v>782</v>
      </c>
      <c r="D60" s="113" t="s">
        <v>511</v>
      </c>
      <c r="E60" s="113" t="s">
        <v>512</v>
      </c>
      <c r="F60" s="53" t="s">
        <v>513</v>
      </c>
      <c r="G60" s="191"/>
      <c r="J60" s="16" t="s">
        <v>782</v>
      </c>
      <c r="K60" s="113" t="s">
        <v>511</v>
      </c>
      <c r="L60" s="113" t="s">
        <v>512</v>
      </c>
      <c r="M60" s="53" t="s">
        <v>513</v>
      </c>
      <c r="O60" s="16" t="s">
        <v>782</v>
      </c>
      <c r="P60" s="113" t="s">
        <v>511</v>
      </c>
      <c r="Q60" s="113" t="s">
        <v>512</v>
      </c>
      <c r="R60" s="53" t="s">
        <v>513</v>
      </c>
    </row>
    <row r="61" customFormat="false" ht="15" hidden="false" customHeight="false" outlineLevel="0" collapsed="false">
      <c r="C61" s="21" t="s">
        <v>783</v>
      </c>
      <c r="D61" s="55" t="s">
        <v>514</v>
      </c>
      <c r="E61" s="55" t="s">
        <v>514</v>
      </c>
      <c r="F61" s="55" t="s">
        <v>166</v>
      </c>
      <c r="G61" s="191"/>
      <c r="J61" s="21" t="s">
        <v>783</v>
      </c>
      <c r="K61" s="55" t="s">
        <v>784</v>
      </c>
      <c r="L61" s="55" t="s">
        <v>784</v>
      </c>
      <c r="M61" s="55" t="s">
        <v>167</v>
      </c>
      <c r="O61" s="21" t="s">
        <v>783</v>
      </c>
      <c r="P61" s="55" t="s">
        <v>514</v>
      </c>
      <c r="Q61" s="55" t="s">
        <v>514</v>
      </c>
      <c r="R61" s="55" t="s">
        <v>166</v>
      </c>
    </row>
    <row r="62" customFormat="false" ht="12.75" hidden="false" customHeight="false" outlineLevel="0" collapsed="false">
      <c r="C62" s="310" t="s">
        <v>1021</v>
      </c>
      <c r="D62" s="613"/>
      <c r="E62" s="508"/>
      <c r="F62" s="508"/>
      <c r="G62" s="240"/>
      <c r="J62" s="310" t="s">
        <v>1021</v>
      </c>
      <c r="K62" s="584"/>
      <c r="L62" s="509"/>
      <c r="M62" s="509"/>
      <c r="N62" s="45"/>
      <c r="O62" s="310" t="s">
        <v>1021</v>
      </c>
      <c r="P62" s="584"/>
      <c r="Q62" s="509"/>
      <c r="R62" s="509"/>
    </row>
    <row r="63" customFormat="false" ht="12.75" hidden="false" customHeight="false" outlineLevel="0" collapsed="false">
      <c r="C63" s="313" t="s">
        <v>1022</v>
      </c>
      <c r="D63" s="614"/>
      <c r="E63" s="315"/>
      <c r="F63" s="315"/>
      <c r="G63" s="240"/>
      <c r="J63" s="313" t="s">
        <v>1022</v>
      </c>
      <c r="K63" s="585"/>
      <c r="L63" s="510"/>
      <c r="M63" s="510"/>
      <c r="N63" s="45"/>
      <c r="O63" s="313" t="s">
        <v>1022</v>
      </c>
      <c r="P63" s="585"/>
      <c r="Q63" s="510"/>
      <c r="R63" s="510"/>
    </row>
    <row r="64" customFormat="false" ht="13.5" hidden="false" customHeight="false" outlineLevel="0" collapsed="false">
      <c r="C64" s="317" t="s">
        <v>1023</v>
      </c>
      <c r="D64" s="615"/>
      <c r="E64" s="500"/>
      <c r="F64" s="502"/>
      <c r="G64" s="240"/>
      <c r="J64" s="317" t="s">
        <v>1023</v>
      </c>
      <c r="K64" s="587"/>
      <c r="L64" s="512"/>
      <c r="M64" s="512"/>
      <c r="N64" s="45"/>
      <c r="O64" s="317" t="s">
        <v>1023</v>
      </c>
      <c r="P64" s="587"/>
      <c r="Q64" s="512"/>
      <c r="R64" s="512"/>
    </row>
    <row r="65" customFormat="false" ht="12.75" hidden="false" customHeight="false" outlineLevel="0" collapsed="false">
      <c r="C65" s="280"/>
      <c r="D65" s="274"/>
      <c r="E65" s="274"/>
      <c r="F65" s="274"/>
      <c r="G65" s="191"/>
      <c r="J65" s="280"/>
      <c r="K65" s="274"/>
      <c r="L65" s="274"/>
      <c r="M65" s="274"/>
      <c r="O65" s="280"/>
      <c r="P65" s="274"/>
      <c r="Q65" s="274"/>
      <c r="R65" s="274"/>
    </row>
    <row r="66" customFormat="false" ht="12.75" hidden="false" customHeight="false" outlineLevel="0" collapsed="false">
      <c r="C66" s="280"/>
      <c r="D66" s="274"/>
      <c r="E66" s="274"/>
      <c r="F66" s="274"/>
      <c r="G66" s="191"/>
      <c r="J66" s="280"/>
      <c r="K66" s="274"/>
      <c r="L66" s="274"/>
      <c r="M66" s="274"/>
      <c r="O66" s="280"/>
      <c r="P66" s="274"/>
      <c r="Q66" s="274"/>
      <c r="R66" s="274"/>
    </row>
    <row r="67" customFormat="false" ht="12.75" hidden="false" customHeight="false" outlineLevel="0" collapsed="false">
      <c r="C67" s="280"/>
      <c r="D67" s="274"/>
      <c r="E67" s="274"/>
      <c r="F67" s="274"/>
      <c r="G67" s="191"/>
      <c r="J67" s="280"/>
      <c r="K67" s="274"/>
      <c r="L67" s="274"/>
      <c r="M67" s="274"/>
      <c r="O67" s="280"/>
      <c r="P67" s="274"/>
      <c r="Q67" s="274"/>
      <c r="R67" s="274"/>
    </row>
    <row r="68" customFormat="false" ht="13.5" hidden="false" customHeight="false" outlineLevel="0" collapsed="false">
      <c r="C68" s="274"/>
      <c r="D68" s="274"/>
      <c r="E68" s="274"/>
      <c r="F68" s="274"/>
      <c r="G68" s="191"/>
      <c r="J68" s="274"/>
      <c r="K68" s="274"/>
      <c r="L68" s="274"/>
      <c r="M68" s="274"/>
      <c r="O68" s="274"/>
      <c r="P68" s="274"/>
      <c r="Q68" s="274"/>
      <c r="R68" s="274"/>
    </row>
    <row r="69" customFormat="false" ht="12.75" hidden="false" customHeight="false" outlineLevel="0" collapsed="false">
      <c r="C69" s="11"/>
      <c r="D69" s="11"/>
      <c r="E69" s="11"/>
      <c r="F69" s="11"/>
      <c r="G69" s="191"/>
      <c r="H69" s="520" t="s">
        <v>1024</v>
      </c>
      <c r="I69" s="50"/>
      <c r="J69" s="11"/>
      <c r="K69" s="11"/>
      <c r="L69" s="11"/>
      <c r="M69" s="11"/>
      <c r="O69" s="11"/>
      <c r="P69" s="11"/>
      <c r="Q69" s="11"/>
      <c r="R69" s="11"/>
    </row>
    <row r="70" customFormat="false" ht="14.25" hidden="false" customHeight="false" outlineLevel="0" collapsed="false">
      <c r="C70" s="16" t="s">
        <v>1024</v>
      </c>
      <c r="D70" s="113" t="s">
        <v>511</v>
      </c>
      <c r="E70" s="113" t="s">
        <v>512</v>
      </c>
      <c r="F70" s="53" t="s">
        <v>513</v>
      </c>
      <c r="G70" s="191"/>
      <c r="H70" s="522" t="s">
        <v>1305</v>
      </c>
      <c r="I70" s="53" t="s">
        <v>1214</v>
      </c>
      <c r="J70" s="16" t="s">
        <v>1024</v>
      </c>
      <c r="K70" s="113" t="s">
        <v>511</v>
      </c>
      <c r="L70" s="113" t="s">
        <v>512</v>
      </c>
      <c r="M70" s="53" t="s">
        <v>513</v>
      </c>
      <c r="O70" s="16" t="s">
        <v>1024</v>
      </c>
      <c r="P70" s="113" t="s">
        <v>511</v>
      </c>
      <c r="Q70" s="113" t="s">
        <v>512</v>
      </c>
      <c r="R70" s="53" t="s">
        <v>513</v>
      </c>
    </row>
    <row r="71" customFormat="false" ht="15" hidden="false" customHeight="false" outlineLevel="0" collapsed="false">
      <c r="C71" s="21" t="s">
        <v>783</v>
      </c>
      <c r="D71" s="55" t="s">
        <v>514</v>
      </c>
      <c r="E71" s="55" t="s">
        <v>514</v>
      </c>
      <c r="F71" s="55" t="s">
        <v>166</v>
      </c>
      <c r="G71" s="191"/>
      <c r="H71" s="524" t="s">
        <v>28</v>
      </c>
      <c r="I71" s="464"/>
      <c r="J71" s="21" t="s">
        <v>783</v>
      </c>
      <c r="K71" s="55" t="s">
        <v>784</v>
      </c>
      <c r="L71" s="55" t="s">
        <v>784</v>
      </c>
      <c r="M71" s="55" t="s">
        <v>167</v>
      </c>
      <c r="O71" s="21" t="s">
        <v>783</v>
      </c>
      <c r="P71" s="55" t="s">
        <v>514</v>
      </c>
      <c r="Q71" s="55" t="s">
        <v>514</v>
      </c>
      <c r="R71" s="55" t="s">
        <v>166</v>
      </c>
    </row>
    <row r="72" customFormat="false" ht="12.75" hidden="false" customHeight="false" outlineLevel="0" collapsed="false">
      <c r="B72" s="10"/>
      <c r="C72" s="525" t="s">
        <v>1025</v>
      </c>
      <c r="D72" s="526" t="s">
        <v>786</v>
      </c>
      <c r="E72" s="527" t="s">
        <v>786</v>
      </c>
      <c r="F72" s="526" t="s">
        <v>1984</v>
      </c>
      <c r="G72" s="213"/>
      <c r="H72" s="528" t="n">
        <v>1</v>
      </c>
      <c r="I72" s="529" t="n">
        <v>1</v>
      </c>
      <c r="J72" s="530" t="s">
        <v>1025</v>
      </c>
      <c r="K72" s="469" t="n">
        <f aca="false">IF(D72="","",ROUND(4.184*D72+($I72-$H72)*$J$9,3))</f>
        <v>0</v>
      </c>
      <c r="L72" s="469" t="n">
        <f aca="false">IF(E72="","",ROUND(4.184*E72,3))</f>
        <v>0</v>
      </c>
      <c r="M72" s="469" t="n">
        <f aca="false">IF(F72="","",ROUND(4.184*F72+$H72*$J$8,3))</f>
        <v>205.146</v>
      </c>
      <c r="O72" s="530" t="s">
        <v>1025</v>
      </c>
      <c r="P72" s="469" t="n">
        <f aca="false">IF(D72="","",ROUND(D72+(($I72-$H72)*$J$9/4.184),3))</f>
        <v>0</v>
      </c>
      <c r="Q72" s="469" t="n">
        <f aca="false">IF(E72="","",ROUND(E72,3))</f>
        <v>0</v>
      </c>
      <c r="R72" s="469" t="n">
        <f aca="false">IF(F72="","",ROUND(F72+($H72*$J$8/4.184),3))</f>
        <v>49.031</v>
      </c>
    </row>
    <row r="73" customFormat="false" ht="12.75" hidden="false" customHeight="false" outlineLevel="0" collapsed="false">
      <c r="B73" s="10"/>
      <c r="C73" s="354" t="s">
        <v>1026</v>
      </c>
      <c r="D73" s="465" t="s">
        <v>786</v>
      </c>
      <c r="E73" s="466" t="s">
        <v>786</v>
      </c>
      <c r="F73" s="465" t="s">
        <v>1985</v>
      </c>
      <c r="G73" s="213"/>
      <c r="H73" s="532" t="n">
        <v>1</v>
      </c>
      <c r="I73" s="533" t="n">
        <v>1</v>
      </c>
      <c r="J73" s="534" t="s">
        <v>1026</v>
      </c>
      <c r="K73" s="470" t="n">
        <f aca="false">IF(D73="","",ROUND(4.184*D73+($I73-$H73)*$J$9,3))</f>
        <v>0</v>
      </c>
      <c r="L73" s="470" t="n">
        <f aca="false">IF(E73="","",ROUND(4.184*E73,3))</f>
        <v>0</v>
      </c>
      <c r="M73" s="470" t="n">
        <f aca="false">IF(F73="","",ROUND(4.184*F73+$H73*$J$8,3))</f>
        <v>130.679</v>
      </c>
      <c r="O73" s="534" t="s">
        <v>1026</v>
      </c>
      <c r="P73" s="470" t="n">
        <f aca="false">IF(D73="","",ROUND(D73+(($I73-$H73)*$J$9/4.184),3))</f>
        <v>0</v>
      </c>
      <c r="Q73" s="470" t="n">
        <f aca="false">IF(E73="","",ROUND(E73,3))</f>
        <v>0</v>
      </c>
      <c r="R73" s="470" t="n">
        <f aca="false">IF(F73="","",ROUND(F73+($H73*$J$8/4.184),3))</f>
        <v>31.233</v>
      </c>
    </row>
    <row r="74" customFormat="false" ht="12.75" hidden="false" customHeight="false" outlineLevel="0" collapsed="false">
      <c r="B74" s="10"/>
      <c r="C74" s="345" t="s">
        <v>1027</v>
      </c>
      <c r="D74" s="465" t="s">
        <v>1312</v>
      </c>
      <c r="E74" s="466" t="s">
        <v>1986</v>
      </c>
      <c r="F74" s="465" t="s">
        <v>1311</v>
      </c>
      <c r="G74" s="213"/>
      <c r="H74" s="532" t="n">
        <v>1</v>
      </c>
      <c r="I74" s="533" t="n">
        <v>1.5</v>
      </c>
      <c r="J74" s="535" t="s">
        <v>1027</v>
      </c>
      <c r="K74" s="470" t="n">
        <f aca="false">IF(D74="","",ROUND(4.184*D74+($I74-$H74)*$J$9,3))</f>
        <v>-228.572</v>
      </c>
      <c r="L74" s="470" t="n">
        <f aca="false">IF(E74="","",ROUND(4.184*E74,3))</f>
        <v>-241.814</v>
      </c>
      <c r="M74" s="470" t="n">
        <f aca="false">IF(F74="","",ROUND(4.184*F74+$H74*$J$8,3))</f>
        <v>188.833</v>
      </c>
      <c r="O74" s="535" t="s">
        <v>1027</v>
      </c>
      <c r="P74" s="470" t="n">
        <f aca="false">IF(D74="","",ROUND(D74+(($I74-$H74)*$J$9/4.184),3))</f>
        <v>-54.63</v>
      </c>
      <c r="Q74" s="470" t="n">
        <f aca="false">IF(E74="","",ROUND(E74,3))</f>
        <v>-57.795</v>
      </c>
      <c r="R74" s="470" t="n">
        <f aca="false">IF(F74="","",ROUND(F74+($H74*$J$8/4.184),3))</f>
        <v>45.132</v>
      </c>
    </row>
    <row r="75" customFormat="false" ht="13.5" hidden="false" customHeight="false" outlineLevel="0" collapsed="false">
      <c r="B75" s="10"/>
      <c r="C75" s="375" t="s">
        <v>1031</v>
      </c>
      <c r="D75" s="496" t="s">
        <v>1987</v>
      </c>
      <c r="E75" s="497" t="s">
        <v>1322</v>
      </c>
      <c r="F75" s="496" t="s">
        <v>1988</v>
      </c>
      <c r="G75" s="213"/>
      <c r="H75" s="536" t="n">
        <v>1</v>
      </c>
      <c r="I75" s="537" t="n">
        <v>1</v>
      </c>
      <c r="J75" s="538" t="s">
        <v>1031</v>
      </c>
      <c r="K75" s="500" t="n">
        <f aca="false">IF(D75="","",ROUND(4.184*D75+($I75-$H75)*$J$9,3))</f>
        <v>-394.375</v>
      </c>
      <c r="L75" s="500" t="n">
        <f aca="false">IF(E75="","",ROUND(4.184*E75,3))</f>
        <v>-393.509</v>
      </c>
      <c r="M75" s="500" t="n">
        <f aca="false">IF(F75="","",ROUND(4.184*F75+$H75*$J$8,3))</f>
        <v>213.786</v>
      </c>
      <c r="O75" s="538" t="s">
        <v>1031</v>
      </c>
      <c r="P75" s="500" t="n">
        <f aca="false">IF(D75="","",ROUND(D75+(($I75-$H75)*$J$9/4.184),3))</f>
        <v>-94.258</v>
      </c>
      <c r="Q75" s="500" t="n">
        <f aca="false">IF(E75="","",ROUND(E75,3))</f>
        <v>-94.051</v>
      </c>
      <c r="R75" s="500" t="n">
        <f aca="false">IF(F75="","",ROUND(F75+($H75*$J$8/4.184),3))</f>
        <v>51.096</v>
      </c>
    </row>
    <row r="76" customFormat="false" ht="12.75" hidden="false" customHeight="false" outlineLevel="0" collapsed="false">
      <c r="C76" s="280"/>
      <c r="D76" s="274"/>
      <c r="E76" s="274"/>
      <c r="F76" s="274"/>
      <c r="J76" s="280"/>
      <c r="K76" s="274"/>
      <c r="L76" s="274"/>
      <c r="M76" s="274"/>
      <c r="O76" s="280"/>
      <c r="P76" s="274"/>
      <c r="Q76" s="274"/>
      <c r="R76" s="274"/>
    </row>
    <row r="77" customFormat="false" ht="12.75" hidden="false" customHeight="false" outlineLevel="0" collapsed="false">
      <c r="C77" s="280"/>
      <c r="D77" s="274"/>
      <c r="E77" s="274"/>
      <c r="F77" s="274"/>
      <c r="J77" s="280"/>
      <c r="K77" s="274"/>
      <c r="L77" s="274"/>
      <c r="M77" s="274"/>
      <c r="O77" s="280"/>
      <c r="P77" s="274"/>
      <c r="Q77" s="274"/>
      <c r="R77" s="274"/>
    </row>
    <row r="78" customFormat="false" ht="12.75" hidden="false" customHeight="false" outlineLevel="0" collapsed="false">
      <c r="C78" s="280"/>
      <c r="D78" s="274"/>
      <c r="E78" s="274"/>
      <c r="F78" s="274"/>
      <c r="J78" s="280"/>
      <c r="K78" s="274"/>
      <c r="L78" s="274"/>
      <c r="M78" s="274"/>
      <c r="O78" s="280"/>
      <c r="P78" s="274"/>
      <c r="Q78" s="274"/>
      <c r="R78" s="274"/>
    </row>
    <row r="79" customFormat="false" ht="13.5" hidden="false" customHeight="false" outlineLevel="0" collapsed="false">
      <c r="C79" s="280"/>
      <c r="D79" s="274"/>
      <c r="E79" s="274"/>
      <c r="F79" s="274"/>
      <c r="J79" s="280"/>
      <c r="K79" s="274"/>
      <c r="L79" s="274"/>
      <c r="M79" s="274"/>
      <c r="O79" s="280"/>
      <c r="P79" s="274"/>
      <c r="Q79" s="274"/>
      <c r="R79" s="274"/>
    </row>
    <row r="80" customFormat="false" ht="12.75" hidden="false" customHeight="false" outlineLevel="0" collapsed="false">
      <c r="B80" s="11"/>
      <c r="C80" s="11"/>
      <c r="D80" s="11"/>
      <c r="E80" s="11"/>
      <c r="F80" s="11"/>
      <c r="G80" s="210"/>
      <c r="H80" s="618"/>
      <c r="I80" s="50"/>
      <c r="J80" s="11"/>
      <c r="K80" s="11"/>
      <c r="L80" s="11"/>
      <c r="M80" s="11"/>
      <c r="O80" s="11"/>
      <c r="P80" s="11"/>
      <c r="Q80" s="11"/>
      <c r="R80" s="11"/>
    </row>
    <row r="81" customFormat="false" ht="14.25" hidden="false" customHeight="false" outlineLevel="0" collapsed="false">
      <c r="B81" s="16" t="s">
        <v>1039</v>
      </c>
      <c r="C81" s="16" t="s">
        <v>1039</v>
      </c>
      <c r="D81" s="113" t="s">
        <v>511</v>
      </c>
      <c r="E81" s="113" t="s">
        <v>512</v>
      </c>
      <c r="F81" s="53" t="s">
        <v>513</v>
      </c>
      <c r="G81" s="210"/>
      <c r="H81" s="618"/>
      <c r="I81" s="53" t="s">
        <v>1214</v>
      </c>
      <c r="J81" s="16" t="s">
        <v>1039</v>
      </c>
      <c r="K81" s="113" t="s">
        <v>511</v>
      </c>
      <c r="L81" s="113" t="s">
        <v>512</v>
      </c>
      <c r="M81" s="53" t="s">
        <v>513</v>
      </c>
      <c r="O81" s="16" t="s">
        <v>1039</v>
      </c>
      <c r="P81" s="113" t="s">
        <v>511</v>
      </c>
      <c r="Q81" s="113" t="s">
        <v>512</v>
      </c>
      <c r="R81" s="53" t="s">
        <v>513</v>
      </c>
    </row>
    <row r="82" customFormat="false" ht="15" hidden="false" customHeight="false" outlineLevel="0" collapsed="false">
      <c r="B82" s="21" t="s">
        <v>1040</v>
      </c>
      <c r="C82" s="21" t="s">
        <v>783</v>
      </c>
      <c r="D82" s="55" t="s">
        <v>514</v>
      </c>
      <c r="E82" s="55" t="s">
        <v>514</v>
      </c>
      <c r="F82" s="55" t="s">
        <v>166</v>
      </c>
      <c r="G82" s="210"/>
      <c r="H82" s="618"/>
      <c r="I82" s="464"/>
      <c r="J82" s="21" t="s">
        <v>783</v>
      </c>
      <c r="K82" s="55" t="s">
        <v>784</v>
      </c>
      <c r="L82" s="55" t="s">
        <v>784</v>
      </c>
      <c r="M82" s="55" t="s">
        <v>167</v>
      </c>
      <c r="O82" s="21" t="s">
        <v>783</v>
      </c>
      <c r="P82" s="55" t="s">
        <v>514</v>
      </c>
      <c r="Q82" s="55" t="s">
        <v>514</v>
      </c>
      <c r="R82" s="55" t="s">
        <v>166</v>
      </c>
    </row>
    <row r="83" customFormat="false" ht="12.75" hidden="false" customHeight="false" outlineLevel="0" collapsed="false">
      <c r="A83" s="10"/>
      <c r="B83" s="335" t="s">
        <v>187</v>
      </c>
      <c r="C83" s="335" t="s">
        <v>187</v>
      </c>
      <c r="D83" s="337" t="s">
        <v>786</v>
      </c>
      <c r="E83" s="539" t="s">
        <v>786</v>
      </c>
      <c r="F83" s="337" t="s">
        <v>402</v>
      </c>
      <c r="G83" s="210"/>
      <c r="H83" s="618"/>
      <c r="I83" s="467" t="n">
        <v>0</v>
      </c>
      <c r="J83" s="544" t="s">
        <v>187</v>
      </c>
      <c r="K83" s="469" t="n">
        <f aca="false">IF(D83="","",ROUND(4.184*D83+$I83*$J$9,3))</f>
        <v>0</v>
      </c>
      <c r="L83" s="469" t="n">
        <f aca="false">IF(E83="","",ROUND(4.184*E83,3))</f>
        <v>0</v>
      </c>
      <c r="M83" s="469" t="n">
        <f aca="false">IF(F83="","",ROUND(4.184*F83,3))</f>
        <v>41.087</v>
      </c>
      <c r="O83" s="544" t="s">
        <v>187</v>
      </c>
      <c r="P83" s="469" t="n">
        <f aca="false">IF(D83="","",ROUND(D83+($I83*$J$9/4.184),3))</f>
        <v>0</v>
      </c>
      <c r="Q83" s="469" t="n">
        <f aca="false">IF(E83="","",ROUND(E83,3))</f>
        <v>0</v>
      </c>
      <c r="R83" s="469" t="n">
        <f aca="false">IF(F83="","",ROUND(F83,3))</f>
        <v>9.82</v>
      </c>
    </row>
    <row r="84" customFormat="false" ht="12.75" hidden="false" customHeight="false" outlineLevel="0" collapsed="false">
      <c r="A84" s="10"/>
      <c r="B84" s="342" t="s">
        <v>188</v>
      </c>
      <c r="C84" s="342" t="s">
        <v>188</v>
      </c>
      <c r="D84" s="292" t="s">
        <v>517</v>
      </c>
      <c r="E84" s="549" t="s">
        <v>518</v>
      </c>
      <c r="F84" s="292" t="s">
        <v>504</v>
      </c>
      <c r="G84" s="210"/>
      <c r="H84" s="618"/>
      <c r="I84" s="474" t="n">
        <v>0</v>
      </c>
      <c r="J84" s="550" t="s">
        <v>188</v>
      </c>
      <c r="K84" s="470" t="n">
        <f aca="false">IF(D84="","",ROUND(4.184*D84+$I84*$J$9,3))</f>
        <v>-12.134</v>
      </c>
      <c r="L84" s="470" t="n">
        <f aca="false">IF(E84="","",ROUND(4.184*E84,3))</f>
        <v>-17.573</v>
      </c>
      <c r="M84" s="470" t="n">
        <f aca="false">IF(F84="","",ROUND(4.184*F84,3))</f>
        <v>22.845</v>
      </c>
      <c r="O84" s="550" t="s">
        <v>188</v>
      </c>
      <c r="P84" s="470" t="n">
        <f aca="false">IF(D84="","",ROUND(D84+($I84*$J$9/4.184),3))</f>
        <v>-2.9</v>
      </c>
      <c r="Q84" s="470" t="n">
        <f aca="false">IF(E84="","",ROUND(E84,3))</f>
        <v>-4.2</v>
      </c>
      <c r="R84" s="470" t="n">
        <f aca="false">IF(F84="","",ROUND(F84,3))</f>
        <v>5.46</v>
      </c>
    </row>
    <row r="85" customFormat="false" ht="12.75" hidden="false" customHeight="false" outlineLevel="0" collapsed="false">
      <c r="A85" s="10"/>
      <c r="B85" s="345" t="s">
        <v>1041</v>
      </c>
      <c r="C85" s="345" t="s">
        <v>1041</v>
      </c>
      <c r="D85" s="292" t="s">
        <v>1989</v>
      </c>
      <c r="E85" s="549" t="s">
        <v>1990</v>
      </c>
      <c r="F85" s="292" t="s">
        <v>1882</v>
      </c>
      <c r="G85" s="210"/>
      <c r="H85" s="618"/>
      <c r="I85" s="474" t="n">
        <v>5</v>
      </c>
      <c r="J85" s="535" t="s">
        <v>1041</v>
      </c>
      <c r="K85" s="294" t="n">
        <f aca="false">IF(D85="","",ROUND(4.184*D85+$I85*$J$9,3))</f>
        <v>-2723.357</v>
      </c>
      <c r="L85" s="294" t="n">
        <f aca="false">IF(E85="","",ROUND(4.184*E85,3))</f>
        <v>-3009.97</v>
      </c>
      <c r="M85" s="294" t="n">
        <f aca="false">IF(F85="","",ROUND(4.184*F85,3))</f>
        <v>228.781</v>
      </c>
      <c r="O85" s="535" t="s">
        <v>1041</v>
      </c>
      <c r="P85" s="294" t="n">
        <f aca="false">IF(D85="","",ROUND(D85+($I85*$J$9/4.184),3))</f>
        <v>-650.898</v>
      </c>
      <c r="Q85" s="294" t="n">
        <f aca="false">IF(E85="","",ROUND(E85,3))</f>
        <v>-719.4</v>
      </c>
      <c r="R85" s="294" t="n">
        <f aca="false">IF(F85="","",ROUND(F85,3))</f>
        <v>54.68</v>
      </c>
    </row>
    <row r="86" customFormat="false" ht="12.75" hidden="false" customHeight="false" outlineLevel="0" collapsed="false">
      <c r="A86" s="10"/>
      <c r="B86" s="342" t="s">
        <v>1042</v>
      </c>
      <c r="C86" s="345" t="s">
        <v>1043</v>
      </c>
      <c r="D86" s="292" t="s">
        <v>1991</v>
      </c>
      <c r="E86" s="549" t="s">
        <v>1992</v>
      </c>
      <c r="F86" s="292" t="s">
        <v>932</v>
      </c>
      <c r="G86" s="210"/>
      <c r="H86" s="618"/>
      <c r="I86" s="474" t="n">
        <v>1</v>
      </c>
      <c r="J86" s="535" t="s">
        <v>1043</v>
      </c>
      <c r="K86" s="470" t="n">
        <f aca="false">IF(D86="","",ROUND(4.184*D86+$I86*$J$9,3))</f>
        <v>-856.637</v>
      </c>
      <c r="L86" s="470" t="n">
        <f aca="false">IF(E86="","",ROUND(4.184*E86,3))</f>
        <v>-910.94</v>
      </c>
      <c r="M86" s="470" t="n">
        <f aca="false">IF(F86="","",ROUND(4.184*F86,3))</f>
        <v>41.84</v>
      </c>
      <c r="N86" s="10"/>
      <c r="O86" s="535" t="s">
        <v>1043</v>
      </c>
      <c r="P86" s="294" t="n">
        <f aca="false">IF(D86="","",ROUND(D86+($I86*$J$9/4.184),3))</f>
        <v>-204.741</v>
      </c>
      <c r="Q86" s="294" t="n">
        <f aca="false">IF(E86="","",ROUND(E86,3))</f>
        <v>-217.72</v>
      </c>
      <c r="R86" s="294" t="n">
        <f aca="false">IF(F86="","",ROUND(F86,3))</f>
        <v>10</v>
      </c>
    </row>
    <row r="87" customFormat="false" ht="12.75" hidden="false" customHeight="false" outlineLevel="0" collapsed="false">
      <c r="A87" s="10"/>
      <c r="B87" s="345" t="s">
        <v>1050</v>
      </c>
      <c r="C87" s="345" t="s">
        <v>1050</v>
      </c>
      <c r="D87" s="292" t="s">
        <v>1993</v>
      </c>
      <c r="E87" s="549" t="s">
        <v>1994</v>
      </c>
      <c r="F87" s="292" t="s">
        <v>1995</v>
      </c>
      <c r="G87" s="210"/>
      <c r="H87" s="618"/>
      <c r="I87" s="474" t="n">
        <v>1.5</v>
      </c>
      <c r="J87" s="535" t="s">
        <v>1050</v>
      </c>
      <c r="K87" s="294" t="n">
        <f aca="false">IF(D87="","",ROUND(4.184*D87+$I87*$J$9,3))</f>
        <v>-1194.312</v>
      </c>
      <c r="L87" s="294" t="n">
        <f aca="false">IF(E87="","",ROUND(4.184*E87,3))</f>
        <v>-1273.484</v>
      </c>
      <c r="M87" s="470" t="n">
        <f aca="false">IF(F87="","",ROUND(4.184*F87,3))</f>
        <v>53.974</v>
      </c>
      <c r="N87" s="10"/>
      <c r="O87" s="535" t="s">
        <v>1050</v>
      </c>
      <c r="P87" s="294" t="n">
        <f aca="false">IF(D87="","",ROUND(D87+($I87*$J$9/4.184),3))</f>
        <v>-285.447</v>
      </c>
      <c r="Q87" s="294" t="n">
        <f aca="false">IF(E87="","",ROUND(E87,3))</f>
        <v>-304.37</v>
      </c>
      <c r="R87" s="294" t="n">
        <f aca="false">IF(F87="","",ROUND(F87,3))</f>
        <v>12.9</v>
      </c>
    </row>
    <row r="88" customFormat="false" ht="12.75" hidden="false" customHeight="false" outlineLevel="0" collapsed="false">
      <c r="A88" s="10"/>
      <c r="B88" s="345" t="s">
        <v>1058</v>
      </c>
      <c r="C88" s="345" t="s">
        <v>1059</v>
      </c>
      <c r="D88" s="292"/>
      <c r="E88" s="549"/>
      <c r="F88" s="292"/>
      <c r="G88" s="210"/>
      <c r="H88" s="618"/>
      <c r="I88" s="474" t="n">
        <v>3</v>
      </c>
      <c r="J88" s="535" t="s">
        <v>1059</v>
      </c>
      <c r="K88" s="294" t="str">
        <f aca="false">IF(D88="","",ROUND(4.184*D88+$I88*$J$9,3))</f>
        <v/>
      </c>
      <c r="L88" s="294" t="str">
        <f aca="false">IF(E88="","",ROUND(4.184*E88,3))</f>
        <v/>
      </c>
      <c r="M88" s="470" t="str">
        <f aca="false">IF(F88="","",ROUND(4.184*F88,3))</f>
        <v/>
      </c>
      <c r="N88" s="10"/>
      <c r="O88" s="535" t="s">
        <v>1059</v>
      </c>
      <c r="P88" s="294" t="str">
        <f aca="false">IF(D88="","",ROUND(D88+($I88*$J$9/4.184),3))</f>
        <v/>
      </c>
      <c r="Q88" s="294" t="str">
        <f aca="false">IF(E88="","",ROUND(E88,3))</f>
        <v/>
      </c>
      <c r="R88" s="294" t="str">
        <f aca="false">IF(F88="","",ROUND(F88,3))</f>
        <v/>
      </c>
    </row>
    <row r="89" customFormat="false" ht="12.75" hidden="false" customHeight="false" outlineLevel="0" collapsed="false">
      <c r="A89" s="10"/>
      <c r="B89" s="342" t="s">
        <v>1066</v>
      </c>
      <c r="C89" s="345" t="s">
        <v>1067</v>
      </c>
      <c r="D89" s="292" t="s">
        <v>1996</v>
      </c>
      <c r="E89" s="549" t="s">
        <v>1997</v>
      </c>
      <c r="F89" s="292" t="s">
        <v>1998</v>
      </c>
      <c r="G89" s="210"/>
      <c r="H89" s="618"/>
      <c r="I89" s="474" t="n">
        <v>1.5</v>
      </c>
      <c r="J89" s="535" t="s">
        <v>1067</v>
      </c>
      <c r="K89" s="294" t="n">
        <f aca="false">IF(D89="","",ROUND(4.184*D89+$I89*$J$9,3))</f>
        <v>-1582.223</v>
      </c>
      <c r="L89" s="294" t="n">
        <f aca="false">IF(E89="","",ROUND(4.184*E89,3))</f>
        <v>-1675.692</v>
      </c>
      <c r="M89" s="470" t="n">
        <f aca="false">IF(F89="","",ROUND(4.184*F89,3))</f>
        <v>50.919</v>
      </c>
      <c r="N89" s="10"/>
      <c r="O89" s="535" t="s">
        <v>1067</v>
      </c>
      <c r="P89" s="294" t="n">
        <f aca="false">IF(D89="","",ROUND(D89+($I89*$J$9/4.184),3))</f>
        <v>-378.16</v>
      </c>
      <c r="Q89" s="294" t="n">
        <f aca="false">IF(E89="","",ROUND(E89,3))</f>
        <v>-400.5</v>
      </c>
      <c r="R89" s="294" t="n">
        <f aca="false">IF(F89="","",ROUND(F89,3))</f>
        <v>12.17</v>
      </c>
    </row>
    <row r="90" customFormat="false" ht="12.75" hidden="false" customHeight="false" outlineLevel="0" collapsed="false">
      <c r="A90" s="10"/>
      <c r="B90" s="342" t="s">
        <v>1075</v>
      </c>
      <c r="C90" s="345" t="s">
        <v>1076</v>
      </c>
      <c r="D90" s="292"/>
      <c r="E90" s="549"/>
      <c r="F90" s="292"/>
      <c r="G90" s="210"/>
      <c r="H90" s="618"/>
      <c r="I90" s="474" t="n">
        <v>3</v>
      </c>
      <c r="J90" s="535" t="s">
        <v>1076</v>
      </c>
      <c r="K90" s="470" t="str">
        <f aca="false">IF(D90="","",ROUND(4.184*D90+$I90*$J$9,3))</f>
        <v/>
      </c>
      <c r="L90" s="470" t="str">
        <f aca="false">IF(E90="","",ROUND(4.184*E90,3))</f>
        <v/>
      </c>
      <c r="M90" s="470" t="str">
        <f aca="false">IF(F90="","",ROUND(4.184*F90,3))</f>
        <v/>
      </c>
      <c r="N90" s="10"/>
      <c r="O90" s="535" t="s">
        <v>1076</v>
      </c>
      <c r="P90" s="294" t="str">
        <f aca="false">IF(D90="","",ROUND(D90+($I90*$J$9/4.184),3))</f>
        <v/>
      </c>
      <c r="Q90" s="294" t="str">
        <f aca="false">IF(E90="","",ROUND(E90,3))</f>
        <v/>
      </c>
      <c r="R90" s="294" t="str">
        <f aca="false">IF(F90="","",ROUND(F90,3))</f>
        <v/>
      </c>
    </row>
    <row r="91" customFormat="false" ht="12.75" hidden="false" customHeight="false" outlineLevel="0" collapsed="false">
      <c r="A91" s="10"/>
      <c r="B91" s="342" t="s">
        <v>1080</v>
      </c>
      <c r="C91" s="345" t="s">
        <v>1080</v>
      </c>
      <c r="D91" s="292"/>
      <c r="E91" s="549"/>
      <c r="F91" s="292"/>
      <c r="G91" s="210"/>
      <c r="H91" s="618"/>
      <c r="I91" s="474" t="n">
        <v>10.5</v>
      </c>
      <c r="J91" s="535" t="s">
        <v>1080</v>
      </c>
      <c r="K91" s="470" t="str">
        <f aca="false">IF(D91="","",ROUND(4.184*D91+$I91*$J$9,3))</f>
        <v/>
      </c>
      <c r="L91" s="470" t="str">
        <f aca="false">IF(E91="","",ROUND(4.184*E91,3))</f>
        <v/>
      </c>
      <c r="M91" s="470" t="str">
        <f aca="false">IF(F91="","",ROUND(4.184*F91,3))</f>
        <v/>
      </c>
      <c r="N91" s="133"/>
      <c r="O91" s="535" t="s">
        <v>1080</v>
      </c>
      <c r="P91" s="294" t="str">
        <f aca="false">IF(D91="","",ROUND(D91+($I91*$J$9/4.184),3))</f>
        <v/>
      </c>
      <c r="Q91" s="294" t="str">
        <f aca="false">IF(E91="","",ROUND(E91,3))</f>
        <v/>
      </c>
      <c r="R91" s="294" t="str">
        <f aca="false">IF(F91="","",ROUND(F91,3))</f>
        <v/>
      </c>
    </row>
    <row r="92" customFormat="false" ht="12.75" hidden="false" customHeight="false" outlineLevel="0" collapsed="false">
      <c r="A92" s="10"/>
      <c r="B92" s="342" t="s">
        <v>1084</v>
      </c>
      <c r="C92" s="345" t="s">
        <v>1085</v>
      </c>
      <c r="D92" s="292" t="s">
        <v>1999</v>
      </c>
      <c r="E92" s="549" t="s">
        <v>2000</v>
      </c>
      <c r="F92" s="292" t="s">
        <v>2001</v>
      </c>
      <c r="G92" s="210"/>
      <c r="H92" s="618"/>
      <c r="I92" s="474" t="n">
        <v>2.5</v>
      </c>
      <c r="J92" s="535" t="s">
        <v>1085</v>
      </c>
      <c r="K92" s="470" t="n">
        <f aca="false">IF(D92="","",ROUND(4.184*D92+$I92*$J$9,3))</f>
        <v>-2442.843</v>
      </c>
      <c r="L92" s="470" t="n">
        <f aca="false">IF(E92="","",ROUND(4.184*E92,3))</f>
        <v>-2590.314</v>
      </c>
      <c r="M92" s="470" t="n">
        <f aca="false">IF(F92="","",ROUND(4.184*F92,3))</f>
        <v>93.776</v>
      </c>
      <c r="N92" s="133"/>
      <c r="O92" s="535" t="s">
        <v>1085</v>
      </c>
      <c r="P92" s="294" t="n">
        <f aca="false">IF(D92="","",ROUND(D92+($I92*$J$9/4.184),3))</f>
        <v>-583.854</v>
      </c>
      <c r="Q92" s="294" t="n">
        <f aca="false">IF(E92="","",ROUND(E92,3))</f>
        <v>-619.1</v>
      </c>
      <c r="R92" s="294" t="n">
        <f aca="false">IF(F92="","",ROUND(F92,3))</f>
        <v>22.413</v>
      </c>
    </row>
    <row r="93" customFormat="false" ht="12.75" hidden="false" customHeight="false" outlineLevel="0" collapsed="false">
      <c r="A93" s="10"/>
      <c r="B93" s="353" t="s">
        <v>1086</v>
      </c>
      <c r="C93" s="354" t="s">
        <v>1087</v>
      </c>
      <c r="D93" s="301" t="s">
        <v>2002</v>
      </c>
      <c r="E93" s="557" t="s">
        <v>2003</v>
      </c>
      <c r="F93" s="301" t="s">
        <v>2004</v>
      </c>
      <c r="G93" s="210"/>
      <c r="H93" s="618"/>
      <c r="I93" s="558" t="n">
        <v>1.5</v>
      </c>
      <c r="J93" s="534" t="s">
        <v>1087</v>
      </c>
      <c r="K93" s="470" t="n">
        <f aca="false">IF(D93="","",ROUND(4.184*D93+$I93*$J$9,3))</f>
        <v>-742.293</v>
      </c>
      <c r="L93" s="470" t="n">
        <f aca="false">IF(E93="","",ROUND(4.184*E93,3))</f>
        <v>-824.248</v>
      </c>
      <c r="M93" s="470" t="n">
        <f aca="false">IF(F93="","",ROUND(4.184*F93,3))</f>
        <v>87.404</v>
      </c>
      <c r="N93" s="133"/>
      <c r="O93" s="534" t="s">
        <v>1087</v>
      </c>
      <c r="P93" s="294" t="n">
        <f aca="false">IF(D93="","",ROUND(D93+($I93*$J$9/4.184),3))</f>
        <v>-177.412</v>
      </c>
      <c r="Q93" s="294" t="n">
        <f aca="false">IF(E93="","",ROUND(E93,3))</f>
        <v>-197</v>
      </c>
      <c r="R93" s="294" t="n">
        <f aca="false">IF(F93="","",ROUND(F93,3))</f>
        <v>20.89</v>
      </c>
    </row>
    <row r="94" customFormat="false" ht="12.75" hidden="false" customHeight="false" outlineLevel="0" collapsed="false">
      <c r="A94" s="10"/>
      <c r="B94" s="353" t="s">
        <v>1093</v>
      </c>
      <c r="C94" s="354" t="s">
        <v>1094</v>
      </c>
      <c r="D94" s="301" t="s">
        <v>2005</v>
      </c>
      <c r="E94" s="557" t="s">
        <v>2006</v>
      </c>
      <c r="F94" s="301" t="s">
        <v>2007</v>
      </c>
      <c r="G94" s="210"/>
      <c r="H94" s="618"/>
      <c r="I94" s="558" t="n">
        <v>2</v>
      </c>
      <c r="J94" s="534" t="s">
        <v>1094</v>
      </c>
      <c r="K94" s="470" t="n">
        <f aca="false">IF(D94="","",ROUND(4.184*D94+$I94*$J$9,3))</f>
        <v>-1015.228</v>
      </c>
      <c r="L94" s="470" t="n">
        <f aca="false">IF(E94="","",ROUND(4.184*E94,3))</f>
        <v>-1118.383</v>
      </c>
      <c r="M94" s="470" t="n">
        <f aca="false">IF(F94="","",ROUND(4.184*F94,3))</f>
        <v>146.147</v>
      </c>
      <c r="N94" s="133"/>
      <c r="O94" s="534" t="s">
        <v>1094</v>
      </c>
      <c r="P94" s="294" t="n">
        <f aca="false">IF(D94="","",ROUND(D94+($I94*$J$9/4.184),3))</f>
        <v>-242.645</v>
      </c>
      <c r="Q94" s="294" t="n">
        <f aca="false">IF(E94="","",ROUND(E94,3))</f>
        <v>-267.3</v>
      </c>
      <c r="R94" s="294" t="n">
        <f aca="false">IF(F94="","",ROUND(F94,3))</f>
        <v>34.93</v>
      </c>
    </row>
    <row r="95" customFormat="false" ht="12.75" hidden="false" customHeight="false" outlineLevel="0" collapsed="false">
      <c r="A95" s="10"/>
      <c r="B95" s="353" t="s">
        <v>1100</v>
      </c>
      <c r="C95" s="354" t="s">
        <v>1101</v>
      </c>
      <c r="D95" s="301" t="s">
        <v>2008</v>
      </c>
      <c r="E95" s="557" t="s">
        <v>2009</v>
      </c>
      <c r="F95" s="301" t="s">
        <v>2010</v>
      </c>
      <c r="G95" s="210"/>
      <c r="H95" s="618"/>
      <c r="I95" s="558" t="n">
        <v>2</v>
      </c>
      <c r="J95" s="534" t="s">
        <v>1101</v>
      </c>
      <c r="K95" s="470" t="n">
        <f aca="false">IF(D95="","",ROUND(4.184*D95+$I95*$J$9,3))</f>
        <v>-1380.692</v>
      </c>
      <c r="L95" s="470" t="n">
        <f aca="false">IF(E95="","",ROUND(4.184*E95,3))</f>
        <v>-1479.881</v>
      </c>
      <c r="M95" s="470" t="n">
        <f aca="false">IF(F95="","",ROUND(4.184*F95,3))</f>
        <v>151.001</v>
      </c>
      <c r="N95" s="133"/>
      <c r="O95" s="534" t="s">
        <v>1101</v>
      </c>
      <c r="P95" s="294" t="n">
        <f aca="false">IF(D95="","",ROUND(D95+($I95*$J$9/4.184),3))</f>
        <v>-329.993</v>
      </c>
      <c r="Q95" s="294" t="n">
        <f aca="false">IF(E95="","",ROUND(E95,3))</f>
        <v>-353.7</v>
      </c>
      <c r="R95" s="294" t="n">
        <f aca="false">IF(F95="","",ROUND(F95,3))</f>
        <v>36.09</v>
      </c>
    </row>
    <row r="96" customFormat="false" ht="12.75" hidden="false" customHeight="false" outlineLevel="0" collapsed="false">
      <c r="A96" s="10"/>
      <c r="B96" s="353" t="s">
        <v>1107</v>
      </c>
      <c r="C96" s="354" t="s">
        <v>1108</v>
      </c>
      <c r="D96" s="301" t="s">
        <v>2011</v>
      </c>
      <c r="E96" s="557" t="s">
        <v>2012</v>
      </c>
      <c r="F96" s="301" t="s">
        <v>1926</v>
      </c>
      <c r="G96" s="210"/>
      <c r="H96" s="618"/>
      <c r="I96" s="558" t="n">
        <v>0.5</v>
      </c>
      <c r="J96" s="534" t="s">
        <v>1108</v>
      </c>
      <c r="K96" s="470" t="n">
        <f aca="false">IF(D96="","",ROUND(4.184*D96+$I96*$J$9,3))</f>
        <v>-569.2</v>
      </c>
      <c r="L96" s="470" t="n">
        <f aca="false">IF(E96="","",ROUND(4.184*E96,3))</f>
        <v>-601.492</v>
      </c>
      <c r="M96" s="470" t="n">
        <f aca="false">IF(F96="","",ROUND(4.184*F96,3))</f>
        <v>26.945</v>
      </c>
      <c r="N96" s="133"/>
      <c r="O96" s="534" t="s">
        <v>1108</v>
      </c>
      <c r="P96" s="294" t="n">
        <f aca="false">IF(D96="","",ROUND(D96+($I96*$J$9/4.184),3))</f>
        <v>-136.042</v>
      </c>
      <c r="Q96" s="294" t="n">
        <f aca="false">IF(E96="","",ROUND(E96,3))</f>
        <v>-143.76</v>
      </c>
      <c r="R96" s="294" t="n">
        <f aca="false">IF(F96="","",ROUND(F96,3))</f>
        <v>6.44</v>
      </c>
    </row>
    <row r="97" customFormat="false" ht="12.75" hidden="false" customHeight="false" outlineLevel="0" collapsed="false">
      <c r="A97" s="10"/>
      <c r="B97" s="353" t="s">
        <v>1114</v>
      </c>
      <c r="C97" s="354" t="s">
        <v>1115</v>
      </c>
      <c r="D97" s="301"/>
      <c r="E97" s="557"/>
      <c r="F97" s="301"/>
      <c r="G97" s="210"/>
      <c r="H97" s="618"/>
      <c r="I97" s="558" t="n">
        <v>2</v>
      </c>
      <c r="J97" s="534" t="s">
        <v>1115</v>
      </c>
      <c r="K97" s="470" t="str">
        <f aca="false">IF(D97="","",ROUND(4.184*D97+$I97*$J$9,3))</f>
        <v/>
      </c>
      <c r="L97" s="470" t="str">
        <f aca="false">IF(E97="","",ROUND(4.184*E97,3))</f>
        <v/>
      </c>
      <c r="M97" s="470" t="str">
        <f aca="false">IF(F97="","",ROUND(4.184*F97,3))</f>
        <v/>
      </c>
      <c r="N97" s="133"/>
      <c r="O97" s="534" t="s">
        <v>1115</v>
      </c>
      <c r="P97" s="294" t="str">
        <f aca="false">IF(D97="","",ROUND(D97+($I97*$J$9/4.184),3))</f>
        <v/>
      </c>
      <c r="Q97" s="294" t="str">
        <f aca="false">IF(E97="","",ROUND(E97,3))</f>
        <v/>
      </c>
      <c r="R97" s="294" t="str">
        <f aca="false">IF(F97="","",ROUND(F97,3))</f>
        <v/>
      </c>
    </row>
    <row r="98" customFormat="false" ht="12.75" hidden="false" customHeight="false" outlineLevel="0" collapsed="false">
      <c r="A98" s="10"/>
      <c r="B98" s="353" t="s">
        <v>1119</v>
      </c>
      <c r="C98" s="354" t="s">
        <v>1120</v>
      </c>
      <c r="D98" s="301" t="s">
        <v>2013</v>
      </c>
      <c r="E98" s="557" t="s">
        <v>2014</v>
      </c>
      <c r="F98" s="301" t="s">
        <v>2015</v>
      </c>
      <c r="G98" s="210"/>
      <c r="H98" s="618"/>
      <c r="I98" s="558" t="n">
        <v>1.5</v>
      </c>
      <c r="J98" s="534" t="s">
        <v>1120</v>
      </c>
      <c r="K98" s="470" t="n">
        <f aca="false">IF(D98="","",ROUND(4.184*D98+$I98*$J$9,3))</f>
        <v>-1029.299</v>
      </c>
      <c r="L98" s="470" t="n">
        <f aca="false">IF(E98="","",ROUND(4.184*E98,3))</f>
        <v>-1113.09</v>
      </c>
      <c r="M98" s="470" t="n">
        <f aca="false">IF(F98="","",ROUND(4.184*F98,3))</f>
        <v>65.103</v>
      </c>
      <c r="N98" s="133"/>
      <c r="O98" s="534" t="s">
        <v>1120</v>
      </c>
      <c r="P98" s="294" t="n">
        <f aca="false">IF(D98="","",ROUND(D98+($I98*$J$9/4.184),3))</f>
        <v>-246.008</v>
      </c>
      <c r="Q98" s="294" t="n">
        <f aca="false">IF(E98="","",ROUND(E98,3))</f>
        <v>-266.035</v>
      </c>
      <c r="R98" s="294" t="n">
        <f aca="false">IF(F98="","",ROUND(F98,3))</f>
        <v>15.56</v>
      </c>
    </row>
    <row r="99" customFormat="false" ht="12.75" hidden="false" customHeight="false" outlineLevel="0" collapsed="false">
      <c r="A99" s="10"/>
      <c r="B99" s="353" t="s">
        <v>1121</v>
      </c>
      <c r="C99" s="354" t="s">
        <v>1122</v>
      </c>
      <c r="D99" s="301" t="s">
        <v>2016</v>
      </c>
      <c r="E99" s="557" t="s">
        <v>2017</v>
      </c>
      <c r="F99" s="301" t="s">
        <v>1944</v>
      </c>
      <c r="G99" s="210"/>
      <c r="H99" s="618"/>
      <c r="I99" s="558" t="n">
        <v>2</v>
      </c>
      <c r="J99" s="534" t="s">
        <v>1122</v>
      </c>
      <c r="K99" s="470" t="n">
        <f aca="false">IF(D99="","",ROUND(4.184*D99+$I99*$J$9,3))</f>
        <v>-2054.944</v>
      </c>
      <c r="L99" s="470" t="n">
        <f aca="false">IF(E99="","",ROUND(4.184*E99,3))</f>
        <v>-2174.006</v>
      </c>
      <c r="M99" s="470" t="n">
        <f aca="false">IF(F99="","",ROUND(4.184*F99,3))</f>
        <v>95.14</v>
      </c>
      <c r="N99" s="133"/>
      <c r="O99" s="534" t="s">
        <v>1122</v>
      </c>
      <c r="P99" s="294" t="n">
        <f aca="false">IF(D99="","",ROUND(D99+($I99*$J$9/4.184),3))</f>
        <v>-491.143</v>
      </c>
      <c r="Q99" s="294" t="n">
        <f aca="false">IF(E99="","",ROUND(E99,3))</f>
        <v>-519.6</v>
      </c>
      <c r="R99" s="294" t="n">
        <f aca="false">IF(F99="","",ROUND(F99,3))</f>
        <v>22.739</v>
      </c>
    </row>
    <row r="100" customFormat="false" ht="12.75" hidden="false" customHeight="false" outlineLevel="0" collapsed="false">
      <c r="A100" s="10"/>
      <c r="B100" s="353" t="s">
        <v>1123</v>
      </c>
      <c r="C100" s="354" t="s">
        <v>1124</v>
      </c>
      <c r="D100" s="301" t="s">
        <v>2018</v>
      </c>
      <c r="E100" s="557" t="s">
        <v>1773</v>
      </c>
      <c r="F100" s="301" t="s">
        <v>2019</v>
      </c>
      <c r="G100" s="210"/>
      <c r="H100" s="618"/>
      <c r="I100" s="558" t="n">
        <v>0.5</v>
      </c>
      <c r="J100" s="534" t="s">
        <v>1124</v>
      </c>
      <c r="K100" s="470" t="n">
        <f aca="false">IF(D100="","",ROUND(4.184*D100+$I100*$J$9,3))</f>
        <v>-603.459</v>
      </c>
      <c r="L100" s="470" t="n">
        <f aca="false">IF(E100="","",ROUND(4.184*E100,3))</f>
        <v>-635.089</v>
      </c>
      <c r="M100" s="470" t="n">
        <f aca="false">IF(F100="","",ROUND(4.184*F100,3))</f>
        <v>38.074</v>
      </c>
      <c r="N100" s="133"/>
      <c r="O100" s="534" t="s">
        <v>1124</v>
      </c>
      <c r="P100" s="294" t="n">
        <f aca="false">IF(D100="","",ROUND(D100+($I100*$J$9/4.184),3))</f>
        <v>-144.23</v>
      </c>
      <c r="Q100" s="294" t="n">
        <f aca="false">IF(E100="","",ROUND(E100,3))</f>
        <v>-151.79</v>
      </c>
      <c r="R100" s="294" t="n">
        <f aca="false">IF(F100="","",ROUND(F100,3))</f>
        <v>9.1</v>
      </c>
    </row>
    <row r="101" customFormat="false" ht="12.75" hidden="false" customHeight="false" outlineLevel="0" collapsed="false">
      <c r="A101" s="10"/>
      <c r="B101" s="353" t="s">
        <v>1134</v>
      </c>
      <c r="C101" s="354" t="s">
        <v>1135</v>
      </c>
      <c r="D101" s="301"/>
      <c r="E101" s="557"/>
      <c r="F101" s="301"/>
      <c r="G101" s="210"/>
      <c r="H101" s="618"/>
      <c r="I101" s="558" t="n">
        <v>2</v>
      </c>
      <c r="J101" s="534" t="s">
        <v>1135</v>
      </c>
      <c r="K101" s="470" t="str">
        <f aca="false">IF(D101="","",ROUND(4.184*D101+$I101*$J$9,3))</f>
        <v/>
      </c>
      <c r="L101" s="470" t="str">
        <f aca="false">IF(E101="","",ROUND(4.184*E101,3))</f>
        <v/>
      </c>
      <c r="M101" s="470" t="str">
        <f aca="false">IF(F101="","",ROUND(4.184*F101,3))</f>
        <v/>
      </c>
      <c r="N101" s="133"/>
      <c r="O101" s="534" t="s">
        <v>1135</v>
      </c>
      <c r="P101" s="294" t="str">
        <f aca="false">IF(D101="","",ROUND(D101+($I101*$J$9/4.184),3))</f>
        <v/>
      </c>
      <c r="Q101" s="294" t="str">
        <f aca="false">IF(E101="","",ROUND(E101,3))</f>
        <v/>
      </c>
      <c r="R101" s="294" t="str">
        <f aca="false">IF(F101="","",ROUND(F101,3))</f>
        <v/>
      </c>
    </row>
    <row r="102" customFormat="false" ht="12.75" hidden="false" customHeight="false" outlineLevel="0" collapsed="false">
      <c r="A102" s="10"/>
      <c r="B102" s="353" t="s">
        <v>1139</v>
      </c>
      <c r="C102" s="354" t="s">
        <v>1140</v>
      </c>
      <c r="D102" s="301" t="s">
        <v>2020</v>
      </c>
      <c r="E102" s="557" t="s">
        <v>2021</v>
      </c>
      <c r="F102" s="301" t="s">
        <v>2022</v>
      </c>
      <c r="G102" s="210"/>
      <c r="H102" s="618"/>
      <c r="I102" s="558" t="n">
        <v>1.5</v>
      </c>
      <c r="J102" s="534" t="s">
        <v>1140</v>
      </c>
      <c r="K102" s="470" t="n">
        <f aca="false">IF(D102="","",ROUND(4.184*D102+$I102*$J$9,3))</f>
        <v>-1129.033</v>
      </c>
      <c r="L102" s="470" t="n">
        <f aca="false">IF(E102="","",ROUND(4.184*E102,3))</f>
        <v>-1207.544</v>
      </c>
      <c r="M102" s="470" t="n">
        <f aca="false">IF(F102="","",ROUND(4.184*F102,3))</f>
        <v>91.713</v>
      </c>
      <c r="N102" s="133"/>
      <c r="O102" s="534" t="s">
        <v>1140</v>
      </c>
      <c r="P102" s="294" t="n">
        <f aca="false">IF(D102="","",ROUND(D102+($I102*$J$9/4.184),3))</f>
        <v>-269.845</v>
      </c>
      <c r="Q102" s="294" t="n">
        <f aca="false">IF(E102="","",ROUND(E102,3))</f>
        <v>-288.61</v>
      </c>
      <c r="R102" s="294" t="n">
        <f aca="false">IF(F102="","",ROUND(F102,3))</f>
        <v>21.92</v>
      </c>
    </row>
    <row r="103" customFormat="false" ht="12.75" hidden="false" customHeight="false" outlineLevel="0" collapsed="false">
      <c r="A103" s="10"/>
      <c r="B103" s="353" t="s">
        <v>1144</v>
      </c>
      <c r="C103" s="354" t="s">
        <v>1145</v>
      </c>
      <c r="D103" s="301" t="s">
        <v>2023</v>
      </c>
      <c r="E103" s="557" t="s">
        <v>2024</v>
      </c>
      <c r="F103" s="301" t="s">
        <v>2025</v>
      </c>
      <c r="G103" s="210"/>
      <c r="H103" s="618"/>
      <c r="I103" s="558" t="n">
        <v>1.5</v>
      </c>
      <c r="J103" s="534" t="s">
        <v>1145</v>
      </c>
      <c r="K103" s="470" t="n">
        <f aca="false">IF(D103="","",ROUND(4.184*D103+$I103*$J$9,3))</f>
        <v>-1549.629</v>
      </c>
      <c r="L103" s="470" t="n">
        <f aca="false">IF(E103="","",ROUND(4.184*E103,3))</f>
        <v>-1634.94</v>
      </c>
      <c r="M103" s="470" t="n">
        <f aca="false">IF(F103="","",ROUND(4.184*F103,3))</f>
        <v>82.006</v>
      </c>
      <c r="N103" s="133"/>
      <c r="O103" s="534" t="s">
        <v>1145</v>
      </c>
      <c r="P103" s="294" t="n">
        <f aca="false">IF(D103="","",ROUND(D103+($I103*$J$9/4.184),3))</f>
        <v>-370.37</v>
      </c>
      <c r="Q103" s="294" t="n">
        <f aca="false">IF(E103="","",ROUND(E103,3))</f>
        <v>-390.76</v>
      </c>
      <c r="R103" s="294" t="n">
        <f aca="false">IF(F103="","",ROUND(F103,3))</f>
        <v>19.6</v>
      </c>
    </row>
    <row r="104" customFormat="false" ht="12.75" hidden="false" customHeight="false" outlineLevel="0" collapsed="false">
      <c r="A104" s="10"/>
      <c r="B104" s="354" t="s">
        <v>1146</v>
      </c>
      <c r="C104" s="354" t="s">
        <v>1146</v>
      </c>
      <c r="D104" s="301" t="s">
        <v>2026</v>
      </c>
      <c r="E104" s="557" t="s">
        <v>2027</v>
      </c>
      <c r="F104" s="301" t="s">
        <v>2028</v>
      </c>
      <c r="G104" s="210"/>
      <c r="H104" s="618"/>
      <c r="I104" s="558" t="n">
        <v>0.5</v>
      </c>
      <c r="J104" s="534" t="s">
        <v>1146</v>
      </c>
      <c r="K104" s="470" t="n">
        <f aca="false">IF(D104="","",ROUND(4.184*D104+$I104*$J$9,3))</f>
        <v>-378.322</v>
      </c>
      <c r="L104" s="470" t="n">
        <f aca="false">IF(E104="","",ROUND(4.184*E104,3))</f>
        <v>-417.145</v>
      </c>
      <c r="M104" s="470" t="n">
        <f aca="false">IF(F104="","",ROUND(4.184*F104,3))</f>
        <v>75.27</v>
      </c>
      <c r="N104" s="133"/>
      <c r="O104" s="534" t="s">
        <v>1146</v>
      </c>
      <c r="P104" s="294" t="n">
        <f aca="false">IF(D104="","",ROUND(D104+($I104*$J$9/4.184),3))</f>
        <v>-90.421</v>
      </c>
      <c r="Q104" s="294" t="n">
        <f aca="false">IF(E104="","",ROUND(E104,3))</f>
        <v>-99.7</v>
      </c>
      <c r="R104" s="294" t="n">
        <f aca="false">IF(F104="","",ROUND(F104,3))</f>
        <v>17.99</v>
      </c>
    </row>
    <row r="105" customFormat="false" ht="12.75" hidden="false" customHeight="false" outlineLevel="0" collapsed="false">
      <c r="A105" s="10"/>
      <c r="B105" s="353" t="s">
        <v>1147</v>
      </c>
      <c r="C105" s="354" t="s">
        <v>1148</v>
      </c>
      <c r="D105" s="301" t="s">
        <v>2029</v>
      </c>
      <c r="E105" s="557" t="s">
        <v>1459</v>
      </c>
      <c r="F105" s="301" t="s">
        <v>2030</v>
      </c>
      <c r="G105" s="210"/>
      <c r="H105" s="619"/>
      <c r="I105" s="558" t="n">
        <v>0.5</v>
      </c>
      <c r="J105" s="534" t="s">
        <v>1148</v>
      </c>
      <c r="K105" s="470" t="n">
        <f aca="false">IF(D105="","",ROUND(4.184*D105+$I105*$J$9,3))</f>
        <v>-384.062</v>
      </c>
      <c r="L105" s="470" t="n">
        <f aca="false">IF(E105="","",ROUND(4.184*E105,3))</f>
        <v>-411.153</v>
      </c>
      <c r="M105" s="470" t="n">
        <f aca="false">IF(F105="","",ROUND(4.184*F105,3))</f>
        <v>72.132</v>
      </c>
      <c r="N105" s="133"/>
      <c r="O105" s="534" t="s">
        <v>1148</v>
      </c>
      <c r="P105" s="294" t="n">
        <f aca="false">IF(D105="","",ROUND(D105+($I105*$J$9/4.184),3))</f>
        <v>-91.793</v>
      </c>
      <c r="Q105" s="294" t="n">
        <f aca="false">IF(E105="","",ROUND(E105,3))</f>
        <v>-98.268</v>
      </c>
      <c r="R105" s="294" t="n">
        <f aca="false">IF(F105="","",ROUND(F105,3))</f>
        <v>17.24</v>
      </c>
    </row>
    <row r="106" customFormat="false" ht="12.75" hidden="false" customHeight="false" outlineLevel="0" collapsed="false">
      <c r="A106" s="10"/>
      <c r="B106" s="354" t="s">
        <v>1154</v>
      </c>
      <c r="C106" s="354" t="s">
        <v>1154</v>
      </c>
      <c r="D106" s="256" t="s">
        <v>2031</v>
      </c>
      <c r="E106" s="561" t="s">
        <v>2032</v>
      </c>
      <c r="F106" s="256" t="s">
        <v>2033</v>
      </c>
      <c r="G106" s="210"/>
      <c r="H106" s="618"/>
      <c r="I106" s="558" t="n">
        <v>0.5</v>
      </c>
      <c r="J106" s="534" t="s">
        <v>1154</v>
      </c>
      <c r="K106" s="479" t="n">
        <f aca="false">IF(D106="","",ROUND(4.184*D106+$I106*$J$9,3))</f>
        <v>-301.257</v>
      </c>
      <c r="L106" s="479" t="n">
        <f aca="false">IF(E106="","",ROUND(4.184*E106,3))</f>
        <v>-339.992</v>
      </c>
      <c r="M106" s="479" t="n">
        <f aca="false">IF(F106="","",ROUND(4.184*F106,3))</f>
        <v>102.006</v>
      </c>
      <c r="N106" s="133"/>
      <c r="O106" s="534" t="s">
        <v>1154</v>
      </c>
      <c r="P106" s="479" t="n">
        <f aca="false">IF(D106="","",ROUND(D106+($I106*$J$9/4.184),3))</f>
        <v>-72.002</v>
      </c>
      <c r="Q106" s="479" t="n">
        <f aca="false">IF(E106="","",ROUND(E106,3))</f>
        <v>-81.26</v>
      </c>
      <c r="R106" s="479" t="n">
        <f aca="false">IF(F106="","",ROUND(F106,3))</f>
        <v>24.38</v>
      </c>
    </row>
    <row r="107" customFormat="false" ht="13.5" hidden="false" customHeight="false" outlineLevel="0" collapsed="false">
      <c r="A107" s="10"/>
      <c r="B107" s="374" t="s">
        <v>1155</v>
      </c>
      <c r="C107" s="375" t="s">
        <v>1156</v>
      </c>
      <c r="D107" s="307" t="s">
        <v>2034</v>
      </c>
      <c r="E107" s="564" t="s">
        <v>1469</v>
      </c>
      <c r="F107" s="307" t="s">
        <v>2035</v>
      </c>
      <c r="G107" s="210"/>
      <c r="H107" s="618"/>
      <c r="I107" s="565" t="n">
        <v>0.5</v>
      </c>
      <c r="J107" s="538" t="s">
        <v>1156</v>
      </c>
      <c r="K107" s="500" t="n">
        <f aca="false">IF(D107="","",ROUND(4.184*D107+$I107*$J$9,3))</f>
        <v>-408.819</v>
      </c>
      <c r="L107" s="500" t="n">
        <f aca="false">IF(E107="","",ROUND(4.184*E107,3))</f>
        <v>-436.747</v>
      </c>
      <c r="M107" s="500" t="n">
        <f aca="false">IF(F107="","",ROUND(4.184*F107,3))</f>
        <v>82.546</v>
      </c>
      <c r="N107" s="10"/>
      <c r="O107" s="538" t="s">
        <v>1156</v>
      </c>
      <c r="P107" s="500" t="n">
        <f aca="false">IF(D107="","",ROUND(D107+($I107*$J$9/4.184),3))</f>
        <v>-97.71</v>
      </c>
      <c r="Q107" s="500" t="n">
        <f aca="false">IF(E107="","",ROUND(E107,3))</f>
        <v>-104.385</v>
      </c>
      <c r="R107" s="500" t="n">
        <f aca="false">IF(F107="","",ROUND(F107,3))</f>
        <v>19.729</v>
      </c>
    </row>
    <row r="108" customFormat="false" ht="12.75" hidden="false" customHeight="false" outlineLevel="0" collapsed="false">
      <c r="B108" s="280"/>
      <c r="C108" s="280"/>
      <c r="D108" s="274"/>
      <c r="E108" s="274"/>
      <c r="F108" s="274"/>
      <c r="G108" s="10"/>
    </row>
    <row r="109" customFormat="false" ht="12.75" hidden="false" customHeight="false" outlineLevel="0" collapsed="false">
      <c r="B109" s="112"/>
      <c r="C109" s="84" t="s">
        <v>2036</v>
      </c>
      <c r="I109" s="273"/>
      <c r="J109" s="10" t="s">
        <v>2037</v>
      </c>
    </row>
    <row r="110" customFormat="false" ht="12.75" hidden="false" customHeight="false" outlineLevel="0" collapsed="false">
      <c r="B110" s="112"/>
      <c r="C110" s="84" t="s">
        <v>2038</v>
      </c>
      <c r="J110" s="133"/>
      <c r="K110" s="386" t="s">
        <v>1965</v>
      </c>
      <c r="L110" s="391" t="s">
        <v>1823</v>
      </c>
      <c r="M110" s="391" t="s">
        <v>1966</v>
      </c>
    </row>
    <row r="112" s="44" customFormat="true" ht="12.75" hidden="false" customHeight="false" outlineLevel="0" collapsed="false">
      <c r="C112" s="10" t="s">
        <v>2039</v>
      </c>
    </row>
    <row r="113" customFormat="false" ht="12.75" hidden="false" customHeight="false" outlineLevel="0" collapsed="false">
      <c r="C113" s="0" t="s">
        <v>2040</v>
      </c>
    </row>
    <row r="114" customFormat="false" ht="12.75" hidden="false" customHeight="false" outlineLevel="0" collapsed="false">
      <c r="C114" s="0" t="s">
        <v>2041</v>
      </c>
      <c r="J114" s="112"/>
      <c r="K114" s="90"/>
      <c r="L114" s="90"/>
      <c r="M114" s="90"/>
    </row>
    <row r="115" s="44" customFormat="true" ht="12.75" hidden="false" customHeight="false" outlineLevel="0" collapsed="false"/>
    <row r="116" s="44" customFormat="true" ht="12.75" hidden="false" customHeight="false" outlineLevel="0" collapsed="false">
      <c r="C116" s="10" t="s">
        <v>2042</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sheetPr filterMode="false">
    <pageSetUpPr fitToPage="false"/>
  </sheetPr>
  <dimension ref="A1:R10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8" activeCellId="2" sqref="B16:B122 E16:F122 B8"/>
    </sheetView>
  </sheetViews>
  <sheetFormatPr defaultRowHeight="12.75" zeroHeight="false" outlineLevelRow="0" outlineLevelCol="0"/>
  <cols>
    <col collapsed="false" customWidth="true" hidden="false" outlineLevel="0" max="6" min="1" style="0" width="10.71"/>
    <col collapsed="false" customWidth="true" hidden="false" outlineLevel="0" max="7" min="7" style="44" width="10.71"/>
    <col collapsed="false" customWidth="true" hidden="false" outlineLevel="0" max="1025" min="8" style="0" width="10.71"/>
  </cols>
  <sheetData>
    <row r="1" customFormat="false" ht="12.75" hidden="false" customHeight="false" outlineLevel="0" collapsed="false">
      <c r="A1" s="9" t="str">
        <f aca="true">MID(CELL("filename",$A$1),   FIND("\[",CELL("filename",$A$1))+2,   FIND("]",CELL("filename",$A$1),FIND("\[",CELL("filename",$A$1))+2)-FIND("\[",CELL("filename",$A$1))-2)</f>
        <v>TDProperties_Rev0_v69.xlsx</v>
      </c>
    </row>
    <row r="2" customFormat="false" ht="12.75" hidden="false" customHeight="false" outlineLevel="0" collapsed="false">
      <c r="A2" s="0" t="str">
        <f aca="true">MID(CELL("filename",A1),FIND("]",CELL("filename",A1))+1,256)</f>
        <v>AGS Species CODATA 76 75</v>
      </c>
    </row>
    <row r="3" customFormat="false" ht="12.75" hidden="false" customHeight="false" outlineLevel="0" collapsed="false">
      <c r="A3" s="44"/>
    </row>
    <row r="4" customFormat="false" ht="12.75" hidden="false" customHeight="false" outlineLevel="0" collapsed="false">
      <c r="A4" s="281" t="s">
        <v>2043</v>
      </c>
    </row>
    <row r="5" customFormat="false" ht="12.75" hidden="false" customHeight="false" outlineLevel="0" collapsed="false">
      <c r="A5" s="10" t="s">
        <v>150</v>
      </c>
    </row>
    <row r="6" customFormat="false" ht="12.75" hidden="false" customHeight="false" outlineLevel="0" collapsed="false">
      <c r="A6" s="10" t="s">
        <v>775</v>
      </c>
    </row>
    <row r="7" customFormat="false" ht="12.75" hidden="false" customHeight="false" outlineLevel="0" collapsed="false">
      <c r="A7" s="10"/>
    </row>
    <row r="8" customFormat="false" ht="14.25" hidden="false" customHeight="false" outlineLevel="0" collapsed="false">
      <c r="A8" s="281"/>
      <c r="C8" s="10" t="s">
        <v>2044</v>
      </c>
      <c r="H8" s="10" t="s">
        <v>1199</v>
      </c>
      <c r="J8" s="458" t="n">
        <v>0.1094</v>
      </c>
      <c r="K8" s="280" t="s">
        <v>1200</v>
      </c>
    </row>
    <row r="9" customFormat="false" ht="14.25" hidden="false" customHeight="false" outlineLevel="0" collapsed="false">
      <c r="C9" s="45" t="s">
        <v>2045</v>
      </c>
      <c r="H9" s="10" t="s">
        <v>1203</v>
      </c>
      <c r="J9" s="460" t="n">
        <f aca="false">(298.15/1000)*J8</f>
        <v>0.03261761</v>
      </c>
      <c r="K9" s="280" t="s">
        <v>1204</v>
      </c>
    </row>
    <row r="10" customFormat="false" ht="14.25" hidden="false" customHeight="false" outlineLevel="0" collapsed="false">
      <c r="C10" s="45"/>
      <c r="H10" s="10" t="s">
        <v>1207</v>
      </c>
      <c r="J10" s="460" t="n">
        <f aca="false">-J9/2</f>
        <v>-0.016308805</v>
      </c>
      <c r="K10" s="280" t="s">
        <v>1208</v>
      </c>
    </row>
    <row r="11" customFormat="false" ht="12.75" hidden="false" customHeight="false" outlineLevel="0" collapsed="false">
      <c r="C11" s="10"/>
    </row>
    <row r="12" customFormat="false" ht="12.75" hidden="false" customHeight="false" outlineLevel="0" collapsed="false">
      <c r="C12" s="10"/>
    </row>
    <row r="13" customFormat="false" ht="12.75" hidden="false" customHeight="false" outlineLevel="0" collapsed="false">
      <c r="C13" s="9" t="s">
        <v>711</v>
      </c>
      <c r="J13" s="9" t="s">
        <v>712</v>
      </c>
      <c r="N13" s="44"/>
      <c r="O13" s="9" t="s">
        <v>712</v>
      </c>
    </row>
    <row r="14" customFormat="false" ht="12.75" hidden="false" customHeight="false" outlineLevel="0" collapsed="false">
      <c r="C14" s="9" t="s">
        <v>156</v>
      </c>
      <c r="J14" s="9" t="s">
        <v>157</v>
      </c>
      <c r="N14" s="44"/>
      <c r="O14" s="9" t="s">
        <v>158</v>
      </c>
    </row>
    <row r="15" customFormat="false" ht="13.5" hidden="false" customHeight="false" outlineLevel="0" collapsed="false">
      <c r="N15" s="44"/>
    </row>
    <row r="16" customFormat="false" ht="13.5" hidden="false" customHeight="false" outlineLevel="0" collapsed="false">
      <c r="A16" s="10"/>
      <c r="B16" s="10"/>
      <c r="C16" s="47" t="s">
        <v>2046</v>
      </c>
      <c r="D16" s="461"/>
      <c r="E16" s="461"/>
      <c r="F16" s="268"/>
      <c r="G16" s="191"/>
      <c r="H16" s="10"/>
      <c r="I16" s="10"/>
      <c r="J16" s="47" t="s">
        <v>2046</v>
      </c>
      <c r="K16" s="461"/>
      <c r="L16" s="461"/>
      <c r="M16" s="268"/>
      <c r="N16" s="455"/>
      <c r="O16" s="47" t="s">
        <v>2046</v>
      </c>
      <c r="P16" s="461"/>
      <c r="Q16" s="461"/>
      <c r="R16" s="268"/>
    </row>
    <row r="17" customFormat="false" ht="12.75" hidden="false" customHeight="false" outlineLevel="0" collapsed="false">
      <c r="A17" s="10"/>
      <c r="B17" s="10"/>
      <c r="C17" s="11"/>
      <c r="D17" s="11"/>
      <c r="E17" s="11"/>
      <c r="F17" s="11"/>
      <c r="G17" s="191"/>
      <c r="H17" s="50"/>
      <c r="I17" s="50"/>
      <c r="J17" s="11"/>
      <c r="K17" s="11"/>
      <c r="L17" s="11"/>
      <c r="M17" s="11"/>
      <c r="O17" s="11"/>
      <c r="P17" s="11"/>
      <c r="Q17" s="11"/>
      <c r="R17" s="11"/>
    </row>
    <row r="18" customFormat="false" ht="14.25" hidden="false" customHeight="false" outlineLevel="0" collapsed="false">
      <c r="C18" s="16" t="s">
        <v>782</v>
      </c>
      <c r="D18" s="113" t="s">
        <v>511</v>
      </c>
      <c r="E18" s="113" t="s">
        <v>512</v>
      </c>
      <c r="F18" s="53" t="s">
        <v>513</v>
      </c>
      <c r="G18" s="191"/>
      <c r="H18" s="53" t="s">
        <v>1187</v>
      </c>
      <c r="I18" s="53" t="s">
        <v>1214</v>
      </c>
      <c r="J18" s="16" t="s">
        <v>782</v>
      </c>
      <c r="K18" s="113" t="s">
        <v>511</v>
      </c>
      <c r="L18" s="113" t="s">
        <v>512</v>
      </c>
      <c r="M18" s="53" t="s">
        <v>513</v>
      </c>
      <c r="O18" s="16" t="s">
        <v>782</v>
      </c>
      <c r="P18" s="113" t="s">
        <v>511</v>
      </c>
      <c r="Q18" s="113" t="s">
        <v>512</v>
      </c>
      <c r="R18" s="53" t="s">
        <v>513</v>
      </c>
    </row>
    <row r="19" customFormat="false" ht="15" hidden="false" customHeight="false" outlineLevel="0" collapsed="false">
      <c r="C19" s="21" t="s">
        <v>783</v>
      </c>
      <c r="D19" s="55" t="s">
        <v>784</v>
      </c>
      <c r="E19" s="55" t="s">
        <v>784</v>
      </c>
      <c r="F19" s="55" t="s">
        <v>167</v>
      </c>
      <c r="G19" s="191"/>
      <c r="H19" s="464"/>
      <c r="I19" s="464"/>
      <c r="J19" s="21" t="s">
        <v>783</v>
      </c>
      <c r="K19" s="55" t="s">
        <v>784</v>
      </c>
      <c r="L19" s="55" t="s">
        <v>784</v>
      </c>
      <c r="M19" s="55" t="s">
        <v>167</v>
      </c>
      <c r="O19" s="21" t="s">
        <v>783</v>
      </c>
      <c r="P19" s="55" t="s">
        <v>514</v>
      </c>
      <c r="Q19" s="55" t="s">
        <v>514</v>
      </c>
      <c r="R19" s="55" t="s">
        <v>166</v>
      </c>
    </row>
    <row r="20" customFormat="false" ht="12.75" hidden="false" customHeight="false" outlineLevel="0" collapsed="false">
      <c r="C20" s="345" t="s">
        <v>785</v>
      </c>
      <c r="D20" s="620" t="n">
        <v>0</v>
      </c>
      <c r="E20" s="466" t="s">
        <v>786</v>
      </c>
      <c r="F20" s="465" t="s">
        <v>786</v>
      </c>
      <c r="G20" s="191"/>
      <c r="H20" s="467" t="n">
        <v>1</v>
      </c>
      <c r="I20" s="467" t="n">
        <v>0.5</v>
      </c>
      <c r="J20" s="345" t="s">
        <v>785</v>
      </c>
      <c r="K20" s="469" t="n">
        <f aca="false">IF(D20="","",ROUND(D20+$I20*$J$9+$H20*$J$10,3))</f>
        <v>0</v>
      </c>
      <c r="L20" s="469" t="n">
        <f aca="false">IF(E20="","",ROUND(E20,3))</f>
        <v>0</v>
      </c>
      <c r="M20" s="469" t="n">
        <f aca="false">IF(F20="","",ROUND(F20,3))</f>
        <v>0</v>
      </c>
      <c r="O20" s="345" t="s">
        <v>785</v>
      </c>
      <c r="P20" s="469" t="n">
        <f aca="false">IF(D20="","",ROUND((D20+$I20*$J$9+$H20*$J$10)/4.184,3))</f>
        <v>0</v>
      </c>
      <c r="Q20" s="469" t="n">
        <f aca="false">IF(E20="","",ROUND(E20/4.184,3))</f>
        <v>0</v>
      </c>
      <c r="R20" s="469" t="n">
        <f aca="false">IF(F20="","",ROUND(F20/4.184,3))</f>
        <v>0</v>
      </c>
    </row>
    <row r="21" customFormat="false" ht="12.75" hidden="false" customHeight="false" outlineLevel="0" collapsed="false">
      <c r="C21" s="345" t="s">
        <v>787</v>
      </c>
      <c r="D21" s="621" t="n">
        <v>-157.336</v>
      </c>
      <c r="E21" s="466" t="s">
        <v>1505</v>
      </c>
      <c r="F21" s="465" t="s">
        <v>1506</v>
      </c>
      <c r="G21" s="191"/>
      <c r="H21" s="474" t="n">
        <v>-1</v>
      </c>
      <c r="I21" s="474" t="n">
        <v>1</v>
      </c>
      <c r="J21" s="345" t="s">
        <v>787</v>
      </c>
      <c r="K21" s="470" t="n">
        <f aca="false">IF(D21="","",ROUND(D21+$I21*$J$9+$H21*$J$10,3))</f>
        <v>-157.287</v>
      </c>
      <c r="L21" s="470" t="n">
        <f aca="false">IF(E21="","",ROUND(E21,3))</f>
        <v>-230.025</v>
      </c>
      <c r="M21" s="470" t="n">
        <f aca="false">IF(F21="","",ROUND(F21,3))</f>
        <v>-10.71</v>
      </c>
      <c r="O21" s="345" t="s">
        <v>787</v>
      </c>
      <c r="P21" s="470" t="n">
        <f aca="false">IF(D21="","",ROUND((D21+$I21*$J$9+$H21*$J$10)/4.184,3))</f>
        <v>-37.593</v>
      </c>
      <c r="Q21" s="470" t="n">
        <f aca="false">IF(E21="","",ROUND(E21/4.184,3))</f>
        <v>-54.977</v>
      </c>
      <c r="R21" s="470" t="n">
        <f aca="false">IF(F21="","",ROUND(F21/4.184,3))</f>
        <v>-2.56</v>
      </c>
    </row>
    <row r="22" customFormat="false" ht="12.75" hidden="false" customHeight="false" outlineLevel="0" collapsed="false">
      <c r="C22" s="345" t="s">
        <v>794</v>
      </c>
      <c r="D22" s="620" t="n">
        <v>-237.19</v>
      </c>
      <c r="E22" s="466" t="s">
        <v>795</v>
      </c>
      <c r="F22" s="465" t="s">
        <v>800</v>
      </c>
      <c r="G22" s="191"/>
      <c r="H22" s="474" t="n">
        <v>0</v>
      </c>
      <c r="I22" s="474" t="n">
        <v>1.5</v>
      </c>
      <c r="J22" s="345" t="s">
        <v>794</v>
      </c>
      <c r="K22" s="470" t="n">
        <f aca="false">IF(D22="","",ROUND(D22+$I22*$J$9+$H22*$J$10,3))</f>
        <v>-237.141</v>
      </c>
      <c r="L22" s="470" t="n">
        <f aca="false">IF(E22="","",ROUND(E22,3))</f>
        <v>-285.83</v>
      </c>
      <c r="M22" s="470" t="n">
        <f aca="false">IF(F22="","",ROUND(F22,3))</f>
        <v>69.95</v>
      </c>
      <c r="O22" s="345" t="s">
        <v>794</v>
      </c>
      <c r="P22" s="470" t="n">
        <f aca="false">IF(D22="","",ROUND((D22+$I22*$J$9+$H22*$J$10)/4.184,3))</f>
        <v>-56.678</v>
      </c>
      <c r="Q22" s="470" t="n">
        <f aca="false">IF(E22="","",ROUND(E22/4.184,3))</f>
        <v>-68.315</v>
      </c>
      <c r="R22" s="470" t="n">
        <f aca="false">IF(F22="","",ROUND(F22/4.184,3))</f>
        <v>16.718</v>
      </c>
    </row>
    <row r="23" customFormat="false" ht="12.75" hidden="false" customHeight="false" outlineLevel="0" collapsed="false">
      <c r="C23" s="345" t="s">
        <v>802</v>
      </c>
      <c r="D23" s="621" t="n">
        <v>-281.714</v>
      </c>
      <c r="E23" s="466" t="s">
        <v>803</v>
      </c>
      <c r="F23" s="465" t="s">
        <v>1519</v>
      </c>
      <c r="G23" s="191"/>
      <c r="H23" s="474" t="n">
        <v>-1</v>
      </c>
      <c r="I23" s="474" t="n">
        <v>0.5</v>
      </c>
      <c r="J23" s="345" t="s">
        <v>802</v>
      </c>
      <c r="K23" s="470" t="n">
        <f aca="false">IF(D23="","",ROUND(D23+$I23*$J$9+$H23*$J$10,3))</f>
        <v>-281.681</v>
      </c>
      <c r="L23" s="470" t="n">
        <f aca="false">IF(E23="","",ROUND(E23,3))</f>
        <v>-335.35</v>
      </c>
      <c r="M23" s="470" t="n">
        <f aca="false">IF(F23="","",ROUND(F23,3))</f>
        <v>-13.18</v>
      </c>
      <c r="O23" s="345" t="s">
        <v>802</v>
      </c>
      <c r="P23" s="470" t="n">
        <f aca="false">IF(D23="","",ROUND((D23+$I23*$J$9+$H23*$J$10)/4.184,3))</f>
        <v>-67.323</v>
      </c>
      <c r="Q23" s="470" t="n">
        <f aca="false">IF(E23="","",ROUND(E23/4.184,3))</f>
        <v>-80.151</v>
      </c>
      <c r="R23" s="470" t="n">
        <f aca="false">IF(F23="","",ROUND(F23/4.184,3))</f>
        <v>-3.15</v>
      </c>
    </row>
    <row r="24" customFormat="false" ht="12.75" hidden="false" customHeight="false" outlineLevel="0" collapsed="false">
      <c r="C24" s="345" t="s">
        <v>812</v>
      </c>
      <c r="D24" s="620" t="n">
        <v>-131.291</v>
      </c>
      <c r="E24" s="466" t="s">
        <v>813</v>
      </c>
      <c r="F24" s="465" t="s">
        <v>1524</v>
      </c>
      <c r="G24" s="191"/>
      <c r="H24" s="474" t="n">
        <v>-1</v>
      </c>
      <c r="I24" s="474" t="n">
        <v>0.5</v>
      </c>
      <c r="J24" s="345" t="s">
        <v>812</v>
      </c>
      <c r="K24" s="470" t="n">
        <f aca="false">IF(D24="","",ROUND(D24+$I24*$J$9+$H24*$J$10,3))</f>
        <v>-131.258</v>
      </c>
      <c r="L24" s="470" t="n">
        <f aca="false">IF(E24="","",ROUND(E24,3))</f>
        <v>-167.08</v>
      </c>
      <c r="M24" s="470" t="n">
        <f aca="false">IF(F24="","",ROUND(F24,3))</f>
        <v>56.73</v>
      </c>
      <c r="O24" s="345" t="s">
        <v>812</v>
      </c>
      <c r="P24" s="470" t="n">
        <f aca="false">IF(D24="","",ROUND((D24+$I24*$J$9+$H24*$J$10)/4.184,3))</f>
        <v>-31.372</v>
      </c>
      <c r="Q24" s="470" t="n">
        <f aca="false">IF(E24="","",ROUND(E24/4.184,3))</f>
        <v>-39.933</v>
      </c>
      <c r="R24" s="470" t="n">
        <f aca="false">IF(F24="","",ROUND(F24/4.184,3))</f>
        <v>13.559</v>
      </c>
    </row>
    <row r="25" customFormat="false" ht="12.75" hidden="false" customHeight="false" outlineLevel="0" collapsed="false">
      <c r="C25" s="345" t="s">
        <v>818</v>
      </c>
      <c r="D25" s="621" t="n">
        <v>-104.06</v>
      </c>
      <c r="E25" s="466" t="s">
        <v>2047</v>
      </c>
      <c r="F25" s="465" t="s">
        <v>1530</v>
      </c>
      <c r="G25" s="191"/>
      <c r="H25" s="474" t="n">
        <v>-1</v>
      </c>
      <c r="I25" s="474" t="n">
        <v>0</v>
      </c>
      <c r="J25" s="345" t="s">
        <v>818</v>
      </c>
      <c r="K25" s="470" t="n">
        <f aca="false">IF(D25="","",ROUND(D25+$I25*$J$9+$H25*$J$10,3))</f>
        <v>-104.044</v>
      </c>
      <c r="L25" s="470" t="n">
        <f aca="false">IF(E25="","",ROUND(E25,3))</f>
        <v>-121.5</v>
      </c>
      <c r="M25" s="470" t="n">
        <f aca="false">IF(F25="","",ROUND(F25,3))</f>
        <v>82.84</v>
      </c>
      <c r="O25" s="345" t="s">
        <v>818</v>
      </c>
      <c r="P25" s="470" t="n">
        <f aca="false">IF(D25="","",ROUND((D25+$I25*$J$9+$H25*$J$10)/4.184,3))</f>
        <v>-24.867</v>
      </c>
      <c r="Q25" s="470" t="n">
        <f aca="false">IF(E25="","",ROUND(E25/4.184,3))</f>
        <v>-29.039</v>
      </c>
      <c r="R25" s="470" t="n">
        <f aca="false">IF(F25="","",ROUND(F25/4.184,3))</f>
        <v>19.799</v>
      </c>
    </row>
    <row r="26" customFormat="false" ht="12.75" hidden="false" customHeight="false" outlineLevel="0" collapsed="false">
      <c r="C26" s="345" t="s">
        <v>825</v>
      </c>
      <c r="D26" s="620" t="n">
        <v>-51.934</v>
      </c>
      <c r="E26" s="466" t="s">
        <v>1567</v>
      </c>
      <c r="F26" s="465" t="s">
        <v>1536</v>
      </c>
      <c r="G26" s="191"/>
      <c r="H26" s="474" t="n">
        <v>-1</v>
      </c>
      <c r="I26" s="474" t="n">
        <v>0</v>
      </c>
      <c r="J26" s="345" t="s">
        <v>825</v>
      </c>
      <c r="K26" s="470" t="n">
        <f aca="false">IF(D26="","",ROUND(D26+$I26*$J$9+$H26*$J$10,3))</f>
        <v>-51.918</v>
      </c>
      <c r="L26" s="470" t="n">
        <f aca="false">IF(E26="","",ROUND(E26,3))</f>
        <v>-56.9</v>
      </c>
      <c r="M26" s="470" t="n">
        <f aca="false">IF(F26="","",ROUND(F26,3))</f>
        <v>106.7</v>
      </c>
      <c r="O26" s="345" t="s">
        <v>825</v>
      </c>
      <c r="P26" s="470" t="n">
        <f aca="false">IF(D26="","",ROUND((D26+$I26*$J$9+$H26*$J$10)/4.184,3))</f>
        <v>-12.409</v>
      </c>
      <c r="Q26" s="470" t="n">
        <f aca="false">IF(E26="","",ROUND(E26/4.184,3))</f>
        <v>-13.599</v>
      </c>
      <c r="R26" s="470" t="n">
        <f aca="false">IF(F26="","",ROUND(F26/4.184,3))</f>
        <v>25.502</v>
      </c>
    </row>
    <row r="27" customFormat="false" ht="12.75" hidden="false" customHeight="false" outlineLevel="0" collapsed="false">
      <c r="C27" s="345" t="s">
        <v>833</v>
      </c>
      <c r="D27" s="621"/>
      <c r="E27" s="466"/>
      <c r="F27" s="472"/>
      <c r="G27" s="191"/>
      <c r="H27" s="474" t="n">
        <v>-2</v>
      </c>
      <c r="I27" s="474" t="n">
        <v>2</v>
      </c>
      <c r="J27" s="345" t="s">
        <v>833</v>
      </c>
      <c r="K27" s="470" t="str">
        <f aca="false">IF(D27="","",ROUND(D27+$I27*$J$9+$H27*$J$10,3))</f>
        <v/>
      </c>
      <c r="L27" s="470" t="str">
        <f aca="false">IF(E27="","",ROUND(E27,3))</f>
        <v/>
      </c>
      <c r="M27" s="470" t="str">
        <f aca="false">IF(F27="","",ROUND(F27,3))</f>
        <v/>
      </c>
      <c r="O27" s="345" t="s">
        <v>833</v>
      </c>
      <c r="P27" s="470" t="str">
        <f aca="false">IF(D27="","",ROUND((D27+$I27*$J$9+$H27*$J$10)/4.184,3))</f>
        <v/>
      </c>
      <c r="Q27" s="470" t="str">
        <f aca="false">IF(E27="","",ROUND(E27/4.184,3))</f>
        <v/>
      </c>
      <c r="R27" s="470" t="str">
        <f aca="false">IF(F27="","",ROUND(F27/4.184,3))</f>
        <v/>
      </c>
    </row>
    <row r="28" customFormat="false" ht="12.75" hidden="false" customHeight="false" outlineLevel="0" collapsed="false">
      <c r="C28" s="345" t="s">
        <v>840</v>
      </c>
      <c r="D28" s="621"/>
      <c r="E28" s="473"/>
      <c r="F28" s="472"/>
      <c r="G28" s="191"/>
      <c r="H28" s="474" t="n">
        <v>-1</v>
      </c>
      <c r="I28" s="474" t="n">
        <v>0.5</v>
      </c>
      <c r="J28" s="345" t="s">
        <v>840</v>
      </c>
      <c r="K28" s="470" t="str">
        <f aca="false">IF(D28="","",ROUND(D28+$I28*$J$9+$H28*$J$10,3))</f>
        <v/>
      </c>
      <c r="L28" s="470" t="str">
        <f aca="false">IF(E28="","",ROUND(E28,3))</f>
        <v/>
      </c>
      <c r="M28" s="470" t="str">
        <f aca="false">IF(F28="","",ROUND(F28,3))</f>
        <v/>
      </c>
      <c r="O28" s="345" t="s">
        <v>840</v>
      </c>
      <c r="P28" s="470" t="str">
        <f aca="false">IF(D28="","",ROUND((D28+$I28*$J$9+$H28*$J$10)/4.184,3))</f>
        <v/>
      </c>
      <c r="Q28" s="470" t="str">
        <f aca="false">IF(E28="","",ROUND(E28/4.184,3))</f>
        <v/>
      </c>
      <c r="R28" s="470" t="str">
        <f aca="false">IF(F28="","",ROUND(F28/4.184,3))</f>
        <v/>
      </c>
    </row>
    <row r="29" customFormat="false" ht="12.75" hidden="false" customHeight="false" outlineLevel="0" collapsed="false">
      <c r="C29" s="345" t="s">
        <v>851</v>
      </c>
      <c r="D29" s="621"/>
      <c r="E29" s="473"/>
      <c r="F29" s="465" t="s">
        <v>1554</v>
      </c>
      <c r="G29" s="191"/>
      <c r="H29" s="474" t="n">
        <v>-1</v>
      </c>
      <c r="I29" s="474" t="n">
        <v>2</v>
      </c>
      <c r="J29" s="345" t="s">
        <v>851</v>
      </c>
      <c r="K29" s="470" t="str">
        <f aca="false">IF(D29="","",ROUND(D29+$I29*$J$9+$H29*$J$10,3))</f>
        <v/>
      </c>
      <c r="L29" s="470" t="str">
        <f aca="false">IF(E29="","",ROUND(E29,3))</f>
        <v/>
      </c>
      <c r="M29" s="470" t="n">
        <f aca="false">IF(F29="","",ROUND(F29,3))</f>
        <v>146.94</v>
      </c>
      <c r="O29" s="345" t="s">
        <v>851</v>
      </c>
      <c r="P29" s="470" t="str">
        <f aca="false">IF(D29="","",ROUND((D29+$I29*$J$9+$H29*$J$10)/4.184,3))</f>
        <v/>
      </c>
      <c r="Q29" s="470" t="str">
        <f aca="false">IF(E29="","",ROUND(E29/4.184,3))</f>
        <v/>
      </c>
      <c r="R29" s="470" t="n">
        <f aca="false">IF(F29="","",ROUND(F29/4.184,3))</f>
        <v>35.12</v>
      </c>
    </row>
    <row r="30" customFormat="false" ht="12.75" hidden="false" customHeight="false" outlineLevel="0" collapsed="false">
      <c r="C30" s="345" t="s">
        <v>858</v>
      </c>
      <c r="D30" s="621"/>
      <c r="E30" s="473"/>
      <c r="F30" s="472"/>
      <c r="G30" s="191"/>
      <c r="H30" s="474" t="n">
        <v>0</v>
      </c>
      <c r="I30" s="474" t="n">
        <v>2</v>
      </c>
      <c r="J30" s="345" t="s">
        <v>858</v>
      </c>
      <c r="K30" s="470" t="str">
        <f aca="false">IF(D30="","",ROUND(D30+$I30*$J$9+$H30*$J$10,3))</f>
        <v/>
      </c>
      <c r="L30" s="470" t="str">
        <f aca="false">IF(E30="","",ROUND(E30,3))</f>
        <v/>
      </c>
      <c r="M30" s="470" t="str">
        <f aca="false">IF(F30="","",ROUND(F30,3))</f>
        <v/>
      </c>
      <c r="O30" s="345" t="s">
        <v>858</v>
      </c>
      <c r="P30" s="470" t="str">
        <f aca="false">IF(D30="","",ROUND((D30+$I30*$J$9+$H30*$J$10)/4.184,3))</f>
        <v/>
      </c>
      <c r="Q30" s="470" t="str">
        <f aca="false">IF(E30="","",ROUND(E30/4.184,3))</f>
        <v/>
      </c>
      <c r="R30" s="470" t="str">
        <f aca="false">IF(F30="","",ROUND(F30/4.184,3))</f>
        <v/>
      </c>
    </row>
    <row r="31" customFormat="false" ht="12.75" hidden="false" customHeight="false" outlineLevel="0" collapsed="false">
      <c r="C31" s="345" t="s">
        <v>865</v>
      </c>
      <c r="D31" s="620" t="n">
        <v>-79.463</v>
      </c>
      <c r="E31" s="466" t="s">
        <v>866</v>
      </c>
      <c r="F31" s="465" t="s">
        <v>867</v>
      </c>
      <c r="G31" s="191"/>
      <c r="H31" s="474" t="n">
        <v>1</v>
      </c>
      <c r="I31" s="474" t="n">
        <v>2.5</v>
      </c>
      <c r="J31" s="345" t="s">
        <v>865</v>
      </c>
      <c r="K31" s="470" t="n">
        <f aca="false">IF(D31="","",ROUND(D31+$I31*$J$9+$H31*$J$10,3))</f>
        <v>-79.398</v>
      </c>
      <c r="L31" s="470" t="n">
        <f aca="false">IF(E31="","",ROUND(E31,3))</f>
        <v>-133.26</v>
      </c>
      <c r="M31" s="470" t="n">
        <f aca="false">IF(F31="","",ROUND(F31,3))</f>
        <v>111.17</v>
      </c>
      <c r="O31" s="345" t="s">
        <v>865</v>
      </c>
      <c r="P31" s="470" t="n">
        <f aca="false">IF(D31="","",ROUND((D31+$I31*$J$9+$H31*$J$10)/4.184,3))</f>
        <v>-18.977</v>
      </c>
      <c r="Q31" s="470" t="n">
        <f aca="false">IF(E31="","",ROUND(E31/4.184,3))</f>
        <v>-31.85</v>
      </c>
      <c r="R31" s="470" t="n">
        <f aca="false">IF(F31="","",ROUND(F31/4.184,3))</f>
        <v>26.57</v>
      </c>
    </row>
    <row r="32" customFormat="false" ht="12.75" hidden="false" customHeight="false" outlineLevel="0" collapsed="false">
      <c r="C32" s="345" t="s">
        <v>872</v>
      </c>
      <c r="D32" s="621"/>
      <c r="E32" s="473"/>
      <c r="F32" s="472"/>
      <c r="G32" s="191"/>
      <c r="H32" s="474" t="n">
        <v>-1</v>
      </c>
      <c r="I32" s="474" t="n">
        <v>2.5</v>
      </c>
      <c r="J32" s="345" t="s">
        <v>872</v>
      </c>
      <c r="K32" s="470" t="str">
        <f aca="false">IF(D32="","",ROUND(D32+$I32*$J$9+$H32*$J$10,3))</f>
        <v/>
      </c>
      <c r="L32" s="470" t="str">
        <f aca="false">IF(E32="","",ROUND(E32,3))</f>
        <v/>
      </c>
      <c r="M32" s="470" t="str">
        <f aca="false">IF(F32="","",ROUND(F32,3))</f>
        <v/>
      </c>
      <c r="O32" s="345" t="s">
        <v>872</v>
      </c>
      <c r="P32" s="470" t="str">
        <f aca="false">IF(D32="","",ROUND((D32+$I32*$J$9+$H32*$J$10)/4.184,3))</f>
        <v/>
      </c>
      <c r="Q32" s="470" t="str">
        <f aca="false">IF(E32="","",ROUND(E32/4.184,3))</f>
        <v/>
      </c>
      <c r="R32" s="470" t="str">
        <f aca="false">IF(F32="","",ROUND(F32/4.184,3))</f>
        <v/>
      </c>
    </row>
    <row r="33" customFormat="false" ht="12.75" hidden="false" customHeight="false" outlineLevel="0" collapsed="false">
      <c r="C33" s="345" t="s">
        <v>879</v>
      </c>
      <c r="D33" s="621"/>
      <c r="E33" s="473"/>
      <c r="F33" s="472"/>
      <c r="G33" s="240"/>
      <c r="H33" s="474" t="n">
        <v>-2</v>
      </c>
      <c r="I33" s="474" t="n">
        <v>3</v>
      </c>
      <c r="J33" s="345" t="s">
        <v>879</v>
      </c>
      <c r="K33" s="470" t="str">
        <f aca="false">IF(D33="","",ROUND(D33+$I33*$J$9+$H33*$J$10,3))</f>
        <v/>
      </c>
      <c r="L33" s="470" t="str">
        <f aca="false">IF(E33="","",ROUND(E33,3))</f>
        <v/>
      </c>
      <c r="M33" s="470" t="str">
        <f aca="false">IF(F33="","",ROUND(F33,3))</f>
        <v/>
      </c>
      <c r="N33" s="10"/>
      <c r="O33" s="345" t="s">
        <v>879</v>
      </c>
      <c r="P33" s="470" t="str">
        <f aca="false">IF(D33="","",ROUND((D33+$I33*$J$9+$H33*$J$10)/4.184,3))</f>
        <v/>
      </c>
      <c r="Q33" s="470" t="str">
        <f aca="false">IF(E33="","",ROUND(E33/4.184,3))</f>
        <v/>
      </c>
      <c r="R33" s="470" t="str">
        <f aca="false">IF(F33="","",ROUND(F33/4.184,3))</f>
        <v/>
      </c>
    </row>
    <row r="34" customFormat="false" ht="12.75" hidden="false" customHeight="false" outlineLevel="0" collapsed="false">
      <c r="C34" s="345" t="s">
        <v>885</v>
      </c>
      <c r="D34" s="621"/>
      <c r="E34" s="473"/>
      <c r="F34" s="465"/>
      <c r="G34" s="240"/>
      <c r="H34" s="474" t="n">
        <v>0</v>
      </c>
      <c r="I34" s="474" t="n">
        <v>1</v>
      </c>
      <c r="J34" s="345" t="s">
        <v>885</v>
      </c>
      <c r="K34" s="470" t="str">
        <f aca="false">IF(D34="","",ROUND(D34+$I34*$J$9+$H34*$J$10,3))</f>
        <v/>
      </c>
      <c r="L34" s="470" t="str">
        <f aca="false">IF(E34="","",ROUND(E34,3))</f>
        <v/>
      </c>
      <c r="M34" s="470" t="str">
        <f aca="false">IF(F34="","",ROUND(F34,3))</f>
        <v/>
      </c>
      <c r="N34" s="10"/>
      <c r="O34" s="345" t="s">
        <v>885</v>
      </c>
      <c r="P34" s="470" t="str">
        <f aca="false">IF(D34="","",ROUND((D34+$I34*$J$9+$H34*$J$10)/4.184,3))</f>
        <v/>
      </c>
      <c r="Q34" s="470" t="str">
        <f aca="false">IF(E34="","",ROUND(E34/4.184,3))</f>
        <v/>
      </c>
      <c r="R34" s="470" t="str">
        <f aca="false">IF(F34="","",ROUND(F34/4.184,3))</f>
        <v/>
      </c>
    </row>
    <row r="35" customFormat="false" ht="12.75" hidden="false" customHeight="false" outlineLevel="0" collapsed="false">
      <c r="B35" s="10"/>
      <c r="C35" s="345" t="s">
        <v>893</v>
      </c>
      <c r="D35" s="620"/>
      <c r="E35" s="473"/>
      <c r="F35" s="472"/>
      <c r="G35" s="240"/>
      <c r="H35" s="474" t="n">
        <v>-2</v>
      </c>
      <c r="I35" s="474" t="n">
        <v>1.5</v>
      </c>
      <c r="J35" s="345" t="s">
        <v>893</v>
      </c>
      <c r="K35" s="470" t="str">
        <f aca="false">IF(D35="","",ROUND(D35+$I35*$J$9+$H35*$J$10,3))</f>
        <v/>
      </c>
      <c r="L35" s="470" t="str">
        <f aca="false">IF(E35="","",ROUND(E35,3))</f>
        <v/>
      </c>
      <c r="M35" s="470" t="str">
        <f aca="false">IF(F35="","",ROUND(F35,3))</f>
        <v/>
      </c>
      <c r="N35" s="10"/>
      <c r="O35" s="345" t="s">
        <v>893</v>
      </c>
      <c r="P35" s="470" t="str">
        <f aca="false">IF(D35="","",ROUND((D35+$I35*$J$9+$H35*$J$10)/4.184,3))</f>
        <v/>
      </c>
      <c r="Q35" s="470" t="str">
        <f aca="false">IF(E35="","",ROUND(E35/4.184,3))</f>
        <v/>
      </c>
      <c r="R35" s="470" t="str">
        <f aca="false">IF(F35="","",ROUND(F35/4.184,3))</f>
        <v/>
      </c>
    </row>
    <row r="36" customFormat="false" ht="12.75" hidden="false" customHeight="false" outlineLevel="0" collapsed="false">
      <c r="C36" s="345" t="s">
        <v>902</v>
      </c>
      <c r="D36" s="621"/>
      <c r="E36" s="473"/>
      <c r="F36" s="472"/>
      <c r="G36" s="191"/>
      <c r="H36" s="474" t="n">
        <v>-1</v>
      </c>
      <c r="I36" s="474" t="n">
        <v>2</v>
      </c>
      <c r="J36" s="345" t="s">
        <v>902</v>
      </c>
      <c r="K36" s="470" t="str">
        <f aca="false">IF(D36="","",ROUND(D36+$I36*$J$9+$H36*$J$10,3))</f>
        <v/>
      </c>
      <c r="L36" s="470" t="str">
        <f aca="false">IF(E36="","",ROUND(E36,3))</f>
        <v/>
      </c>
      <c r="M36" s="470" t="str">
        <f aca="false">IF(F36="","",ROUND(F36,3))</f>
        <v/>
      </c>
      <c r="O36" s="345" t="s">
        <v>902</v>
      </c>
      <c r="P36" s="470" t="str">
        <f aca="false">IF(D36="","",ROUND((D36+$I36*$J$9+$H36*$J$10)/4.184,3))</f>
        <v/>
      </c>
      <c r="Q36" s="470" t="str">
        <f aca="false">IF(E36="","",ROUND(E36/4.184,3))</f>
        <v/>
      </c>
      <c r="R36" s="470" t="str">
        <f aca="false">IF(F36="","",ROUND(F36/4.184,3))</f>
        <v/>
      </c>
    </row>
    <row r="37" customFormat="false" ht="12.75" hidden="false" customHeight="false" outlineLevel="0" collapsed="false">
      <c r="B37" s="10"/>
      <c r="C37" s="345" t="s">
        <v>909</v>
      </c>
      <c r="D37" s="621"/>
      <c r="E37" s="477"/>
      <c r="F37" s="297"/>
      <c r="G37" s="240"/>
      <c r="H37" s="474" t="n">
        <v>0</v>
      </c>
      <c r="I37" s="474" t="n">
        <v>4</v>
      </c>
      <c r="J37" s="345" t="s">
        <v>909</v>
      </c>
      <c r="K37" s="470" t="str">
        <f aca="false">IF(D37="","",ROUND(D37+$I37*$J$9+$H37*$J$10,3))</f>
        <v/>
      </c>
      <c r="L37" s="470" t="str">
        <f aca="false">IF(E37="","",ROUND(E37,3))</f>
        <v/>
      </c>
      <c r="M37" s="470" t="str">
        <f aca="false">IF(F37="","",ROUND(F37,3))</f>
        <v/>
      </c>
      <c r="N37" s="10"/>
      <c r="O37" s="345" t="s">
        <v>909</v>
      </c>
      <c r="P37" s="470" t="str">
        <f aca="false">IF(D37="","",ROUND((D37+$I37*$J$9+$H37*$J$10)/4.184,3))</f>
        <v/>
      </c>
      <c r="Q37" s="470" t="str">
        <f aca="false">IF(E37="","",ROUND(E37/4.184,3))</f>
        <v/>
      </c>
      <c r="R37" s="470" t="str">
        <f aca="false">IF(F37="","",ROUND(F37/4.184,3))</f>
        <v/>
      </c>
    </row>
    <row r="38" customFormat="false" ht="12.75" hidden="false" customHeight="false" outlineLevel="0" collapsed="false">
      <c r="B38" s="10"/>
      <c r="C38" s="345" t="s">
        <v>916</v>
      </c>
      <c r="D38" s="621"/>
      <c r="E38" s="473"/>
      <c r="F38" s="472"/>
      <c r="G38" s="240"/>
      <c r="H38" s="474" t="n">
        <v>0</v>
      </c>
      <c r="I38" s="474" t="n">
        <v>3</v>
      </c>
      <c r="J38" s="345" t="s">
        <v>916</v>
      </c>
      <c r="K38" s="470" t="str">
        <f aca="false">IF(D38="","",ROUND(D38+$I38*$J$9+$H38*$J$10,3))</f>
        <v/>
      </c>
      <c r="L38" s="470" t="str">
        <f aca="false">IF(E38="","",ROUND(E38,3))</f>
        <v/>
      </c>
      <c r="M38" s="470" t="str">
        <f aca="false">IF(F38="","",ROUND(F38,3))</f>
        <v/>
      </c>
      <c r="N38" s="10"/>
      <c r="O38" s="345" t="s">
        <v>916</v>
      </c>
      <c r="P38" s="470" t="str">
        <f aca="false">IF(D38="","",ROUND((D38+$I38*$J$9+$H38*$J$10)/4.184,3))</f>
        <v/>
      </c>
      <c r="Q38" s="470" t="str">
        <f aca="false">IF(E38="","",ROUND(E38/4.184,3))</f>
        <v/>
      </c>
      <c r="R38" s="470" t="str">
        <f aca="false">IF(F38="","",ROUND(F38/4.184,3))</f>
        <v/>
      </c>
    </row>
    <row r="39" customFormat="false" ht="12.75" hidden="false" customHeight="false" outlineLevel="0" collapsed="false">
      <c r="B39" s="10"/>
      <c r="C39" s="345" t="s">
        <v>923</v>
      </c>
      <c r="D39" s="621"/>
      <c r="E39" s="473"/>
      <c r="F39" s="472"/>
      <c r="G39" s="240"/>
      <c r="H39" s="474" t="n">
        <v>-1</v>
      </c>
      <c r="I39" s="474" t="n">
        <v>4</v>
      </c>
      <c r="J39" s="345" t="s">
        <v>923</v>
      </c>
      <c r="K39" s="470" t="str">
        <f aca="false">IF(D39="","",ROUND(D39+$I39*$J$9+$H39*$J$10,3))</f>
        <v/>
      </c>
      <c r="L39" s="470" t="str">
        <f aca="false">IF(E39="","",ROUND(E39,3))</f>
        <v/>
      </c>
      <c r="M39" s="470" t="str">
        <f aca="false">IF(F39="","",ROUND(F39,3))</f>
        <v/>
      </c>
      <c r="N39" s="10"/>
      <c r="O39" s="345" t="s">
        <v>923</v>
      </c>
      <c r="P39" s="470" t="str">
        <f aca="false">IF(D39="","",ROUND((D39+$I39*$J$9+$H39*$J$10)/4.184,3))</f>
        <v/>
      </c>
      <c r="Q39" s="470" t="str">
        <f aca="false">IF(E39="","",ROUND(E39/4.184,3))</f>
        <v/>
      </c>
      <c r="R39" s="470" t="str">
        <f aca="false">IF(F39="","",ROUND(F39/4.184,3))</f>
        <v/>
      </c>
    </row>
    <row r="40" customFormat="false" ht="12.75" hidden="false" customHeight="false" outlineLevel="0" collapsed="false">
      <c r="C40" s="345" t="s">
        <v>924</v>
      </c>
      <c r="D40" s="620"/>
      <c r="E40" s="473"/>
      <c r="F40" s="472"/>
      <c r="G40" s="191"/>
      <c r="H40" s="474" t="n">
        <v>3</v>
      </c>
      <c r="I40" s="474" t="n">
        <v>0</v>
      </c>
      <c r="J40" s="345" t="s">
        <v>924</v>
      </c>
      <c r="K40" s="470" t="str">
        <f aca="false">IF(D40="","",ROUND(D40+$I40*$J$9+$H40*$J$10,3))</f>
        <v/>
      </c>
      <c r="L40" s="470" t="str">
        <f aca="false">IF(E40="","",ROUND(E40,3))</f>
        <v/>
      </c>
      <c r="M40" s="470" t="str">
        <f aca="false">IF(F40="","",ROUND(F40,3))</f>
        <v/>
      </c>
      <c r="O40" s="345" t="s">
        <v>924</v>
      </c>
      <c r="P40" s="470" t="str">
        <f aca="false">IF(D40="","",ROUND((D40+$I40*$J$9+$H40*$J$10)/4.184,3))</f>
        <v/>
      </c>
      <c r="Q40" s="470" t="str">
        <f aca="false">IF(E40="","",ROUND(E40/4.184,3))</f>
        <v/>
      </c>
      <c r="R40" s="470" t="str">
        <f aca="false">IF(F40="","",ROUND(F40/4.184,3))</f>
        <v/>
      </c>
    </row>
    <row r="41" customFormat="false" ht="12.75" hidden="false" customHeight="false" outlineLevel="0" collapsed="false">
      <c r="C41" s="345" t="s">
        <v>933</v>
      </c>
      <c r="D41" s="621"/>
      <c r="E41" s="477"/>
      <c r="F41" s="297"/>
      <c r="G41" s="191"/>
      <c r="H41" s="474" t="n">
        <v>-1</v>
      </c>
      <c r="I41" s="474" t="n">
        <v>4</v>
      </c>
      <c r="J41" s="345" t="s">
        <v>933</v>
      </c>
      <c r="K41" s="470" t="str">
        <f aca="false">IF(D41="","",ROUND(D41+$I41*$J$9+$H41*$J$10,3))</f>
        <v/>
      </c>
      <c r="L41" s="470" t="str">
        <f aca="false">IF(E41="","",ROUND(E41,3))</f>
        <v/>
      </c>
      <c r="M41" s="470" t="str">
        <f aca="false">IF(F41="","",ROUND(F41,3))</f>
        <v/>
      </c>
      <c r="O41" s="345" t="s">
        <v>933</v>
      </c>
      <c r="P41" s="470" t="str">
        <f aca="false">IF(D41="","",ROUND((D41+$I41*$J$9+$H41*$J$10)/4.184,3))</f>
        <v/>
      </c>
      <c r="Q41" s="470" t="str">
        <f aca="false">IF(E41="","",ROUND(E41/4.184,3))</f>
        <v/>
      </c>
      <c r="R41" s="470" t="str">
        <f aca="false">IF(F41="","",ROUND(F41/4.184,3))</f>
        <v/>
      </c>
    </row>
    <row r="42" customFormat="false" ht="12.75" hidden="false" customHeight="false" outlineLevel="0" collapsed="false">
      <c r="C42" s="138" t="s">
        <v>934</v>
      </c>
      <c r="D42" s="621"/>
      <c r="E42" s="473"/>
      <c r="F42" s="472"/>
      <c r="G42" s="191"/>
      <c r="H42" s="474" t="n">
        <v>2</v>
      </c>
      <c r="I42" s="474" t="n">
        <v>0</v>
      </c>
      <c r="J42" s="138" t="s">
        <v>934</v>
      </c>
      <c r="K42" s="470" t="str">
        <f aca="false">IF(D42="","",ROUND(D42+$I42*$J$9+$H42*$J$10,3))</f>
        <v/>
      </c>
      <c r="L42" s="470" t="str">
        <f aca="false">IF(E42="","",ROUND(E42,3))</f>
        <v/>
      </c>
      <c r="M42" s="470" t="str">
        <f aca="false">IF(F42="","",ROUND(F42,3))</f>
        <v/>
      </c>
      <c r="O42" s="138" t="s">
        <v>934</v>
      </c>
      <c r="P42" s="470" t="str">
        <f aca="false">IF(D42="","",ROUND((D42+$I42*$J$9+$H42*$J$10)/4.184,3))</f>
        <v/>
      </c>
      <c r="Q42" s="470" t="str">
        <f aca="false">IF(E42="","",ROUND(E42/4.184,3))</f>
        <v/>
      </c>
      <c r="R42" s="470" t="str">
        <f aca="false">IF(F42="","",ROUND(F42/4.184,3))</f>
        <v/>
      </c>
    </row>
    <row r="43" customFormat="false" ht="12.75" hidden="false" customHeight="false" outlineLevel="0" collapsed="false">
      <c r="B43" s="10"/>
      <c r="C43" s="345" t="s">
        <v>941</v>
      </c>
      <c r="D43" s="620"/>
      <c r="E43" s="466"/>
      <c r="F43" s="472"/>
      <c r="G43" s="240"/>
      <c r="H43" s="474" t="n">
        <v>2</v>
      </c>
      <c r="I43" s="474" t="n">
        <v>0</v>
      </c>
      <c r="J43" s="345" t="s">
        <v>941</v>
      </c>
      <c r="K43" s="470" t="str">
        <f aca="false">IF(D43="","",ROUND(D43+$I43*$J$9+$H43*$J$10,3))</f>
        <v/>
      </c>
      <c r="L43" s="470" t="str">
        <f aca="false">IF(E43="","",ROUND(E43,3))</f>
        <v/>
      </c>
      <c r="M43" s="470" t="str">
        <f aca="false">IF(F43="","",ROUND(F43,3))</f>
        <v/>
      </c>
      <c r="N43" s="10"/>
      <c r="O43" s="345" t="s">
        <v>941</v>
      </c>
      <c r="P43" s="470" t="str">
        <f aca="false">IF(D43="","",ROUND((D43+$I43*$J$9+$H43*$J$10)/4.184,3))</f>
        <v/>
      </c>
      <c r="Q43" s="470" t="str">
        <f aca="false">IF(E43="","",ROUND(E43/4.184,3))</f>
        <v/>
      </c>
      <c r="R43" s="470" t="str">
        <f aca="false">IF(F43="","",ROUND(F43/4.184,3))</f>
        <v/>
      </c>
    </row>
    <row r="44" customFormat="false" ht="12.75" hidden="false" customHeight="false" outlineLevel="0" collapsed="false">
      <c r="B44" s="10"/>
      <c r="C44" s="345" t="s">
        <v>948</v>
      </c>
      <c r="D44" s="621"/>
      <c r="E44" s="473"/>
      <c r="F44" s="472"/>
      <c r="G44" s="240"/>
      <c r="H44" s="474" t="n">
        <v>3</v>
      </c>
      <c r="I44" s="474" t="n">
        <v>0</v>
      </c>
      <c r="J44" s="345" t="s">
        <v>948</v>
      </c>
      <c r="K44" s="470" t="str">
        <f aca="false">IF(D44="","",ROUND(D44+$I44*$J$9+$H44*$J$10,3))</f>
        <v/>
      </c>
      <c r="L44" s="470" t="str">
        <f aca="false">IF(E44="","",ROUND(E44,3))</f>
        <v/>
      </c>
      <c r="M44" s="470" t="str">
        <f aca="false">IF(F44="","",ROUND(F44,3))</f>
        <v/>
      </c>
      <c r="N44" s="10"/>
      <c r="O44" s="345" t="s">
        <v>948</v>
      </c>
      <c r="P44" s="470" t="str">
        <f aca="false">IF(D44="","",ROUND((D44+$I44*$J$9+$H44*$J$10)/4.184,3))</f>
        <v/>
      </c>
      <c r="Q44" s="470" t="str">
        <f aca="false">IF(E44="","",ROUND(E44/4.184,3))</f>
        <v/>
      </c>
      <c r="R44" s="470" t="str">
        <f aca="false">IF(F44="","",ROUND(F44/4.184,3))</f>
        <v/>
      </c>
    </row>
    <row r="45" customFormat="false" ht="12.75" hidden="false" customHeight="false" outlineLevel="0" collapsed="false">
      <c r="C45" s="345" t="s">
        <v>954</v>
      </c>
      <c r="D45" s="621"/>
      <c r="E45" s="473"/>
      <c r="F45" s="472"/>
      <c r="G45" s="191"/>
      <c r="H45" s="474" t="n">
        <v>2</v>
      </c>
      <c r="I45" s="474" t="n">
        <v>0</v>
      </c>
      <c r="J45" s="345" t="s">
        <v>954</v>
      </c>
      <c r="K45" s="470" t="str">
        <f aca="false">IF(D45="","",ROUND(D45+$I45*$J$9+$H45*$J$10,3))</f>
        <v/>
      </c>
      <c r="L45" s="470" t="str">
        <f aca="false">IF(E45="","",ROUND(E45,3))</f>
        <v/>
      </c>
      <c r="M45" s="470" t="str">
        <f aca="false">IF(F45="","",ROUND(F45,3))</f>
        <v/>
      </c>
      <c r="O45" s="345" t="s">
        <v>954</v>
      </c>
      <c r="P45" s="470" t="str">
        <f aca="false">IF(D45="","",ROUND((D45+$I45*$J$9+$H45*$J$10)/4.184,3))</f>
        <v/>
      </c>
      <c r="Q45" s="470" t="str">
        <f aca="false">IF(E45="","",ROUND(E45/4.184,3))</f>
        <v/>
      </c>
      <c r="R45" s="470" t="str">
        <f aca="false">IF(F45="","",ROUND(F45/4.184,3))</f>
        <v/>
      </c>
    </row>
    <row r="46" customFormat="false" ht="12.75" hidden="false" customHeight="false" outlineLevel="0" collapsed="false">
      <c r="C46" s="345" t="s">
        <v>963</v>
      </c>
      <c r="D46" s="621"/>
      <c r="E46" s="473"/>
      <c r="F46" s="472"/>
      <c r="G46" s="191"/>
      <c r="H46" s="474" t="n">
        <v>2</v>
      </c>
      <c r="I46" s="474" t="n">
        <v>0</v>
      </c>
      <c r="J46" s="345" t="s">
        <v>963</v>
      </c>
      <c r="K46" s="470" t="str">
        <f aca="false">IF(D46="","",ROUND(D46+$I46*$J$9+$H46*$J$10,3))</f>
        <v/>
      </c>
      <c r="L46" s="470" t="str">
        <f aca="false">IF(E46="","",ROUND(E46,3))</f>
        <v/>
      </c>
      <c r="M46" s="470" t="str">
        <f aca="false">IF(F46="","",ROUND(F46,3))</f>
        <v/>
      </c>
      <c r="O46" s="345" t="s">
        <v>963</v>
      </c>
      <c r="P46" s="470" t="str">
        <f aca="false">IF(D46="","",ROUND((D46+$I46*$J$9+$H46*$J$10)/4.184,3))</f>
        <v/>
      </c>
      <c r="Q46" s="470" t="str">
        <f aca="false">IF(E46="","",ROUND(E46/4.184,3))</f>
        <v/>
      </c>
      <c r="R46" s="470" t="str">
        <f aca="false">IF(F46="","",ROUND(F46/4.184,3))</f>
        <v/>
      </c>
    </row>
    <row r="47" customFormat="false" ht="12.75" hidden="false" customHeight="false" outlineLevel="0" collapsed="false">
      <c r="C47" s="345" t="s">
        <v>970</v>
      </c>
      <c r="D47" s="621"/>
      <c r="E47" s="473"/>
      <c r="F47" s="472"/>
      <c r="G47" s="240"/>
      <c r="H47" s="474" t="n">
        <v>2</v>
      </c>
      <c r="I47" s="474" t="n">
        <v>0</v>
      </c>
      <c r="J47" s="345" t="s">
        <v>970</v>
      </c>
      <c r="K47" s="470" t="str">
        <f aca="false">IF(D47="","",ROUND(D47+$I47*$J$9+$H47*$J$10,3))</f>
        <v/>
      </c>
      <c r="L47" s="470" t="str">
        <f aca="false">IF(E47="","",ROUND(E47,3))</f>
        <v/>
      </c>
      <c r="M47" s="470" t="str">
        <f aca="false">IF(F47="","",ROUND(F47,3))</f>
        <v/>
      </c>
      <c r="N47" s="10"/>
      <c r="O47" s="345" t="s">
        <v>970</v>
      </c>
      <c r="P47" s="470" t="str">
        <f aca="false">IF(D47="","",ROUND((D47+$I47*$J$9+$H47*$J$10)/4.184,3))</f>
        <v/>
      </c>
      <c r="Q47" s="470" t="str">
        <f aca="false">IF(E47="","",ROUND(E47/4.184,3))</f>
        <v/>
      </c>
      <c r="R47" s="470" t="str">
        <f aca="false">IF(F47="","",ROUND(F47/4.184,3))</f>
        <v/>
      </c>
    </row>
    <row r="48" customFormat="false" ht="12.75" hidden="false" customHeight="false" outlineLevel="0" collapsed="false">
      <c r="B48" s="10"/>
      <c r="C48" s="345" t="s">
        <v>975</v>
      </c>
      <c r="D48" s="620"/>
      <c r="E48" s="473"/>
      <c r="F48" s="465"/>
      <c r="G48" s="240"/>
      <c r="H48" s="474" t="n">
        <v>2</v>
      </c>
      <c r="I48" s="474" t="n">
        <v>0</v>
      </c>
      <c r="J48" s="345" t="s">
        <v>975</v>
      </c>
      <c r="K48" s="470" t="str">
        <f aca="false">IF(D48="","",ROUND(D48+$I48*$J$9+$H48*$J$10,3))</f>
        <v/>
      </c>
      <c r="L48" s="470" t="str">
        <f aca="false">IF(E48="","",ROUND(E48,3))</f>
        <v/>
      </c>
      <c r="M48" s="470" t="str">
        <f aca="false">IF(F48="","",ROUND(F48,3))</f>
        <v/>
      </c>
      <c r="N48" s="10"/>
      <c r="O48" s="345" t="s">
        <v>975</v>
      </c>
      <c r="P48" s="470" t="str">
        <f aca="false">IF(D48="","",ROUND((D48+$I48*$J$9+$H48*$J$10)/4.184,3))</f>
        <v/>
      </c>
      <c r="Q48" s="470" t="str">
        <f aca="false">IF(E48="","",ROUND(E48/4.184,3))</f>
        <v/>
      </c>
      <c r="R48" s="470" t="str">
        <f aca="false">IF(F48="","",ROUND(F48/4.184,3))</f>
        <v/>
      </c>
    </row>
    <row r="49" customFormat="false" ht="12.75" hidden="false" customHeight="false" outlineLevel="0" collapsed="false">
      <c r="B49" s="10"/>
      <c r="C49" s="345" t="s">
        <v>981</v>
      </c>
      <c r="D49" s="620"/>
      <c r="E49" s="466"/>
      <c r="F49" s="465"/>
      <c r="G49" s="240"/>
      <c r="H49" s="474" t="n">
        <v>2</v>
      </c>
      <c r="I49" s="474" t="n">
        <v>0</v>
      </c>
      <c r="J49" s="345" t="s">
        <v>981</v>
      </c>
      <c r="K49" s="470" t="str">
        <f aca="false">IF(D49="","",ROUND(D49+$I49*$J$9+$H49*$J$10,3))</f>
        <v/>
      </c>
      <c r="L49" s="470" t="str">
        <f aca="false">IF(E49="","",ROUND(E49,3))</f>
        <v/>
      </c>
      <c r="M49" s="470" t="str">
        <f aca="false">IF(F49="","",ROUND(F49,3))</f>
        <v/>
      </c>
      <c r="N49" s="10"/>
      <c r="O49" s="345" t="s">
        <v>981</v>
      </c>
      <c r="P49" s="470" t="str">
        <f aca="false">IF(D49="","",ROUND((D49+$I49*$J$9+$H49*$J$10)/4.184,3))</f>
        <v/>
      </c>
      <c r="Q49" s="470" t="str">
        <f aca="false">IF(E49="","",ROUND(E49/4.184,3))</f>
        <v/>
      </c>
      <c r="R49" s="470" t="str">
        <f aca="false">IF(F49="","",ROUND(F49/4.184,3))</f>
        <v/>
      </c>
    </row>
    <row r="50" customFormat="false" ht="12.75" hidden="false" customHeight="false" outlineLevel="0" collapsed="false">
      <c r="C50" s="345" t="s">
        <v>982</v>
      </c>
      <c r="D50" s="621" t="n">
        <v>-292.607</v>
      </c>
      <c r="E50" s="466" t="s">
        <v>1630</v>
      </c>
      <c r="F50" s="465" t="s">
        <v>1631</v>
      </c>
      <c r="G50" s="240"/>
      <c r="H50" s="474" t="n">
        <v>1</v>
      </c>
      <c r="I50" s="474" t="n">
        <v>0</v>
      </c>
      <c r="J50" s="345" t="s">
        <v>982</v>
      </c>
      <c r="K50" s="470" t="n">
        <f aca="false">IF(D50="","",ROUND(D50+$I50*$J$9+$H50*$J$10,3))</f>
        <v>-292.623</v>
      </c>
      <c r="L50" s="470" t="n">
        <f aca="false">IF(E50="","",ROUND(E50,3))</f>
        <v>-278.455</v>
      </c>
      <c r="M50" s="470" t="n">
        <f aca="false">IF(F50="","",ROUND(F50,3))</f>
        <v>11.3</v>
      </c>
      <c r="N50" s="10"/>
      <c r="O50" s="345" t="s">
        <v>982</v>
      </c>
      <c r="P50" s="470" t="n">
        <f aca="false">IF(D50="","",ROUND((D50+$I50*$J$9+$H50*$J$10)/4.184,3))</f>
        <v>-69.939</v>
      </c>
      <c r="Q50" s="470" t="n">
        <f aca="false">IF(E50="","",ROUND(E50/4.184,3))</f>
        <v>-66.552</v>
      </c>
      <c r="R50" s="470" t="n">
        <f aca="false">IF(F50="","",ROUND(F50/4.184,3))</f>
        <v>2.701</v>
      </c>
    </row>
    <row r="51" customFormat="false" ht="12.75" hidden="false" customHeight="false" outlineLevel="0" collapsed="false">
      <c r="C51" s="345" t="s">
        <v>989</v>
      </c>
      <c r="D51" s="621" t="n">
        <v>-261.885</v>
      </c>
      <c r="E51" s="466" t="s">
        <v>1636</v>
      </c>
      <c r="F51" s="465" t="s">
        <v>1637</v>
      </c>
      <c r="G51" s="191"/>
      <c r="H51" s="474" t="n">
        <v>1</v>
      </c>
      <c r="I51" s="474" t="n">
        <v>0</v>
      </c>
      <c r="J51" s="345" t="s">
        <v>989</v>
      </c>
      <c r="K51" s="470" t="n">
        <f aca="false">IF(D51="","",ROUND(D51+$I51*$J$9+$H51*$J$10,3))</f>
        <v>-261.901</v>
      </c>
      <c r="L51" s="470" t="n">
        <f aca="false">IF(E51="","",ROUND(E51,3))</f>
        <v>-240.3</v>
      </c>
      <c r="M51" s="470" t="n">
        <f aca="false">IF(F51="","",ROUND(F51,3))</f>
        <v>58.41</v>
      </c>
      <c r="O51" s="345" t="s">
        <v>989</v>
      </c>
      <c r="P51" s="470" t="n">
        <f aca="false">IF(D51="","",ROUND((D51+$I51*$J$9+$H51*$J$10)/4.184,3))</f>
        <v>-62.596</v>
      </c>
      <c r="Q51" s="470" t="n">
        <f aca="false">IF(E51="","",ROUND(E51/4.184,3))</f>
        <v>-57.433</v>
      </c>
      <c r="R51" s="470" t="n">
        <f aca="false">IF(F51="","",ROUND(F51/4.184,3))</f>
        <v>13.96</v>
      </c>
    </row>
    <row r="52" customFormat="false" ht="12.75" hidden="false" customHeight="false" outlineLevel="0" collapsed="false">
      <c r="C52" s="354" t="s">
        <v>998</v>
      </c>
      <c r="D52" s="622" t="n">
        <v>-282.475</v>
      </c>
      <c r="E52" s="494" t="s">
        <v>2048</v>
      </c>
      <c r="F52" s="490" t="s">
        <v>1643</v>
      </c>
      <c r="G52" s="191"/>
      <c r="H52" s="474" t="n">
        <v>1</v>
      </c>
      <c r="I52" s="474" t="n">
        <v>0</v>
      </c>
      <c r="J52" s="354" t="s">
        <v>998</v>
      </c>
      <c r="K52" s="470" t="n">
        <f aca="false">IF(D52="","",ROUND(D52+$I52*$J$9+$H52*$J$10,3))</f>
        <v>-282.491</v>
      </c>
      <c r="L52" s="470" t="n">
        <f aca="false">IF(E52="","",ROUND(E52,3))</f>
        <v>-252.17</v>
      </c>
      <c r="M52" s="470" t="n">
        <f aca="false">IF(F52="","",ROUND(F52,3))</f>
        <v>101.04</v>
      </c>
      <c r="O52" s="354" t="s">
        <v>998</v>
      </c>
      <c r="P52" s="470" t="n">
        <f aca="false">IF(D52="","",ROUND((D52+$I52*$J$9+$H52*$J$10)/4.184,3))</f>
        <v>-67.517</v>
      </c>
      <c r="Q52" s="470" t="n">
        <f aca="false">IF(E52="","",ROUND(E52/4.184,3))</f>
        <v>-60.27</v>
      </c>
      <c r="R52" s="470" t="n">
        <f aca="false">IF(F52="","",ROUND(F52/4.184,3))</f>
        <v>24.149</v>
      </c>
    </row>
    <row r="53" customFormat="false" ht="12.75" hidden="false" customHeight="false" outlineLevel="0" collapsed="false">
      <c r="C53" s="354" t="s">
        <v>1005</v>
      </c>
      <c r="D53" s="623" t="n">
        <v>-283.608</v>
      </c>
      <c r="E53" s="494" t="s">
        <v>1006</v>
      </c>
      <c r="F53" s="490" t="s">
        <v>1647</v>
      </c>
      <c r="G53" s="191"/>
      <c r="H53" s="474" t="n">
        <v>1</v>
      </c>
      <c r="I53" s="474" t="n">
        <v>0</v>
      </c>
      <c r="J53" s="354" t="s">
        <v>1005</v>
      </c>
      <c r="K53" s="470" t="n">
        <f aca="false">IF(D53="","",ROUND(D53+$I53*$J$9+$H53*$J$10,3))</f>
        <v>-283.624</v>
      </c>
      <c r="L53" s="470" t="n">
        <f aca="false">IF(E53="","",ROUND(E53,3))</f>
        <v>-251.12</v>
      </c>
      <c r="M53" s="470" t="n">
        <f aca="false">IF(F53="","",ROUND(F53,3))</f>
        <v>120.46</v>
      </c>
      <c r="O53" s="354" t="s">
        <v>1005</v>
      </c>
      <c r="P53" s="470" t="n">
        <f aca="false">IF(D53="","",ROUND((D53+$I53*$J$9+$H53*$J$10)/4.184,3))</f>
        <v>-67.788</v>
      </c>
      <c r="Q53" s="470" t="n">
        <f aca="false">IF(E53="","",ROUND(E53/4.184,3))</f>
        <v>-60.019</v>
      </c>
      <c r="R53" s="470" t="n">
        <f aca="false">IF(F53="","",ROUND(F53/4.184,3))</f>
        <v>28.791</v>
      </c>
    </row>
    <row r="54" customFormat="false" ht="13.5" hidden="false" customHeight="false" outlineLevel="0" collapsed="false">
      <c r="C54" s="375" t="s">
        <v>1012</v>
      </c>
      <c r="D54" s="624" t="n">
        <v>-291.7</v>
      </c>
      <c r="E54" s="497" t="s">
        <v>2049</v>
      </c>
      <c r="F54" s="496" t="s">
        <v>1650</v>
      </c>
      <c r="G54" s="191"/>
      <c r="H54" s="474" t="n">
        <v>1</v>
      </c>
      <c r="I54" s="474" t="n">
        <v>0</v>
      </c>
      <c r="J54" s="375" t="s">
        <v>1012</v>
      </c>
      <c r="K54" s="500" t="n">
        <f aca="false">IF(D54="","",ROUND(D54+$I54*$J$9+$H54*$J$10,3))</f>
        <v>-291.716</v>
      </c>
      <c r="L54" s="500" t="n">
        <f aca="false">IF(E54="","",ROUND(E54,3))</f>
        <v>-258.04</v>
      </c>
      <c r="M54" s="500" t="n">
        <f aca="false">IF(F54="","",ROUND(F54,3))</f>
        <v>132.84</v>
      </c>
      <c r="O54" s="375" t="s">
        <v>1012</v>
      </c>
      <c r="P54" s="500" t="n">
        <f aca="false">IF(D54="","",ROUND((D54+$I54*$J$9+$H54*$J$10)/4.184,3))</f>
        <v>-69.722</v>
      </c>
      <c r="Q54" s="500" t="n">
        <f aca="false">IF(E54="","",ROUND(E54/4.184,3))</f>
        <v>-61.673</v>
      </c>
      <c r="R54" s="500" t="n">
        <f aca="false">IF(F54="","",ROUND(F54/4.184,3))</f>
        <v>31.75</v>
      </c>
    </row>
    <row r="55" customFormat="false" ht="12.75" hidden="false" customHeight="false" outlineLevel="0" collapsed="false">
      <c r="C55" s="280"/>
      <c r="D55" s="274"/>
      <c r="E55" s="274"/>
      <c r="F55" s="274"/>
      <c r="G55" s="191"/>
      <c r="J55" s="280"/>
      <c r="K55" s="274"/>
      <c r="L55" s="274"/>
      <c r="M55" s="274"/>
      <c r="O55" s="280"/>
      <c r="P55" s="274"/>
      <c r="Q55" s="274"/>
      <c r="R55" s="274"/>
    </row>
    <row r="56" customFormat="false" ht="12.75" hidden="false" customHeight="false" outlineLevel="0" collapsed="false">
      <c r="C56" s="280"/>
      <c r="D56" s="274"/>
      <c r="E56" s="274"/>
      <c r="F56" s="274"/>
      <c r="G56" s="191"/>
      <c r="J56" s="280"/>
      <c r="K56" s="274"/>
      <c r="L56" s="274"/>
      <c r="M56" s="274"/>
      <c r="O56" s="280"/>
      <c r="P56" s="274"/>
      <c r="Q56" s="274"/>
      <c r="R56" s="274"/>
    </row>
    <row r="57" customFormat="false" ht="12.75" hidden="false" customHeight="false" outlineLevel="0" collapsed="false">
      <c r="C57" s="280"/>
      <c r="D57" s="274"/>
      <c r="E57" s="274"/>
      <c r="F57" s="274"/>
      <c r="G57" s="191"/>
      <c r="J57" s="280"/>
      <c r="K57" s="274"/>
      <c r="L57" s="274"/>
      <c r="M57" s="274"/>
      <c r="O57" s="280"/>
      <c r="P57" s="274"/>
      <c r="Q57" s="274"/>
      <c r="R57" s="274"/>
    </row>
    <row r="58" customFormat="false" ht="13.5" hidden="false" customHeight="false" outlineLevel="0" collapsed="false">
      <c r="C58" s="280"/>
      <c r="D58" s="274"/>
      <c r="E58" s="274"/>
      <c r="F58" s="274"/>
      <c r="G58" s="191"/>
      <c r="J58" s="280"/>
      <c r="K58" s="274"/>
      <c r="L58" s="274"/>
      <c r="M58" s="274"/>
      <c r="O58" s="280"/>
      <c r="P58" s="274"/>
      <c r="Q58" s="274"/>
      <c r="R58" s="274"/>
    </row>
    <row r="59" customFormat="false" ht="12.75" hidden="false" customHeight="false" outlineLevel="0" collapsed="false">
      <c r="C59" s="11" t="s">
        <v>1020</v>
      </c>
      <c r="D59" s="11"/>
      <c r="E59" s="11"/>
      <c r="F59" s="11"/>
      <c r="G59" s="191"/>
      <c r="J59" s="11" t="s">
        <v>1020</v>
      </c>
      <c r="K59" s="11"/>
      <c r="L59" s="11"/>
      <c r="M59" s="11"/>
      <c r="O59" s="11" t="s">
        <v>1020</v>
      </c>
      <c r="P59" s="11"/>
      <c r="Q59" s="11"/>
      <c r="R59" s="11"/>
    </row>
    <row r="60" customFormat="false" ht="14.25" hidden="false" customHeight="false" outlineLevel="0" collapsed="false">
      <c r="C60" s="16" t="s">
        <v>782</v>
      </c>
      <c r="D60" s="113" t="s">
        <v>511</v>
      </c>
      <c r="E60" s="113" t="s">
        <v>512</v>
      </c>
      <c r="F60" s="53" t="s">
        <v>513</v>
      </c>
      <c r="G60" s="191"/>
      <c r="J60" s="16" t="s">
        <v>782</v>
      </c>
      <c r="K60" s="113" t="s">
        <v>511</v>
      </c>
      <c r="L60" s="113" t="s">
        <v>512</v>
      </c>
      <c r="M60" s="53" t="s">
        <v>513</v>
      </c>
      <c r="O60" s="16" t="s">
        <v>782</v>
      </c>
      <c r="P60" s="113" t="s">
        <v>511</v>
      </c>
      <c r="Q60" s="113" t="s">
        <v>512</v>
      </c>
      <c r="R60" s="53" t="s">
        <v>513</v>
      </c>
    </row>
    <row r="61" customFormat="false" ht="15" hidden="false" customHeight="false" outlineLevel="0" collapsed="false">
      <c r="C61" s="21" t="s">
        <v>783</v>
      </c>
      <c r="D61" s="55" t="s">
        <v>784</v>
      </c>
      <c r="E61" s="55" t="s">
        <v>784</v>
      </c>
      <c r="F61" s="55" t="s">
        <v>167</v>
      </c>
      <c r="G61" s="191"/>
      <c r="J61" s="21" t="s">
        <v>783</v>
      </c>
      <c r="K61" s="55" t="s">
        <v>784</v>
      </c>
      <c r="L61" s="55" t="s">
        <v>784</v>
      </c>
      <c r="M61" s="55" t="s">
        <v>167</v>
      </c>
      <c r="O61" s="21" t="s">
        <v>783</v>
      </c>
      <c r="P61" s="55" t="s">
        <v>514</v>
      </c>
      <c r="Q61" s="55" t="s">
        <v>514</v>
      </c>
      <c r="R61" s="55" t="s">
        <v>166</v>
      </c>
    </row>
    <row r="62" customFormat="false" ht="12.75" hidden="false" customHeight="false" outlineLevel="0" collapsed="false">
      <c r="C62" s="310" t="s">
        <v>1021</v>
      </c>
      <c r="D62" s="625"/>
      <c r="E62" s="508"/>
      <c r="F62" s="508"/>
      <c r="G62" s="240"/>
      <c r="J62" s="310" t="s">
        <v>1021</v>
      </c>
      <c r="K62" s="584"/>
      <c r="L62" s="509"/>
      <c r="M62" s="509"/>
      <c r="N62" s="45"/>
      <c r="O62" s="310" t="s">
        <v>1021</v>
      </c>
      <c r="P62" s="584"/>
      <c r="Q62" s="509"/>
      <c r="R62" s="509"/>
    </row>
    <row r="63" customFormat="false" ht="12.75" hidden="false" customHeight="false" outlineLevel="0" collapsed="false">
      <c r="C63" s="313" t="s">
        <v>1022</v>
      </c>
      <c r="D63" s="626"/>
      <c r="E63" s="315"/>
      <c r="F63" s="315"/>
      <c r="G63" s="240"/>
      <c r="J63" s="313" t="s">
        <v>1022</v>
      </c>
      <c r="K63" s="585"/>
      <c r="L63" s="510"/>
      <c r="M63" s="510"/>
      <c r="N63" s="45"/>
      <c r="O63" s="313" t="s">
        <v>1022</v>
      </c>
      <c r="P63" s="585"/>
      <c r="Q63" s="510"/>
      <c r="R63" s="510"/>
    </row>
    <row r="64" customFormat="false" ht="13.5" hidden="false" customHeight="false" outlineLevel="0" collapsed="false">
      <c r="C64" s="317" t="s">
        <v>1023</v>
      </c>
      <c r="D64" s="627"/>
      <c r="E64" s="500"/>
      <c r="F64" s="502"/>
      <c r="G64" s="240"/>
      <c r="J64" s="317" t="s">
        <v>1023</v>
      </c>
      <c r="K64" s="587"/>
      <c r="L64" s="512"/>
      <c r="M64" s="512"/>
      <c r="N64" s="45"/>
      <c r="O64" s="317" t="s">
        <v>1023</v>
      </c>
      <c r="P64" s="587"/>
      <c r="Q64" s="512"/>
      <c r="R64" s="512"/>
    </row>
    <row r="65" customFormat="false" ht="12.75" hidden="false" customHeight="false" outlineLevel="0" collapsed="false">
      <c r="C65" s="280"/>
      <c r="D65" s="274"/>
      <c r="E65" s="274"/>
      <c r="F65" s="274"/>
      <c r="G65" s="191"/>
      <c r="J65" s="280"/>
      <c r="K65" s="274"/>
      <c r="L65" s="274"/>
      <c r="M65" s="274"/>
      <c r="O65" s="280"/>
      <c r="P65" s="274"/>
      <c r="Q65" s="274"/>
      <c r="R65" s="274"/>
    </row>
    <row r="66" customFormat="false" ht="12.75" hidden="false" customHeight="false" outlineLevel="0" collapsed="false">
      <c r="C66" s="280"/>
      <c r="D66" s="274"/>
      <c r="E66" s="274"/>
      <c r="F66" s="274"/>
      <c r="G66" s="191"/>
      <c r="J66" s="280"/>
      <c r="K66" s="274"/>
      <c r="L66" s="274"/>
      <c r="M66" s="274"/>
      <c r="O66" s="280"/>
      <c r="P66" s="274"/>
      <c r="Q66" s="274"/>
      <c r="R66" s="274"/>
    </row>
    <row r="67" customFormat="false" ht="12.75" hidden="false" customHeight="false" outlineLevel="0" collapsed="false">
      <c r="C67" s="280"/>
      <c r="D67" s="274"/>
      <c r="E67" s="274"/>
      <c r="F67" s="274"/>
      <c r="G67" s="191"/>
      <c r="J67" s="280"/>
      <c r="K67" s="274"/>
      <c r="L67" s="274"/>
      <c r="M67" s="274"/>
      <c r="O67" s="280"/>
      <c r="P67" s="274"/>
      <c r="Q67" s="274"/>
      <c r="R67" s="274"/>
    </row>
    <row r="68" customFormat="false" ht="13.5" hidden="false" customHeight="false" outlineLevel="0" collapsed="false">
      <c r="C68" s="274"/>
      <c r="D68" s="274"/>
      <c r="E68" s="274"/>
      <c r="F68" s="274"/>
      <c r="G68" s="191"/>
      <c r="J68" s="274"/>
      <c r="K68" s="274"/>
      <c r="L68" s="274"/>
      <c r="M68" s="274"/>
      <c r="O68" s="274"/>
      <c r="P68" s="274"/>
      <c r="Q68" s="274"/>
      <c r="R68" s="274"/>
    </row>
    <row r="69" customFormat="false" ht="12.75" hidden="false" customHeight="false" outlineLevel="0" collapsed="false">
      <c r="C69" s="11"/>
      <c r="D69" s="11"/>
      <c r="E69" s="11"/>
      <c r="F69" s="11"/>
      <c r="G69" s="191"/>
      <c r="H69" s="520" t="s">
        <v>1024</v>
      </c>
      <c r="I69" s="50"/>
      <c r="J69" s="11"/>
      <c r="K69" s="11"/>
      <c r="L69" s="11"/>
      <c r="M69" s="11"/>
      <c r="O69" s="11"/>
      <c r="P69" s="11"/>
      <c r="Q69" s="11"/>
      <c r="R69" s="11"/>
    </row>
    <row r="70" customFormat="false" ht="14.25" hidden="false" customHeight="false" outlineLevel="0" collapsed="false">
      <c r="C70" s="16" t="s">
        <v>1024</v>
      </c>
      <c r="D70" s="113" t="s">
        <v>511</v>
      </c>
      <c r="E70" s="113" t="s">
        <v>512</v>
      </c>
      <c r="F70" s="53" t="s">
        <v>513</v>
      </c>
      <c r="G70" s="191"/>
      <c r="H70" s="522" t="s">
        <v>1305</v>
      </c>
      <c r="I70" s="53" t="s">
        <v>1214</v>
      </c>
      <c r="J70" s="16" t="s">
        <v>1024</v>
      </c>
      <c r="K70" s="113" t="s">
        <v>511</v>
      </c>
      <c r="L70" s="113" t="s">
        <v>512</v>
      </c>
      <c r="M70" s="53" t="s">
        <v>513</v>
      </c>
      <c r="O70" s="16" t="s">
        <v>1024</v>
      </c>
      <c r="P70" s="113" t="s">
        <v>511</v>
      </c>
      <c r="Q70" s="113" t="s">
        <v>512</v>
      </c>
      <c r="R70" s="53" t="s">
        <v>513</v>
      </c>
    </row>
    <row r="71" customFormat="false" ht="15" hidden="false" customHeight="false" outlineLevel="0" collapsed="false">
      <c r="C71" s="21" t="s">
        <v>783</v>
      </c>
      <c r="D71" s="55" t="s">
        <v>784</v>
      </c>
      <c r="E71" s="55" t="s">
        <v>784</v>
      </c>
      <c r="F71" s="55" t="s">
        <v>167</v>
      </c>
      <c r="G71" s="191"/>
      <c r="H71" s="524" t="s">
        <v>28</v>
      </c>
      <c r="I71" s="464"/>
      <c r="J71" s="21" t="s">
        <v>783</v>
      </c>
      <c r="K71" s="55" t="s">
        <v>784</v>
      </c>
      <c r="L71" s="55" t="s">
        <v>784</v>
      </c>
      <c r="M71" s="55" t="s">
        <v>167</v>
      </c>
      <c r="O71" s="21" t="s">
        <v>783</v>
      </c>
      <c r="P71" s="55" t="s">
        <v>514</v>
      </c>
      <c r="Q71" s="55" t="s">
        <v>514</v>
      </c>
      <c r="R71" s="55" t="s">
        <v>166</v>
      </c>
    </row>
    <row r="72" customFormat="false" ht="12.75" hidden="false" customHeight="false" outlineLevel="0" collapsed="false">
      <c r="B72" s="10"/>
      <c r="C72" s="525" t="s">
        <v>1025</v>
      </c>
      <c r="D72" s="628" t="n">
        <v>0</v>
      </c>
      <c r="E72" s="527" t="s">
        <v>786</v>
      </c>
      <c r="F72" s="526" t="s">
        <v>2050</v>
      </c>
      <c r="G72" s="213"/>
      <c r="H72" s="528" t="n">
        <v>1</v>
      </c>
      <c r="I72" s="529" t="n">
        <v>1</v>
      </c>
      <c r="J72" s="530" t="s">
        <v>1025</v>
      </c>
      <c r="K72" s="469" t="n">
        <f aca="false">IF(D72="","",ROUND(D72+($I72-$H72)*$J$9,3))</f>
        <v>0</v>
      </c>
      <c r="L72" s="469" t="n">
        <f aca="false">IF(E72="","",ROUND(E72,3))</f>
        <v>0</v>
      </c>
      <c r="M72" s="469" t="n">
        <f aca="false">IF(F72="","",ROUND(F72+$H72*$J$8,3))</f>
        <v>205.146</v>
      </c>
      <c r="O72" s="530" t="s">
        <v>1025</v>
      </c>
      <c r="P72" s="469" t="n">
        <f aca="false">IF(D72="","",ROUND((D72+($I72-$H72)*$J$9)/4.184,3))</f>
        <v>0</v>
      </c>
      <c r="Q72" s="469" t="n">
        <f aca="false">IF(E72="","",ROUND(E72/4.184,3))</f>
        <v>0</v>
      </c>
      <c r="R72" s="469" t="n">
        <f aca="false">IF(F72="","",ROUND((F72+$H72*$J$8)/4.184,3))</f>
        <v>49.031</v>
      </c>
    </row>
    <row r="73" customFormat="false" ht="12.75" hidden="false" customHeight="false" outlineLevel="0" collapsed="false">
      <c r="B73" s="10"/>
      <c r="C73" s="354" t="s">
        <v>1026</v>
      </c>
      <c r="D73" s="620" t="n">
        <v>0</v>
      </c>
      <c r="E73" s="466" t="s">
        <v>786</v>
      </c>
      <c r="F73" s="465" t="s">
        <v>541</v>
      </c>
      <c r="G73" s="213"/>
      <c r="H73" s="532" t="n">
        <v>1</v>
      </c>
      <c r="I73" s="533" t="n">
        <v>1</v>
      </c>
      <c r="J73" s="534" t="s">
        <v>1026</v>
      </c>
      <c r="K73" s="470" t="n">
        <f aca="false">IF(D73="","",ROUND(D73+($I73-$H73)*$J$9,3))</f>
        <v>0</v>
      </c>
      <c r="L73" s="470" t="n">
        <f aca="false">IF(E73="","",ROUND(E73,3))</f>
        <v>0</v>
      </c>
      <c r="M73" s="470" t="n">
        <f aca="false">IF(F73="","",ROUND(F73+$H73*$J$8,3))</f>
        <v>130.679</v>
      </c>
      <c r="O73" s="534" t="s">
        <v>1026</v>
      </c>
      <c r="P73" s="470" t="n">
        <f aca="false">IF(D73="","",ROUND((D73+($I73-$H73)*$J$9)/4.184,3))</f>
        <v>0</v>
      </c>
      <c r="Q73" s="470" t="n">
        <f aca="false">IF(E73="","",ROUND(E73/4.184,3))</f>
        <v>0</v>
      </c>
      <c r="R73" s="470" t="n">
        <f aca="false">IF(F73="","",ROUND((F73+$H73*$J$8)/4.184,3))</f>
        <v>31.233</v>
      </c>
    </row>
    <row r="74" customFormat="false" ht="12.75" hidden="false" customHeight="false" outlineLevel="0" collapsed="false">
      <c r="B74" s="10"/>
      <c r="C74" s="345" t="s">
        <v>1027</v>
      </c>
      <c r="D74" s="620" t="n">
        <v>-228.587</v>
      </c>
      <c r="E74" s="466" t="s">
        <v>1669</v>
      </c>
      <c r="F74" s="465" t="s">
        <v>2051</v>
      </c>
      <c r="G74" s="213"/>
      <c r="H74" s="532" t="n">
        <v>1</v>
      </c>
      <c r="I74" s="533" t="n">
        <v>1.5</v>
      </c>
      <c r="J74" s="535" t="s">
        <v>1027</v>
      </c>
      <c r="K74" s="470" t="n">
        <f aca="false">IF(D74="","",ROUND(D74+($I74-$H74)*$J$9,3))</f>
        <v>-228.571</v>
      </c>
      <c r="L74" s="470" t="n">
        <f aca="false">IF(E74="","",ROUND(E74,3))</f>
        <v>-241.814</v>
      </c>
      <c r="M74" s="470" t="n">
        <f aca="false">IF(F74="","",ROUND(F74+$H74*$J$8,3))</f>
        <v>188.833</v>
      </c>
      <c r="O74" s="535" t="s">
        <v>1027</v>
      </c>
      <c r="P74" s="470" t="n">
        <f aca="false">IF(D74="","",ROUND((D74+($I74-$H74)*$J$9)/4.184,3))</f>
        <v>-54.63</v>
      </c>
      <c r="Q74" s="470" t="n">
        <f aca="false">IF(E74="","",ROUND(E74/4.184,3))</f>
        <v>-57.795</v>
      </c>
      <c r="R74" s="470" t="n">
        <f aca="false">IF(F74="","",ROUND((F74+$H74*$J$8)/4.184,3))</f>
        <v>45.132</v>
      </c>
    </row>
    <row r="75" customFormat="false" ht="13.5" hidden="false" customHeight="false" outlineLevel="0" collapsed="false">
      <c r="B75" s="10"/>
      <c r="C75" s="375" t="s">
        <v>1031</v>
      </c>
      <c r="D75" s="624" t="n">
        <v>-394.375</v>
      </c>
      <c r="E75" s="497" t="s">
        <v>1032</v>
      </c>
      <c r="F75" s="496" t="s">
        <v>2052</v>
      </c>
      <c r="G75" s="213"/>
      <c r="H75" s="536" t="n">
        <v>1</v>
      </c>
      <c r="I75" s="537" t="n">
        <v>1</v>
      </c>
      <c r="J75" s="538" t="s">
        <v>1031</v>
      </c>
      <c r="K75" s="500" t="n">
        <f aca="false">IF(D75="","",ROUND(D75+($I75-$H75)*$J$9,3))</f>
        <v>-394.375</v>
      </c>
      <c r="L75" s="500" t="n">
        <f aca="false">IF(E75="","",ROUND(E75,3))</f>
        <v>-393.51</v>
      </c>
      <c r="M75" s="500" t="n">
        <f aca="false">IF(F75="","",ROUND(F75+$H75*$J$8,3))</f>
        <v>213.786</v>
      </c>
      <c r="O75" s="538" t="s">
        <v>1031</v>
      </c>
      <c r="P75" s="500" t="n">
        <f aca="false">IF(D75="","",ROUND((D75+($I75-$H75)*$J$9)/4.184,3))</f>
        <v>-94.258</v>
      </c>
      <c r="Q75" s="500" t="n">
        <f aca="false">IF(E75="","",ROUND(E75/4.184,3))</f>
        <v>-94.051</v>
      </c>
      <c r="R75" s="500" t="n">
        <f aca="false">IF(F75="","",ROUND((F75+$H75*$J$8)/4.184,3))</f>
        <v>51.096</v>
      </c>
    </row>
    <row r="76" customFormat="false" ht="12.75" hidden="false" customHeight="false" outlineLevel="0" collapsed="false">
      <c r="C76" s="280"/>
      <c r="D76" s="274"/>
      <c r="E76" s="274"/>
      <c r="F76" s="274"/>
      <c r="J76" s="280"/>
      <c r="K76" s="274"/>
      <c r="L76" s="274"/>
      <c r="M76" s="274"/>
      <c r="O76" s="280"/>
      <c r="P76" s="274"/>
      <c r="Q76" s="274"/>
      <c r="R76" s="274"/>
    </row>
    <row r="77" customFormat="false" ht="12.75" hidden="false" customHeight="false" outlineLevel="0" collapsed="false">
      <c r="C77" s="280"/>
      <c r="D77" s="274"/>
      <c r="E77" s="274"/>
      <c r="F77" s="274"/>
      <c r="J77" s="280"/>
      <c r="K77" s="274"/>
      <c r="L77" s="274"/>
      <c r="M77" s="274"/>
      <c r="O77" s="280"/>
      <c r="P77" s="274"/>
      <c r="Q77" s="274"/>
      <c r="R77" s="274"/>
    </row>
    <row r="78" customFormat="false" ht="12.75" hidden="false" customHeight="false" outlineLevel="0" collapsed="false">
      <c r="C78" s="280"/>
      <c r="D78" s="274"/>
      <c r="E78" s="274"/>
      <c r="F78" s="274"/>
      <c r="J78" s="280"/>
      <c r="K78" s="274"/>
      <c r="L78" s="274"/>
      <c r="M78" s="274"/>
      <c r="O78" s="280"/>
      <c r="P78" s="274"/>
      <c r="Q78" s="274"/>
      <c r="R78" s="274"/>
    </row>
    <row r="79" customFormat="false" ht="13.5" hidden="false" customHeight="false" outlineLevel="0" collapsed="false">
      <c r="C79" s="280"/>
      <c r="D79" s="274"/>
      <c r="E79" s="274"/>
      <c r="F79" s="274"/>
      <c r="J79" s="280"/>
      <c r="K79" s="274"/>
      <c r="L79" s="274"/>
      <c r="M79" s="274"/>
      <c r="O79" s="280"/>
      <c r="P79" s="274"/>
      <c r="Q79" s="274"/>
      <c r="R79" s="274"/>
    </row>
    <row r="80" customFormat="false" ht="12.75" hidden="false" customHeight="false" outlineLevel="0" collapsed="false">
      <c r="B80" s="11"/>
      <c r="C80" s="11"/>
      <c r="D80" s="11"/>
      <c r="E80" s="11"/>
      <c r="F80" s="11"/>
      <c r="G80" s="210"/>
      <c r="H80" s="618"/>
      <c r="I80" s="50"/>
      <c r="J80" s="11"/>
      <c r="K80" s="11"/>
      <c r="L80" s="11"/>
      <c r="M80" s="11"/>
      <c r="O80" s="11"/>
      <c r="P80" s="11"/>
      <c r="Q80" s="11"/>
      <c r="R80" s="11"/>
    </row>
    <row r="81" customFormat="false" ht="14.25" hidden="false" customHeight="false" outlineLevel="0" collapsed="false">
      <c r="B81" s="16" t="s">
        <v>1039</v>
      </c>
      <c r="C81" s="16" t="s">
        <v>1039</v>
      </c>
      <c r="D81" s="113" t="s">
        <v>511</v>
      </c>
      <c r="E81" s="113" t="s">
        <v>512</v>
      </c>
      <c r="F81" s="53" t="s">
        <v>513</v>
      </c>
      <c r="G81" s="210"/>
      <c r="H81" s="618"/>
      <c r="I81" s="53" t="s">
        <v>1214</v>
      </c>
      <c r="J81" s="16" t="s">
        <v>1039</v>
      </c>
      <c r="K81" s="113" t="s">
        <v>511</v>
      </c>
      <c r="L81" s="113" t="s">
        <v>512</v>
      </c>
      <c r="M81" s="53" t="s">
        <v>513</v>
      </c>
      <c r="O81" s="16" t="s">
        <v>1039</v>
      </c>
      <c r="P81" s="113" t="s">
        <v>511</v>
      </c>
      <c r="Q81" s="113" t="s">
        <v>512</v>
      </c>
      <c r="R81" s="53" t="s">
        <v>513</v>
      </c>
    </row>
    <row r="82" customFormat="false" ht="15" hidden="false" customHeight="false" outlineLevel="0" collapsed="false">
      <c r="B82" s="21" t="s">
        <v>1040</v>
      </c>
      <c r="C82" s="21" t="s">
        <v>783</v>
      </c>
      <c r="D82" s="55" t="s">
        <v>784</v>
      </c>
      <c r="E82" s="55" t="s">
        <v>784</v>
      </c>
      <c r="F82" s="55" t="s">
        <v>167</v>
      </c>
      <c r="G82" s="210"/>
      <c r="H82" s="618"/>
      <c r="I82" s="464"/>
      <c r="J82" s="21" t="s">
        <v>783</v>
      </c>
      <c r="K82" s="55" t="s">
        <v>784</v>
      </c>
      <c r="L82" s="55" t="s">
        <v>784</v>
      </c>
      <c r="M82" s="55" t="s">
        <v>167</v>
      </c>
      <c r="O82" s="21" t="s">
        <v>783</v>
      </c>
      <c r="P82" s="55" t="s">
        <v>514</v>
      </c>
      <c r="Q82" s="55" t="s">
        <v>514</v>
      </c>
      <c r="R82" s="55" t="s">
        <v>166</v>
      </c>
    </row>
    <row r="83" customFormat="false" ht="12.75" hidden="false" customHeight="false" outlineLevel="0" collapsed="false">
      <c r="A83" s="10"/>
      <c r="B83" s="335" t="s">
        <v>187</v>
      </c>
      <c r="C83" s="335" t="s">
        <v>187</v>
      </c>
      <c r="D83" s="628"/>
      <c r="E83" s="539"/>
      <c r="F83" s="337"/>
      <c r="G83" s="210"/>
      <c r="H83" s="618"/>
      <c r="I83" s="467" t="n">
        <v>0</v>
      </c>
      <c r="J83" s="544" t="s">
        <v>187</v>
      </c>
      <c r="K83" s="469" t="str">
        <f aca="false">IF(D83="","",ROUND(D83+$I83*$J$9,3))</f>
        <v/>
      </c>
      <c r="L83" s="469" t="str">
        <f aca="false">IF(E83="","",ROUND(E83,3))</f>
        <v/>
      </c>
      <c r="M83" s="469" t="str">
        <f aca="false">IF(F83="","",ROUND(F83,3))</f>
        <v/>
      </c>
      <c r="O83" s="544" t="s">
        <v>187</v>
      </c>
      <c r="P83" s="469" t="str">
        <f aca="false">IF(D83="","",ROUND((D83+$I83*$J$9)/4.184,3))</f>
        <v/>
      </c>
      <c r="Q83" s="469" t="str">
        <f aca="false">IF(E83="","",ROUND(E83/4.184,3))</f>
        <v/>
      </c>
      <c r="R83" s="469" t="str">
        <f aca="false">IF(F83="","",ROUND(F83/4.184,3))</f>
        <v/>
      </c>
    </row>
    <row r="84" customFormat="false" ht="12.75" hidden="false" customHeight="false" outlineLevel="0" collapsed="false">
      <c r="A84" s="10"/>
      <c r="B84" s="342" t="s">
        <v>188</v>
      </c>
      <c r="C84" s="342" t="s">
        <v>188</v>
      </c>
      <c r="D84" s="620"/>
      <c r="E84" s="549"/>
      <c r="F84" s="292"/>
      <c r="G84" s="210"/>
      <c r="H84" s="618"/>
      <c r="I84" s="474" t="n">
        <v>0</v>
      </c>
      <c r="J84" s="550" t="s">
        <v>188</v>
      </c>
      <c r="K84" s="470" t="str">
        <f aca="false">IF(D84="","",ROUND(D84+$I84*$J$9,3))</f>
        <v/>
      </c>
      <c r="L84" s="470" t="str">
        <f aca="false">IF(E84="","",ROUND(E84,3))</f>
        <v/>
      </c>
      <c r="M84" s="470" t="str">
        <f aca="false">IF(F84="","",ROUND(F84,3))</f>
        <v/>
      </c>
      <c r="O84" s="550" t="s">
        <v>188</v>
      </c>
      <c r="P84" s="470" t="str">
        <f aca="false">IF(D84="","",ROUND((D84+$I84*$J$9)/4.184,3))</f>
        <v/>
      </c>
      <c r="Q84" s="470" t="str">
        <f aca="false">IF(E84="","",ROUND(E84/4.184,3))</f>
        <v/>
      </c>
      <c r="R84" s="470" t="str">
        <f aca="false">IF(F84="","",ROUND(F84/4.184,3))</f>
        <v/>
      </c>
    </row>
    <row r="85" customFormat="false" ht="12.75" hidden="false" customHeight="false" outlineLevel="0" collapsed="false">
      <c r="A85" s="10"/>
      <c r="B85" s="345" t="s">
        <v>1041</v>
      </c>
      <c r="C85" s="345" t="s">
        <v>1041</v>
      </c>
      <c r="D85" s="620"/>
      <c r="E85" s="549"/>
      <c r="F85" s="292"/>
      <c r="G85" s="210"/>
      <c r="H85" s="618"/>
      <c r="I85" s="474" t="n">
        <v>5</v>
      </c>
      <c r="J85" s="535" t="s">
        <v>1041</v>
      </c>
      <c r="K85" s="470" t="str">
        <f aca="false">IF(D85="","",ROUND(D85+$I85*$J$9,3))</f>
        <v/>
      </c>
      <c r="L85" s="470" t="str">
        <f aca="false">IF(E85="","",ROUND(E85,3))</f>
        <v/>
      </c>
      <c r="M85" s="470" t="str">
        <f aca="false">IF(F85="","",ROUND(F85,3))</f>
        <v/>
      </c>
      <c r="O85" s="535" t="s">
        <v>1041</v>
      </c>
      <c r="P85" s="470" t="str">
        <f aca="false">IF(D85="","",ROUND((D85+$I85*$J$9)/4.184,3))</f>
        <v/>
      </c>
      <c r="Q85" s="470" t="str">
        <f aca="false">IF(E85="","",ROUND(E85/4.184,3))</f>
        <v/>
      </c>
      <c r="R85" s="470" t="str">
        <f aca="false">IF(F85="","",ROUND(F85/4.184,3))</f>
        <v/>
      </c>
    </row>
    <row r="86" customFormat="false" ht="12.75" hidden="false" customHeight="false" outlineLevel="0" collapsed="false">
      <c r="A86" s="10"/>
      <c r="B86" s="342" t="s">
        <v>1042</v>
      </c>
      <c r="C86" s="345" t="s">
        <v>1043</v>
      </c>
      <c r="D86" s="620" t="n">
        <v>-856.321</v>
      </c>
      <c r="E86" s="549" t="s">
        <v>1044</v>
      </c>
      <c r="F86" s="292" t="s">
        <v>1045</v>
      </c>
      <c r="G86" s="210"/>
      <c r="H86" s="618"/>
      <c r="I86" s="474" t="n">
        <v>1</v>
      </c>
      <c r="J86" s="535" t="s">
        <v>1043</v>
      </c>
      <c r="K86" s="470" t="n">
        <f aca="false">IF(D86="","",ROUND(D86+$I86*$J$9,3))</f>
        <v>-856.288</v>
      </c>
      <c r="L86" s="470" t="n">
        <f aca="false">IF(E86="","",ROUND(E86,3))</f>
        <v>-910.7</v>
      </c>
      <c r="M86" s="470" t="n">
        <f aca="false">IF(F86="","",ROUND(F86,3))</f>
        <v>41.46</v>
      </c>
      <c r="N86" s="10"/>
      <c r="O86" s="535" t="s">
        <v>1043</v>
      </c>
      <c r="P86" s="470" t="n">
        <f aca="false">IF(D86="","",ROUND((D86+$I86*$J$9)/4.184,3))</f>
        <v>-204.658</v>
      </c>
      <c r="Q86" s="470" t="n">
        <f aca="false">IF(E86="","",ROUND(E86/4.184,3))</f>
        <v>-217.663</v>
      </c>
      <c r="R86" s="470" t="n">
        <f aca="false">IF(F86="","",ROUND(F86/4.184,3))</f>
        <v>9.909</v>
      </c>
    </row>
    <row r="87" customFormat="false" ht="12.75" hidden="false" customHeight="false" outlineLevel="0" collapsed="false">
      <c r="A87" s="10"/>
      <c r="B87" s="345" t="s">
        <v>1050</v>
      </c>
      <c r="C87" s="345" t="s">
        <v>1050</v>
      </c>
      <c r="D87" s="620" t="n">
        <v>-1194.375</v>
      </c>
      <c r="E87" s="549" t="s">
        <v>1051</v>
      </c>
      <c r="F87" s="292" t="s">
        <v>1053</v>
      </c>
      <c r="G87" s="210"/>
      <c r="H87" s="618"/>
      <c r="I87" s="474" t="n">
        <v>1.5</v>
      </c>
      <c r="J87" s="535" t="s">
        <v>1050</v>
      </c>
      <c r="K87" s="470" t="n">
        <f aca="false">IF(D87="","",ROUND(D87+$I87*$J$9,3))</f>
        <v>-1194.326</v>
      </c>
      <c r="L87" s="470" t="n">
        <f aca="false">IF(E87="","",ROUND(E87,3))</f>
        <v>-1273.5</v>
      </c>
      <c r="M87" s="470" t="n">
        <f aca="false">IF(F87="","",ROUND(F87,3))</f>
        <v>53.97</v>
      </c>
      <c r="N87" s="10"/>
      <c r="O87" s="535" t="s">
        <v>1050</v>
      </c>
      <c r="P87" s="470" t="n">
        <f aca="false">IF(D87="","",ROUND((D87+$I87*$J$9)/4.184,3))</f>
        <v>-285.451</v>
      </c>
      <c r="Q87" s="470" t="n">
        <f aca="false">IF(E87="","",ROUND(E87/4.184,3))</f>
        <v>-304.374</v>
      </c>
      <c r="R87" s="470" t="n">
        <f aca="false">IF(F87="","",ROUND(F87/4.184,3))</f>
        <v>12.899</v>
      </c>
    </row>
    <row r="88" customFormat="false" ht="12.75" hidden="false" customHeight="false" outlineLevel="0" collapsed="false">
      <c r="A88" s="10"/>
      <c r="B88" s="345" t="s">
        <v>1058</v>
      </c>
      <c r="C88" s="345" t="s">
        <v>1059</v>
      </c>
      <c r="D88" s="620"/>
      <c r="E88" s="549"/>
      <c r="F88" s="292"/>
      <c r="G88" s="210"/>
      <c r="H88" s="618"/>
      <c r="I88" s="474" t="n">
        <v>3</v>
      </c>
      <c r="J88" s="535" t="s">
        <v>1059</v>
      </c>
      <c r="K88" s="470" t="str">
        <f aca="false">IF(D88="","",ROUND(D88+$I88*$J$9,3))</f>
        <v/>
      </c>
      <c r="L88" s="470" t="str">
        <f aca="false">IF(E88="","",ROUND(E88,3))</f>
        <v/>
      </c>
      <c r="M88" s="470" t="str">
        <f aca="false">IF(F88="","",ROUND(F88,3))</f>
        <v/>
      </c>
      <c r="N88" s="10"/>
      <c r="O88" s="535" t="s">
        <v>1059</v>
      </c>
      <c r="P88" s="470" t="str">
        <f aca="false">IF(D88="","",ROUND((D88+$I88*$J$9)/4.184,3))</f>
        <v/>
      </c>
      <c r="Q88" s="470" t="str">
        <f aca="false">IF(E88="","",ROUND(E88/4.184,3))</f>
        <v/>
      </c>
      <c r="R88" s="470" t="str">
        <f aca="false">IF(F88="","",ROUND(F88/4.184,3))</f>
        <v/>
      </c>
    </row>
    <row r="89" customFormat="false" ht="12.75" hidden="false" customHeight="false" outlineLevel="0" collapsed="false">
      <c r="A89" s="10"/>
      <c r="B89" s="342" t="s">
        <v>1066</v>
      </c>
      <c r="C89" s="345" t="s">
        <v>1067</v>
      </c>
      <c r="D89" s="620" t="n">
        <v>-1582.309</v>
      </c>
      <c r="E89" s="549" t="s">
        <v>1068</v>
      </c>
      <c r="F89" s="292" t="s">
        <v>1069</v>
      </c>
      <c r="G89" s="210"/>
      <c r="H89" s="618"/>
      <c r="I89" s="474" t="n">
        <v>1.5</v>
      </c>
      <c r="J89" s="535" t="s">
        <v>1067</v>
      </c>
      <c r="K89" s="470" t="n">
        <f aca="false">IF(D89="","",ROUND(D89+$I89*$J$9,3))</f>
        <v>-1582.26</v>
      </c>
      <c r="L89" s="470" t="n">
        <f aca="false">IF(E89="","",ROUND(E89,3))</f>
        <v>-1675.7</v>
      </c>
      <c r="M89" s="470" t="n">
        <f aca="false">IF(F89="","",ROUND(F89,3))</f>
        <v>50.92</v>
      </c>
      <c r="N89" s="10"/>
      <c r="O89" s="535" t="s">
        <v>1067</v>
      </c>
      <c r="P89" s="470" t="n">
        <f aca="false">IF(D89="","",ROUND((D89+$I89*$J$9)/4.184,3))</f>
        <v>-378.169</v>
      </c>
      <c r="Q89" s="470" t="n">
        <f aca="false">IF(E89="","",ROUND(E89/4.184,3))</f>
        <v>-400.502</v>
      </c>
      <c r="R89" s="470" t="n">
        <f aca="false">IF(F89="","",ROUND(F89/4.184,3))</f>
        <v>12.17</v>
      </c>
    </row>
    <row r="90" customFormat="false" ht="12.75" hidden="false" customHeight="false" outlineLevel="0" collapsed="false">
      <c r="A90" s="10"/>
      <c r="B90" s="342" t="s">
        <v>1075</v>
      </c>
      <c r="C90" s="345" t="s">
        <v>1076</v>
      </c>
      <c r="D90" s="620"/>
      <c r="E90" s="549"/>
      <c r="F90" s="292"/>
      <c r="G90" s="210"/>
      <c r="H90" s="618"/>
      <c r="I90" s="474" t="n">
        <v>3</v>
      </c>
      <c r="J90" s="535" t="s">
        <v>1076</v>
      </c>
      <c r="K90" s="470" t="str">
        <f aca="false">IF(D90="","",ROUND(D90+$I90*$J$9,3))</f>
        <v/>
      </c>
      <c r="L90" s="470" t="str">
        <f aca="false">IF(E90="","",ROUND(E90,3))</f>
        <v/>
      </c>
      <c r="M90" s="470" t="str">
        <f aca="false">IF(F90="","",ROUND(F90,3))</f>
        <v/>
      </c>
      <c r="N90" s="10"/>
      <c r="O90" s="535" t="s">
        <v>1076</v>
      </c>
      <c r="P90" s="470" t="str">
        <f aca="false">IF(D90="","",ROUND((D90+$I90*$J$9)/4.184,3))</f>
        <v/>
      </c>
      <c r="Q90" s="470" t="str">
        <f aca="false">IF(E90="","",ROUND(E90/4.184,3))</f>
        <v/>
      </c>
      <c r="R90" s="470" t="str">
        <f aca="false">IF(F90="","",ROUND(F90/4.184,3))</f>
        <v/>
      </c>
    </row>
    <row r="91" customFormat="false" ht="12.75" hidden="false" customHeight="false" outlineLevel="0" collapsed="false">
      <c r="A91" s="10"/>
      <c r="B91" s="342" t="s">
        <v>1080</v>
      </c>
      <c r="C91" s="345" t="s">
        <v>1080</v>
      </c>
      <c r="D91" s="620"/>
      <c r="E91" s="549"/>
      <c r="F91" s="292"/>
      <c r="G91" s="210"/>
      <c r="H91" s="618"/>
      <c r="I91" s="474" t="n">
        <v>10.5</v>
      </c>
      <c r="J91" s="535" t="s">
        <v>1080</v>
      </c>
      <c r="K91" s="470" t="str">
        <f aca="false">IF(D91="","",ROUND(D91+$I91*$J$9,3))</f>
        <v/>
      </c>
      <c r="L91" s="470" t="str">
        <f aca="false">IF(E91="","",ROUND(E91,3))</f>
        <v/>
      </c>
      <c r="M91" s="470" t="str">
        <f aca="false">IF(F91="","",ROUND(F91,3))</f>
        <v/>
      </c>
      <c r="N91" s="133"/>
      <c r="O91" s="535" t="s">
        <v>1080</v>
      </c>
      <c r="P91" s="470" t="str">
        <f aca="false">IF(D91="","",ROUND((D91+$I91*$J$9)/4.184,3))</f>
        <v/>
      </c>
      <c r="Q91" s="470" t="str">
        <f aca="false">IF(E91="","",ROUND(E91/4.184,3))</f>
        <v/>
      </c>
      <c r="R91" s="470" t="str">
        <f aca="false">IF(F91="","",ROUND(F91/4.184,3))</f>
        <v/>
      </c>
    </row>
    <row r="92" customFormat="false" ht="12.75" hidden="false" customHeight="false" outlineLevel="0" collapsed="false">
      <c r="A92" s="10"/>
      <c r="B92" s="342" t="s">
        <v>1084</v>
      </c>
      <c r="C92" s="345" t="s">
        <v>1085</v>
      </c>
      <c r="D92" s="620"/>
      <c r="E92" s="549"/>
      <c r="F92" s="292"/>
      <c r="G92" s="210"/>
      <c r="H92" s="618"/>
      <c r="I92" s="474" t="n">
        <v>2.5</v>
      </c>
      <c r="J92" s="535" t="s">
        <v>1085</v>
      </c>
      <c r="K92" s="470" t="str">
        <f aca="false">IF(D92="","",ROUND(D92+$I92*$J$9,3))</f>
        <v/>
      </c>
      <c r="L92" s="470" t="str">
        <f aca="false">IF(E92="","",ROUND(E92,3))</f>
        <v/>
      </c>
      <c r="M92" s="470" t="str">
        <f aca="false">IF(F92="","",ROUND(F92,3))</f>
        <v/>
      </c>
      <c r="N92" s="133"/>
      <c r="O92" s="535" t="s">
        <v>1085</v>
      </c>
      <c r="P92" s="470" t="str">
        <f aca="false">IF(D92="","",ROUND((D92+$I92*$J$9)/4.184,3))</f>
        <v/>
      </c>
      <c r="Q92" s="470" t="str">
        <f aca="false">IF(E92="","",ROUND(E92/4.184,3))</f>
        <v/>
      </c>
      <c r="R92" s="470" t="str">
        <f aca="false">IF(F92="","",ROUND(F92/4.184,3))</f>
        <v/>
      </c>
    </row>
    <row r="93" customFormat="false" ht="12.75" hidden="false" customHeight="false" outlineLevel="0" collapsed="false">
      <c r="A93" s="10"/>
      <c r="B93" s="353" t="s">
        <v>1086</v>
      </c>
      <c r="C93" s="354" t="s">
        <v>1087</v>
      </c>
      <c r="D93" s="623"/>
      <c r="E93" s="557"/>
      <c r="F93" s="301"/>
      <c r="G93" s="210"/>
      <c r="H93" s="618"/>
      <c r="I93" s="558" t="n">
        <v>1.5</v>
      </c>
      <c r="J93" s="534" t="s">
        <v>1087</v>
      </c>
      <c r="K93" s="470" t="str">
        <f aca="false">IF(D93="","",ROUND(D93+$I93*$J$9,3))</f>
        <v/>
      </c>
      <c r="L93" s="470" t="str">
        <f aca="false">IF(E93="","",ROUND(E93,3))</f>
        <v/>
      </c>
      <c r="M93" s="470" t="str">
        <f aca="false">IF(F93="","",ROUND(F93,3))</f>
        <v/>
      </c>
      <c r="N93" s="133"/>
      <c r="O93" s="534" t="s">
        <v>1087</v>
      </c>
      <c r="P93" s="470" t="str">
        <f aca="false">IF(D93="","",ROUND((D93+$I93*$J$9)/4.184,3))</f>
        <v/>
      </c>
      <c r="Q93" s="470" t="str">
        <f aca="false">IF(E93="","",ROUND(E93/4.184,3))</f>
        <v/>
      </c>
      <c r="R93" s="470" t="str">
        <f aca="false">IF(F93="","",ROUND(F93/4.184,3))</f>
        <v/>
      </c>
    </row>
    <row r="94" customFormat="false" ht="12.75" hidden="false" customHeight="false" outlineLevel="0" collapsed="false">
      <c r="A94" s="10"/>
      <c r="B94" s="353" t="s">
        <v>1093</v>
      </c>
      <c r="C94" s="354" t="s">
        <v>1094</v>
      </c>
      <c r="D94" s="623"/>
      <c r="E94" s="557"/>
      <c r="F94" s="301"/>
      <c r="G94" s="210"/>
      <c r="H94" s="618"/>
      <c r="I94" s="558" t="n">
        <v>2</v>
      </c>
      <c r="J94" s="534" t="s">
        <v>1094</v>
      </c>
      <c r="K94" s="470" t="str">
        <f aca="false">IF(D94="","",ROUND(D94+$I94*$J$9,3))</f>
        <v/>
      </c>
      <c r="L94" s="470" t="str">
        <f aca="false">IF(E94="","",ROUND(E94,3))</f>
        <v/>
      </c>
      <c r="M94" s="470" t="str">
        <f aca="false">IF(F94="","",ROUND(F94,3))</f>
        <v/>
      </c>
      <c r="N94" s="133"/>
      <c r="O94" s="534" t="s">
        <v>1094</v>
      </c>
      <c r="P94" s="470" t="str">
        <f aca="false">IF(D94="","",ROUND((D94+$I94*$J$9)/4.184,3))</f>
        <v/>
      </c>
      <c r="Q94" s="470" t="str">
        <f aca="false">IF(E94="","",ROUND(E94/4.184,3))</f>
        <v/>
      </c>
      <c r="R94" s="470" t="str">
        <f aca="false">IF(F94="","",ROUND(F94/4.184,3))</f>
        <v/>
      </c>
    </row>
    <row r="95" customFormat="false" ht="12.75" hidden="false" customHeight="false" outlineLevel="0" collapsed="false">
      <c r="A95" s="10"/>
      <c r="B95" s="353" t="s">
        <v>1100</v>
      </c>
      <c r="C95" s="354" t="s">
        <v>1101</v>
      </c>
      <c r="D95" s="623"/>
      <c r="E95" s="557"/>
      <c r="F95" s="301"/>
      <c r="G95" s="210"/>
      <c r="H95" s="618"/>
      <c r="I95" s="558" t="n">
        <v>2</v>
      </c>
      <c r="J95" s="534" t="s">
        <v>1101</v>
      </c>
      <c r="K95" s="470" t="str">
        <f aca="false">IF(D95="","",ROUND(D95+$I95*$J$9,3))</f>
        <v/>
      </c>
      <c r="L95" s="470" t="str">
        <f aca="false">IF(E95="","",ROUND(E95,3))</f>
        <v/>
      </c>
      <c r="M95" s="470" t="str">
        <f aca="false">IF(F95="","",ROUND(F95,3))</f>
        <v/>
      </c>
      <c r="N95" s="133"/>
      <c r="O95" s="534" t="s">
        <v>1101</v>
      </c>
      <c r="P95" s="470" t="str">
        <f aca="false">IF(D95="","",ROUND((D95+$I95*$J$9)/4.184,3))</f>
        <v/>
      </c>
      <c r="Q95" s="470" t="str">
        <f aca="false">IF(E95="","",ROUND(E95/4.184,3))</f>
        <v/>
      </c>
      <c r="R95" s="470" t="str">
        <f aca="false">IF(F95="","",ROUND(F95/4.184,3))</f>
        <v/>
      </c>
    </row>
    <row r="96" customFormat="false" ht="12.75" hidden="false" customHeight="false" outlineLevel="0" collapsed="false">
      <c r="A96" s="10"/>
      <c r="B96" s="353" t="s">
        <v>1107</v>
      </c>
      <c r="C96" s="354" t="s">
        <v>1108</v>
      </c>
      <c r="D96" s="623"/>
      <c r="E96" s="557"/>
      <c r="F96" s="301"/>
      <c r="G96" s="210"/>
      <c r="H96" s="618"/>
      <c r="I96" s="558" t="n">
        <v>0.5</v>
      </c>
      <c r="J96" s="534" t="s">
        <v>1108</v>
      </c>
      <c r="K96" s="470" t="str">
        <f aca="false">IF(D96="","",ROUND(D96+$I96*$J$9,3))</f>
        <v/>
      </c>
      <c r="L96" s="470" t="str">
        <f aca="false">IF(E96="","",ROUND(E96,3))</f>
        <v/>
      </c>
      <c r="M96" s="470" t="str">
        <f aca="false">IF(F96="","",ROUND(F96,3))</f>
        <v/>
      </c>
      <c r="N96" s="133"/>
      <c r="O96" s="534" t="s">
        <v>1108</v>
      </c>
      <c r="P96" s="470" t="str">
        <f aca="false">IF(D96="","",ROUND((D96+$I96*$J$9)/4.184,3))</f>
        <v/>
      </c>
      <c r="Q96" s="470" t="str">
        <f aca="false">IF(E96="","",ROUND(E96/4.184,3))</f>
        <v/>
      </c>
      <c r="R96" s="470" t="str">
        <f aca="false">IF(F96="","",ROUND(F96/4.184,3))</f>
        <v/>
      </c>
    </row>
    <row r="97" customFormat="false" ht="12.75" hidden="false" customHeight="false" outlineLevel="0" collapsed="false">
      <c r="A97" s="10"/>
      <c r="B97" s="353" t="s">
        <v>1114</v>
      </c>
      <c r="C97" s="354" t="s">
        <v>1115</v>
      </c>
      <c r="D97" s="623"/>
      <c r="E97" s="557"/>
      <c r="F97" s="301"/>
      <c r="G97" s="210"/>
      <c r="H97" s="618"/>
      <c r="I97" s="558" t="n">
        <v>2</v>
      </c>
      <c r="J97" s="534" t="s">
        <v>1115</v>
      </c>
      <c r="K97" s="470" t="str">
        <f aca="false">IF(D97="","",ROUND(D97+$I97*$J$9,3))</f>
        <v/>
      </c>
      <c r="L97" s="470" t="str">
        <f aca="false">IF(E97="","",ROUND(E97,3))</f>
        <v/>
      </c>
      <c r="M97" s="470" t="str">
        <f aca="false">IF(F97="","",ROUND(F97,3))</f>
        <v/>
      </c>
      <c r="N97" s="133"/>
      <c r="O97" s="534" t="s">
        <v>1115</v>
      </c>
      <c r="P97" s="470" t="str">
        <f aca="false">IF(D97="","",ROUND((D97+$I97*$J$9)/4.184,3))</f>
        <v/>
      </c>
      <c r="Q97" s="470" t="str">
        <f aca="false">IF(E97="","",ROUND(E97/4.184,3))</f>
        <v/>
      </c>
      <c r="R97" s="470" t="str">
        <f aca="false">IF(F97="","",ROUND(F97/4.184,3))</f>
        <v/>
      </c>
    </row>
    <row r="98" customFormat="false" ht="12.75" hidden="false" customHeight="false" outlineLevel="0" collapsed="false">
      <c r="A98" s="10"/>
      <c r="B98" s="353" t="s">
        <v>1119</v>
      </c>
      <c r="C98" s="354" t="s">
        <v>1120</v>
      </c>
      <c r="D98" s="623"/>
      <c r="E98" s="557"/>
      <c r="F98" s="301"/>
      <c r="G98" s="210"/>
      <c r="H98" s="618"/>
      <c r="I98" s="558" t="n">
        <v>1.5</v>
      </c>
      <c r="J98" s="534" t="s">
        <v>1120</v>
      </c>
      <c r="K98" s="470" t="str">
        <f aca="false">IF(D98="","",ROUND(D98+$I98*$J$9,3))</f>
        <v/>
      </c>
      <c r="L98" s="470" t="str">
        <f aca="false">IF(E98="","",ROUND(E98,3))</f>
        <v/>
      </c>
      <c r="M98" s="470" t="str">
        <f aca="false">IF(F98="","",ROUND(F98,3))</f>
        <v/>
      </c>
      <c r="N98" s="133"/>
      <c r="O98" s="534" t="s">
        <v>1120</v>
      </c>
      <c r="P98" s="470" t="str">
        <f aca="false">IF(D98="","",ROUND((D98+$I98*$J$9)/4.184,3))</f>
        <v/>
      </c>
      <c r="Q98" s="470" t="str">
        <f aca="false">IF(E98="","",ROUND(E98/4.184,3))</f>
        <v/>
      </c>
      <c r="R98" s="470" t="str">
        <f aca="false">IF(F98="","",ROUND(F98/4.184,3))</f>
        <v/>
      </c>
    </row>
    <row r="99" customFormat="false" ht="12.75" hidden="false" customHeight="false" outlineLevel="0" collapsed="false">
      <c r="A99" s="10"/>
      <c r="B99" s="353" t="s">
        <v>1121</v>
      </c>
      <c r="C99" s="354" t="s">
        <v>1122</v>
      </c>
      <c r="D99" s="623"/>
      <c r="E99" s="557"/>
      <c r="F99" s="301"/>
      <c r="G99" s="210"/>
      <c r="H99" s="618"/>
      <c r="I99" s="558" t="n">
        <v>2</v>
      </c>
      <c r="J99" s="534" t="s">
        <v>1122</v>
      </c>
      <c r="K99" s="470" t="str">
        <f aca="false">IF(D99="","",ROUND(D99+$I99*$J$9,3))</f>
        <v/>
      </c>
      <c r="L99" s="470" t="str">
        <f aca="false">IF(E99="","",ROUND(E99,3))</f>
        <v/>
      </c>
      <c r="M99" s="470" t="str">
        <f aca="false">IF(F99="","",ROUND(F99,3))</f>
        <v/>
      </c>
      <c r="N99" s="133"/>
      <c r="O99" s="534" t="s">
        <v>1122</v>
      </c>
      <c r="P99" s="470" t="str">
        <f aca="false">IF(D99="","",ROUND((D99+$I99*$J$9)/4.184,3))</f>
        <v/>
      </c>
      <c r="Q99" s="470" t="str">
        <f aca="false">IF(E99="","",ROUND(E99/4.184,3))</f>
        <v/>
      </c>
      <c r="R99" s="470" t="str">
        <f aca="false">IF(F99="","",ROUND(F99/4.184,3))</f>
        <v/>
      </c>
    </row>
    <row r="100" customFormat="false" ht="12.75" hidden="false" customHeight="false" outlineLevel="0" collapsed="false">
      <c r="A100" s="10"/>
      <c r="B100" s="353" t="s">
        <v>1123</v>
      </c>
      <c r="C100" s="354" t="s">
        <v>1124</v>
      </c>
      <c r="D100" s="623"/>
      <c r="E100" s="557"/>
      <c r="F100" s="301"/>
      <c r="G100" s="210"/>
      <c r="H100" s="618"/>
      <c r="I100" s="558" t="n">
        <v>0.5</v>
      </c>
      <c r="J100" s="534" t="s">
        <v>1124</v>
      </c>
      <c r="K100" s="470" t="str">
        <f aca="false">IF(D100="","",ROUND(D100+$I100*$J$9,3))</f>
        <v/>
      </c>
      <c r="L100" s="470" t="str">
        <f aca="false">IF(E100="","",ROUND(E100,3))</f>
        <v/>
      </c>
      <c r="M100" s="470" t="str">
        <f aca="false">IF(F100="","",ROUND(F100,3))</f>
        <v/>
      </c>
      <c r="N100" s="133"/>
      <c r="O100" s="534" t="s">
        <v>1124</v>
      </c>
      <c r="P100" s="470" t="str">
        <f aca="false">IF(D100="","",ROUND((D100+$I100*$J$9)/4.184,3))</f>
        <v/>
      </c>
      <c r="Q100" s="470" t="str">
        <f aca="false">IF(E100="","",ROUND(E100/4.184,3))</f>
        <v/>
      </c>
      <c r="R100" s="470" t="str">
        <f aca="false">IF(F100="","",ROUND(F100/4.184,3))</f>
        <v/>
      </c>
    </row>
    <row r="101" customFormat="false" ht="12.75" hidden="false" customHeight="false" outlineLevel="0" collapsed="false">
      <c r="A101" s="10"/>
      <c r="B101" s="353" t="s">
        <v>1134</v>
      </c>
      <c r="C101" s="354" t="s">
        <v>1135</v>
      </c>
      <c r="D101" s="623"/>
      <c r="E101" s="557"/>
      <c r="F101" s="301"/>
      <c r="G101" s="210"/>
      <c r="H101" s="618"/>
      <c r="I101" s="558" t="n">
        <v>2</v>
      </c>
      <c r="J101" s="534" t="s">
        <v>1135</v>
      </c>
      <c r="K101" s="470" t="str">
        <f aca="false">IF(D101="","",ROUND(D101+$I101*$J$9,3))</f>
        <v/>
      </c>
      <c r="L101" s="470" t="str">
        <f aca="false">IF(E101="","",ROUND(E101,3))</f>
        <v/>
      </c>
      <c r="M101" s="470" t="str">
        <f aca="false">IF(F101="","",ROUND(F101,3))</f>
        <v/>
      </c>
      <c r="N101" s="133"/>
      <c r="O101" s="534" t="s">
        <v>1135</v>
      </c>
      <c r="P101" s="470" t="str">
        <f aca="false">IF(D101="","",ROUND((D101+$I101*$J$9)/4.184,3))</f>
        <v/>
      </c>
      <c r="Q101" s="470" t="str">
        <f aca="false">IF(E101="","",ROUND(E101/4.184,3))</f>
        <v/>
      </c>
      <c r="R101" s="470" t="str">
        <f aca="false">IF(F101="","",ROUND(F101/4.184,3))</f>
        <v/>
      </c>
    </row>
    <row r="102" customFormat="false" ht="12.75" hidden="false" customHeight="false" outlineLevel="0" collapsed="false">
      <c r="A102" s="10"/>
      <c r="B102" s="353" t="s">
        <v>1139</v>
      </c>
      <c r="C102" s="354" t="s">
        <v>1140</v>
      </c>
      <c r="D102" s="623"/>
      <c r="E102" s="557"/>
      <c r="F102" s="301"/>
      <c r="G102" s="210"/>
      <c r="H102" s="618"/>
      <c r="I102" s="558" t="n">
        <v>1.5</v>
      </c>
      <c r="J102" s="534" t="s">
        <v>1140</v>
      </c>
      <c r="K102" s="470" t="str">
        <f aca="false">IF(D102="","",ROUND(D102+$I102*$J$9,3))</f>
        <v/>
      </c>
      <c r="L102" s="470" t="str">
        <f aca="false">IF(E102="","",ROUND(E102,3))</f>
        <v/>
      </c>
      <c r="M102" s="470" t="str">
        <f aca="false">IF(F102="","",ROUND(F102,3))</f>
        <v/>
      </c>
      <c r="N102" s="133"/>
      <c r="O102" s="534" t="s">
        <v>1140</v>
      </c>
      <c r="P102" s="470" t="str">
        <f aca="false">IF(D102="","",ROUND((D102+$I102*$J$9)/4.184,3))</f>
        <v/>
      </c>
      <c r="Q102" s="470" t="str">
        <f aca="false">IF(E102="","",ROUND(E102/4.184,3))</f>
        <v/>
      </c>
      <c r="R102" s="470" t="str">
        <f aca="false">IF(F102="","",ROUND(F102/4.184,3))</f>
        <v/>
      </c>
    </row>
    <row r="103" customFormat="false" ht="12.75" hidden="false" customHeight="false" outlineLevel="0" collapsed="false">
      <c r="A103" s="10"/>
      <c r="B103" s="353" t="s">
        <v>1144</v>
      </c>
      <c r="C103" s="354" t="s">
        <v>1145</v>
      </c>
      <c r="D103" s="623"/>
      <c r="E103" s="557"/>
      <c r="F103" s="301"/>
      <c r="G103" s="210"/>
      <c r="H103" s="618"/>
      <c r="I103" s="558" t="n">
        <v>1.5</v>
      </c>
      <c r="J103" s="534" t="s">
        <v>1145</v>
      </c>
      <c r="K103" s="470" t="str">
        <f aca="false">IF(D103="","",ROUND(D103+$I103*$J$9,3))</f>
        <v/>
      </c>
      <c r="L103" s="470" t="str">
        <f aca="false">IF(E103="","",ROUND(E103,3))</f>
        <v/>
      </c>
      <c r="M103" s="470" t="str">
        <f aca="false">IF(F103="","",ROUND(F103,3))</f>
        <v/>
      </c>
      <c r="N103" s="133"/>
      <c r="O103" s="534" t="s">
        <v>1145</v>
      </c>
      <c r="P103" s="470" t="str">
        <f aca="false">IF(D103="","",ROUND((D103+$I103*$J$9)/4.184,3))</f>
        <v/>
      </c>
      <c r="Q103" s="470" t="str">
        <f aca="false">IF(E103="","",ROUND(E103/4.184,3))</f>
        <v/>
      </c>
      <c r="R103" s="470" t="str">
        <f aca="false">IF(F103="","",ROUND(F103/4.184,3))</f>
        <v/>
      </c>
    </row>
    <row r="104" customFormat="false" ht="12.75" hidden="false" customHeight="false" outlineLevel="0" collapsed="false">
      <c r="A104" s="10"/>
      <c r="B104" s="354" t="s">
        <v>1146</v>
      </c>
      <c r="C104" s="354" t="s">
        <v>1146</v>
      </c>
      <c r="D104" s="623"/>
      <c r="E104" s="557"/>
      <c r="F104" s="301"/>
      <c r="G104" s="210"/>
      <c r="H104" s="618"/>
      <c r="I104" s="558" t="n">
        <v>0.5</v>
      </c>
      <c r="J104" s="534" t="s">
        <v>1146</v>
      </c>
      <c r="K104" s="470" t="str">
        <f aca="false">IF(D104="","",ROUND(D104+$I104*$J$9,3))</f>
        <v/>
      </c>
      <c r="L104" s="470" t="str">
        <f aca="false">IF(E104="","",ROUND(E104,3))</f>
        <v/>
      </c>
      <c r="M104" s="470" t="str">
        <f aca="false">IF(F104="","",ROUND(F104,3))</f>
        <v/>
      </c>
      <c r="N104" s="133"/>
      <c r="O104" s="534" t="s">
        <v>1146</v>
      </c>
      <c r="P104" s="470" t="str">
        <f aca="false">IF(D104="","",ROUND((D104+$I104*$J$9)/4.184,3))</f>
        <v/>
      </c>
      <c r="Q104" s="470" t="str">
        <f aca="false">IF(E104="","",ROUND(E104/4.184,3))</f>
        <v/>
      </c>
      <c r="R104" s="470" t="str">
        <f aca="false">IF(F104="","",ROUND(F104/4.184,3))</f>
        <v/>
      </c>
    </row>
    <row r="105" customFormat="false" ht="12.75" hidden="false" customHeight="false" outlineLevel="0" collapsed="false">
      <c r="A105" s="10"/>
      <c r="B105" s="353" t="s">
        <v>1147</v>
      </c>
      <c r="C105" s="354" t="s">
        <v>1148</v>
      </c>
      <c r="D105" s="623"/>
      <c r="E105" s="557"/>
      <c r="F105" s="301"/>
      <c r="G105" s="210"/>
      <c r="H105" s="619"/>
      <c r="I105" s="558" t="n">
        <v>0.5</v>
      </c>
      <c r="J105" s="534" t="s">
        <v>1148</v>
      </c>
      <c r="K105" s="470" t="str">
        <f aca="false">IF(D105="","",ROUND(D105+$I105*$J$9,3))</f>
        <v/>
      </c>
      <c r="L105" s="470" t="str">
        <f aca="false">IF(E105="","",ROUND(E105,3))</f>
        <v/>
      </c>
      <c r="M105" s="470" t="str">
        <f aca="false">IF(F105="","",ROUND(F105,3))</f>
        <v/>
      </c>
      <c r="N105" s="133"/>
      <c r="O105" s="534" t="s">
        <v>1148</v>
      </c>
      <c r="P105" s="470" t="str">
        <f aca="false">IF(D105="","",ROUND((D105+$I105*$J$9)/4.184,3))</f>
        <v/>
      </c>
      <c r="Q105" s="470" t="str">
        <f aca="false">IF(E105="","",ROUND(E105/4.184,3))</f>
        <v/>
      </c>
      <c r="R105" s="470" t="str">
        <f aca="false">IF(F105="","",ROUND(F105/4.184,3))</f>
        <v/>
      </c>
    </row>
    <row r="106" customFormat="false" ht="12.75" hidden="false" customHeight="false" outlineLevel="0" collapsed="false">
      <c r="A106" s="10"/>
      <c r="B106" s="354" t="s">
        <v>1154</v>
      </c>
      <c r="C106" s="354" t="s">
        <v>1154</v>
      </c>
      <c r="D106" s="620"/>
      <c r="E106" s="557"/>
      <c r="F106" s="292"/>
      <c r="G106" s="210"/>
      <c r="H106" s="618"/>
      <c r="I106" s="558" t="n">
        <v>0.5</v>
      </c>
      <c r="J106" s="534" t="s">
        <v>1154</v>
      </c>
      <c r="K106" s="470" t="str">
        <f aca="false">IF(D106="","",ROUND(D106+$I106*$J$9,3))</f>
        <v/>
      </c>
      <c r="L106" s="470" t="str">
        <f aca="false">IF(E106="","",ROUND(E106,3))</f>
        <v/>
      </c>
      <c r="M106" s="470" t="str">
        <f aca="false">IF(F106="","",ROUND(F106,3))</f>
        <v/>
      </c>
      <c r="N106" s="629"/>
      <c r="O106" s="630" t="s">
        <v>1154</v>
      </c>
      <c r="P106" s="470" t="str">
        <f aca="false">IF(D106="","",ROUND((D106+$I106*$J$9)/4.184,3))</f>
        <v/>
      </c>
      <c r="Q106" s="470" t="str">
        <f aca="false">IF(E106="","",ROUND(E106/4.184,3))</f>
        <v/>
      </c>
      <c r="R106" s="470" t="str">
        <f aca="false">IF(F106="","",ROUND(F106/4.184,3))</f>
        <v/>
      </c>
    </row>
    <row r="107" customFormat="false" ht="13.5" hidden="false" customHeight="false" outlineLevel="0" collapsed="false">
      <c r="A107" s="10"/>
      <c r="B107" s="374" t="s">
        <v>1155</v>
      </c>
      <c r="C107" s="375" t="s">
        <v>1156</v>
      </c>
      <c r="D107" s="624"/>
      <c r="E107" s="564"/>
      <c r="F107" s="307"/>
      <c r="G107" s="210"/>
      <c r="H107" s="618"/>
      <c r="I107" s="565" t="n">
        <v>0.5</v>
      </c>
      <c r="J107" s="538" t="s">
        <v>1156</v>
      </c>
      <c r="K107" s="500" t="str">
        <f aca="false">IF(D107="","",ROUND(D107+$I107*$J$9,3))</f>
        <v/>
      </c>
      <c r="L107" s="500" t="str">
        <f aca="false">IF(E107="","",ROUND(E107,3))</f>
        <v/>
      </c>
      <c r="M107" s="500" t="str">
        <f aca="false">IF(F107="","",ROUND(F107,3))</f>
        <v/>
      </c>
      <c r="N107" s="10"/>
      <c r="O107" s="538" t="s">
        <v>1156</v>
      </c>
      <c r="P107" s="500" t="str">
        <f aca="false">IF(D107="","",ROUND((D107+$I107*$J$9)/4.184,3))</f>
        <v/>
      </c>
      <c r="Q107" s="500" t="str">
        <f aca="false">IF(E107="","",ROUND(E107/4.184,3))</f>
        <v/>
      </c>
      <c r="R107" s="500" t="str">
        <f aca="false">IF(F107="","",ROUND(F107/4.184,3))</f>
        <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G1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2" sqref="B16:B122 E16:F122 A3"/>
    </sheetView>
  </sheetViews>
  <sheetFormatPr defaultRowHeight="12.75" zeroHeight="false" outlineLevelRow="0" outlineLevelCol="0"/>
  <cols>
    <col collapsed="false" customWidth="true" hidden="false" outlineLevel="0" max="1025" min="1" style="0" width="11.42"/>
  </cols>
  <sheetData>
    <row r="1" customFormat="false" ht="12.75" hidden="false" customHeight="false" outlineLevel="0" collapsed="false">
      <c r="A1" s="9" t="str">
        <f aca="true">MID(CELL("filename",$A$1),   FIND("\[",CELL("filename",$A$1))+2,   FIND("]",CELL("filename",$A$1),FIND("\[",CELL("filename",$A$1))+2)-FIND("\[",CELL("filename",$A$1))-2)</f>
        <v>TDProperties_Rev0_v69.xlsx</v>
      </c>
      <c r="D1" s="9"/>
      <c r="E1" s="9"/>
      <c r="F1" s="9"/>
    </row>
    <row r="2" customFormat="false" ht="12.75" hidden="false" customHeight="false" outlineLevel="0" collapsed="false">
      <c r="A2" s="0" t="str">
        <f aca="true">MID(CELL("filename",A1),FIND("]",CELL("filename",A1))+1,256)</f>
        <v>Elements Ordering</v>
      </c>
    </row>
    <row r="4" customFormat="false" ht="12.75" hidden="false" customHeight="false" outlineLevel="0" collapsed="false">
      <c r="A4" s="9" t="s">
        <v>7</v>
      </c>
      <c r="D4" s="10"/>
      <c r="E4" s="10"/>
      <c r="F4" s="10"/>
    </row>
    <row r="5" customFormat="false" ht="12.75" hidden="false" customHeight="false" outlineLevel="0" collapsed="false">
      <c r="A5" s="10"/>
      <c r="D5" s="10"/>
      <c r="E5" s="10"/>
      <c r="F5" s="10"/>
    </row>
    <row r="6" customFormat="false" ht="12.75" hidden="false" customHeight="false" outlineLevel="0" collapsed="false">
      <c r="A6" s="10" t="s">
        <v>8</v>
      </c>
      <c r="D6" s="10"/>
      <c r="E6" s="10"/>
      <c r="F6" s="10"/>
    </row>
    <row r="7" customFormat="false" ht="12.75" hidden="false" customHeight="false" outlineLevel="0" collapsed="false">
      <c r="A7" s="10" t="s">
        <v>9</v>
      </c>
      <c r="D7" s="10"/>
      <c r="E7" s="10"/>
      <c r="F7" s="10"/>
    </row>
    <row r="8" customFormat="false" ht="12.75" hidden="false" customHeight="false" outlineLevel="0" collapsed="false">
      <c r="A8" s="10" t="s">
        <v>10</v>
      </c>
      <c r="D8" s="10"/>
      <c r="E8" s="10"/>
      <c r="F8" s="10"/>
    </row>
    <row r="9" customFormat="false" ht="12.75" hidden="false" customHeight="false" outlineLevel="0" collapsed="false">
      <c r="A9" s="10" t="s">
        <v>11</v>
      </c>
      <c r="D9" s="9"/>
      <c r="E9" s="9"/>
      <c r="F9" s="9"/>
    </row>
    <row r="10" customFormat="false" ht="12.75" hidden="false" customHeight="false" outlineLevel="0" collapsed="false">
      <c r="A10" s="10" t="s">
        <v>12</v>
      </c>
      <c r="D10" s="9"/>
      <c r="E10" s="9"/>
      <c r="F10" s="9"/>
    </row>
    <row r="11" customFormat="false" ht="12.75" hidden="false" customHeight="false" outlineLevel="0" collapsed="false">
      <c r="A11" s="10" t="s">
        <v>13</v>
      </c>
    </row>
    <row r="12" customFormat="false" ht="12.75" hidden="false" customHeight="true" outlineLevel="0" collapsed="false">
      <c r="A12" s="10" t="s">
        <v>14</v>
      </c>
    </row>
    <row r="13" customFormat="false" ht="12.75" hidden="false" customHeight="false" outlineLevel="0" collapsed="false">
      <c r="A13" s="10" t="s">
        <v>15</v>
      </c>
    </row>
    <row r="14" customFormat="false" ht="12.75" hidden="false" customHeight="false" outlineLevel="0" collapsed="false">
      <c r="A14" s="10"/>
    </row>
    <row r="15" customFormat="false" ht="13.5" hidden="false" customHeight="false" outlineLevel="0" collapsed="false"/>
    <row r="16" customFormat="false" ht="12.75" hidden="false" customHeight="false" outlineLevel="0" collapsed="false">
      <c r="B16" s="11"/>
      <c r="C16" s="12"/>
      <c r="D16" s="13" t="s">
        <v>16</v>
      </c>
      <c r="E16" s="14"/>
      <c r="F16" s="15"/>
      <c r="G16" s="13" t="s">
        <v>17</v>
      </c>
    </row>
    <row r="17" customFormat="false" ht="12.75" hidden="false" customHeight="false" outlineLevel="0" collapsed="false">
      <c r="B17" s="16"/>
      <c r="C17" s="17" t="s">
        <v>18</v>
      </c>
      <c r="D17" s="18" t="s">
        <v>19</v>
      </c>
      <c r="E17" s="19"/>
      <c r="F17" s="20" t="s">
        <v>20</v>
      </c>
      <c r="G17" s="18" t="s">
        <v>21</v>
      </c>
    </row>
    <row r="18" customFormat="false" ht="12.75" hidden="false" customHeight="false" outlineLevel="0" collapsed="false">
      <c r="B18" s="16"/>
      <c r="C18" s="17" t="s">
        <v>22</v>
      </c>
      <c r="D18" s="18" t="s">
        <v>23</v>
      </c>
      <c r="E18" s="19" t="s">
        <v>24</v>
      </c>
      <c r="F18" s="20" t="s">
        <v>17</v>
      </c>
      <c r="G18" s="18" t="s">
        <v>25</v>
      </c>
    </row>
    <row r="19" customFormat="false" ht="13.5" hidden="false" customHeight="false" outlineLevel="0" collapsed="false">
      <c r="B19" s="21" t="s">
        <v>26</v>
      </c>
      <c r="C19" s="22" t="s">
        <v>27</v>
      </c>
      <c r="D19" s="23" t="s">
        <v>27</v>
      </c>
      <c r="E19" s="24" t="s">
        <v>28</v>
      </c>
      <c r="F19" s="25" t="s">
        <v>29</v>
      </c>
      <c r="G19" s="23" t="s">
        <v>26</v>
      </c>
    </row>
    <row r="20" customFormat="false" ht="12.75" hidden="false" customHeight="false" outlineLevel="0" collapsed="false">
      <c r="B20" s="26" t="s">
        <v>30</v>
      </c>
      <c r="C20" s="27" t="n">
        <v>91</v>
      </c>
      <c r="D20" s="28" t="n">
        <v>1</v>
      </c>
      <c r="E20" s="29"/>
      <c r="F20" s="26" t="s">
        <v>30</v>
      </c>
      <c r="G20" s="30" t="s">
        <v>30</v>
      </c>
    </row>
    <row r="21" customFormat="false" ht="12.75" hidden="false" customHeight="false" outlineLevel="0" collapsed="false">
      <c r="B21" s="31" t="s">
        <v>31</v>
      </c>
      <c r="C21" s="32" t="n">
        <v>37</v>
      </c>
      <c r="D21" s="33" t="n">
        <v>1</v>
      </c>
      <c r="E21" s="34"/>
      <c r="F21" s="31" t="s">
        <v>31</v>
      </c>
      <c r="G21" s="35" t="s">
        <v>31</v>
      </c>
    </row>
    <row r="22" customFormat="false" ht="12.75" hidden="false" customHeight="false" outlineLevel="0" collapsed="false">
      <c r="B22" s="31" t="s">
        <v>32</v>
      </c>
      <c r="C22" s="32" t="n">
        <v>29</v>
      </c>
      <c r="D22" s="33" t="n">
        <v>1</v>
      </c>
      <c r="E22" s="34"/>
      <c r="F22" s="31" t="s">
        <v>32</v>
      </c>
      <c r="G22" s="35" t="s">
        <v>32</v>
      </c>
    </row>
    <row r="23" customFormat="false" ht="12.75" hidden="false" customHeight="false" outlineLevel="0" collapsed="false">
      <c r="B23" s="31" t="s">
        <v>33</v>
      </c>
      <c r="C23" s="32" t="n">
        <v>85</v>
      </c>
      <c r="D23" s="33" t="n">
        <v>1</v>
      </c>
      <c r="E23" s="34"/>
      <c r="F23" s="31" t="s">
        <v>33</v>
      </c>
      <c r="G23" s="35" t="s">
        <v>33</v>
      </c>
    </row>
    <row r="24" customFormat="false" ht="12.75" hidden="false" customHeight="false" outlineLevel="0" collapsed="false">
      <c r="B24" s="31" t="s">
        <v>34</v>
      </c>
      <c r="C24" s="32" t="n">
        <v>5</v>
      </c>
      <c r="D24" s="33" t="n">
        <v>1</v>
      </c>
      <c r="E24" s="34" t="n">
        <v>1</v>
      </c>
      <c r="F24" s="31" t="s">
        <v>34</v>
      </c>
      <c r="G24" s="35" t="s">
        <v>34</v>
      </c>
    </row>
    <row r="25" customFormat="false" ht="12.75" hidden="false" customHeight="false" outlineLevel="0" collapsed="false">
      <c r="B25" s="31" t="s">
        <v>35</v>
      </c>
      <c r="C25" s="32" t="n">
        <v>20</v>
      </c>
      <c r="D25" s="33" t="n">
        <v>1</v>
      </c>
      <c r="E25" s="34"/>
      <c r="F25" s="31" t="s">
        <v>35</v>
      </c>
      <c r="G25" s="35" t="s">
        <v>35</v>
      </c>
    </row>
    <row r="26" customFormat="false" ht="12.75" hidden="false" customHeight="false" outlineLevel="0" collapsed="false">
      <c r="B26" s="31" t="s">
        <v>36</v>
      </c>
      <c r="C26" s="32" t="n">
        <v>13</v>
      </c>
      <c r="D26" s="36" t="n">
        <v>2</v>
      </c>
      <c r="E26" s="37"/>
      <c r="F26" s="31" t="s">
        <v>37</v>
      </c>
      <c r="G26" s="35" t="s">
        <v>38</v>
      </c>
    </row>
    <row r="27" customFormat="false" ht="12.75" hidden="false" customHeight="false" outlineLevel="0" collapsed="false">
      <c r="B27" s="31" t="s">
        <v>39</v>
      </c>
      <c r="C27" s="32" t="n">
        <v>38</v>
      </c>
      <c r="D27" s="33" t="n">
        <v>1</v>
      </c>
      <c r="E27" s="34"/>
      <c r="F27" s="31" t="s">
        <v>39</v>
      </c>
      <c r="G27" s="35" t="s">
        <v>39</v>
      </c>
    </row>
    <row r="28" customFormat="false" ht="12.75" hidden="false" customHeight="false" outlineLevel="0" collapsed="false">
      <c r="B28" s="31" t="s">
        <v>40</v>
      </c>
      <c r="C28" s="32" t="n">
        <v>28</v>
      </c>
      <c r="D28" s="33" t="n">
        <v>1</v>
      </c>
      <c r="E28" s="34"/>
      <c r="F28" s="31" t="s">
        <v>40</v>
      </c>
      <c r="G28" s="35" t="s">
        <v>40</v>
      </c>
    </row>
    <row r="29" customFormat="false" ht="12.75" hidden="false" customHeight="false" outlineLevel="0" collapsed="false">
      <c r="B29" s="38" t="s">
        <v>41</v>
      </c>
      <c r="C29" s="32" t="n">
        <v>96</v>
      </c>
      <c r="D29" s="33" t="n">
        <v>1</v>
      </c>
      <c r="E29" s="34"/>
      <c r="F29" s="38" t="s">
        <v>41</v>
      </c>
      <c r="G29" s="35" t="s">
        <v>41</v>
      </c>
    </row>
    <row r="30" customFormat="false" ht="12.75" hidden="false" customHeight="false" outlineLevel="0" collapsed="false">
      <c r="B30" s="31" t="s">
        <v>42</v>
      </c>
      <c r="C30" s="32" t="n">
        <v>92</v>
      </c>
      <c r="D30" s="33" t="n">
        <v>1</v>
      </c>
      <c r="E30" s="34"/>
      <c r="F30" s="31" t="s">
        <v>42</v>
      </c>
      <c r="G30" s="35" t="s">
        <v>42</v>
      </c>
    </row>
    <row r="31" customFormat="false" ht="12.75" hidden="false" customHeight="false" outlineLevel="0" collapsed="false">
      <c r="B31" s="31" t="s">
        <v>43</v>
      </c>
      <c r="C31" s="32" t="n">
        <v>22</v>
      </c>
      <c r="D31" s="33" t="n">
        <v>1</v>
      </c>
      <c r="E31" s="34"/>
      <c r="F31" s="31" t="s">
        <v>43</v>
      </c>
      <c r="G31" s="35" t="s">
        <v>43</v>
      </c>
    </row>
    <row r="32" customFormat="false" ht="12.75" hidden="false" customHeight="false" outlineLevel="0" collapsed="false">
      <c r="B32" s="31" t="s">
        <v>44</v>
      </c>
      <c r="C32" s="32" t="n">
        <v>83</v>
      </c>
      <c r="D32" s="33" t="n">
        <v>1</v>
      </c>
      <c r="E32" s="34"/>
      <c r="F32" s="31" t="s">
        <v>44</v>
      </c>
      <c r="G32" s="35" t="s">
        <v>44</v>
      </c>
    </row>
    <row r="33" customFormat="false" ht="12.75" hidden="false" customHeight="false" outlineLevel="0" collapsed="false">
      <c r="B33" s="31" t="s">
        <v>45</v>
      </c>
      <c r="C33" s="32" t="n">
        <v>11</v>
      </c>
      <c r="D33" s="33" t="n">
        <v>2</v>
      </c>
      <c r="E33" s="34"/>
      <c r="F33" s="31" t="s">
        <v>46</v>
      </c>
      <c r="G33" s="35" t="s">
        <v>47</v>
      </c>
    </row>
    <row r="34" customFormat="false" ht="12.75" hidden="false" customHeight="false" outlineLevel="0" collapsed="false">
      <c r="B34" s="31" t="s">
        <v>48</v>
      </c>
      <c r="C34" s="32" t="n">
        <v>23</v>
      </c>
      <c r="D34" s="33" t="n">
        <v>1</v>
      </c>
      <c r="E34" s="34"/>
      <c r="F34" s="31" t="s">
        <v>48</v>
      </c>
      <c r="G34" s="35" t="s">
        <v>48</v>
      </c>
    </row>
    <row r="35" customFormat="false" ht="12.75" hidden="false" customHeight="false" outlineLevel="0" collapsed="false">
      <c r="B35" s="31" t="s">
        <v>49</v>
      </c>
      <c r="C35" s="32" t="n">
        <v>94</v>
      </c>
      <c r="D35" s="33" t="n">
        <v>1</v>
      </c>
      <c r="E35" s="34"/>
      <c r="F35" s="31" t="s">
        <v>49</v>
      </c>
      <c r="G35" s="35" t="s">
        <v>49</v>
      </c>
    </row>
    <row r="36" customFormat="false" ht="12.75" hidden="false" customHeight="false" outlineLevel="0" collapsed="false">
      <c r="B36" s="31" t="s">
        <v>50</v>
      </c>
      <c r="C36" s="32" t="n">
        <v>34</v>
      </c>
      <c r="D36" s="33" t="n">
        <v>1</v>
      </c>
      <c r="E36" s="34"/>
      <c r="F36" s="31" t="s">
        <v>50</v>
      </c>
      <c r="G36" s="35" t="s">
        <v>50</v>
      </c>
    </row>
    <row r="37" customFormat="false" ht="12.75" hidden="false" customHeight="false" outlineLevel="0" collapsed="false">
      <c r="B37" s="31" t="s">
        <v>51</v>
      </c>
      <c r="C37" s="32" t="n">
        <v>75</v>
      </c>
      <c r="D37" s="33" t="n">
        <v>1</v>
      </c>
      <c r="E37" s="34"/>
      <c r="F37" s="31" t="s">
        <v>51</v>
      </c>
      <c r="G37" s="35" t="s">
        <v>51</v>
      </c>
    </row>
    <row r="38" customFormat="false" ht="12.75" hidden="false" customHeight="false" outlineLevel="0" collapsed="false">
      <c r="B38" s="31" t="s">
        <v>52</v>
      </c>
      <c r="C38" s="32" t="n">
        <v>82</v>
      </c>
      <c r="D38" s="33" t="n">
        <v>1</v>
      </c>
      <c r="E38" s="34"/>
      <c r="F38" s="31" t="s">
        <v>52</v>
      </c>
      <c r="G38" s="35" t="s">
        <v>52</v>
      </c>
    </row>
    <row r="39" customFormat="false" ht="12.75" hidden="false" customHeight="false" outlineLevel="0" collapsed="false">
      <c r="B39" s="31" t="s">
        <v>53</v>
      </c>
      <c r="C39" s="32" t="n">
        <v>10</v>
      </c>
      <c r="D39" s="33" t="n">
        <v>2</v>
      </c>
      <c r="E39" s="34" t="n">
        <v>1</v>
      </c>
      <c r="F39" s="31" t="s">
        <v>54</v>
      </c>
      <c r="G39" s="35" t="s">
        <v>55</v>
      </c>
    </row>
    <row r="40" customFormat="false" ht="12.75" hidden="false" customHeight="false" outlineLevel="0" collapsed="false">
      <c r="B40" s="31" t="s">
        <v>56</v>
      </c>
      <c r="C40" s="32" t="n">
        <v>84</v>
      </c>
      <c r="D40" s="33" t="n">
        <v>1</v>
      </c>
      <c r="E40" s="34"/>
      <c r="F40" s="31" t="s">
        <v>56</v>
      </c>
      <c r="G40" s="35" t="s">
        <v>56</v>
      </c>
    </row>
    <row r="41" customFormat="false" ht="12.75" hidden="false" customHeight="false" outlineLevel="0" collapsed="false">
      <c r="B41" s="31" t="s">
        <v>57</v>
      </c>
      <c r="C41" s="32" t="n">
        <v>40</v>
      </c>
      <c r="D41" s="33" t="n">
        <v>1</v>
      </c>
      <c r="E41" s="34"/>
      <c r="F41" s="31" t="s">
        <v>57</v>
      </c>
      <c r="G41" s="35" t="s">
        <v>57</v>
      </c>
    </row>
    <row r="42" customFormat="false" ht="12.75" hidden="false" customHeight="false" outlineLevel="0" collapsed="false">
      <c r="B42" s="31" t="s">
        <v>58</v>
      </c>
      <c r="C42" s="32" t="n">
        <v>51</v>
      </c>
      <c r="D42" s="33" t="n">
        <v>1</v>
      </c>
      <c r="E42" s="34"/>
      <c r="F42" s="31" t="s">
        <v>58</v>
      </c>
      <c r="G42" s="35" t="s">
        <v>58</v>
      </c>
    </row>
    <row r="43" customFormat="false" ht="12.75" hidden="false" customHeight="false" outlineLevel="0" collapsed="false">
      <c r="B43" s="38" t="s">
        <v>59</v>
      </c>
      <c r="C43" s="32" t="n">
        <v>102</v>
      </c>
      <c r="D43" s="33" t="n">
        <v>1</v>
      </c>
      <c r="E43" s="34"/>
      <c r="F43" s="38" t="s">
        <v>59</v>
      </c>
      <c r="G43" s="35" t="s">
        <v>59</v>
      </c>
    </row>
    <row r="44" customFormat="false" ht="12.75" hidden="false" customHeight="false" outlineLevel="0" collapsed="false">
      <c r="B44" s="31" t="s">
        <v>60</v>
      </c>
      <c r="C44" s="32" t="n">
        <v>36</v>
      </c>
      <c r="D44" s="33" t="n">
        <v>1</v>
      </c>
      <c r="E44" s="34"/>
      <c r="F44" s="31" t="s">
        <v>60</v>
      </c>
      <c r="G44" s="35" t="s">
        <v>60</v>
      </c>
    </row>
    <row r="45" customFormat="false" ht="12.75" hidden="false" customHeight="false" outlineLevel="0" collapsed="false">
      <c r="B45" s="31" t="s">
        <v>61</v>
      </c>
      <c r="C45" s="32" t="n">
        <v>67</v>
      </c>
      <c r="D45" s="33" t="n">
        <v>1</v>
      </c>
      <c r="E45" s="34"/>
      <c r="F45" s="31" t="s">
        <v>61</v>
      </c>
      <c r="G45" s="35" t="s">
        <v>61</v>
      </c>
    </row>
    <row r="46" customFormat="false" ht="12.75" hidden="false" customHeight="false" outlineLevel="0" collapsed="false">
      <c r="B46" s="31" t="s">
        <v>62</v>
      </c>
      <c r="C46" s="32" t="n">
        <v>65</v>
      </c>
      <c r="D46" s="33" t="n">
        <v>1</v>
      </c>
      <c r="E46" s="34"/>
      <c r="F46" s="31" t="s">
        <v>62</v>
      </c>
      <c r="G46" s="35" t="s">
        <v>62</v>
      </c>
    </row>
    <row r="47" customFormat="false" ht="12.75" hidden="false" customHeight="false" outlineLevel="0" collapsed="false">
      <c r="B47" s="31" t="s">
        <v>63</v>
      </c>
      <c r="C47" s="32" t="n">
        <v>81</v>
      </c>
      <c r="D47" s="33" t="n">
        <v>1</v>
      </c>
      <c r="E47" s="34"/>
      <c r="F47" s="31" t="s">
        <v>63</v>
      </c>
      <c r="G47" s="35" t="s">
        <v>63</v>
      </c>
    </row>
    <row r="48" customFormat="false" ht="12.75" hidden="false" customHeight="false" outlineLevel="0" collapsed="false">
      <c r="B48" s="31" t="s">
        <v>64</v>
      </c>
      <c r="C48" s="32" t="n">
        <v>70</v>
      </c>
      <c r="D48" s="33" t="n">
        <v>1</v>
      </c>
      <c r="E48" s="34"/>
      <c r="F48" s="31" t="s">
        <v>64</v>
      </c>
      <c r="G48" s="35" t="s">
        <v>64</v>
      </c>
    </row>
    <row r="49" customFormat="false" ht="12.75" hidden="false" customHeight="false" outlineLevel="0" collapsed="false">
      <c r="B49" s="31" t="s">
        <v>65</v>
      </c>
      <c r="C49" s="32" t="n">
        <v>9</v>
      </c>
      <c r="D49" s="33" t="n">
        <v>2</v>
      </c>
      <c r="E49" s="34" t="n">
        <v>1</v>
      </c>
      <c r="F49" s="31" t="s">
        <v>66</v>
      </c>
      <c r="G49" s="35" t="s">
        <v>67</v>
      </c>
    </row>
    <row r="50" customFormat="false" ht="12.75" hidden="false" customHeight="false" outlineLevel="0" collapsed="false">
      <c r="B50" s="38" t="s">
        <v>68</v>
      </c>
      <c r="C50" s="32" t="n">
        <v>41</v>
      </c>
      <c r="D50" s="33" t="n">
        <v>1</v>
      </c>
      <c r="E50" s="34"/>
      <c r="F50" s="38" t="s">
        <v>68</v>
      </c>
      <c r="G50" s="35" t="s">
        <v>68</v>
      </c>
    </row>
    <row r="51" customFormat="false" ht="12.75" hidden="false" customHeight="false" outlineLevel="0" collapsed="false">
      <c r="B51" s="31" t="s">
        <v>69</v>
      </c>
      <c r="C51" s="32" t="n">
        <v>80</v>
      </c>
      <c r="D51" s="33" t="n">
        <v>1</v>
      </c>
      <c r="E51" s="34"/>
      <c r="F51" s="31" t="s">
        <v>69</v>
      </c>
      <c r="G51" s="35" t="s">
        <v>69</v>
      </c>
    </row>
    <row r="52" customFormat="false" ht="12.75" hidden="false" customHeight="false" outlineLevel="0" collapsed="false">
      <c r="B52" s="38" t="s">
        <v>70</v>
      </c>
      <c r="C52" s="32" t="n">
        <v>103</v>
      </c>
      <c r="D52" s="33" t="n">
        <v>1</v>
      </c>
      <c r="E52" s="34"/>
      <c r="F52" s="38" t="s">
        <v>70</v>
      </c>
      <c r="G52" s="35" t="s">
        <v>70</v>
      </c>
    </row>
    <row r="53" customFormat="false" ht="12.75" hidden="false" customHeight="false" outlineLevel="0" collapsed="false">
      <c r="B53" s="31" t="s">
        <v>71</v>
      </c>
      <c r="C53" s="32" t="n">
        <v>30</v>
      </c>
      <c r="D53" s="33" t="n">
        <v>1</v>
      </c>
      <c r="E53" s="34"/>
      <c r="F53" s="31" t="s">
        <v>71</v>
      </c>
      <c r="G53" s="35" t="s">
        <v>71</v>
      </c>
    </row>
    <row r="54" customFormat="false" ht="12.75" hidden="false" customHeight="false" outlineLevel="0" collapsed="false">
      <c r="B54" s="31" t="s">
        <v>72</v>
      </c>
      <c r="C54" s="32" t="n">
        <v>69</v>
      </c>
      <c r="D54" s="33" t="n">
        <v>1</v>
      </c>
      <c r="E54" s="34"/>
      <c r="F54" s="31" t="s">
        <v>72</v>
      </c>
      <c r="G54" s="35" t="s">
        <v>72</v>
      </c>
    </row>
    <row r="55" customFormat="false" ht="12.75" hidden="false" customHeight="false" outlineLevel="0" collapsed="false">
      <c r="B55" s="31" t="s">
        <v>73</v>
      </c>
      <c r="C55" s="32" t="n">
        <v>25</v>
      </c>
      <c r="D55" s="33" t="n">
        <v>1</v>
      </c>
      <c r="E55" s="34"/>
      <c r="F55" s="31" t="s">
        <v>73</v>
      </c>
      <c r="G55" s="35" t="s">
        <v>73</v>
      </c>
    </row>
    <row r="56" customFormat="false" ht="12.75" hidden="false" customHeight="false" outlineLevel="0" collapsed="false">
      <c r="B56" s="31" t="s">
        <v>74</v>
      </c>
      <c r="C56" s="32" t="n">
        <v>2</v>
      </c>
      <c r="D56" s="33" t="n">
        <v>2</v>
      </c>
      <c r="E56" s="34" t="n">
        <v>1</v>
      </c>
      <c r="F56" s="31" t="s">
        <v>75</v>
      </c>
      <c r="G56" s="35" t="s">
        <v>76</v>
      </c>
    </row>
    <row r="57" customFormat="false" ht="12.75" hidden="false" customHeight="false" outlineLevel="0" collapsed="false">
      <c r="B57" s="31" t="s">
        <v>77</v>
      </c>
      <c r="C57" s="32" t="n">
        <v>3</v>
      </c>
      <c r="D57" s="33" t="n">
        <v>1</v>
      </c>
      <c r="E57" s="34" t="n">
        <v>1</v>
      </c>
      <c r="F57" s="31" t="s">
        <v>77</v>
      </c>
      <c r="G57" s="35" t="s">
        <v>77</v>
      </c>
    </row>
    <row r="58" customFormat="false" ht="12.75" hidden="false" customHeight="false" outlineLevel="0" collapsed="false">
      <c r="B58" s="31" t="s">
        <v>78</v>
      </c>
      <c r="C58" s="32" t="n">
        <v>59</v>
      </c>
      <c r="D58" s="33" t="n">
        <v>1</v>
      </c>
      <c r="E58" s="34"/>
      <c r="F58" s="31" t="s">
        <v>78</v>
      </c>
      <c r="G58" s="35" t="s">
        <v>78</v>
      </c>
    </row>
    <row r="59" customFormat="false" ht="12.75" hidden="false" customHeight="false" outlineLevel="0" collapsed="false">
      <c r="B59" s="31" t="s">
        <v>79</v>
      </c>
      <c r="C59" s="32" t="n">
        <v>35</v>
      </c>
      <c r="D59" s="33" t="n">
        <v>1</v>
      </c>
      <c r="E59" s="34"/>
      <c r="F59" s="31" t="s">
        <v>79</v>
      </c>
      <c r="G59" s="35" t="s">
        <v>79</v>
      </c>
    </row>
    <row r="60" customFormat="false" ht="12.75" hidden="false" customHeight="false" outlineLevel="0" collapsed="false">
      <c r="B60" s="31" t="s">
        <v>80</v>
      </c>
      <c r="C60" s="32" t="n">
        <v>66</v>
      </c>
      <c r="D60" s="33" t="n">
        <v>1</v>
      </c>
      <c r="E60" s="34"/>
      <c r="F60" s="31" t="s">
        <v>80</v>
      </c>
      <c r="G60" s="35" t="s">
        <v>80</v>
      </c>
    </row>
    <row r="61" customFormat="false" ht="12.75" hidden="false" customHeight="false" outlineLevel="0" collapsed="false">
      <c r="B61" s="31" t="s">
        <v>81</v>
      </c>
      <c r="C61" s="32" t="n">
        <v>12</v>
      </c>
      <c r="D61" s="33" t="n">
        <v>2</v>
      </c>
      <c r="E61" s="34"/>
      <c r="F61" s="31" t="s">
        <v>82</v>
      </c>
      <c r="G61" s="35" t="s">
        <v>83</v>
      </c>
    </row>
    <row r="62" customFormat="false" ht="12.75" hidden="false" customHeight="false" outlineLevel="0" collapsed="false">
      <c r="B62" s="31" t="s">
        <v>84</v>
      </c>
      <c r="C62" s="32" t="n">
        <v>31</v>
      </c>
      <c r="D62" s="33" t="n">
        <v>1</v>
      </c>
      <c r="E62" s="34"/>
      <c r="F62" s="31" t="s">
        <v>84</v>
      </c>
      <c r="G62" s="35" t="s">
        <v>84</v>
      </c>
    </row>
    <row r="63" customFormat="false" ht="12.75" hidden="false" customHeight="false" outlineLevel="0" collapsed="false">
      <c r="B63" s="31" t="s">
        <v>85</v>
      </c>
      <c r="C63" s="32" t="n">
        <v>46</v>
      </c>
      <c r="D63" s="33" t="n">
        <v>1</v>
      </c>
      <c r="E63" s="34"/>
      <c r="F63" s="31" t="s">
        <v>85</v>
      </c>
      <c r="G63" s="35" t="s">
        <v>85</v>
      </c>
    </row>
    <row r="64" customFormat="false" ht="12.75" hidden="false" customHeight="false" outlineLevel="0" collapsed="false">
      <c r="B64" s="38" t="s">
        <v>86</v>
      </c>
      <c r="C64" s="32" t="n">
        <v>100</v>
      </c>
      <c r="D64" s="33" t="n">
        <v>1</v>
      </c>
      <c r="E64" s="34"/>
      <c r="F64" s="38" t="s">
        <v>86</v>
      </c>
      <c r="G64" s="35" t="s">
        <v>86</v>
      </c>
    </row>
    <row r="65" customFormat="false" ht="12.75" hidden="false" customHeight="false" outlineLevel="0" collapsed="false">
      <c r="B65" s="31" t="s">
        <v>87</v>
      </c>
      <c r="C65" s="32" t="n">
        <v>6</v>
      </c>
      <c r="D65" s="33" t="n">
        <v>1</v>
      </c>
      <c r="E65" s="34" t="n">
        <v>1</v>
      </c>
      <c r="F65" s="31" t="s">
        <v>87</v>
      </c>
      <c r="G65" s="35" t="s">
        <v>87</v>
      </c>
    </row>
    <row r="66" customFormat="false" ht="12.75" hidden="false" customHeight="false" outlineLevel="0" collapsed="false">
      <c r="B66" s="31" t="s">
        <v>88</v>
      </c>
      <c r="C66" s="32" t="n">
        <v>76</v>
      </c>
      <c r="D66" s="33" t="n">
        <v>1</v>
      </c>
      <c r="E66" s="34"/>
      <c r="F66" s="31" t="s">
        <v>88</v>
      </c>
      <c r="G66" s="35" t="s">
        <v>88</v>
      </c>
    </row>
    <row r="67" customFormat="false" ht="12.75" hidden="false" customHeight="false" outlineLevel="0" collapsed="false">
      <c r="B67" s="38" t="s">
        <v>89</v>
      </c>
      <c r="C67" s="32" t="n">
        <v>98</v>
      </c>
      <c r="D67" s="33" t="n">
        <v>1</v>
      </c>
      <c r="E67" s="34"/>
      <c r="F67" s="38" t="s">
        <v>89</v>
      </c>
      <c r="G67" s="35" t="s">
        <v>89</v>
      </c>
    </row>
    <row r="68" customFormat="false" ht="12.75" hidden="false" customHeight="false" outlineLevel="0" collapsed="false">
      <c r="B68" s="31" t="s">
        <v>90</v>
      </c>
      <c r="C68" s="32" t="n">
        <v>77</v>
      </c>
      <c r="D68" s="33" t="n">
        <v>1</v>
      </c>
      <c r="E68" s="34"/>
      <c r="F68" s="31" t="s">
        <v>90</v>
      </c>
      <c r="G68" s="35" t="s">
        <v>90</v>
      </c>
    </row>
    <row r="69" customFormat="false" ht="12.75" hidden="false" customHeight="false" outlineLevel="0" collapsed="false">
      <c r="B69" s="31" t="s">
        <v>91</v>
      </c>
      <c r="C69" s="32" t="n">
        <v>62</v>
      </c>
      <c r="D69" s="33" t="n">
        <v>1</v>
      </c>
      <c r="E69" s="34"/>
      <c r="F69" s="31" t="s">
        <v>91</v>
      </c>
      <c r="G69" s="35" t="s">
        <v>91</v>
      </c>
    </row>
    <row r="70" customFormat="false" ht="12.75" hidden="false" customHeight="false" outlineLevel="0" collapsed="false">
      <c r="B70" s="31" t="s">
        <v>92</v>
      </c>
      <c r="C70" s="32" t="n">
        <v>79</v>
      </c>
      <c r="D70" s="33" t="n">
        <v>1</v>
      </c>
      <c r="E70" s="34"/>
      <c r="F70" s="31" t="s">
        <v>92</v>
      </c>
      <c r="G70" s="35" t="s">
        <v>92</v>
      </c>
    </row>
    <row r="71" customFormat="false" ht="12.75" hidden="false" customHeight="false" outlineLevel="0" collapsed="false">
      <c r="B71" s="31" t="s">
        <v>93</v>
      </c>
      <c r="C71" s="32" t="n">
        <v>93</v>
      </c>
      <c r="D71" s="33" t="n">
        <v>1</v>
      </c>
      <c r="E71" s="34"/>
      <c r="F71" s="31" t="s">
        <v>93</v>
      </c>
      <c r="G71" s="35" t="s">
        <v>93</v>
      </c>
    </row>
    <row r="72" customFormat="false" ht="12.75" hidden="false" customHeight="false" outlineLevel="0" collapsed="false">
      <c r="B72" s="31" t="s">
        <v>94</v>
      </c>
      <c r="C72" s="32" t="n">
        <v>48</v>
      </c>
      <c r="D72" s="33" t="n">
        <v>1</v>
      </c>
      <c r="E72" s="34"/>
      <c r="F72" s="31" t="s">
        <v>94</v>
      </c>
      <c r="G72" s="35" t="s">
        <v>94</v>
      </c>
    </row>
    <row r="73" customFormat="false" ht="12.75" hidden="false" customHeight="false" outlineLevel="0" collapsed="false">
      <c r="B73" s="31" t="s">
        <v>95</v>
      </c>
      <c r="C73" s="32" t="n">
        <v>52</v>
      </c>
      <c r="D73" s="33" t="n">
        <v>1</v>
      </c>
      <c r="E73" s="34"/>
      <c r="F73" s="31" t="s">
        <v>95</v>
      </c>
      <c r="G73" s="35" t="s">
        <v>95</v>
      </c>
    </row>
    <row r="74" customFormat="false" ht="12.75" hidden="false" customHeight="false" outlineLevel="0" collapsed="false">
      <c r="B74" s="31" t="s">
        <v>96</v>
      </c>
      <c r="C74" s="32" t="n">
        <v>18</v>
      </c>
      <c r="D74" s="33" t="n">
        <v>2</v>
      </c>
      <c r="E74" s="34" t="n">
        <v>1</v>
      </c>
      <c r="F74" s="31" t="s">
        <v>97</v>
      </c>
      <c r="G74" s="35" t="s">
        <v>98</v>
      </c>
    </row>
    <row r="75" customFormat="false" ht="12.75" hidden="false" customHeight="false" outlineLevel="0" collapsed="false">
      <c r="B75" s="38" t="s">
        <v>99</v>
      </c>
      <c r="C75" s="32" t="n">
        <v>99</v>
      </c>
      <c r="D75" s="33" t="n">
        <v>1</v>
      </c>
      <c r="E75" s="34"/>
      <c r="F75" s="38" t="s">
        <v>99</v>
      </c>
      <c r="G75" s="35" t="s">
        <v>99</v>
      </c>
    </row>
    <row r="76" customFormat="false" ht="12.75" hidden="false" customHeight="false" outlineLevel="0" collapsed="false">
      <c r="B76" s="31" t="s">
        <v>100</v>
      </c>
      <c r="C76" s="32" t="n">
        <v>55</v>
      </c>
      <c r="D76" s="33" t="n">
        <v>1</v>
      </c>
      <c r="E76" s="34"/>
      <c r="F76" s="31" t="s">
        <v>100</v>
      </c>
      <c r="G76" s="35" t="s">
        <v>100</v>
      </c>
    </row>
    <row r="77" customFormat="false" ht="12.75" hidden="false" customHeight="false" outlineLevel="0" collapsed="false">
      <c r="B77" s="31" t="s">
        <v>101</v>
      </c>
      <c r="C77" s="32" t="n">
        <v>73</v>
      </c>
      <c r="D77" s="33" t="n">
        <v>1</v>
      </c>
      <c r="E77" s="34"/>
      <c r="F77" s="31" t="s">
        <v>101</v>
      </c>
      <c r="G77" s="35" t="s">
        <v>101</v>
      </c>
    </row>
    <row r="78" customFormat="false" ht="12.75" hidden="false" customHeight="false" outlineLevel="0" collapsed="false">
      <c r="B78" s="31" t="s">
        <v>102</v>
      </c>
      <c r="C78" s="32" t="n">
        <v>4</v>
      </c>
      <c r="D78" s="33" t="n">
        <v>1</v>
      </c>
      <c r="E78" s="34" t="n">
        <v>1</v>
      </c>
      <c r="F78" s="31" t="s">
        <v>102</v>
      </c>
      <c r="G78" s="35" t="s">
        <v>102</v>
      </c>
    </row>
    <row r="79" customFormat="false" ht="12.75" hidden="false" customHeight="false" outlineLevel="0" collapsed="false">
      <c r="B79" s="31" t="s">
        <v>103</v>
      </c>
      <c r="C79" s="32" t="n">
        <v>39</v>
      </c>
      <c r="D79" s="33" t="n">
        <v>1</v>
      </c>
      <c r="E79" s="34"/>
      <c r="F79" s="31" t="s">
        <v>103</v>
      </c>
      <c r="G79" s="35" t="s">
        <v>103</v>
      </c>
    </row>
    <row r="80" customFormat="false" ht="12.75" hidden="false" customHeight="false" outlineLevel="0" collapsed="false">
      <c r="B80" s="31" t="s">
        <v>104</v>
      </c>
      <c r="C80" s="32" t="n">
        <v>78</v>
      </c>
      <c r="D80" s="33" t="n">
        <v>1</v>
      </c>
      <c r="E80" s="34"/>
      <c r="F80" s="31" t="s">
        <v>104</v>
      </c>
      <c r="G80" s="35" t="s">
        <v>104</v>
      </c>
    </row>
    <row r="81" customFormat="false" ht="12.75" hidden="false" customHeight="false" outlineLevel="0" collapsed="false">
      <c r="B81" s="31" t="s">
        <v>105</v>
      </c>
      <c r="C81" s="32" t="n">
        <v>87</v>
      </c>
      <c r="D81" s="33" t="n">
        <v>1</v>
      </c>
      <c r="E81" s="34"/>
      <c r="F81" s="31" t="s">
        <v>105</v>
      </c>
      <c r="G81" s="35" t="s">
        <v>105</v>
      </c>
    </row>
    <row r="82" customFormat="false" ht="12.75" hidden="false" customHeight="false" outlineLevel="0" collapsed="false">
      <c r="B82" s="31" t="s">
        <v>106</v>
      </c>
      <c r="C82" s="32" t="n">
        <v>1</v>
      </c>
      <c r="D82" s="33" t="n">
        <v>2</v>
      </c>
      <c r="E82" s="34" t="n">
        <v>1</v>
      </c>
      <c r="F82" s="31" t="s">
        <v>107</v>
      </c>
      <c r="G82" s="35" t="s">
        <v>108</v>
      </c>
    </row>
    <row r="83" customFormat="false" ht="12.75" hidden="false" customHeight="false" outlineLevel="0" collapsed="false">
      <c r="B83" s="31" t="s">
        <v>109</v>
      </c>
      <c r="C83" s="32" t="n">
        <v>47</v>
      </c>
      <c r="D83" s="33" t="n">
        <v>1</v>
      </c>
      <c r="E83" s="34"/>
      <c r="F83" s="31" t="s">
        <v>109</v>
      </c>
      <c r="G83" s="35" t="s">
        <v>109</v>
      </c>
    </row>
    <row r="84" customFormat="false" ht="12.75" hidden="false" customHeight="false" outlineLevel="0" collapsed="false">
      <c r="B84" s="31" t="s">
        <v>110</v>
      </c>
      <c r="C84" s="32" t="n">
        <v>19</v>
      </c>
      <c r="D84" s="33" t="n">
        <v>1</v>
      </c>
      <c r="E84" s="34"/>
      <c r="F84" s="31" t="s">
        <v>110</v>
      </c>
      <c r="G84" s="35" t="s">
        <v>110</v>
      </c>
    </row>
    <row r="85" customFormat="false" ht="12.75" hidden="false" customHeight="false" outlineLevel="0" collapsed="false">
      <c r="B85" s="31" t="s">
        <v>111</v>
      </c>
      <c r="C85" s="32" t="n">
        <v>89</v>
      </c>
      <c r="D85" s="33" t="n">
        <v>1</v>
      </c>
      <c r="E85" s="34"/>
      <c r="F85" s="31" t="s">
        <v>111</v>
      </c>
      <c r="G85" s="35" t="s">
        <v>111</v>
      </c>
    </row>
    <row r="86" customFormat="false" ht="12.75" hidden="false" customHeight="false" outlineLevel="0" collapsed="false">
      <c r="B86" s="31" t="s">
        <v>112</v>
      </c>
      <c r="C86" s="32" t="n">
        <v>27</v>
      </c>
      <c r="D86" s="33" t="n">
        <v>1</v>
      </c>
      <c r="E86" s="34"/>
      <c r="F86" s="31" t="s">
        <v>112</v>
      </c>
      <c r="G86" s="35" t="s">
        <v>112</v>
      </c>
    </row>
    <row r="87" customFormat="false" ht="12.75" hidden="false" customHeight="false" outlineLevel="0" collapsed="false">
      <c r="B87" s="38" t="s">
        <v>113</v>
      </c>
      <c r="C87" s="32" t="n">
        <v>42</v>
      </c>
      <c r="D87" s="33" t="n">
        <v>1</v>
      </c>
      <c r="E87" s="34"/>
      <c r="F87" s="38" t="s">
        <v>113</v>
      </c>
      <c r="G87" s="35" t="s">
        <v>113</v>
      </c>
    </row>
    <row r="88" customFormat="false" ht="12.75" hidden="false" customHeight="false" outlineLevel="0" collapsed="false">
      <c r="B88" s="31" t="s">
        <v>114</v>
      </c>
      <c r="C88" s="32" t="n">
        <v>72</v>
      </c>
      <c r="D88" s="33" t="n">
        <v>1</v>
      </c>
      <c r="E88" s="34"/>
      <c r="F88" s="31" t="s">
        <v>114</v>
      </c>
      <c r="G88" s="35" t="s">
        <v>114</v>
      </c>
    </row>
    <row r="89" customFormat="false" ht="12.75" hidden="false" customHeight="false" outlineLevel="0" collapsed="false">
      <c r="B89" s="38" t="s">
        <v>115</v>
      </c>
      <c r="C89" s="32" t="n">
        <v>17</v>
      </c>
      <c r="D89" s="33" t="n">
        <v>1</v>
      </c>
      <c r="E89" s="34"/>
      <c r="F89" s="38" t="s">
        <v>115</v>
      </c>
      <c r="G89" s="35" t="s">
        <v>115</v>
      </c>
    </row>
    <row r="90" customFormat="false" ht="12.75" hidden="false" customHeight="false" outlineLevel="0" collapsed="false">
      <c r="B90" s="31" t="s">
        <v>116</v>
      </c>
      <c r="C90" s="32" t="n">
        <v>74</v>
      </c>
      <c r="D90" s="33" t="n">
        <v>1</v>
      </c>
      <c r="E90" s="34"/>
      <c r="F90" s="31" t="s">
        <v>116</v>
      </c>
      <c r="G90" s="35" t="s">
        <v>116</v>
      </c>
    </row>
    <row r="91" customFormat="false" ht="12.75" hidden="false" customHeight="false" outlineLevel="0" collapsed="false">
      <c r="B91" s="31" t="s">
        <v>117</v>
      </c>
      <c r="C91" s="32" t="n">
        <v>45</v>
      </c>
      <c r="D91" s="33" t="n">
        <v>1</v>
      </c>
      <c r="E91" s="34"/>
      <c r="F91" s="31" t="s">
        <v>117</v>
      </c>
      <c r="G91" s="35" t="s">
        <v>117</v>
      </c>
    </row>
    <row r="92" customFormat="false" ht="12.75" hidden="false" customHeight="false" outlineLevel="0" collapsed="false">
      <c r="B92" s="31" t="s">
        <v>118</v>
      </c>
      <c r="C92" s="32" t="n">
        <v>86</v>
      </c>
      <c r="D92" s="33" t="n">
        <v>1</v>
      </c>
      <c r="E92" s="34"/>
      <c r="F92" s="31" t="s">
        <v>118</v>
      </c>
      <c r="G92" s="35" t="s">
        <v>118</v>
      </c>
    </row>
    <row r="93" customFormat="false" ht="12.75" hidden="false" customHeight="false" outlineLevel="0" collapsed="false">
      <c r="B93" s="38" t="s">
        <v>119</v>
      </c>
      <c r="C93" s="32" t="n">
        <v>97</v>
      </c>
      <c r="D93" s="33" t="n">
        <v>1</v>
      </c>
      <c r="E93" s="34"/>
      <c r="F93" s="38" t="s">
        <v>119</v>
      </c>
      <c r="G93" s="35" t="s">
        <v>119</v>
      </c>
    </row>
    <row r="94" customFormat="false" ht="12.75" hidden="false" customHeight="false" outlineLevel="0" collapsed="false">
      <c r="B94" s="38" t="s">
        <v>120</v>
      </c>
      <c r="C94" s="32" t="n">
        <v>101</v>
      </c>
      <c r="D94" s="33" t="n">
        <v>1</v>
      </c>
      <c r="E94" s="34"/>
      <c r="F94" s="38" t="s">
        <v>120</v>
      </c>
      <c r="G94" s="35" t="s">
        <v>120</v>
      </c>
    </row>
    <row r="95" customFormat="false" ht="12.75" hidden="false" customHeight="false" outlineLevel="0" collapsed="false">
      <c r="B95" s="31" t="s">
        <v>121</v>
      </c>
      <c r="C95" s="32" t="n">
        <v>50</v>
      </c>
      <c r="D95" s="33" t="n">
        <v>1</v>
      </c>
      <c r="E95" s="34"/>
      <c r="F95" s="31" t="s">
        <v>121</v>
      </c>
      <c r="G95" s="35" t="s">
        <v>121</v>
      </c>
    </row>
    <row r="96" customFormat="false" ht="12.75" hidden="false" customHeight="false" outlineLevel="0" collapsed="false">
      <c r="B96" s="38" t="s">
        <v>122</v>
      </c>
      <c r="C96" s="32" t="n">
        <v>43</v>
      </c>
      <c r="D96" s="33" t="n">
        <v>1</v>
      </c>
      <c r="E96" s="34"/>
      <c r="F96" s="38" t="s">
        <v>122</v>
      </c>
      <c r="G96" s="35" t="s">
        <v>122</v>
      </c>
    </row>
    <row r="97" customFormat="false" ht="12.75" hidden="false" customHeight="false" outlineLevel="0" collapsed="false">
      <c r="B97" s="31" t="s">
        <v>123</v>
      </c>
      <c r="C97" s="32" t="n">
        <v>8</v>
      </c>
      <c r="D97" s="33" t="n">
        <v>1</v>
      </c>
      <c r="E97" s="34" t="n">
        <v>1</v>
      </c>
      <c r="F97" s="31" t="s">
        <v>123</v>
      </c>
      <c r="G97" s="35" t="s">
        <v>123</v>
      </c>
    </row>
    <row r="98" customFormat="false" ht="12.75" hidden="false" customHeight="false" outlineLevel="0" collapsed="false">
      <c r="B98" s="38" t="s">
        <v>124</v>
      </c>
      <c r="C98" s="32" t="n">
        <v>44</v>
      </c>
      <c r="D98" s="33" t="n">
        <v>1</v>
      </c>
      <c r="E98" s="34"/>
      <c r="F98" s="38" t="s">
        <v>124</v>
      </c>
      <c r="G98" s="35" t="s">
        <v>124</v>
      </c>
    </row>
    <row r="99" customFormat="false" ht="12.75" hidden="false" customHeight="false" outlineLevel="0" collapsed="false">
      <c r="B99" s="38" t="s">
        <v>125</v>
      </c>
      <c r="C99" s="32" t="n">
        <v>14</v>
      </c>
      <c r="D99" s="33" t="n">
        <v>1</v>
      </c>
      <c r="E99" s="34"/>
      <c r="F99" s="38" t="s">
        <v>125</v>
      </c>
      <c r="G99" s="35" t="s">
        <v>125</v>
      </c>
    </row>
    <row r="100" customFormat="false" ht="12.75" hidden="false" customHeight="false" outlineLevel="0" collapsed="false">
      <c r="B100" s="31" t="s">
        <v>126</v>
      </c>
      <c r="C100" s="32" t="n">
        <v>21</v>
      </c>
      <c r="D100" s="33" t="n">
        <v>1</v>
      </c>
      <c r="E100" s="34"/>
      <c r="F100" s="31" t="s">
        <v>126</v>
      </c>
      <c r="G100" s="35" t="s">
        <v>126</v>
      </c>
    </row>
    <row r="101" customFormat="false" ht="12.75" hidden="false" customHeight="false" outlineLevel="0" collapsed="false">
      <c r="B101" s="31" t="s">
        <v>127</v>
      </c>
      <c r="C101" s="32" t="n">
        <v>60</v>
      </c>
      <c r="D101" s="33" t="n">
        <v>1</v>
      </c>
      <c r="E101" s="34"/>
      <c r="F101" s="31" t="s">
        <v>127</v>
      </c>
      <c r="G101" s="35" t="s">
        <v>127</v>
      </c>
    </row>
    <row r="102" customFormat="false" ht="12.75" hidden="false" customHeight="false" outlineLevel="0" collapsed="false">
      <c r="B102" s="38" t="s">
        <v>128</v>
      </c>
      <c r="C102" s="32" t="n">
        <v>15</v>
      </c>
      <c r="D102" s="33" t="n">
        <v>1</v>
      </c>
      <c r="E102" s="34"/>
      <c r="F102" s="38" t="s">
        <v>128</v>
      </c>
      <c r="G102" s="35" t="s">
        <v>128</v>
      </c>
    </row>
    <row r="103" customFormat="false" ht="12.75" hidden="false" customHeight="false" outlineLevel="0" collapsed="false">
      <c r="B103" s="31" t="s">
        <v>129</v>
      </c>
      <c r="C103" s="32" t="n">
        <v>24</v>
      </c>
      <c r="D103" s="33" t="n">
        <v>1</v>
      </c>
      <c r="E103" s="34"/>
      <c r="F103" s="31" t="s">
        <v>129</v>
      </c>
      <c r="G103" s="35" t="s">
        <v>129</v>
      </c>
    </row>
    <row r="104" customFormat="false" ht="12.75" hidden="false" customHeight="false" outlineLevel="0" collapsed="false">
      <c r="B104" s="31" t="s">
        <v>130</v>
      </c>
      <c r="C104" s="32" t="n">
        <v>71</v>
      </c>
      <c r="D104" s="33" t="n">
        <v>1</v>
      </c>
      <c r="E104" s="34"/>
      <c r="F104" s="31" t="s">
        <v>130</v>
      </c>
      <c r="G104" s="35" t="s">
        <v>130</v>
      </c>
    </row>
    <row r="105" customFormat="false" ht="12.75" hidden="false" customHeight="false" outlineLevel="0" collapsed="false">
      <c r="B105" s="31" t="s">
        <v>131</v>
      </c>
      <c r="C105" s="32" t="n">
        <v>26</v>
      </c>
      <c r="D105" s="33" t="n">
        <v>1</v>
      </c>
      <c r="E105" s="34"/>
      <c r="F105" s="31" t="s">
        <v>131</v>
      </c>
      <c r="G105" s="35" t="s">
        <v>131</v>
      </c>
    </row>
    <row r="106" customFormat="false" ht="12.75" hidden="false" customHeight="false" outlineLevel="0" collapsed="false">
      <c r="B106" s="38" t="s">
        <v>132</v>
      </c>
      <c r="C106" s="32" t="n">
        <v>95</v>
      </c>
      <c r="D106" s="33" t="n">
        <v>1</v>
      </c>
      <c r="E106" s="34"/>
      <c r="F106" s="38" t="s">
        <v>132</v>
      </c>
      <c r="G106" s="35" t="s">
        <v>132</v>
      </c>
    </row>
    <row r="107" customFormat="false" ht="12.75" hidden="false" customHeight="false" outlineLevel="0" collapsed="false">
      <c r="B107" s="31" t="s">
        <v>133</v>
      </c>
      <c r="C107" s="32" t="n">
        <v>56</v>
      </c>
      <c r="D107" s="33" t="n">
        <v>1</v>
      </c>
      <c r="E107" s="34"/>
      <c r="F107" s="31" t="s">
        <v>133</v>
      </c>
      <c r="G107" s="35" t="s">
        <v>133</v>
      </c>
    </row>
    <row r="108" customFormat="false" ht="12.75" hidden="false" customHeight="false" outlineLevel="0" collapsed="false">
      <c r="B108" s="31" t="s">
        <v>134</v>
      </c>
      <c r="C108" s="32" t="n">
        <v>68</v>
      </c>
      <c r="D108" s="33" t="n">
        <v>1</v>
      </c>
      <c r="E108" s="34"/>
      <c r="F108" s="31" t="s">
        <v>134</v>
      </c>
      <c r="G108" s="35" t="s">
        <v>134</v>
      </c>
    </row>
    <row r="109" customFormat="false" ht="12.75" hidden="false" customHeight="false" outlineLevel="0" collapsed="false">
      <c r="B109" s="31" t="s">
        <v>135</v>
      </c>
      <c r="C109" s="32" t="n">
        <v>49</v>
      </c>
      <c r="D109" s="33" t="n">
        <v>1</v>
      </c>
      <c r="E109" s="34"/>
      <c r="F109" s="31" t="s">
        <v>135</v>
      </c>
      <c r="G109" s="35" t="s">
        <v>135</v>
      </c>
    </row>
    <row r="110" customFormat="false" ht="12.75" hidden="false" customHeight="false" outlineLevel="0" collapsed="false">
      <c r="B110" s="38" t="s">
        <v>136</v>
      </c>
      <c r="C110" s="32" t="n">
        <v>16</v>
      </c>
      <c r="D110" s="33" t="n">
        <v>1</v>
      </c>
      <c r="E110" s="34"/>
      <c r="F110" s="38" t="s">
        <v>136</v>
      </c>
      <c r="G110" s="35" t="s">
        <v>136</v>
      </c>
    </row>
    <row r="111" customFormat="false" ht="12.75" hidden="false" customHeight="false" outlineLevel="0" collapsed="false">
      <c r="B111" s="38" t="s">
        <v>137</v>
      </c>
      <c r="C111" s="32" t="n">
        <v>90</v>
      </c>
      <c r="D111" s="33" t="n">
        <v>1</v>
      </c>
      <c r="E111" s="34"/>
      <c r="F111" s="38" t="s">
        <v>137</v>
      </c>
      <c r="G111" s="35" t="s">
        <v>137</v>
      </c>
    </row>
    <row r="112" customFormat="false" ht="12.75" hidden="false" customHeight="false" outlineLevel="0" collapsed="false">
      <c r="B112" s="31" t="s">
        <v>138</v>
      </c>
      <c r="C112" s="32" t="n">
        <v>57</v>
      </c>
      <c r="D112" s="33" t="n">
        <v>1</v>
      </c>
      <c r="E112" s="34"/>
      <c r="F112" s="31" t="s">
        <v>138</v>
      </c>
      <c r="G112" s="35" t="s">
        <v>138</v>
      </c>
    </row>
    <row r="113" customFormat="false" ht="12.75" hidden="false" customHeight="false" outlineLevel="0" collapsed="false">
      <c r="B113" s="31" t="s">
        <v>139</v>
      </c>
      <c r="C113" s="32" t="n">
        <v>32</v>
      </c>
      <c r="D113" s="33" t="n">
        <v>1</v>
      </c>
      <c r="E113" s="34"/>
      <c r="F113" s="31" t="s">
        <v>139</v>
      </c>
      <c r="G113" s="35" t="s">
        <v>139</v>
      </c>
    </row>
    <row r="114" customFormat="false" ht="12.75" hidden="false" customHeight="false" outlineLevel="0" collapsed="false">
      <c r="B114" s="31" t="s">
        <v>140</v>
      </c>
      <c r="C114" s="32" t="n">
        <v>64</v>
      </c>
      <c r="D114" s="33" t="n">
        <v>1</v>
      </c>
      <c r="E114" s="34"/>
      <c r="F114" s="31" t="s">
        <v>140</v>
      </c>
      <c r="G114" s="35" t="s">
        <v>140</v>
      </c>
    </row>
    <row r="115" customFormat="false" ht="12.75" hidden="false" customHeight="false" outlineLevel="0" collapsed="false">
      <c r="B115" s="31" t="s">
        <v>141</v>
      </c>
      <c r="C115" s="32" t="n">
        <v>88</v>
      </c>
      <c r="D115" s="33" t="n">
        <v>1</v>
      </c>
      <c r="E115" s="34"/>
      <c r="F115" s="31" t="s">
        <v>141</v>
      </c>
      <c r="G115" s="35" t="s">
        <v>141</v>
      </c>
    </row>
    <row r="116" customFormat="false" ht="12.75" hidden="false" customHeight="false" outlineLevel="0" collapsed="false">
      <c r="B116" s="31" t="s">
        <v>142</v>
      </c>
      <c r="C116" s="32" t="n">
        <v>54</v>
      </c>
      <c r="D116" s="33" t="n">
        <v>1</v>
      </c>
      <c r="E116" s="34"/>
      <c r="F116" s="31" t="s">
        <v>142</v>
      </c>
      <c r="G116" s="35" t="s">
        <v>142</v>
      </c>
    </row>
    <row r="117" customFormat="false" ht="12.75" hidden="false" customHeight="false" outlineLevel="0" collapsed="false">
      <c r="B117" s="31" t="s">
        <v>143</v>
      </c>
      <c r="C117" s="32" t="n">
        <v>53</v>
      </c>
      <c r="D117" s="33" t="n">
        <v>1</v>
      </c>
      <c r="E117" s="34"/>
      <c r="F117" s="31" t="s">
        <v>143</v>
      </c>
      <c r="G117" s="35" t="s">
        <v>143</v>
      </c>
    </row>
    <row r="118" customFormat="false" ht="12.75" hidden="false" customHeight="false" outlineLevel="0" collapsed="false">
      <c r="B118" s="31" t="s">
        <v>144</v>
      </c>
      <c r="C118" s="32" t="n">
        <v>7</v>
      </c>
      <c r="D118" s="33" t="n">
        <v>1</v>
      </c>
      <c r="E118" s="34" t="n">
        <v>1</v>
      </c>
      <c r="F118" s="31" t="s">
        <v>144</v>
      </c>
      <c r="G118" s="35" t="s">
        <v>144</v>
      </c>
    </row>
    <row r="119" customFormat="false" ht="12.75" hidden="false" customHeight="false" outlineLevel="0" collapsed="false">
      <c r="B119" s="31" t="s">
        <v>145</v>
      </c>
      <c r="C119" s="32" t="n">
        <v>61</v>
      </c>
      <c r="D119" s="33" t="n">
        <v>1</v>
      </c>
      <c r="E119" s="34"/>
      <c r="F119" s="31" t="s">
        <v>145</v>
      </c>
      <c r="G119" s="35" t="s">
        <v>145</v>
      </c>
    </row>
    <row r="120" customFormat="false" ht="12.75" hidden="false" customHeight="false" outlineLevel="0" collapsed="false">
      <c r="B120" s="31" t="s">
        <v>146</v>
      </c>
      <c r="C120" s="32" t="n">
        <v>63</v>
      </c>
      <c r="D120" s="33" t="n">
        <v>1</v>
      </c>
      <c r="E120" s="34"/>
      <c r="F120" s="31" t="s">
        <v>146</v>
      </c>
      <c r="G120" s="35" t="s">
        <v>146</v>
      </c>
    </row>
    <row r="121" customFormat="false" ht="12.75" hidden="false" customHeight="false" outlineLevel="0" collapsed="false">
      <c r="B121" s="31" t="s">
        <v>147</v>
      </c>
      <c r="C121" s="32" t="n">
        <v>33</v>
      </c>
      <c r="D121" s="33" t="n">
        <v>1</v>
      </c>
      <c r="E121" s="34"/>
      <c r="F121" s="31" t="s">
        <v>147</v>
      </c>
      <c r="G121" s="35" t="s">
        <v>147</v>
      </c>
    </row>
    <row r="122" customFormat="false" ht="13.5" hidden="false" customHeight="false" outlineLevel="0" collapsed="false">
      <c r="B122" s="39" t="s">
        <v>148</v>
      </c>
      <c r="C122" s="40" t="n">
        <v>58</v>
      </c>
      <c r="D122" s="41" t="n">
        <v>1</v>
      </c>
      <c r="E122" s="42"/>
      <c r="F122" s="39" t="s">
        <v>148</v>
      </c>
      <c r="G122" s="43" t="s">
        <v>148</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sheetPr filterMode="false">
    <pageSetUpPr fitToPage="false"/>
  </sheetPr>
  <dimension ref="A1:BQ10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21" activeCellId="2" sqref="B16:B122 E16:F122 G21"/>
    </sheetView>
  </sheetViews>
  <sheetFormatPr defaultRowHeight="12.75" zeroHeight="false" outlineLevelRow="0" outlineLevelCol="0"/>
  <cols>
    <col collapsed="false" customWidth="true" hidden="false" outlineLevel="0" max="1" min="1" style="0" width="13.14"/>
    <col collapsed="false" customWidth="true" hidden="false" outlineLevel="0" max="9" min="2" style="0" width="11.42"/>
    <col collapsed="false" customWidth="true" hidden="false" outlineLevel="0" max="10" min="10" style="44" width="11.42"/>
    <col collapsed="false" customWidth="true" hidden="false" outlineLevel="0" max="11" min="11" style="73" width="11.42"/>
    <col collapsed="false" customWidth="true" hidden="false" outlineLevel="0" max="15" min="12" style="73" width="6.15"/>
    <col collapsed="false" customWidth="true" hidden="false" outlineLevel="0" max="37" min="16" style="0" width="6.15"/>
    <col collapsed="false" customWidth="true" hidden="false" outlineLevel="0" max="43" min="38" style="0" width="11.42"/>
    <col collapsed="false" customWidth="true" hidden="false" outlineLevel="0" max="69" min="44" style="0" width="6.15"/>
    <col collapsed="false" customWidth="true" hidden="false" outlineLevel="0" max="1025" min="70" style="0" width="11.42"/>
  </cols>
  <sheetData>
    <row r="1" customFormat="false" ht="12.75" hidden="false" customHeight="false" outlineLevel="0" collapsed="false">
      <c r="A1" s="9" t="str">
        <f aca="true">MID(CELL("filename",$A$1),   FIND("\[",CELL("filename",$A$1))+2,   FIND("]",CELL("filename",$A$1),FIND("\[",CELL("filename",$A$1))+2)-FIND("\[",CELL("filename",$A$1))-2)</f>
        <v>TDProperties_Rev0_v69.xlsx</v>
      </c>
    </row>
    <row r="2" customFormat="false" ht="12.75" hidden="false" customHeight="false" outlineLevel="0" collapsed="false">
      <c r="A2" s="0" t="str">
        <f aca="true">MID(CELL("filename",A1),FIND("]",CELL("filename",A1))+1,256)</f>
        <v>AGS Species C7675 w Gibbs</v>
      </c>
    </row>
    <row r="3" customFormat="false" ht="12.75" hidden="false" customHeight="false" outlineLevel="0" collapsed="false">
      <c r="A3" s="44"/>
    </row>
    <row r="4" customFormat="false" ht="12.75" hidden="false" customHeight="false" outlineLevel="0" collapsed="false">
      <c r="A4" s="281" t="s">
        <v>2053</v>
      </c>
    </row>
    <row r="5" customFormat="false" ht="12.75" hidden="false" customHeight="false" outlineLevel="0" collapsed="false">
      <c r="A5" s="10" t="s">
        <v>150</v>
      </c>
    </row>
    <row r="6" customFormat="false" ht="12.75" hidden="false" customHeight="false" outlineLevel="0" collapsed="false">
      <c r="A6" s="10" t="s">
        <v>775</v>
      </c>
    </row>
    <row r="7" customFormat="false" ht="12.75" hidden="false" customHeight="false" outlineLevel="0" collapsed="false">
      <c r="A7" s="10"/>
    </row>
    <row r="8" customFormat="false" ht="13.5" hidden="false" customHeight="false" outlineLevel="0" collapsed="false">
      <c r="A8" s="44"/>
    </row>
    <row r="9" customFormat="false" ht="12.75" hidden="false" customHeight="false" outlineLevel="0" collapsed="false">
      <c r="E9" s="51" t="s">
        <v>531</v>
      </c>
      <c r="K9" s="52"/>
    </row>
    <row r="10" customFormat="false" ht="12.75" hidden="false" customHeight="false" outlineLevel="0" collapsed="false">
      <c r="E10" s="54" t="n">
        <v>1976</v>
      </c>
      <c r="F10" s="10"/>
      <c r="K10" s="52"/>
    </row>
    <row r="11" customFormat="false" ht="13.5" hidden="false" customHeight="false" outlineLevel="0" collapsed="false">
      <c r="E11" s="266" t="s">
        <v>2054</v>
      </c>
      <c r="AQ11" s="392" t="s">
        <v>1185</v>
      </c>
      <c r="AR11" s="73"/>
      <c r="AS11" s="73"/>
      <c r="AT11" s="73"/>
      <c r="AU11" s="73"/>
    </row>
    <row r="12" customFormat="false" ht="13.5" hidden="false" customHeight="false" outlineLevel="0" collapsed="false">
      <c r="B12" s="10"/>
      <c r="C12" s="10"/>
      <c r="AQ12" s="393" t="s">
        <v>1186</v>
      </c>
      <c r="AR12" s="394" t="s">
        <v>32</v>
      </c>
      <c r="AS12" s="395" t="s">
        <v>40</v>
      </c>
      <c r="AT12" s="396" t="s">
        <v>41</v>
      </c>
      <c r="AU12" s="396" t="s">
        <v>46</v>
      </c>
      <c r="AV12" s="395" t="s">
        <v>48</v>
      </c>
      <c r="AW12" s="395" t="s">
        <v>49</v>
      </c>
      <c r="AX12" s="396" t="s">
        <v>54</v>
      </c>
      <c r="AY12" s="396" t="s">
        <v>59</v>
      </c>
      <c r="AZ12" s="396" t="s">
        <v>66</v>
      </c>
      <c r="BA12" s="396" t="s">
        <v>68</v>
      </c>
      <c r="BB12" s="396" t="s">
        <v>75</v>
      </c>
      <c r="BC12" s="396" t="s">
        <v>82</v>
      </c>
      <c r="BD12" s="396" t="s">
        <v>86</v>
      </c>
      <c r="BE12" s="396" t="s">
        <v>89</v>
      </c>
      <c r="BF12" s="395" t="s">
        <v>93</v>
      </c>
      <c r="BG12" s="396" t="s">
        <v>97</v>
      </c>
      <c r="BH12" s="396" t="s">
        <v>99</v>
      </c>
      <c r="BI12" s="395" t="s">
        <v>103</v>
      </c>
      <c r="BJ12" s="396" t="s">
        <v>107</v>
      </c>
      <c r="BK12" s="395" t="s">
        <v>110</v>
      </c>
      <c r="BL12" s="396" t="s">
        <v>119</v>
      </c>
      <c r="BM12" s="396" t="s">
        <v>120</v>
      </c>
      <c r="BN12" s="396" t="s">
        <v>125</v>
      </c>
      <c r="BO12" s="395" t="s">
        <v>129</v>
      </c>
      <c r="BP12" s="396" t="s">
        <v>132</v>
      </c>
      <c r="BQ12" s="397" t="s">
        <v>1187</v>
      </c>
    </row>
    <row r="13" customFormat="false" ht="13.5" hidden="false" customHeight="false" outlineLevel="0" collapsed="false">
      <c r="C13" s="9" t="s">
        <v>711</v>
      </c>
      <c r="E13" s="9" t="s">
        <v>1188</v>
      </c>
      <c r="AQ13" s="398" t="s">
        <v>1189</v>
      </c>
      <c r="AR13" s="399" t="n">
        <v>28.3</v>
      </c>
      <c r="AS13" s="400" t="n">
        <v>5.9</v>
      </c>
      <c r="AT13" s="400" t="n">
        <v>0</v>
      </c>
      <c r="AU13" s="400" t="n">
        <v>152.1</v>
      </c>
      <c r="AV13" s="401" t="n">
        <v>5.74</v>
      </c>
      <c r="AW13" s="401" t="n">
        <v>0</v>
      </c>
      <c r="AX13" s="400" t="n">
        <v>222.965</v>
      </c>
      <c r="AY13" s="401" t="n">
        <v>85.23</v>
      </c>
      <c r="AZ13" s="400" t="n">
        <v>202.685</v>
      </c>
      <c r="BA13" s="401" t="n">
        <v>0</v>
      </c>
      <c r="BB13" s="400" t="s">
        <v>541</v>
      </c>
      <c r="BC13" s="400" t="n">
        <v>116.139</v>
      </c>
      <c r="BD13" s="401" t="n">
        <v>64.68</v>
      </c>
      <c r="BE13" s="401" t="n">
        <v>29.12</v>
      </c>
      <c r="BF13" s="401" t="n">
        <v>0</v>
      </c>
      <c r="BG13" s="400" t="n">
        <v>191.502</v>
      </c>
      <c r="BH13" s="400" t="n">
        <v>51.3</v>
      </c>
      <c r="BI13" s="401" t="n">
        <v>0</v>
      </c>
      <c r="BJ13" s="400" t="s">
        <v>2050</v>
      </c>
      <c r="BK13" s="401" t="n">
        <v>0</v>
      </c>
      <c r="BL13" s="401" t="n">
        <v>0</v>
      </c>
      <c r="BM13" s="401" t="n">
        <v>76.78</v>
      </c>
      <c r="BN13" s="401" t="n">
        <v>0</v>
      </c>
      <c r="BO13" s="401" t="n">
        <v>18.81</v>
      </c>
      <c r="BP13" s="402" t="n">
        <v>0</v>
      </c>
      <c r="BQ13" s="403" t="n">
        <f aca="false">-0.5*BB13</f>
        <v>-65.285</v>
      </c>
    </row>
    <row r="14" customFormat="false" ht="12.75" hidden="false" customHeight="false" outlineLevel="0" collapsed="false">
      <c r="C14" s="9" t="s">
        <v>156</v>
      </c>
      <c r="E14" s="282" t="s">
        <v>1190</v>
      </c>
      <c r="AQ14" s="404" t="s">
        <v>1191</v>
      </c>
      <c r="AR14" s="405" t="n">
        <v>0.1</v>
      </c>
      <c r="AS14" s="406" t="n">
        <v>0.08</v>
      </c>
      <c r="AT14" s="406" t="n">
        <v>0</v>
      </c>
      <c r="AU14" s="406" t="n">
        <v>0.04</v>
      </c>
      <c r="AV14" s="406" t="n">
        <v>0.12</v>
      </c>
      <c r="AW14" s="406" t="n">
        <v>0</v>
      </c>
      <c r="AX14" s="406" t="n">
        <v>0.04</v>
      </c>
      <c r="AY14" s="406" t="n">
        <v>0.4</v>
      </c>
      <c r="AZ14" s="406" t="n">
        <v>0.04</v>
      </c>
      <c r="BA14" s="406" t="n">
        <v>0</v>
      </c>
      <c r="BB14" s="406" t="s">
        <v>2055</v>
      </c>
      <c r="BC14" s="406" t="n">
        <v>0.08</v>
      </c>
      <c r="BD14" s="406" t="n">
        <v>0.2</v>
      </c>
      <c r="BE14" s="406" t="n">
        <v>0.2</v>
      </c>
      <c r="BF14" s="406" t="n">
        <v>0</v>
      </c>
      <c r="BG14" s="406" t="n">
        <v>0.025</v>
      </c>
      <c r="BH14" s="406" t="n">
        <v>0.2</v>
      </c>
      <c r="BI14" s="406" t="n">
        <v>0</v>
      </c>
      <c r="BJ14" s="406" t="s">
        <v>2055</v>
      </c>
      <c r="BK14" s="406" t="n">
        <v>0</v>
      </c>
      <c r="BL14" s="406" t="n">
        <v>0</v>
      </c>
      <c r="BM14" s="406" t="n">
        <v>0.3</v>
      </c>
      <c r="BN14" s="406" t="n">
        <v>0</v>
      </c>
      <c r="BO14" s="406" t="n">
        <v>0.08</v>
      </c>
      <c r="BP14" s="407" t="n">
        <v>0</v>
      </c>
      <c r="BQ14" s="403" t="n">
        <f aca="false">0.5*BB14</f>
        <v>0.0165</v>
      </c>
    </row>
    <row r="15" customFormat="false" ht="13.5" hidden="false" customHeight="false" outlineLevel="0" collapsed="false">
      <c r="B15" s="9"/>
      <c r="C15" s="9"/>
      <c r="AN15" s="191"/>
      <c r="AQ15" s="408" t="s">
        <v>1192</v>
      </c>
      <c r="AR15" s="409" t="n">
        <f aca="false">(0.5*AR14)^2</f>
        <v>0.0025</v>
      </c>
      <c r="AS15" s="410" t="n">
        <f aca="false">(0.5*AS14)^2</f>
        <v>0.0016</v>
      </c>
      <c r="AT15" s="410" t="n">
        <f aca="false">(0.5*AT14)^2</f>
        <v>0</v>
      </c>
      <c r="AU15" s="410" t="n">
        <f aca="false">(0.5*AU14)^2</f>
        <v>0.0004</v>
      </c>
      <c r="AV15" s="410" t="n">
        <f aca="false">(0.5*AV14)^2</f>
        <v>0.0036</v>
      </c>
      <c r="AW15" s="410" t="n">
        <f aca="false">(0.5*AW14)^2</f>
        <v>0</v>
      </c>
      <c r="AX15" s="410" t="n">
        <f aca="false">(0.5*AX14)^2</f>
        <v>0.0004</v>
      </c>
      <c r="AY15" s="410" t="n">
        <f aca="false">(0.5*AY14)^2</f>
        <v>0.04</v>
      </c>
      <c r="AZ15" s="410" t="n">
        <f aca="false">(0.5*AZ14)^2</f>
        <v>0.0004</v>
      </c>
      <c r="BA15" s="410" t="n">
        <f aca="false">(0.5*BA14)^2</f>
        <v>0</v>
      </c>
      <c r="BB15" s="410" t="n">
        <f aca="false">(0.5*BB14)^2</f>
        <v>0.00027225</v>
      </c>
      <c r="BC15" s="410" t="n">
        <f aca="false">(0.5*BC14)^2</f>
        <v>0.0016</v>
      </c>
      <c r="BD15" s="410" t="n">
        <f aca="false">(0.5*BD14)^2</f>
        <v>0.01</v>
      </c>
      <c r="BE15" s="410" t="n">
        <f aca="false">(0.5*BE14)^2</f>
        <v>0.01</v>
      </c>
      <c r="BF15" s="410" t="n">
        <f aca="false">(0.5*BF14)^2</f>
        <v>0</v>
      </c>
      <c r="BG15" s="410" t="n">
        <f aca="false">(0.5*BG14)^2</f>
        <v>0.00015625</v>
      </c>
      <c r="BH15" s="410" t="n">
        <f aca="false">(0.5*BH14)^2</f>
        <v>0.01</v>
      </c>
      <c r="BI15" s="410" t="n">
        <f aca="false">(0.5*BI14)^2</f>
        <v>0</v>
      </c>
      <c r="BJ15" s="410" t="n">
        <f aca="false">(0.5*BJ14)^2</f>
        <v>0.00027225</v>
      </c>
      <c r="BK15" s="410" t="n">
        <f aca="false">(0.5*BK14)^2</f>
        <v>0</v>
      </c>
      <c r="BL15" s="410" t="n">
        <f aca="false">(0.5*BL14)^2</f>
        <v>0</v>
      </c>
      <c r="BM15" s="410" t="n">
        <f aca="false">(0.5*BM14)^2</f>
        <v>0.0225</v>
      </c>
      <c r="BN15" s="410" t="n">
        <f aca="false">(0.5*BN14)^2</f>
        <v>0</v>
      </c>
      <c r="BO15" s="410" t="n">
        <f aca="false">(0.5*BO14)^2</f>
        <v>0.0016</v>
      </c>
      <c r="BP15" s="410" t="n">
        <f aca="false">(0.5*BP14)^2</f>
        <v>0</v>
      </c>
      <c r="BQ15" s="410" t="n">
        <f aca="false">(0.5*BQ14)^2</f>
        <v>6.80625E-005</v>
      </c>
    </row>
    <row r="16" customFormat="false" ht="15" hidden="false" customHeight="false" outlineLevel="0" collapsed="false">
      <c r="A16" s="10"/>
      <c r="B16" s="10"/>
      <c r="C16" s="15"/>
      <c r="D16" s="283" t="s">
        <v>779</v>
      </c>
      <c r="E16" s="284"/>
      <c r="F16" s="283" t="s">
        <v>780</v>
      </c>
      <c r="G16" s="284"/>
      <c r="H16" s="283" t="s">
        <v>781</v>
      </c>
      <c r="I16" s="284"/>
    </row>
    <row r="17" customFormat="false" ht="13.5" hidden="false" customHeight="false" outlineLevel="0" collapsed="false">
      <c r="A17" s="10"/>
      <c r="B17" s="10"/>
      <c r="C17" s="16"/>
      <c r="D17" s="50"/>
      <c r="E17" s="50" t="s">
        <v>725</v>
      </c>
      <c r="F17" s="50"/>
      <c r="G17" s="50" t="s">
        <v>725</v>
      </c>
      <c r="H17" s="50"/>
      <c r="I17" s="50" t="s">
        <v>725</v>
      </c>
      <c r="AQ17" s="411" t="s">
        <v>1185</v>
      </c>
    </row>
    <row r="18" customFormat="false" ht="13.5" hidden="false" customHeight="false" outlineLevel="0" collapsed="false">
      <c r="C18" s="16" t="s">
        <v>782</v>
      </c>
      <c r="D18" s="53" t="s">
        <v>726</v>
      </c>
      <c r="E18" s="53" t="s">
        <v>727</v>
      </c>
      <c r="F18" s="53" t="s">
        <v>726</v>
      </c>
      <c r="G18" s="53" t="s">
        <v>727</v>
      </c>
      <c r="H18" s="53" t="s">
        <v>726</v>
      </c>
      <c r="I18" s="53" t="s">
        <v>727</v>
      </c>
      <c r="K18" s="11"/>
      <c r="L18" s="412" t="s">
        <v>1193</v>
      </c>
      <c r="M18" s="413"/>
      <c r="N18" s="413"/>
      <c r="O18" s="413"/>
      <c r="P18" s="414"/>
      <c r="Q18" s="414"/>
      <c r="R18" s="414"/>
      <c r="S18" s="414"/>
      <c r="T18" s="414"/>
      <c r="U18" s="414"/>
      <c r="V18" s="414"/>
      <c r="W18" s="414"/>
      <c r="X18" s="414"/>
      <c r="Y18" s="414"/>
      <c r="Z18" s="414"/>
      <c r="AA18" s="414"/>
      <c r="AB18" s="414"/>
      <c r="AC18" s="414"/>
      <c r="AD18" s="414"/>
      <c r="AE18" s="414"/>
      <c r="AF18" s="414"/>
      <c r="AG18" s="414"/>
      <c r="AH18" s="414"/>
      <c r="AI18" s="414"/>
      <c r="AJ18" s="414"/>
      <c r="AK18" s="279"/>
      <c r="AM18" s="9" t="s">
        <v>1194</v>
      </c>
      <c r="AN18" s="9"/>
      <c r="AO18" s="9"/>
      <c r="AQ18" s="11"/>
      <c r="AR18" s="412"/>
      <c r="AS18" s="413"/>
      <c r="AT18" s="413"/>
      <c r="AU18" s="413"/>
      <c r="AV18" s="414"/>
      <c r="AW18" s="414"/>
      <c r="AX18" s="414" t="s">
        <v>1195</v>
      </c>
      <c r="AY18" s="414"/>
      <c r="AZ18" s="414"/>
      <c r="BA18" s="414"/>
      <c r="BB18" s="414"/>
      <c r="BC18" s="414"/>
      <c r="BD18" s="414"/>
      <c r="BE18" s="414"/>
      <c r="BF18" s="414"/>
      <c r="BG18" s="414" t="s">
        <v>1196</v>
      </c>
      <c r="BH18" s="414"/>
      <c r="BI18" s="414"/>
      <c r="BJ18" s="414"/>
      <c r="BK18" s="414"/>
      <c r="BL18" s="414"/>
      <c r="BM18" s="414"/>
      <c r="BN18" s="414"/>
      <c r="BO18" s="414"/>
      <c r="BP18" s="414"/>
      <c r="BQ18" s="279"/>
    </row>
    <row r="19" customFormat="false" ht="15" hidden="false" customHeight="false" outlineLevel="0" collapsed="false">
      <c r="C19" s="21" t="s">
        <v>783</v>
      </c>
      <c r="D19" s="55" t="s">
        <v>784</v>
      </c>
      <c r="E19" s="55" t="s">
        <v>784</v>
      </c>
      <c r="F19" s="55" t="s">
        <v>784</v>
      </c>
      <c r="G19" s="55" t="s">
        <v>784</v>
      </c>
      <c r="H19" s="55" t="s">
        <v>167</v>
      </c>
      <c r="I19" s="55" t="s">
        <v>167</v>
      </c>
      <c r="K19" s="415" t="s">
        <v>783</v>
      </c>
      <c r="L19" s="416" t="s">
        <v>32</v>
      </c>
      <c r="M19" s="417" t="s">
        <v>40</v>
      </c>
      <c r="N19" s="418" t="s">
        <v>41</v>
      </c>
      <c r="O19" s="418" t="s">
        <v>46</v>
      </c>
      <c r="P19" s="417" t="s">
        <v>48</v>
      </c>
      <c r="Q19" s="417" t="s">
        <v>49</v>
      </c>
      <c r="R19" s="418" t="s">
        <v>54</v>
      </c>
      <c r="S19" s="418" t="s">
        <v>59</v>
      </c>
      <c r="T19" s="418" t="s">
        <v>66</v>
      </c>
      <c r="U19" s="418" t="s">
        <v>68</v>
      </c>
      <c r="V19" s="418" t="s">
        <v>75</v>
      </c>
      <c r="W19" s="418" t="s">
        <v>82</v>
      </c>
      <c r="X19" s="418" t="s">
        <v>86</v>
      </c>
      <c r="Y19" s="418" t="s">
        <v>89</v>
      </c>
      <c r="Z19" s="417" t="s">
        <v>93</v>
      </c>
      <c r="AA19" s="418" t="s">
        <v>97</v>
      </c>
      <c r="AB19" s="418" t="s">
        <v>99</v>
      </c>
      <c r="AC19" s="417" t="s">
        <v>103</v>
      </c>
      <c r="AD19" s="418" t="s">
        <v>107</v>
      </c>
      <c r="AE19" s="417" t="s">
        <v>110</v>
      </c>
      <c r="AF19" s="418" t="s">
        <v>119</v>
      </c>
      <c r="AG19" s="418" t="s">
        <v>120</v>
      </c>
      <c r="AH19" s="418" t="s">
        <v>125</v>
      </c>
      <c r="AI19" s="417" t="s">
        <v>129</v>
      </c>
      <c r="AJ19" s="418" t="s">
        <v>132</v>
      </c>
      <c r="AK19" s="419" t="s">
        <v>1187</v>
      </c>
      <c r="AM19" s="9" t="s">
        <v>156</v>
      </c>
      <c r="AN19" s="10"/>
      <c r="AO19" s="10"/>
      <c r="AQ19" s="415" t="s">
        <v>783</v>
      </c>
      <c r="AR19" s="420" t="s">
        <v>32</v>
      </c>
      <c r="AS19" s="421" t="s">
        <v>40</v>
      </c>
      <c r="AT19" s="422" t="s">
        <v>41</v>
      </c>
      <c r="AU19" s="422" t="s">
        <v>46</v>
      </c>
      <c r="AV19" s="421" t="s">
        <v>48</v>
      </c>
      <c r="AW19" s="421" t="s">
        <v>49</v>
      </c>
      <c r="AX19" s="422" t="s">
        <v>54</v>
      </c>
      <c r="AY19" s="422" t="s">
        <v>59</v>
      </c>
      <c r="AZ19" s="422" t="s">
        <v>66</v>
      </c>
      <c r="BA19" s="422" t="s">
        <v>68</v>
      </c>
      <c r="BB19" s="422" t="s">
        <v>75</v>
      </c>
      <c r="BC19" s="422" t="s">
        <v>82</v>
      </c>
      <c r="BD19" s="422" t="s">
        <v>86</v>
      </c>
      <c r="BE19" s="422" t="s">
        <v>89</v>
      </c>
      <c r="BF19" s="421" t="s">
        <v>93</v>
      </c>
      <c r="BG19" s="422" t="s">
        <v>97</v>
      </c>
      <c r="BH19" s="422" t="s">
        <v>99</v>
      </c>
      <c r="BI19" s="421" t="s">
        <v>103</v>
      </c>
      <c r="BJ19" s="422" t="s">
        <v>107</v>
      </c>
      <c r="BK19" s="421" t="s">
        <v>110</v>
      </c>
      <c r="BL19" s="422" t="s">
        <v>119</v>
      </c>
      <c r="BM19" s="422" t="s">
        <v>120</v>
      </c>
      <c r="BN19" s="422" t="s">
        <v>125</v>
      </c>
      <c r="BO19" s="421" t="s">
        <v>129</v>
      </c>
      <c r="BP19" s="422" t="s">
        <v>132</v>
      </c>
      <c r="BQ19" s="423" t="s">
        <v>1187</v>
      </c>
    </row>
    <row r="20" customFormat="false" ht="13.5" hidden="false" customHeight="false" outlineLevel="0" collapsed="false">
      <c r="A20" s="45"/>
      <c r="B20" s="44"/>
      <c r="C20" s="424" t="s">
        <v>785</v>
      </c>
      <c r="D20" s="285" t="n">
        <f aca="false">IF(F20="","",IF(H20="","",ROUND(F20-0.001*298.15*(H20-SUMPRODUCT(L20:AK20*AR$13:BQ$13)),3)))</f>
        <v>0</v>
      </c>
      <c r="E20" s="131" t="n">
        <f aca="false">IF(G20="","",IF(I20="","",ROUND(2*SQRT((0.5*G20)^2+(0.001*298.15)^2*((0.5*I20)^2+SUMPRODUCT(AR20:BQ20*AR$15:BQ$15))),3)))</f>
        <v>0</v>
      </c>
      <c r="F20" s="286" t="s">
        <v>786</v>
      </c>
      <c r="G20" s="287" t="s">
        <v>786</v>
      </c>
      <c r="H20" s="286" t="s">
        <v>786</v>
      </c>
      <c r="I20" s="337" t="s">
        <v>786</v>
      </c>
      <c r="K20" s="425" t="s">
        <v>785</v>
      </c>
      <c r="L20" s="426"/>
      <c r="M20" s="427"/>
      <c r="N20" s="427"/>
      <c r="O20" s="427"/>
      <c r="P20" s="428"/>
      <c r="Q20" s="428"/>
      <c r="R20" s="428"/>
      <c r="S20" s="428"/>
      <c r="T20" s="428"/>
      <c r="U20" s="428"/>
      <c r="V20" s="428" t="n">
        <v>0.5</v>
      </c>
      <c r="W20" s="428"/>
      <c r="X20" s="428"/>
      <c r="Y20" s="428"/>
      <c r="Z20" s="428"/>
      <c r="AA20" s="428"/>
      <c r="AB20" s="428"/>
      <c r="AC20" s="428"/>
      <c r="AD20" s="428"/>
      <c r="AE20" s="428"/>
      <c r="AF20" s="428"/>
      <c r="AG20" s="428"/>
      <c r="AH20" s="428"/>
      <c r="AI20" s="429"/>
      <c r="AJ20" s="428"/>
      <c r="AK20" s="430" t="n">
        <v>1</v>
      </c>
      <c r="AM20" s="73"/>
      <c r="AN20" s="73"/>
      <c r="AO20" s="73"/>
      <c r="AQ20" s="425" t="s">
        <v>785</v>
      </c>
      <c r="AR20" s="431" t="n">
        <f aca="false">L20^2</f>
        <v>0</v>
      </c>
      <c r="AS20" s="432" t="n">
        <f aca="false">M20^2</f>
        <v>0</v>
      </c>
      <c r="AT20" s="432" t="n">
        <f aca="false">N20^2</f>
        <v>0</v>
      </c>
      <c r="AU20" s="432" t="n">
        <f aca="false">O20^2</f>
        <v>0</v>
      </c>
      <c r="AV20" s="432" t="n">
        <f aca="false">P20^2</f>
        <v>0</v>
      </c>
      <c r="AW20" s="432" t="n">
        <f aca="false">Q20^2</f>
        <v>0</v>
      </c>
      <c r="AX20" s="432" t="n">
        <f aca="false">R20^2</f>
        <v>0</v>
      </c>
      <c r="AY20" s="432" t="n">
        <f aca="false">S20^2</f>
        <v>0</v>
      </c>
      <c r="AZ20" s="432" t="n">
        <f aca="false">T20^2</f>
        <v>0</v>
      </c>
      <c r="BA20" s="432" t="n">
        <f aca="false">U20^2</f>
        <v>0</v>
      </c>
      <c r="BB20" s="432" t="n">
        <f aca="false">V20^2</f>
        <v>0.25</v>
      </c>
      <c r="BC20" s="432" t="n">
        <f aca="false">W20^2</f>
        <v>0</v>
      </c>
      <c r="BD20" s="432" t="n">
        <f aca="false">X20^2</f>
        <v>0</v>
      </c>
      <c r="BE20" s="432" t="n">
        <f aca="false">Y20^2</f>
        <v>0</v>
      </c>
      <c r="BF20" s="432" t="n">
        <f aca="false">Z20^2</f>
        <v>0</v>
      </c>
      <c r="BG20" s="432" t="n">
        <f aca="false">AA20^2</f>
        <v>0</v>
      </c>
      <c r="BH20" s="432" t="n">
        <f aca="false">AB20^2</f>
        <v>0</v>
      </c>
      <c r="BI20" s="432" t="n">
        <f aca="false">AC20^2</f>
        <v>0</v>
      </c>
      <c r="BJ20" s="432" t="n">
        <f aca="false">AD20^2</f>
        <v>0</v>
      </c>
      <c r="BK20" s="432" t="n">
        <f aca="false">AE20^2</f>
        <v>0</v>
      </c>
      <c r="BL20" s="432" t="n">
        <f aca="false">AF20^2</f>
        <v>0</v>
      </c>
      <c r="BM20" s="432" t="n">
        <f aca="false">AG20^2</f>
        <v>0</v>
      </c>
      <c r="BN20" s="432" t="n">
        <f aca="false">AH20^2</f>
        <v>0</v>
      </c>
      <c r="BO20" s="432" t="n">
        <f aca="false">AI20^2</f>
        <v>0</v>
      </c>
      <c r="BP20" s="432" t="n">
        <f aca="false">AJ20^2</f>
        <v>0</v>
      </c>
      <c r="BQ20" s="433" t="n">
        <f aca="false">-SIGN(AK20)*AK20^2</f>
        <v>-1</v>
      </c>
    </row>
    <row r="21" customFormat="false" ht="12.75" hidden="false" customHeight="false" outlineLevel="0" collapsed="false">
      <c r="A21" s="45"/>
      <c r="B21" s="44"/>
      <c r="C21" s="161" t="s">
        <v>787</v>
      </c>
      <c r="D21" s="290" t="n">
        <f aca="false">IF(F21="","",IF(H21="","",ROUND(F21-0.001*298.15*(H21-SUMPRODUCT(L21:AK21*AR$13:BQ$13)),3)))</f>
        <v>-157.336</v>
      </c>
      <c r="E21" s="137" t="n">
        <f aca="false">IF(G21="","",IF(I21="","",ROUND(2*SQRT((0.5*G21)^2+(0.001*298.15)^2*((0.5*I21)^2+SUMPRODUCT(AR21:BQ21*AR$15:BQ$15))),3)))</f>
        <v>0.075</v>
      </c>
      <c r="F21" s="291" t="s">
        <v>1505</v>
      </c>
      <c r="G21" s="292" t="s">
        <v>2056</v>
      </c>
      <c r="H21" s="291" t="s">
        <v>1506</v>
      </c>
      <c r="I21" s="292" t="s">
        <v>728</v>
      </c>
      <c r="K21" s="342" t="s">
        <v>787</v>
      </c>
      <c r="L21" s="434"/>
      <c r="M21" s="435"/>
      <c r="N21" s="435"/>
      <c r="O21" s="435"/>
      <c r="P21" s="436"/>
      <c r="Q21" s="436"/>
      <c r="R21" s="436"/>
      <c r="S21" s="436"/>
      <c r="T21" s="436"/>
      <c r="U21" s="436"/>
      <c r="V21" s="436" t="n">
        <v>0.5</v>
      </c>
      <c r="W21" s="436"/>
      <c r="X21" s="436"/>
      <c r="Y21" s="436"/>
      <c r="Z21" s="436"/>
      <c r="AA21" s="436"/>
      <c r="AB21" s="436"/>
      <c r="AC21" s="436"/>
      <c r="AD21" s="436" t="n">
        <v>0.5</v>
      </c>
      <c r="AE21" s="436"/>
      <c r="AF21" s="436"/>
      <c r="AG21" s="436"/>
      <c r="AH21" s="436"/>
      <c r="AI21" s="437"/>
      <c r="AJ21" s="436"/>
      <c r="AK21" s="438" t="n">
        <v>-1</v>
      </c>
      <c r="AM21" s="11"/>
      <c r="AN21" s="167"/>
      <c r="AO21" s="167"/>
      <c r="AQ21" s="342" t="s">
        <v>787</v>
      </c>
      <c r="AR21" s="439" t="n">
        <f aca="false">L21^2</f>
        <v>0</v>
      </c>
      <c r="AS21" s="440" t="n">
        <f aca="false">M21^2</f>
        <v>0</v>
      </c>
      <c r="AT21" s="440" t="n">
        <f aca="false">N21^2</f>
        <v>0</v>
      </c>
      <c r="AU21" s="440" t="n">
        <f aca="false">O21^2</f>
        <v>0</v>
      </c>
      <c r="AV21" s="440" t="n">
        <f aca="false">P21^2</f>
        <v>0</v>
      </c>
      <c r="AW21" s="440" t="n">
        <f aca="false">Q21^2</f>
        <v>0</v>
      </c>
      <c r="AX21" s="440" t="n">
        <f aca="false">R21^2</f>
        <v>0</v>
      </c>
      <c r="AY21" s="440" t="n">
        <f aca="false">S21^2</f>
        <v>0</v>
      </c>
      <c r="AZ21" s="440" t="n">
        <f aca="false">T21^2</f>
        <v>0</v>
      </c>
      <c r="BA21" s="440" t="n">
        <f aca="false">U21^2</f>
        <v>0</v>
      </c>
      <c r="BB21" s="440" t="n">
        <f aca="false">V21^2</f>
        <v>0.25</v>
      </c>
      <c r="BC21" s="440" t="n">
        <f aca="false">W21^2</f>
        <v>0</v>
      </c>
      <c r="BD21" s="440" t="n">
        <f aca="false">X21^2</f>
        <v>0</v>
      </c>
      <c r="BE21" s="440" t="n">
        <f aca="false">Y21^2</f>
        <v>0</v>
      </c>
      <c r="BF21" s="440" t="n">
        <f aca="false">Z21^2</f>
        <v>0</v>
      </c>
      <c r="BG21" s="440" t="n">
        <f aca="false">AA21^2</f>
        <v>0</v>
      </c>
      <c r="BH21" s="440" t="n">
        <f aca="false">AB21^2</f>
        <v>0</v>
      </c>
      <c r="BI21" s="440" t="n">
        <f aca="false">AC21^2</f>
        <v>0</v>
      </c>
      <c r="BJ21" s="440" t="n">
        <f aca="false">AD21^2</f>
        <v>0.25</v>
      </c>
      <c r="BK21" s="440" t="n">
        <f aca="false">AE21^2</f>
        <v>0</v>
      </c>
      <c r="BL21" s="440" t="n">
        <f aca="false">AF21^2</f>
        <v>0</v>
      </c>
      <c r="BM21" s="440" t="n">
        <f aca="false">AG21^2</f>
        <v>0</v>
      </c>
      <c r="BN21" s="440" t="n">
        <f aca="false">AH21^2</f>
        <v>0</v>
      </c>
      <c r="BO21" s="440" t="n">
        <f aca="false">AI21^2</f>
        <v>0</v>
      </c>
      <c r="BP21" s="440" t="n">
        <f aca="false">AJ21^2</f>
        <v>0</v>
      </c>
      <c r="BQ21" s="441" t="n">
        <f aca="false">-SIGN(AK21)*AK21^2</f>
        <v>1</v>
      </c>
    </row>
    <row r="22" customFormat="false" ht="12.75" hidden="false" customHeight="false" outlineLevel="0" collapsed="false">
      <c r="A22" s="45"/>
      <c r="B22" s="44"/>
      <c r="C22" s="161" t="s">
        <v>794</v>
      </c>
      <c r="D22" s="290" t="n">
        <f aca="false">IF(F22="","",IF(H22="","",ROUND(F22-0.001*298.15*(H22-SUMPRODUCT(L22:AK22*AR$13:BQ$13)),3)))</f>
        <v>-237.19</v>
      </c>
      <c r="E22" s="137" t="n">
        <f aca="false">IF(G22="","",IF(I22="","",ROUND(2*SQRT((0.5*G22)^2+(0.001*298.15)^2*((0.5*I22)^2+SUMPRODUCT(AR22:BQ22*AR$15:BQ$15))),3)))</f>
        <v>0.05</v>
      </c>
      <c r="F22" s="291" t="s">
        <v>795</v>
      </c>
      <c r="G22" s="292" t="s">
        <v>2057</v>
      </c>
      <c r="H22" s="291" t="s">
        <v>800</v>
      </c>
      <c r="I22" s="292" t="s">
        <v>737</v>
      </c>
      <c r="K22" s="342" t="s">
        <v>794</v>
      </c>
      <c r="L22" s="434"/>
      <c r="M22" s="435"/>
      <c r="N22" s="435"/>
      <c r="O22" s="435"/>
      <c r="P22" s="436"/>
      <c r="Q22" s="436"/>
      <c r="R22" s="436"/>
      <c r="S22" s="436"/>
      <c r="T22" s="436"/>
      <c r="U22" s="436"/>
      <c r="V22" s="436" t="n">
        <v>1</v>
      </c>
      <c r="W22" s="436"/>
      <c r="X22" s="436"/>
      <c r="Y22" s="436"/>
      <c r="Z22" s="436"/>
      <c r="AA22" s="436"/>
      <c r="AB22" s="436"/>
      <c r="AC22" s="436"/>
      <c r="AD22" s="436" t="n">
        <v>0.5</v>
      </c>
      <c r="AE22" s="436"/>
      <c r="AF22" s="436"/>
      <c r="AG22" s="436"/>
      <c r="AH22" s="436"/>
      <c r="AI22" s="437"/>
      <c r="AJ22" s="436"/>
      <c r="AK22" s="438"/>
      <c r="AM22" s="16" t="s">
        <v>20</v>
      </c>
      <c r="AN22" s="127"/>
      <c r="AO22" s="168" t="s">
        <v>725</v>
      </c>
      <c r="AQ22" s="342" t="s">
        <v>794</v>
      </c>
      <c r="AR22" s="439" t="n">
        <f aca="false">L22^2</f>
        <v>0</v>
      </c>
      <c r="AS22" s="440" t="n">
        <f aca="false">M22^2</f>
        <v>0</v>
      </c>
      <c r="AT22" s="440" t="n">
        <f aca="false">N22^2</f>
        <v>0</v>
      </c>
      <c r="AU22" s="440" t="n">
        <f aca="false">O22^2</f>
        <v>0</v>
      </c>
      <c r="AV22" s="440" t="n">
        <f aca="false">P22^2</f>
        <v>0</v>
      </c>
      <c r="AW22" s="440" t="n">
        <f aca="false">Q22^2</f>
        <v>0</v>
      </c>
      <c r="AX22" s="440" t="n">
        <f aca="false">R22^2</f>
        <v>0</v>
      </c>
      <c r="AY22" s="440" t="n">
        <f aca="false">S22^2</f>
        <v>0</v>
      </c>
      <c r="AZ22" s="440" t="n">
        <f aca="false">T22^2</f>
        <v>0</v>
      </c>
      <c r="BA22" s="440" t="n">
        <f aca="false">U22^2</f>
        <v>0</v>
      </c>
      <c r="BB22" s="440" t="n">
        <f aca="false">V22^2</f>
        <v>1</v>
      </c>
      <c r="BC22" s="440" t="n">
        <f aca="false">W22^2</f>
        <v>0</v>
      </c>
      <c r="BD22" s="440" t="n">
        <f aca="false">X22^2</f>
        <v>0</v>
      </c>
      <c r="BE22" s="440" t="n">
        <f aca="false">Y22^2</f>
        <v>0</v>
      </c>
      <c r="BF22" s="440" t="n">
        <f aca="false">Z22^2</f>
        <v>0</v>
      </c>
      <c r="BG22" s="440" t="n">
        <f aca="false">AA22^2</f>
        <v>0</v>
      </c>
      <c r="BH22" s="440" t="n">
        <f aca="false">AB22^2</f>
        <v>0</v>
      </c>
      <c r="BI22" s="440" t="n">
        <f aca="false">AC22^2</f>
        <v>0</v>
      </c>
      <c r="BJ22" s="440" t="n">
        <f aca="false">AD22^2</f>
        <v>0.25</v>
      </c>
      <c r="BK22" s="440" t="n">
        <f aca="false">AE22^2</f>
        <v>0</v>
      </c>
      <c r="BL22" s="440" t="n">
        <f aca="false">AF22^2</f>
        <v>0</v>
      </c>
      <c r="BM22" s="440" t="n">
        <f aca="false">AG22^2</f>
        <v>0</v>
      </c>
      <c r="BN22" s="440" t="n">
        <f aca="false">AH22^2</f>
        <v>0</v>
      </c>
      <c r="BO22" s="440" t="n">
        <f aca="false">AI22^2</f>
        <v>0</v>
      </c>
      <c r="BP22" s="440" t="n">
        <f aca="false">AJ22^2</f>
        <v>0</v>
      </c>
      <c r="BQ22" s="441" t="n">
        <f aca="false">-SIGN(AK22)*AK22^2</f>
        <v>-0</v>
      </c>
    </row>
    <row r="23" customFormat="false" ht="12.75" hidden="false" customHeight="false" outlineLevel="0" collapsed="false">
      <c r="A23" s="45"/>
      <c r="B23" s="44"/>
      <c r="C23" s="161" t="s">
        <v>802</v>
      </c>
      <c r="D23" s="290" t="n">
        <f aca="false">IF(F23="","",IF(H23="","",ROUND(F23-0.001*298.15*(H23-SUMPRODUCT(L23:AK23*AR$13:BQ$13)),3)))</f>
        <v>-281.74</v>
      </c>
      <c r="E23" s="137" t="n">
        <f aca="false">IF(G23="","",IF(I23="","",ROUND(2*SQRT((0.5*G23)^2+(0.001*298.15)^2*((0.5*I23)^2+SUMPRODUCT(AR23:BQ23*AR$15:BQ$15))),3)))</f>
        <v>0.67</v>
      </c>
      <c r="F23" s="291" t="s">
        <v>803</v>
      </c>
      <c r="G23" s="292" t="s">
        <v>804</v>
      </c>
      <c r="H23" s="291" t="s">
        <v>1519</v>
      </c>
      <c r="I23" s="292" t="s">
        <v>2058</v>
      </c>
      <c r="K23" s="342" t="s">
        <v>802</v>
      </c>
      <c r="L23" s="434"/>
      <c r="M23" s="435"/>
      <c r="N23" s="435"/>
      <c r="O23" s="435"/>
      <c r="P23" s="436"/>
      <c r="Q23" s="436"/>
      <c r="R23" s="436"/>
      <c r="S23" s="436"/>
      <c r="T23" s="436" t="n">
        <v>0.5</v>
      </c>
      <c r="U23" s="436"/>
      <c r="V23" s="436"/>
      <c r="W23" s="436"/>
      <c r="X23" s="436"/>
      <c r="Y23" s="436"/>
      <c r="Z23" s="436"/>
      <c r="AA23" s="436"/>
      <c r="AB23" s="436"/>
      <c r="AC23" s="436"/>
      <c r="AD23" s="436"/>
      <c r="AE23" s="436"/>
      <c r="AF23" s="436"/>
      <c r="AG23" s="436"/>
      <c r="AH23" s="436"/>
      <c r="AI23" s="437"/>
      <c r="AJ23" s="436"/>
      <c r="AK23" s="438" t="n">
        <v>-1</v>
      </c>
      <c r="AM23" s="16" t="s">
        <v>17</v>
      </c>
      <c r="AN23" s="168" t="s">
        <v>726</v>
      </c>
      <c r="AO23" s="168" t="s">
        <v>727</v>
      </c>
      <c r="AQ23" s="342" t="s">
        <v>802</v>
      </c>
      <c r="AR23" s="439" t="n">
        <f aca="false">L23^2</f>
        <v>0</v>
      </c>
      <c r="AS23" s="440" t="n">
        <f aca="false">M23^2</f>
        <v>0</v>
      </c>
      <c r="AT23" s="440" t="n">
        <f aca="false">N23^2</f>
        <v>0</v>
      </c>
      <c r="AU23" s="440" t="n">
        <f aca="false">O23^2</f>
        <v>0</v>
      </c>
      <c r="AV23" s="440" t="n">
        <f aca="false">P23^2</f>
        <v>0</v>
      </c>
      <c r="AW23" s="440" t="n">
        <f aca="false">Q23^2</f>
        <v>0</v>
      </c>
      <c r="AX23" s="440" t="n">
        <f aca="false">R23^2</f>
        <v>0</v>
      </c>
      <c r="AY23" s="440" t="n">
        <f aca="false">S23^2</f>
        <v>0</v>
      </c>
      <c r="AZ23" s="440" t="n">
        <f aca="false">T23^2</f>
        <v>0.25</v>
      </c>
      <c r="BA23" s="440" t="n">
        <f aca="false">U23^2</f>
        <v>0</v>
      </c>
      <c r="BB23" s="440" t="n">
        <f aca="false">V23^2</f>
        <v>0</v>
      </c>
      <c r="BC23" s="440" t="n">
        <f aca="false">W23^2</f>
        <v>0</v>
      </c>
      <c r="BD23" s="440" t="n">
        <f aca="false">X23^2</f>
        <v>0</v>
      </c>
      <c r="BE23" s="440" t="n">
        <f aca="false">Y23^2</f>
        <v>0</v>
      </c>
      <c r="BF23" s="440" t="n">
        <f aca="false">Z23^2</f>
        <v>0</v>
      </c>
      <c r="BG23" s="440" t="n">
        <f aca="false">AA23^2</f>
        <v>0</v>
      </c>
      <c r="BH23" s="440" t="n">
        <f aca="false">AB23^2</f>
        <v>0</v>
      </c>
      <c r="BI23" s="440" t="n">
        <f aca="false">AC23^2</f>
        <v>0</v>
      </c>
      <c r="BJ23" s="440" t="n">
        <f aca="false">AD23^2</f>
        <v>0</v>
      </c>
      <c r="BK23" s="440" t="n">
        <f aca="false">AE23^2</f>
        <v>0</v>
      </c>
      <c r="BL23" s="440" t="n">
        <f aca="false">AF23^2</f>
        <v>0</v>
      </c>
      <c r="BM23" s="440" t="n">
        <f aca="false">AG23^2</f>
        <v>0</v>
      </c>
      <c r="BN23" s="440" t="n">
        <f aca="false">AH23^2</f>
        <v>0</v>
      </c>
      <c r="BO23" s="440" t="n">
        <f aca="false">AI23^2</f>
        <v>0</v>
      </c>
      <c r="BP23" s="440" t="n">
        <f aca="false">AJ23^2</f>
        <v>0</v>
      </c>
      <c r="BQ23" s="441" t="n">
        <f aca="false">-SIGN(AK23)*AK23^2</f>
        <v>1</v>
      </c>
    </row>
    <row r="24" customFormat="false" ht="13.5" hidden="false" customHeight="false" outlineLevel="0" collapsed="false">
      <c r="A24" s="45"/>
      <c r="B24" s="44"/>
      <c r="C24" s="161" t="s">
        <v>812</v>
      </c>
      <c r="D24" s="290" t="n">
        <f aca="false">IF(F24="","",IF(H24="","",ROUND(F24-0.001*298.15*(H24-SUMPRODUCT(L24:AK24*AR$13:BQ$13)),3)))</f>
        <v>-131.291</v>
      </c>
      <c r="E24" s="137" t="n">
        <f aca="false">IF(G24="","",IF(I24="","",ROUND(2*SQRT((0.5*G24)^2+(0.001*298.15)^2*((0.5*I24)^2+SUMPRODUCT(AR24:BQ24*AR$15:BQ$15))),3)))</f>
        <v>0.1</v>
      </c>
      <c r="F24" s="291" t="s">
        <v>813</v>
      </c>
      <c r="G24" s="292" t="s">
        <v>2059</v>
      </c>
      <c r="H24" s="291" t="s">
        <v>1524</v>
      </c>
      <c r="I24" s="292" t="s">
        <v>2060</v>
      </c>
      <c r="K24" s="342" t="s">
        <v>812</v>
      </c>
      <c r="L24" s="434"/>
      <c r="M24" s="435"/>
      <c r="N24" s="435"/>
      <c r="O24" s="435"/>
      <c r="P24" s="436"/>
      <c r="Q24" s="436"/>
      <c r="R24" s="436" t="n">
        <v>0.5</v>
      </c>
      <c r="S24" s="436"/>
      <c r="T24" s="436"/>
      <c r="U24" s="436"/>
      <c r="V24" s="436"/>
      <c r="W24" s="436"/>
      <c r="X24" s="436"/>
      <c r="Y24" s="436"/>
      <c r="Z24" s="436"/>
      <c r="AA24" s="436"/>
      <c r="AB24" s="436"/>
      <c r="AC24" s="436"/>
      <c r="AD24" s="436"/>
      <c r="AE24" s="436"/>
      <c r="AF24" s="436"/>
      <c r="AG24" s="436"/>
      <c r="AH24" s="436"/>
      <c r="AI24" s="437"/>
      <c r="AJ24" s="436"/>
      <c r="AK24" s="438" t="n">
        <v>-1</v>
      </c>
      <c r="AM24" s="21" t="s">
        <v>29</v>
      </c>
      <c r="AN24" s="442" t="s">
        <v>710</v>
      </c>
      <c r="AO24" s="442" t="s">
        <v>710</v>
      </c>
      <c r="AQ24" s="342" t="s">
        <v>812</v>
      </c>
      <c r="AR24" s="439" t="n">
        <f aca="false">L24^2</f>
        <v>0</v>
      </c>
      <c r="AS24" s="440" t="n">
        <f aca="false">M24^2</f>
        <v>0</v>
      </c>
      <c r="AT24" s="440" t="n">
        <f aca="false">N24^2</f>
        <v>0</v>
      </c>
      <c r="AU24" s="440" t="n">
        <f aca="false">O24^2</f>
        <v>0</v>
      </c>
      <c r="AV24" s="440" t="n">
        <f aca="false">P24^2</f>
        <v>0</v>
      </c>
      <c r="AW24" s="440" t="n">
        <f aca="false">Q24^2</f>
        <v>0</v>
      </c>
      <c r="AX24" s="440" t="n">
        <f aca="false">R24^2</f>
        <v>0.25</v>
      </c>
      <c r="AY24" s="440" t="n">
        <f aca="false">S24^2</f>
        <v>0</v>
      </c>
      <c r="AZ24" s="440" t="n">
        <f aca="false">T24^2</f>
        <v>0</v>
      </c>
      <c r="BA24" s="440" t="n">
        <f aca="false">U24^2</f>
        <v>0</v>
      </c>
      <c r="BB24" s="440" t="n">
        <f aca="false">V24^2</f>
        <v>0</v>
      </c>
      <c r="BC24" s="440" t="n">
        <f aca="false">W24^2</f>
        <v>0</v>
      </c>
      <c r="BD24" s="440" t="n">
        <f aca="false">X24^2</f>
        <v>0</v>
      </c>
      <c r="BE24" s="440" t="n">
        <f aca="false">Y24^2</f>
        <v>0</v>
      </c>
      <c r="BF24" s="440" t="n">
        <f aca="false">Z24^2</f>
        <v>0</v>
      </c>
      <c r="BG24" s="440" t="n">
        <f aca="false">AA24^2</f>
        <v>0</v>
      </c>
      <c r="BH24" s="440" t="n">
        <f aca="false">AB24^2</f>
        <v>0</v>
      </c>
      <c r="BI24" s="440" t="n">
        <f aca="false">AC24^2</f>
        <v>0</v>
      </c>
      <c r="BJ24" s="440" t="n">
        <f aca="false">AD24^2</f>
        <v>0</v>
      </c>
      <c r="BK24" s="440" t="n">
        <f aca="false">AE24^2</f>
        <v>0</v>
      </c>
      <c r="BL24" s="440" t="n">
        <f aca="false">AF24^2</f>
        <v>0</v>
      </c>
      <c r="BM24" s="440" t="n">
        <f aca="false">AG24^2</f>
        <v>0</v>
      </c>
      <c r="BN24" s="440" t="n">
        <f aca="false">AH24^2</f>
        <v>0</v>
      </c>
      <c r="BO24" s="440" t="n">
        <f aca="false">AI24^2</f>
        <v>0</v>
      </c>
      <c r="BP24" s="440" t="n">
        <f aca="false">AJ24^2</f>
        <v>0</v>
      </c>
      <c r="BQ24" s="441" t="n">
        <f aca="false">-SIGN(AK24)*AK24^2</f>
        <v>1</v>
      </c>
    </row>
    <row r="25" customFormat="false" ht="12.75" hidden="false" customHeight="false" outlineLevel="0" collapsed="false">
      <c r="A25" s="45"/>
      <c r="B25" s="44"/>
      <c r="C25" s="161" t="s">
        <v>818</v>
      </c>
      <c r="D25" s="290" t="n">
        <f aca="false">IF(F25="","",IF(H25="","",ROUND(F25-0.001*298.15*(H25-SUMPRODUCT(L25:AK25*AR$13:BQ$13)),3)))</f>
        <v>-104.06</v>
      </c>
      <c r="E25" s="137" t="n">
        <f aca="false">IF(G25="","",IF(I25="","",ROUND(2*SQRT((0.5*G25)^2+(0.001*298.15)^2*((0.5*I25)^2+SUMPRODUCT(AR25:BQ25*AR$15:BQ$15))),3)))</f>
        <v>0.162</v>
      </c>
      <c r="F25" s="291" t="s">
        <v>2047</v>
      </c>
      <c r="G25" s="292" t="s">
        <v>744</v>
      </c>
      <c r="H25" s="291" t="s">
        <v>1530</v>
      </c>
      <c r="I25" s="292" t="s">
        <v>728</v>
      </c>
      <c r="K25" s="342" t="s">
        <v>818</v>
      </c>
      <c r="L25" s="434"/>
      <c r="M25" s="435"/>
      <c r="N25" s="435"/>
      <c r="O25" s="435" t="n">
        <v>0.5</v>
      </c>
      <c r="P25" s="436"/>
      <c r="Q25" s="436"/>
      <c r="R25" s="436"/>
      <c r="S25" s="436"/>
      <c r="T25" s="436"/>
      <c r="U25" s="436"/>
      <c r="V25" s="436"/>
      <c r="W25" s="436"/>
      <c r="X25" s="436"/>
      <c r="Y25" s="436"/>
      <c r="Z25" s="436"/>
      <c r="AA25" s="436"/>
      <c r="AB25" s="436"/>
      <c r="AC25" s="436"/>
      <c r="AD25" s="436"/>
      <c r="AE25" s="436"/>
      <c r="AF25" s="436"/>
      <c r="AG25" s="436"/>
      <c r="AH25" s="436"/>
      <c r="AI25" s="437"/>
      <c r="AJ25" s="436"/>
      <c r="AK25" s="438" t="n">
        <v>-1</v>
      </c>
      <c r="AM25" s="31" t="s">
        <v>32</v>
      </c>
      <c r="AN25" s="443" t="n">
        <v>28.3</v>
      </c>
      <c r="AO25" s="443" t="n">
        <v>0.1</v>
      </c>
      <c r="AP25" s="10"/>
      <c r="AQ25" s="342" t="s">
        <v>818</v>
      </c>
      <c r="AR25" s="439" t="n">
        <f aca="false">L25^2</f>
        <v>0</v>
      </c>
      <c r="AS25" s="440" t="n">
        <f aca="false">M25^2</f>
        <v>0</v>
      </c>
      <c r="AT25" s="440" t="n">
        <f aca="false">N25^2</f>
        <v>0</v>
      </c>
      <c r="AU25" s="440" t="n">
        <f aca="false">O25^2</f>
        <v>0.25</v>
      </c>
      <c r="AV25" s="440" t="n">
        <f aca="false">P25^2</f>
        <v>0</v>
      </c>
      <c r="AW25" s="440" t="n">
        <f aca="false">Q25^2</f>
        <v>0</v>
      </c>
      <c r="AX25" s="440" t="n">
        <f aca="false">R25^2</f>
        <v>0</v>
      </c>
      <c r="AY25" s="440" t="n">
        <f aca="false">S25^2</f>
        <v>0</v>
      </c>
      <c r="AZ25" s="440" t="n">
        <f aca="false">T25^2</f>
        <v>0</v>
      </c>
      <c r="BA25" s="440" t="n">
        <f aca="false">U25^2</f>
        <v>0</v>
      </c>
      <c r="BB25" s="440" t="n">
        <f aca="false">V25^2</f>
        <v>0</v>
      </c>
      <c r="BC25" s="440" t="n">
        <f aca="false">W25^2</f>
        <v>0</v>
      </c>
      <c r="BD25" s="440" t="n">
        <f aca="false">X25^2</f>
        <v>0</v>
      </c>
      <c r="BE25" s="440" t="n">
        <f aca="false">Y25^2</f>
        <v>0</v>
      </c>
      <c r="BF25" s="440" t="n">
        <f aca="false">Z25^2</f>
        <v>0</v>
      </c>
      <c r="BG25" s="440" t="n">
        <f aca="false">AA25^2</f>
        <v>0</v>
      </c>
      <c r="BH25" s="440" t="n">
        <f aca="false">AB25^2</f>
        <v>0</v>
      </c>
      <c r="BI25" s="440" t="n">
        <f aca="false">AC25^2</f>
        <v>0</v>
      </c>
      <c r="BJ25" s="440" t="n">
        <f aca="false">AD25^2</f>
        <v>0</v>
      </c>
      <c r="BK25" s="440" t="n">
        <f aca="false">AE25^2</f>
        <v>0</v>
      </c>
      <c r="BL25" s="440" t="n">
        <f aca="false">AF25^2</f>
        <v>0</v>
      </c>
      <c r="BM25" s="440" t="n">
        <f aca="false">AG25^2</f>
        <v>0</v>
      </c>
      <c r="BN25" s="440" t="n">
        <f aca="false">AH25^2</f>
        <v>0</v>
      </c>
      <c r="BO25" s="440" t="n">
        <f aca="false">AI25^2</f>
        <v>0</v>
      </c>
      <c r="BP25" s="440" t="n">
        <f aca="false">AJ25^2</f>
        <v>0</v>
      </c>
      <c r="BQ25" s="441" t="n">
        <f aca="false">-SIGN(AK25)*AK25^2</f>
        <v>1</v>
      </c>
    </row>
    <row r="26" customFormat="false" ht="12.75" hidden="false" customHeight="false" outlineLevel="0" collapsed="false">
      <c r="A26" s="45"/>
      <c r="B26" s="44"/>
      <c r="C26" s="161" t="s">
        <v>825</v>
      </c>
      <c r="D26" s="290" t="n">
        <f aca="false">IF(F26="","",IF(H26="","",ROUND(F26-0.001*298.15*(H26-SUMPRODUCT(L26:AK26*AR$13:BQ$13)),3)))</f>
        <v>-51.934</v>
      </c>
      <c r="E26" s="137" t="n">
        <f aca="false">IF(G26="","",IF(I26="","",ROUND(2*SQRT((0.5*G26)^2+(0.001*298.15)^2*((0.5*I26)^2+SUMPRODUCT(AR26:BQ26*AR$15:BQ$15))),3)))</f>
        <v>0.842</v>
      </c>
      <c r="F26" s="291" t="s">
        <v>1567</v>
      </c>
      <c r="G26" s="292" t="s">
        <v>2061</v>
      </c>
      <c r="H26" s="291" t="s">
        <v>1536</v>
      </c>
      <c r="I26" s="292" t="s">
        <v>728</v>
      </c>
      <c r="K26" s="342" t="s">
        <v>825</v>
      </c>
      <c r="L26" s="434"/>
      <c r="M26" s="435"/>
      <c r="N26" s="435"/>
      <c r="O26" s="435"/>
      <c r="P26" s="436"/>
      <c r="Q26" s="436"/>
      <c r="R26" s="436"/>
      <c r="S26" s="436"/>
      <c r="T26" s="436"/>
      <c r="U26" s="436"/>
      <c r="V26" s="436"/>
      <c r="W26" s="436" t="n">
        <v>0.5</v>
      </c>
      <c r="X26" s="436"/>
      <c r="Y26" s="436"/>
      <c r="Z26" s="436"/>
      <c r="AA26" s="436"/>
      <c r="AB26" s="436"/>
      <c r="AC26" s="436"/>
      <c r="AD26" s="436"/>
      <c r="AE26" s="436"/>
      <c r="AF26" s="436"/>
      <c r="AG26" s="436"/>
      <c r="AH26" s="436"/>
      <c r="AI26" s="437"/>
      <c r="AJ26" s="436"/>
      <c r="AK26" s="438" t="n">
        <v>-1</v>
      </c>
      <c r="AM26" s="31" t="s">
        <v>40</v>
      </c>
      <c r="AN26" s="443" t="n">
        <v>5.9</v>
      </c>
      <c r="AO26" s="443" t="n">
        <v>0.08</v>
      </c>
      <c r="AP26" s="10"/>
      <c r="AQ26" s="342" t="s">
        <v>825</v>
      </c>
      <c r="AR26" s="439" t="n">
        <f aca="false">L26^2</f>
        <v>0</v>
      </c>
      <c r="AS26" s="440" t="n">
        <f aca="false">M26^2</f>
        <v>0</v>
      </c>
      <c r="AT26" s="440" t="n">
        <f aca="false">N26^2</f>
        <v>0</v>
      </c>
      <c r="AU26" s="440" t="n">
        <f aca="false">O26^2</f>
        <v>0</v>
      </c>
      <c r="AV26" s="440" t="n">
        <f aca="false">P26^2</f>
        <v>0</v>
      </c>
      <c r="AW26" s="440" t="n">
        <f aca="false">Q26^2</f>
        <v>0</v>
      </c>
      <c r="AX26" s="440" t="n">
        <f aca="false">R26^2</f>
        <v>0</v>
      </c>
      <c r="AY26" s="440" t="n">
        <f aca="false">S26^2</f>
        <v>0</v>
      </c>
      <c r="AZ26" s="440" t="n">
        <f aca="false">T26^2</f>
        <v>0</v>
      </c>
      <c r="BA26" s="440" t="n">
        <f aca="false">U26^2</f>
        <v>0</v>
      </c>
      <c r="BB26" s="440" t="n">
        <f aca="false">V26^2</f>
        <v>0</v>
      </c>
      <c r="BC26" s="440" t="n">
        <f aca="false">W26^2</f>
        <v>0.25</v>
      </c>
      <c r="BD26" s="440" t="n">
        <f aca="false">X26^2</f>
        <v>0</v>
      </c>
      <c r="BE26" s="440" t="n">
        <f aca="false">Y26^2</f>
        <v>0</v>
      </c>
      <c r="BF26" s="440" t="n">
        <f aca="false">Z26^2</f>
        <v>0</v>
      </c>
      <c r="BG26" s="440" t="n">
        <f aca="false">AA26^2</f>
        <v>0</v>
      </c>
      <c r="BH26" s="440" t="n">
        <f aca="false">AB26^2</f>
        <v>0</v>
      </c>
      <c r="BI26" s="440" t="n">
        <f aca="false">AC26^2</f>
        <v>0</v>
      </c>
      <c r="BJ26" s="440" t="n">
        <f aca="false">AD26^2</f>
        <v>0</v>
      </c>
      <c r="BK26" s="440" t="n">
        <f aca="false">AE26^2</f>
        <v>0</v>
      </c>
      <c r="BL26" s="440" t="n">
        <f aca="false">AF26^2</f>
        <v>0</v>
      </c>
      <c r="BM26" s="440" t="n">
        <f aca="false">AG26^2</f>
        <v>0</v>
      </c>
      <c r="BN26" s="440" t="n">
        <f aca="false">AH26^2</f>
        <v>0</v>
      </c>
      <c r="BO26" s="440" t="n">
        <f aca="false">AI26^2</f>
        <v>0</v>
      </c>
      <c r="BP26" s="440" t="n">
        <f aca="false">AJ26^2</f>
        <v>0</v>
      </c>
      <c r="BQ26" s="441" t="n">
        <f aca="false">-SIGN(AK26)*AK26^2</f>
        <v>1</v>
      </c>
    </row>
    <row r="27" customFormat="false" ht="12.75" hidden="false" customHeight="false" outlineLevel="0" collapsed="false">
      <c r="A27" s="45"/>
      <c r="B27" s="44"/>
      <c r="C27" s="161" t="s">
        <v>833</v>
      </c>
      <c r="D27" s="290" t="str">
        <f aca="false">IF(F27="","",IF(H27="","",ROUND(F27-0.001*298.15*(H27-SUMPRODUCT(L27:AK27*AR$13:BQ$13)),3)))</f>
        <v/>
      </c>
      <c r="E27" s="137" t="str">
        <f aca="false">IF(G27="","",IF(I27="","",ROUND(2*SQRT((0.5*G27)^2+(0.001*298.15)^2*((0.5*I27)^2+SUMPRODUCT(AR27:BQ27*AR$15:BQ$15))),3)))</f>
        <v/>
      </c>
      <c r="F27" s="291"/>
      <c r="G27" s="292"/>
      <c r="H27" s="291"/>
      <c r="I27" s="292"/>
      <c r="K27" s="342" t="s">
        <v>833</v>
      </c>
      <c r="L27" s="434"/>
      <c r="M27" s="435"/>
      <c r="N27" s="435"/>
      <c r="O27" s="435"/>
      <c r="P27" s="436"/>
      <c r="Q27" s="436"/>
      <c r="R27" s="436"/>
      <c r="S27" s="436"/>
      <c r="T27" s="436"/>
      <c r="U27" s="436"/>
      <c r="V27" s="436"/>
      <c r="W27" s="436"/>
      <c r="X27" s="436"/>
      <c r="Y27" s="436"/>
      <c r="Z27" s="436"/>
      <c r="AA27" s="436"/>
      <c r="AB27" s="436"/>
      <c r="AC27" s="436"/>
      <c r="AD27" s="436" t="n">
        <v>2</v>
      </c>
      <c r="AE27" s="436"/>
      <c r="AF27" s="436"/>
      <c r="AG27" s="436"/>
      <c r="AH27" s="436" t="n">
        <v>1</v>
      </c>
      <c r="AI27" s="437"/>
      <c r="AJ27" s="436"/>
      <c r="AK27" s="438" t="n">
        <v>-2</v>
      </c>
      <c r="AM27" s="38" t="s">
        <v>41</v>
      </c>
      <c r="AN27" s="443"/>
      <c r="AO27" s="443"/>
      <c r="AQ27" s="342" t="s">
        <v>833</v>
      </c>
      <c r="AR27" s="439" t="n">
        <f aca="false">L27^2</f>
        <v>0</v>
      </c>
      <c r="AS27" s="440" t="n">
        <f aca="false">M27^2</f>
        <v>0</v>
      </c>
      <c r="AT27" s="440" t="n">
        <f aca="false">N27^2</f>
        <v>0</v>
      </c>
      <c r="AU27" s="440" t="n">
        <f aca="false">O27^2</f>
        <v>0</v>
      </c>
      <c r="AV27" s="440" t="n">
        <f aca="false">P27^2</f>
        <v>0</v>
      </c>
      <c r="AW27" s="440" t="n">
        <f aca="false">Q27^2</f>
        <v>0</v>
      </c>
      <c r="AX27" s="440" t="n">
        <f aca="false">R27^2</f>
        <v>0</v>
      </c>
      <c r="AY27" s="440" t="n">
        <f aca="false">S27^2</f>
        <v>0</v>
      </c>
      <c r="AZ27" s="440" t="n">
        <f aca="false">T27^2</f>
        <v>0</v>
      </c>
      <c r="BA27" s="440" t="n">
        <f aca="false">U27^2</f>
        <v>0</v>
      </c>
      <c r="BB27" s="440" t="n">
        <f aca="false">V27^2</f>
        <v>0</v>
      </c>
      <c r="BC27" s="440" t="n">
        <f aca="false">W27^2</f>
        <v>0</v>
      </c>
      <c r="BD27" s="440" t="n">
        <f aca="false">X27^2</f>
        <v>0</v>
      </c>
      <c r="BE27" s="440" t="n">
        <f aca="false">Y27^2</f>
        <v>0</v>
      </c>
      <c r="BF27" s="440" t="n">
        <f aca="false">Z27^2</f>
        <v>0</v>
      </c>
      <c r="BG27" s="440" t="n">
        <f aca="false">AA27^2</f>
        <v>0</v>
      </c>
      <c r="BH27" s="440" t="n">
        <f aca="false">AB27^2</f>
        <v>0</v>
      </c>
      <c r="BI27" s="440" t="n">
        <f aca="false">AC27^2</f>
        <v>0</v>
      </c>
      <c r="BJ27" s="440" t="n">
        <f aca="false">AD27^2</f>
        <v>4</v>
      </c>
      <c r="BK27" s="440" t="n">
        <f aca="false">AE27^2</f>
        <v>0</v>
      </c>
      <c r="BL27" s="440" t="n">
        <f aca="false">AF27^2</f>
        <v>0</v>
      </c>
      <c r="BM27" s="440" t="n">
        <f aca="false">AG27^2</f>
        <v>0</v>
      </c>
      <c r="BN27" s="440" t="n">
        <f aca="false">AH27^2</f>
        <v>1</v>
      </c>
      <c r="BO27" s="440" t="n">
        <f aca="false">AI27^2</f>
        <v>0</v>
      </c>
      <c r="BP27" s="440" t="n">
        <f aca="false">AJ27^2</f>
        <v>0</v>
      </c>
      <c r="BQ27" s="441" t="n">
        <f aca="false">-SIGN(AK27)*AK27^2</f>
        <v>4</v>
      </c>
    </row>
    <row r="28" customFormat="false" ht="12.75" hidden="false" customHeight="false" outlineLevel="0" collapsed="false">
      <c r="A28" s="45"/>
      <c r="B28" s="44"/>
      <c r="C28" s="161" t="s">
        <v>840</v>
      </c>
      <c r="D28" s="290" t="str">
        <f aca="false">IF(F28="","",IF(H28="","",ROUND(F28-0.001*298.15*(H28-SUMPRODUCT(L28:AK28*AR$13:BQ$13)),3)))</f>
        <v/>
      </c>
      <c r="E28" s="137" t="str">
        <f aca="false">IF(G28="","",IF(I28="","",ROUND(2*SQRT((0.5*G28)^2+(0.001*298.15)^2*((0.5*I28)^2+SUMPRODUCT(AR28:BQ28*AR$15:BQ$15))),3)))</f>
        <v/>
      </c>
      <c r="F28" s="291"/>
      <c r="G28" s="292"/>
      <c r="H28" s="291"/>
      <c r="I28" s="292"/>
      <c r="K28" s="342" t="s">
        <v>840</v>
      </c>
      <c r="L28" s="434"/>
      <c r="M28" s="435"/>
      <c r="N28" s="435"/>
      <c r="O28" s="435"/>
      <c r="P28" s="436"/>
      <c r="Q28" s="436"/>
      <c r="R28" s="436"/>
      <c r="S28" s="436"/>
      <c r="T28" s="436"/>
      <c r="U28" s="436"/>
      <c r="V28" s="436" t="n">
        <v>0.5</v>
      </c>
      <c r="W28" s="436"/>
      <c r="X28" s="436"/>
      <c r="Y28" s="436"/>
      <c r="Z28" s="436"/>
      <c r="AA28" s="436"/>
      <c r="AB28" s="436"/>
      <c r="AC28" s="436"/>
      <c r="AD28" s="436"/>
      <c r="AE28" s="436"/>
      <c r="AF28" s="436"/>
      <c r="AG28" s="436"/>
      <c r="AH28" s="436" t="n">
        <v>1</v>
      </c>
      <c r="AI28" s="437"/>
      <c r="AJ28" s="436"/>
      <c r="AK28" s="438" t="n">
        <v>-1</v>
      </c>
      <c r="AM28" s="38" t="s">
        <v>46</v>
      </c>
      <c r="AN28" s="443" t="n">
        <v>152.1</v>
      </c>
      <c r="AO28" s="443" t="n">
        <v>0.04</v>
      </c>
      <c r="AP28" s="10"/>
      <c r="AQ28" s="342" t="s">
        <v>840</v>
      </c>
      <c r="AR28" s="439" t="n">
        <f aca="false">L28^2</f>
        <v>0</v>
      </c>
      <c r="AS28" s="440" t="n">
        <f aca="false">M28^2</f>
        <v>0</v>
      </c>
      <c r="AT28" s="440" t="n">
        <f aca="false">N28^2</f>
        <v>0</v>
      </c>
      <c r="AU28" s="440" t="n">
        <f aca="false">O28^2</f>
        <v>0</v>
      </c>
      <c r="AV28" s="440" t="n">
        <f aca="false">P28^2</f>
        <v>0</v>
      </c>
      <c r="AW28" s="440" t="n">
        <f aca="false">Q28^2</f>
        <v>0</v>
      </c>
      <c r="AX28" s="440" t="n">
        <f aca="false">R28^2</f>
        <v>0</v>
      </c>
      <c r="AY28" s="440" t="n">
        <f aca="false">S28^2</f>
        <v>0</v>
      </c>
      <c r="AZ28" s="440" t="n">
        <f aca="false">T28^2</f>
        <v>0</v>
      </c>
      <c r="BA28" s="440" t="n">
        <f aca="false">U28^2</f>
        <v>0</v>
      </c>
      <c r="BB28" s="440" t="n">
        <f aca="false">V28^2</f>
        <v>0.25</v>
      </c>
      <c r="BC28" s="440" t="n">
        <f aca="false">W28^2</f>
        <v>0</v>
      </c>
      <c r="BD28" s="440" t="n">
        <f aca="false">X28^2</f>
        <v>0</v>
      </c>
      <c r="BE28" s="440" t="n">
        <f aca="false">Y28^2</f>
        <v>0</v>
      </c>
      <c r="BF28" s="440" t="n">
        <f aca="false">Z28^2</f>
        <v>0</v>
      </c>
      <c r="BG28" s="440" t="n">
        <f aca="false">AA28^2</f>
        <v>0</v>
      </c>
      <c r="BH28" s="440" t="n">
        <f aca="false">AB28^2</f>
        <v>0</v>
      </c>
      <c r="BI28" s="440" t="n">
        <f aca="false">AC28^2</f>
        <v>0</v>
      </c>
      <c r="BJ28" s="440" t="n">
        <f aca="false">AD28^2</f>
        <v>0</v>
      </c>
      <c r="BK28" s="440" t="n">
        <f aca="false">AE28^2</f>
        <v>0</v>
      </c>
      <c r="BL28" s="440" t="n">
        <f aca="false">AF28^2</f>
        <v>0</v>
      </c>
      <c r="BM28" s="440" t="n">
        <f aca="false">AG28^2</f>
        <v>0</v>
      </c>
      <c r="BN28" s="440" t="n">
        <f aca="false">AH28^2</f>
        <v>1</v>
      </c>
      <c r="BO28" s="440" t="n">
        <f aca="false">AI28^2</f>
        <v>0</v>
      </c>
      <c r="BP28" s="440" t="n">
        <f aca="false">AJ28^2</f>
        <v>0</v>
      </c>
      <c r="BQ28" s="441" t="n">
        <f aca="false">-SIGN(AK28)*AK28^2</f>
        <v>1</v>
      </c>
    </row>
    <row r="29" customFormat="false" ht="12.75" hidden="false" customHeight="false" outlineLevel="0" collapsed="false">
      <c r="A29" s="45"/>
      <c r="B29" s="45"/>
      <c r="C29" s="161" t="s">
        <v>851</v>
      </c>
      <c r="D29" s="290" t="str">
        <f aca="false">IF(F29="","",IF(H29="","",ROUND(F29-0.001*298.15*(H29-SUMPRODUCT(L29:AK29*AR$13:BQ$13)),3)))</f>
        <v/>
      </c>
      <c r="E29" s="137" t="str">
        <f aca="false">IF(G29="","",IF(I29="","",ROUND(2*SQRT((0.5*G29)^2+(0.001*298.15)^2*((0.5*I29)^2+SUMPRODUCT(AR29:BQ29*AR$15:BQ$15))),3)))</f>
        <v/>
      </c>
      <c r="F29" s="291"/>
      <c r="G29" s="292"/>
      <c r="H29" s="291" t="s">
        <v>1554</v>
      </c>
      <c r="I29" s="292" t="s">
        <v>2062</v>
      </c>
      <c r="K29" s="342" t="s">
        <v>851</v>
      </c>
      <c r="L29" s="434"/>
      <c r="M29" s="435"/>
      <c r="N29" s="435"/>
      <c r="O29" s="435"/>
      <c r="P29" s="436"/>
      <c r="Q29" s="436"/>
      <c r="R29" s="436"/>
      <c r="S29" s="436"/>
      <c r="T29" s="436"/>
      <c r="U29" s="436"/>
      <c r="V29" s="436"/>
      <c r="W29" s="436"/>
      <c r="X29" s="436"/>
      <c r="Y29" s="436"/>
      <c r="Z29" s="436"/>
      <c r="AA29" s="436" t="n">
        <v>0.5</v>
      </c>
      <c r="AB29" s="436"/>
      <c r="AC29" s="436"/>
      <c r="AD29" s="436" t="n">
        <v>1.5</v>
      </c>
      <c r="AE29" s="436"/>
      <c r="AF29" s="436"/>
      <c r="AG29" s="436"/>
      <c r="AH29" s="436"/>
      <c r="AI29" s="437"/>
      <c r="AJ29" s="436"/>
      <c r="AK29" s="438" t="n">
        <v>-1</v>
      </c>
      <c r="AM29" s="31" t="s">
        <v>48</v>
      </c>
      <c r="AN29" s="444" t="n">
        <v>5.74</v>
      </c>
      <c r="AO29" s="443" t="n">
        <v>0.12</v>
      </c>
      <c r="AP29" s="10"/>
      <c r="AQ29" s="342" t="s">
        <v>851</v>
      </c>
      <c r="AR29" s="439" t="n">
        <f aca="false">L29^2</f>
        <v>0</v>
      </c>
      <c r="AS29" s="440" t="n">
        <f aca="false">M29^2</f>
        <v>0</v>
      </c>
      <c r="AT29" s="440" t="n">
        <f aca="false">N29^2</f>
        <v>0</v>
      </c>
      <c r="AU29" s="440" t="n">
        <f aca="false">O29^2</f>
        <v>0</v>
      </c>
      <c r="AV29" s="440" t="n">
        <f aca="false">P29^2</f>
        <v>0</v>
      </c>
      <c r="AW29" s="440" t="n">
        <f aca="false">Q29^2</f>
        <v>0</v>
      </c>
      <c r="AX29" s="440" t="n">
        <f aca="false">R29^2</f>
        <v>0</v>
      </c>
      <c r="AY29" s="440" t="n">
        <f aca="false">S29^2</f>
        <v>0</v>
      </c>
      <c r="AZ29" s="440" t="n">
        <f aca="false">T29^2</f>
        <v>0</v>
      </c>
      <c r="BA29" s="440" t="n">
        <f aca="false">U29^2</f>
        <v>0</v>
      </c>
      <c r="BB29" s="440" t="n">
        <f aca="false">V29^2</f>
        <v>0</v>
      </c>
      <c r="BC29" s="440" t="n">
        <f aca="false">W29^2</f>
        <v>0</v>
      </c>
      <c r="BD29" s="440" t="n">
        <f aca="false">X29^2</f>
        <v>0</v>
      </c>
      <c r="BE29" s="440" t="n">
        <f aca="false">Y29^2</f>
        <v>0</v>
      </c>
      <c r="BF29" s="440" t="n">
        <f aca="false">Z29^2</f>
        <v>0</v>
      </c>
      <c r="BG29" s="440" t="n">
        <f aca="false">AA29^2</f>
        <v>0.25</v>
      </c>
      <c r="BH29" s="440" t="n">
        <f aca="false">AB29^2</f>
        <v>0</v>
      </c>
      <c r="BI29" s="440" t="n">
        <f aca="false">AC29^2</f>
        <v>0</v>
      </c>
      <c r="BJ29" s="440" t="n">
        <f aca="false">AD29^2</f>
        <v>2.25</v>
      </c>
      <c r="BK29" s="440" t="n">
        <f aca="false">AE29^2</f>
        <v>0</v>
      </c>
      <c r="BL29" s="440" t="n">
        <f aca="false">AF29^2</f>
        <v>0</v>
      </c>
      <c r="BM29" s="440" t="n">
        <f aca="false">AG29^2</f>
        <v>0</v>
      </c>
      <c r="BN29" s="440" t="n">
        <f aca="false">AH29^2</f>
        <v>0</v>
      </c>
      <c r="BO29" s="440" t="n">
        <f aca="false">AI29^2</f>
        <v>0</v>
      </c>
      <c r="BP29" s="440" t="n">
        <f aca="false">AJ29^2</f>
        <v>0</v>
      </c>
      <c r="BQ29" s="441" t="n">
        <f aca="false">-SIGN(AK29)*AK29^2</f>
        <v>1</v>
      </c>
    </row>
    <row r="30" customFormat="false" ht="12.75" hidden="false" customHeight="false" outlineLevel="0" collapsed="false">
      <c r="A30" s="45"/>
      <c r="B30" s="44"/>
      <c r="C30" s="161" t="s">
        <v>858</v>
      </c>
      <c r="D30" s="290" t="str">
        <f aca="false">IF(F30="","",IF(H30="","",ROUND(F30-0.001*298.15*(H30-SUMPRODUCT(L30:AK30*AR$13:BQ$13)),3)))</f>
        <v/>
      </c>
      <c r="E30" s="137" t="str">
        <f aca="false">IF(G30="","",IF(I30="","",ROUND(2*SQRT((0.5*G30)^2+(0.001*298.15)^2*((0.5*I30)^2+SUMPRODUCT(AR30:BQ30*AR$15:BQ$15))),3)))</f>
        <v/>
      </c>
      <c r="F30" s="291"/>
      <c r="G30" s="292"/>
      <c r="H30" s="291"/>
      <c r="I30" s="292"/>
      <c r="K30" s="342" t="s">
        <v>858</v>
      </c>
      <c r="L30" s="434"/>
      <c r="M30" s="435"/>
      <c r="N30" s="435"/>
      <c r="O30" s="435"/>
      <c r="P30" s="436"/>
      <c r="Q30" s="436"/>
      <c r="R30" s="436"/>
      <c r="S30" s="436"/>
      <c r="T30" s="436"/>
      <c r="U30" s="436"/>
      <c r="V30" s="436" t="n">
        <v>1.5</v>
      </c>
      <c r="W30" s="436"/>
      <c r="X30" s="436"/>
      <c r="Y30" s="436"/>
      <c r="Z30" s="436"/>
      <c r="AA30" s="436" t="n">
        <v>0.5</v>
      </c>
      <c r="AB30" s="436"/>
      <c r="AC30" s="436"/>
      <c r="AD30" s="436"/>
      <c r="AE30" s="436"/>
      <c r="AF30" s="436"/>
      <c r="AG30" s="436"/>
      <c r="AH30" s="436"/>
      <c r="AI30" s="437"/>
      <c r="AJ30" s="436"/>
      <c r="AK30" s="438"/>
      <c r="AM30" s="31" t="s">
        <v>49</v>
      </c>
      <c r="AN30" s="444"/>
      <c r="AO30" s="443"/>
      <c r="AP30" s="10"/>
      <c r="AQ30" s="342" t="s">
        <v>858</v>
      </c>
      <c r="AR30" s="439" t="n">
        <f aca="false">L30^2</f>
        <v>0</v>
      </c>
      <c r="AS30" s="440" t="n">
        <f aca="false">M30^2</f>
        <v>0</v>
      </c>
      <c r="AT30" s="440" t="n">
        <f aca="false">N30^2</f>
        <v>0</v>
      </c>
      <c r="AU30" s="440" t="n">
        <f aca="false">O30^2</f>
        <v>0</v>
      </c>
      <c r="AV30" s="440" t="n">
        <f aca="false">P30^2</f>
        <v>0</v>
      </c>
      <c r="AW30" s="440" t="n">
        <f aca="false">Q30^2</f>
        <v>0</v>
      </c>
      <c r="AX30" s="440" t="n">
        <f aca="false">R30^2</f>
        <v>0</v>
      </c>
      <c r="AY30" s="440" t="n">
        <f aca="false">S30^2</f>
        <v>0</v>
      </c>
      <c r="AZ30" s="440" t="n">
        <f aca="false">T30^2</f>
        <v>0</v>
      </c>
      <c r="BA30" s="440" t="n">
        <f aca="false">U30^2</f>
        <v>0</v>
      </c>
      <c r="BB30" s="440" t="n">
        <f aca="false">V30^2</f>
        <v>2.25</v>
      </c>
      <c r="BC30" s="440" t="n">
        <f aca="false">W30^2</f>
        <v>0</v>
      </c>
      <c r="BD30" s="440" t="n">
        <f aca="false">X30^2</f>
        <v>0</v>
      </c>
      <c r="BE30" s="440" t="n">
        <f aca="false">Y30^2</f>
        <v>0</v>
      </c>
      <c r="BF30" s="440" t="n">
        <f aca="false">Z30^2</f>
        <v>0</v>
      </c>
      <c r="BG30" s="440" t="n">
        <f aca="false">AA30^2</f>
        <v>0.25</v>
      </c>
      <c r="BH30" s="440" t="n">
        <f aca="false">AB30^2</f>
        <v>0</v>
      </c>
      <c r="BI30" s="440" t="n">
        <f aca="false">AC30^2</f>
        <v>0</v>
      </c>
      <c r="BJ30" s="440" t="n">
        <f aca="false">AD30^2</f>
        <v>0</v>
      </c>
      <c r="BK30" s="440" t="n">
        <f aca="false">AE30^2</f>
        <v>0</v>
      </c>
      <c r="BL30" s="440" t="n">
        <f aca="false">AF30^2</f>
        <v>0</v>
      </c>
      <c r="BM30" s="440" t="n">
        <f aca="false">AG30^2</f>
        <v>0</v>
      </c>
      <c r="BN30" s="440" t="n">
        <f aca="false">AH30^2</f>
        <v>0</v>
      </c>
      <c r="BO30" s="440" t="n">
        <f aca="false">AI30^2</f>
        <v>0</v>
      </c>
      <c r="BP30" s="440" t="n">
        <f aca="false">AJ30^2</f>
        <v>0</v>
      </c>
      <c r="BQ30" s="441" t="n">
        <f aca="false">-SIGN(AK30)*AK30^2</f>
        <v>-0</v>
      </c>
    </row>
    <row r="31" customFormat="false" ht="12.75" hidden="false" customHeight="false" outlineLevel="0" collapsed="false">
      <c r="A31" s="45"/>
      <c r="B31" s="44"/>
      <c r="C31" s="161" t="s">
        <v>865</v>
      </c>
      <c r="D31" s="290" t="n">
        <f aca="false">IF(F31="","",IF(H31="","",ROUND(F31-0.001*298.15*(H31-SUMPRODUCT(L31:AK31*AR$13:BQ$13)),3)))</f>
        <v>-79.463</v>
      </c>
      <c r="E31" s="137" t="n">
        <f aca="false">IF(G31="","",IF(I31="","",ROUND(2*SQRT((0.5*G31)^2+(0.001*298.15)^2*((0.5*I31)^2+SUMPRODUCT(AR31:BQ31*AR$15:BQ$15))),3)))</f>
        <v>0.336</v>
      </c>
      <c r="F31" s="291" t="s">
        <v>866</v>
      </c>
      <c r="G31" s="292" t="s">
        <v>761</v>
      </c>
      <c r="H31" s="291" t="s">
        <v>867</v>
      </c>
      <c r="I31" s="292" t="s">
        <v>2063</v>
      </c>
      <c r="K31" s="342" t="s">
        <v>865</v>
      </c>
      <c r="L31" s="434"/>
      <c r="M31" s="435"/>
      <c r="N31" s="435"/>
      <c r="O31" s="435"/>
      <c r="P31" s="436"/>
      <c r="Q31" s="436"/>
      <c r="R31" s="436"/>
      <c r="S31" s="436"/>
      <c r="T31" s="436"/>
      <c r="U31" s="436"/>
      <c r="V31" s="436" t="n">
        <v>2</v>
      </c>
      <c r="W31" s="436"/>
      <c r="X31" s="436"/>
      <c r="Y31" s="436"/>
      <c r="Z31" s="436"/>
      <c r="AA31" s="436" t="n">
        <v>0.5</v>
      </c>
      <c r="AB31" s="436"/>
      <c r="AC31" s="436"/>
      <c r="AD31" s="436"/>
      <c r="AE31" s="436"/>
      <c r="AF31" s="436"/>
      <c r="AG31" s="436"/>
      <c r="AH31" s="436"/>
      <c r="AI31" s="437"/>
      <c r="AJ31" s="436"/>
      <c r="AK31" s="438" t="n">
        <v>1</v>
      </c>
      <c r="AM31" s="38" t="s">
        <v>54</v>
      </c>
      <c r="AN31" s="443" t="n">
        <v>222.965</v>
      </c>
      <c r="AO31" s="443" t="n">
        <v>0.04</v>
      </c>
      <c r="AP31" s="10"/>
      <c r="AQ31" s="342" t="s">
        <v>865</v>
      </c>
      <c r="AR31" s="439" t="n">
        <f aca="false">L31^2</f>
        <v>0</v>
      </c>
      <c r="AS31" s="440" t="n">
        <f aca="false">M31^2</f>
        <v>0</v>
      </c>
      <c r="AT31" s="440" t="n">
        <f aca="false">N31^2</f>
        <v>0</v>
      </c>
      <c r="AU31" s="440" t="n">
        <f aca="false">O31^2</f>
        <v>0</v>
      </c>
      <c r="AV31" s="440" t="n">
        <f aca="false">P31^2</f>
        <v>0</v>
      </c>
      <c r="AW31" s="440" t="n">
        <f aca="false">Q31^2</f>
        <v>0</v>
      </c>
      <c r="AX31" s="440" t="n">
        <f aca="false">R31^2</f>
        <v>0</v>
      </c>
      <c r="AY31" s="440" t="n">
        <f aca="false">S31^2</f>
        <v>0</v>
      </c>
      <c r="AZ31" s="440" t="n">
        <f aca="false">T31^2</f>
        <v>0</v>
      </c>
      <c r="BA31" s="440" t="n">
        <f aca="false">U31^2</f>
        <v>0</v>
      </c>
      <c r="BB31" s="440" t="n">
        <f aca="false">V31^2</f>
        <v>4</v>
      </c>
      <c r="BC31" s="440" t="n">
        <f aca="false">W31^2</f>
        <v>0</v>
      </c>
      <c r="BD31" s="440" t="n">
        <f aca="false">X31^2</f>
        <v>0</v>
      </c>
      <c r="BE31" s="440" t="n">
        <f aca="false">Y31^2</f>
        <v>0</v>
      </c>
      <c r="BF31" s="440" t="n">
        <f aca="false">Z31^2</f>
        <v>0</v>
      </c>
      <c r="BG31" s="440" t="n">
        <f aca="false">AA31^2</f>
        <v>0.25</v>
      </c>
      <c r="BH31" s="440" t="n">
        <f aca="false">AB31^2</f>
        <v>0</v>
      </c>
      <c r="BI31" s="440" t="n">
        <f aca="false">AC31^2</f>
        <v>0</v>
      </c>
      <c r="BJ31" s="440" t="n">
        <f aca="false">AD31^2</f>
        <v>0</v>
      </c>
      <c r="BK31" s="440" t="n">
        <f aca="false">AE31^2</f>
        <v>0</v>
      </c>
      <c r="BL31" s="440" t="n">
        <f aca="false">AF31^2</f>
        <v>0</v>
      </c>
      <c r="BM31" s="440" t="n">
        <f aca="false">AG31^2</f>
        <v>0</v>
      </c>
      <c r="BN31" s="440" t="n">
        <f aca="false">AH31^2</f>
        <v>0</v>
      </c>
      <c r="BO31" s="440" t="n">
        <f aca="false">AI31^2</f>
        <v>0</v>
      </c>
      <c r="BP31" s="440" t="n">
        <f aca="false">AJ31^2</f>
        <v>0</v>
      </c>
      <c r="BQ31" s="441" t="n">
        <f aca="false">-SIGN(AK31)*AK31^2</f>
        <v>-1</v>
      </c>
    </row>
    <row r="32" customFormat="false" ht="12.75" hidden="false" customHeight="false" outlineLevel="0" collapsed="false">
      <c r="A32" s="45"/>
      <c r="B32" s="45"/>
      <c r="C32" s="161" t="s">
        <v>872</v>
      </c>
      <c r="D32" s="290" t="str">
        <f aca="false">IF(F32="","",IF(H32="","",ROUND(F32-0.001*298.15*(H32-SUMPRODUCT(L32:AK32*AR$13:BQ$13)),3)))</f>
        <v/>
      </c>
      <c r="E32" s="137" t="str">
        <f aca="false">IF(G32="","",IF(I32="","",ROUND(2*SQRT((0.5*G32)^2+(0.001*298.15)^2*((0.5*I32)^2+SUMPRODUCT(AR32:BQ32*AR$15:BQ$15))),3)))</f>
        <v/>
      </c>
      <c r="F32" s="291"/>
      <c r="G32" s="292"/>
      <c r="H32" s="291"/>
      <c r="I32" s="292"/>
      <c r="K32" s="342" t="s">
        <v>872</v>
      </c>
      <c r="L32" s="434"/>
      <c r="M32" s="435"/>
      <c r="N32" s="435"/>
      <c r="O32" s="435"/>
      <c r="P32" s="436"/>
      <c r="Q32" s="436"/>
      <c r="R32" s="436"/>
      <c r="S32" s="436"/>
      <c r="T32" s="436"/>
      <c r="U32" s="436"/>
      <c r="V32" s="436" t="n">
        <v>0.5</v>
      </c>
      <c r="W32" s="436"/>
      <c r="X32" s="436"/>
      <c r="Y32" s="436"/>
      <c r="Z32" s="436"/>
      <c r="AA32" s="436"/>
      <c r="AB32" s="436"/>
      <c r="AC32" s="436"/>
      <c r="AD32" s="436" t="n">
        <v>2</v>
      </c>
      <c r="AE32" s="436" t="n">
        <v>1</v>
      </c>
      <c r="AF32" s="436"/>
      <c r="AG32" s="436"/>
      <c r="AH32" s="436"/>
      <c r="AI32" s="437"/>
      <c r="AJ32" s="436"/>
      <c r="AK32" s="438" t="n">
        <v>-2</v>
      </c>
      <c r="AM32" s="38" t="s">
        <v>59</v>
      </c>
      <c r="AN32" s="444" t="n">
        <v>85.23</v>
      </c>
      <c r="AO32" s="443" t="n">
        <v>0.4</v>
      </c>
      <c r="AP32" s="10"/>
      <c r="AQ32" s="342" t="s">
        <v>872</v>
      </c>
      <c r="AR32" s="439" t="n">
        <f aca="false">L32^2</f>
        <v>0</v>
      </c>
      <c r="AS32" s="440" t="n">
        <f aca="false">M32^2</f>
        <v>0</v>
      </c>
      <c r="AT32" s="440" t="n">
        <f aca="false">N32^2</f>
        <v>0</v>
      </c>
      <c r="AU32" s="440" t="n">
        <f aca="false">O32^2</f>
        <v>0</v>
      </c>
      <c r="AV32" s="440" t="n">
        <f aca="false">P32^2</f>
        <v>0</v>
      </c>
      <c r="AW32" s="440" t="n">
        <f aca="false">Q32^2</f>
        <v>0</v>
      </c>
      <c r="AX32" s="440" t="n">
        <f aca="false">R32^2</f>
        <v>0</v>
      </c>
      <c r="AY32" s="440" t="n">
        <f aca="false">S32^2</f>
        <v>0</v>
      </c>
      <c r="AZ32" s="440" t="n">
        <f aca="false">T32^2</f>
        <v>0</v>
      </c>
      <c r="BA32" s="440" t="n">
        <f aca="false">U32^2</f>
        <v>0</v>
      </c>
      <c r="BB32" s="440" t="n">
        <f aca="false">V32^2</f>
        <v>0.25</v>
      </c>
      <c r="BC32" s="440" t="n">
        <f aca="false">W32^2</f>
        <v>0</v>
      </c>
      <c r="BD32" s="440" t="n">
        <f aca="false">X32^2</f>
        <v>0</v>
      </c>
      <c r="BE32" s="440" t="n">
        <f aca="false">Y32^2</f>
        <v>0</v>
      </c>
      <c r="BF32" s="440" t="n">
        <f aca="false">Z32^2</f>
        <v>0</v>
      </c>
      <c r="BG32" s="440" t="n">
        <f aca="false">AA32^2</f>
        <v>0</v>
      </c>
      <c r="BH32" s="440" t="n">
        <f aca="false">AB32^2</f>
        <v>0</v>
      </c>
      <c r="BI32" s="440" t="n">
        <f aca="false">AC32^2</f>
        <v>0</v>
      </c>
      <c r="BJ32" s="440" t="n">
        <f aca="false">AD32^2</f>
        <v>4</v>
      </c>
      <c r="BK32" s="440" t="n">
        <f aca="false">AE32^2</f>
        <v>1</v>
      </c>
      <c r="BL32" s="440" t="n">
        <f aca="false">AF32^2</f>
        <v>0</v>
      </c>
      <c r="BM32" s="440" t="n">
        <f aca="false">AG32^2</f>
        <v>0</v>
      </c>
      <c r="BN32" s="440" t="n">
        <f aca="false">AH32^2</f>
        <v>0</v>
      </c>
      <c r="BO32" s="440" t="n">
        <f aca="false">AI32^2</f>
        <v>0</v>
      </c>
      <c r="BP32" s="440" t="n">
        <f aca="false">AJ32^2</f>
        <v>0</v>
      </c>
      <c r="BQ32" s="441" t="n">
        <f aca="false">-SIGN(AK32)*AK32^2</f>
        <v>4</v>
      </c>
    </row>
    <row r="33" customFormat="false" ht="12.75" hidden="false" customHeight="false" outlineLevel="0" collapsed="false">
      <c r="A33" s="45"/>
      <c r="B33" s="44"/>
      <c r="C33" s="161" t="s">
        <v>879</v>
      </c>
      <c r="D33" s="290" t="str">
        <f aca="false">IF(F33="","",IF(H33="","",ROUND(F33-0.001*298.15*(H33-SUMPRODUCT(L33:AK33*AR$13:BQ$13)),3)))</f>
        <v/>
      </c>
      <c r="E33" s="137" t="str">
        <f aca="false">IF(G33="","",IF(I33="","",ROUND(2*SQRT((0.5*G33)^2+(0.001*298.15)^2*((0.5*I33)^2+SUMPRODUCT(AR33:BQ33*AR$15:BQ$15))),3)))</f>
        <v/>
      </c>
      <c r="F33" s="291"/>
      <c r="G33" s="292"/>
      <c r="H33" s="291"/>
      <c r="I33" s="292"/>
      <c r="J33" s="10"/>
      <c r="K33" s="342" t="s">
        <v>879</v>
      </c>
      <c r="L33" s="434"/>
      <c r="M33" s="435"/>
      <c r="N33" s="435"/>
      <c r="O33" s="435"/>
      <c r="P33" s="436"/>
      <c r="Q33" s="436"/>
      <c r="R33" s="436"/>
      <c r="S33" s="436"/>
      <c r="T33" s="436"/>
      <c r="U33" s="436"/>
      <c r="V33" s="436" t="n">
        <v>1</v>
      </c>
      <c r="W33" s="436"/>
      <c r="X33" s="436"/>
      <c r="Y33" s="436"/>
      <c r="Z33" s="436"/>
      <c r="AA33" s="436"/>
      <c r="AB33" s="436"/>
      <c r="AC33" s="436"/>
      <c r="AD33" s="436" t="n">
        <v>2</v>
      </c>
      <c r="AE33" s="436" t="n">
        <v>1</v>
      </c>
      <c r="AF33" s="436"/>
      <c r="AG33" s="436"/>
      <c r="AH33" s="436"/>
      <c r="AI33" s="437"/>
      <c r="AJ33" s="436"/>
      <c r="AK33" s="438" t="n">
        <v>-1</v>
      </c>
      <c r="AM33" s="38" t="s">
        <v>66</v>
      </c>
      <c r="AN33" s="443" t="n">
        <v>202.685</v>
      </c>
      <c r="AO33" s="443" t="n">
        <v>0.04</v>
      </c>
      <c r="AP33" s="10"/>
      <c r="AQ33" s="342" t="s">
        <v>879</v>
      </c>
      <c r="AR33" s="439" t="n">
        <f aca="false">L33^2</f>
        <v>0</v>
      </c>
      <c r="AS33" s="440" t="n">
        <f aca="false">M33^2</f>
        <v>0</v>
      </c>
      <c r="AT33" s="440" t="n">
        <f aca="false">N33^2</f>
        <v>0</v>
      </c>
      <c r="AU33" s="440" t="n">
        <f aca="false">O33^2</f>
        <v>0</v>
      </c>
      <c r="AV33" s="440" t="n">
        <f aca="false">P33^2</f>
        <v>0</v>
      </c>
      <c r="AW33" s="440" t="n">
        <f aca="false">Q33^2</f>
        <v>0</v>
      </c>
      <c r="AX33" s="440" t="n">
        <f aca="false">R33^2</f>
        <v>0</v>
      </c>
      <c r="AY33" s="440" t="n">
        <f aca="false">S33^2</f>
        <v>0</v>
      </c>
      <c r="AZ33" s="440" t="n">
        <f aca="false">T33^2</f>
        <v>0</v>
      </c>
      <c r="BA33" s="440" t="n">
        <f aca="false">U33^2</f>
        <v>0</v>
      </c>
      <c r="BB33" s="440" t="n">
        <f aca="false">V33^2</f>
        <v>1</v>
      </c>
      <c r="BC33" s="440" t="n">
        <f aca="false">W33^2</f>
        <v>0</v>
      </c>
      <c r="BD33" s="440" t="n">
        <f aca="false">X33^2</f>
        <v>0</v>
      </c>
      <c r="BE33" s="440" t="n">
        <f aca="false">Y33^2</f>
        <v>0</v>
      </c>
      <c r="BF33" s="440" t="n">
        <f aca="false">Z33^2</f>
        <v>0</v>
      </c>
      <c r="BG33" s="440" t="n">
        <f aca="false">AA33^2</f>
        <v>0</v>
      </c>
      <c r="BH33" s="440" t="n">
        <f aca="false">AB33^2</f>
        <v>0</v>
      </c>
      <c r="BI33" s="440" t="n">
        <f aca="false">AC33^2</f>
        <v>0</v>
      </c>
      <c r="BJ33" s="440" t="n">
        <f aca="false">AD33^2</f>
        <v>4</v>
      </c>
      <c r="BK33" s="440" t="n">
        <f aca="false">AE33^2</f>
        <v>1</v>
      </c>
      <c r="BL33" s="440" t="n">
        <f aca="false">AF33^2</f>
        <v>0</v>
      </c>
      <c r="BM33" s="440" t="n">
        <f aca="false">AG33^2</f>
        <v>0</v>
      </c>
      <c r="BN33" s="440" t="n">
        <f aca="false">AH33^2</f>
        <v>0</v>
      </c>
      <c r="BO33" s="440" t="n">
        <f aca="false">AI33^2</f>
        <v>0</v>
      </c>
      <c r="BP33" s="440" t="n">
        <f aca="false">AJ33^2</f>
        <v>0</v>
      </c>
      <c r="BQ33" s="441" t="n">
        <f aca="false">-SIGN(AK33)*AK33^2</f>
        <v>1</v>
      </c>
    </row>
    <row r="34" customFormat="false" ht="12.75" hidden="false" customHeight="false" outlineLevel="0" collapsed="false">
      <c r="A34" s="45"/>
      <c r="B34" s="44"/>
      <c r="C34" s="161" t="s">
        <v>885</v>
      </c>
      <c r="D34" s="290" t="str">
        <f aca="false">IF(F34="","",IF(H34="","",ROUND(F34-0.001*298.15*(H34-SUMPRODUCT(L34:AK34*AR$13:BQ$13)),3)))</f>
        <v/>
      </c>
      <c r="E34" s="137" t="str">
        <f aca="false">IF(G34="","",IF(I34="","",ROUND(2*SQRT((0.5*G34)^2+(0.001*298.15)^2*((0.5*I34)^2+SUMPRODUCT(AR34:BQ34*AR$15:BQ$15))),3)))</f>
        <v/>
      </c>
      <c r="F34" s="291"/>
      <c r="G34" s="292"/>
      <c r="H34" s="291"/>
      <c r="I34" s="292"/>
      <c r="J34" s="10"/>
      <c r="K34" s="342" t="s">
        <v>885</v>
      </c>
      <c r="L34" s="434"/>
      <c r="M34" s="435"/>
      <c r="N34" s="435"/>
      <c r="O34" s="435"/>
      <c r="P34" s="436" t="n">
        <v>1</v>
      </c>
      <c r="Q34" s="436"/>
      <c r="R34" s="436"/>
      <c r="S34" s="436"/>
      <c r="T34" s="436"/>
      <c r="U34" s="436"/>
      <c r="V34" s="436"/>
      <c r="W34" s="436"/>
      <c r="X34" s="436"/>
      <c r="Y34" s="436"/>
      <c r="Z34" s="436"/>
      <c r="AA34" s="436"/>
      <c r="AB34" s="436"/>
      <c r="AC34" s="436"/>
      <c r="AD34" s="436" t="n">
        <v>1</v>
      </c>
      <c r="AE34" s="436"/>
      <c r="AF34" s="436"/>
      <c r="AG34" s="436"/>
      <c r="AH34" s="436"/>
      <c r="AI34" s="437"/>
      <c r="AJ34" s="436"/>
      <c r="AK34" s="438"/>
      <c r="AM34" s="38" t="s">
        <v>68</v>
      </c>
      <c r="AN34" s="444"/>
      <c r="AO34" s="443"/>
      <c r="AQ34" s="342" t="s">
        <v>885</v>
      </c>
      <c r="AR34" s="439" t="n">
        <f aca="false">L34^2</f>
        <v>0</v>
      </c>
      <c r="AS34" s="440" t="n">
        <f aca="false">M34^2</f>
        <v>0</v>
      </c>
      <c r="AT34" s="440" t="n">
        <f aca="false">N34^2</f>
        <v>0</v>
      </c>
      <c r="AU34" s="440" t="n">
        <f aca="false">O34^2</f>
        <v>0</v>
      </c>
      <c r="AV34" s="440" t="n">
        <f aca="false">P34^2</f>
        <v>1</v>
      </c>
      <c r="AW34" s="440" t="n">
        <f aca="false">Q34^2</f>
        <v>0</v>
      </c>
      <c r="AX34" s="440" t="n">
        <f aca="false">R34^2</f>
        <v>0</v>
      </c>
      <c r="AY34" s="440" t="n">
        <f aca="false">S34^2</f>
        <v>0</v>
      </c>
      <c r="AZ34" s="440" t="n">
        <f aca="false">T34^2</f>
        <v>0</v>
      </c>
      <c r="BA34" s="440" t="n">
        <f aca="false">U34^2</f>
        <v>0</v>
      </c>
      <c r="BB34" s="440" t="n">
        <f aca="false">V34^2</f>
        <v>0</v>
      </c>
      <c r="BC34" s="440" t="n">
        <f aca="false">W34^2</f>
        <v>0</v>
      </c>
      <c r="BD34" s="440" t="n">
        <f aca="false">X34^2</f>
        <v>0</v>
      </c>
      <c r="BE34" s="440" t="n">
        <f aca="false">Y34^2</f>
        <v>0</v>
      </c>
      <c r="BF34" s="440" t="n">
        <f aca="false">Z34^2</f>
        <v>0</v>
      </c>
      <c r="BG34" s="440" t="n">
        <f aca="false">AA34^2</f>
        <v>0</v>
      </c>
      <c r="BH34" s="440" t="n">
        <f aca="false">AB34^2</f>
        <v>0</v>
      </c>
      <c r="BI34" s="440" t="n">
        <f aca="false">AC34^2</f>
        <v>0</v>
      </c>
      <c r="BJ34" s="440" t="n">
        <f aca="false">AD34^2</f>
        <v>1</v>
      </c>
      <c r="BK34" s="440" t="n">
        <f aca="false">AE34^2</f>
        <v>0</v>
      </c>
      <c r="BL34" s="440" t="n">
        <f aca="false">AF34^2</f>
        <v>0</v>
      </c>
      <c r="BM34" s="440" t="n">
        <f aca="false">AG34^2</f>
        <v>0</v>
      </c>
      <c r="BN34" s="440" t="n">
        <f aca="false">AH34^2</f>
        <v>0</v>
      </c>
      <c r="BO34" s="440" t="n">
        <f aca="false">AI34^2</f>
        <v>0</v>
      </c>
      <c r="BP34" s="440" t="n">
        <f aca="false">AJ34^2</f>
        <v>0</v>
      </c>
      <c r="BQ34" s="441" t="n">
        <f aca="false">-SIGN(AK34)*AK34^2</f>
        <v>-0</v>
      </c>
    </row>
    <row r="35" customFormat="false" ht="12.75" hidden="false" customHeight="false" outlineLevel="0" collapsed="false">
      <c r="A35" s="45"/>
      <c r="B35" s="45"/>
      <c r="C35" s="161" t="s">
        <v>893</v>
      </c>
      <c r="D35" s="290" t="str">
        <f aca="false">IF(F35="","",IF(H35="","",ROUND(F35-0.001*298.15*(H35-SUMPRODUCT(L35:AK35*AR$13:BQ$13)),3)))</f>
        <v/>
      </c>
      <c r="E35" s="137" t="str">
        <f aca="false">IF(G35="","",IF(I35="","",ROUND(2*SQRT((0.5*G35)^2+(0.001*298.15)^2*((0.5*I35)^2+SUMPRODUCT(AR35:BQ35*AR$15:BQ$15))),3)))</f>
        <v/>
      </c>
      <c r="F35" s="291"/>
      <c r="G35" s="292"/>
      <c r="H35" s="291"/>
      <c r="I35" s="292"/>
      <c r="J35" s="10"/>
      <c r="K35" s="342" t="s">
        <v>893</v>
      </c>
      <c r="L35" s="434"/>
      <c r="M35" s="435"/>
      <c r="N35" s="435"/>
      <c r="O35" s="435"/>
      <c r="P35" s="436" t="n">
        <v>1</v>
      </c>
      <c r="Q35" s="436"/>
      <c r="R35" s="436"/>
      <c r="S35" s="436"/>
      <c r="T35" s="436"/>
      <c r="U35" s="436"/>
      <c r="V35" s="436"/>
      <c r="W35" s="436"/>
      <c r="X35" s="436"/>
      <c r="Y35" s="436"/>
      <c r="Z35" s="436"/>
      <c r="AA35" s="436"/>
      <c r="AB35" s="436"/>
      <c r="AC35" s="436"/>
      <c r="AD35" s="436" t="n">
        <v>1.5</v>
      </c>
      <c r="AE35" s="436"/>
      <c r="AF35" s="436"/>
      <c r="AG35" s="436"/>
      <c r="AH35" s="436"/>
      <c r="AI35" s="437"/>
      <c r="AJ35" s="436"/>
      <c r="AK35" s="438" t="n">
        <v>-2</v>
      </c>
      <c r="AM35" s="38" t="s">
        <v>75</v>
      </c>
      <c r="AN35" s="443" t="s">
        <v>541</v>
      </c>
      <c r="AO35" s="443" t="s">
        <v>2055</v>
      </c>
      <c r="AP35" s="631"/>
      <c r="AQ35" s="342" t="s">
        <v>893</v>
      </c>
      <c r="AR35" s="439" t="n">
        <f aca="false">L35^2</f>
        <v>0</v>
      </c>
      <c r="AS35" s="440" t="n">
        <f aca="false">M35^2</f>
        <v>0</v>
      </c>
      <c r="AT35" s="440" t="n">
        <f aca="false">N35^2</f>
        <v>0</v>
      </c>
      <c r="AU35" s="440" t="n">
        <f aca="false">O35^2</f>
        <v>0</v>
      </c>
      <c r="AV35" s="440" t="n">
        <f aca="false">P35^2</f>
        <v>1</v>
      </c>
      <c r="AW35" s="440" t="n">
        <f aca="false">Q35^2</f>
        <v>0</v>
      </c>
      <c r="AX35" s="440" t="n">
        <f aca="false">R35^2</f>
        <v>0</v>
      </c>
      <c r="AY35" s="440" t="n">
        <f aca="false">S35^2</f>
        <v>0</v>
      </c>
      <c r="AZ35" s="440" t="n">
        <f aca="false">T35^2</f>
        <v>0</v>
      </c>
      <c r="BA35" s="440" t="n">
        <f aca="false">U35^2</f>
        <v>0</v>
      </c>
      <c r="BB35" s="440" t="n">
        <f aca="false">V35^2</f>
        <v>0</v>
      </c>
      <c r="BC35" s="440" t="n">
        <f aca="false">W35^2</f>
        <v>0</v>
      </c>
      <c r="BD35" s="440" t="n">
        <f aca="false">X35^2</f>
        <v>0</v>
      </c>
      <c r="BE35" s="440" t="n">
        <f aca="false">Y35^2</f>
        <v>0</v>
      </c>
      <c r="BF35" s="440" t="n">
        <f aca="false">Z35^2</f>
        <v>0</v>
      </c>
      <c r="BG35" s="440" t="n">
        <f aca="false">AA35^2</f>
        <v>0</v>
      </c>
      <c r="BH35" s="440" t="n">
        <f aca="false">AB35^2</f>
        <v>0</v>
      </c>
      <c r="BI35" s="440" t="n">
        <f aca="false">AC35^2</f>
        <v>0</v>
      </c>
      <c r="BJ35" s="440" t="n">
        <f aca="false">AD35^2</f>
        <v>2.25</v>
      </c>
      <c r="BK35" s="440" t="n">
        <f aca="false">AE35^2</f>
        <v>0</v>
      </c>
      <c r="BL35" s="440" t="n">
        <f aca="false">AF35^2</f>
        <v>0</v>
      </c>
      <c r="BM35" s="440" t="n">
        <f aca="false">AG35^2</f>
        <v>0</v>
      </c>
      <c r="BN35" s="440" t="n">
        <f aca="false">AH35^2</f>
        <v>0</v>
      </c>
      <c r="BO35" s="440" t="n">
        <f aca="false">AI35^2</f>
        <v>0</v>
      </c>
      <c r="BP35" s="440" t="n">
        <f aca="false">AJ35^2</f>
        <v>0</v>
      </c>
      <c r="BQ35" s="441" t="n">
        <f aca="false">-SIGN(AK35)*AK35^2</f>
        <v>4</v>
      </c>
    </row>
    <row r="36" customFormat="false" ht="12.75" hidden="false" customHeight="false" outlineLevel="0" collapsed="false">
      <c r="A36" s="45"/>
      <c r="B36" s="45"/>
      <c r="C36" s="161" t="s">
        <v>902</v>
      </c>
      <c r="D36" s="290" t="str">
        <f aca="false">IF(F36="","",IF(H36="","",ROUND(F36-0.001*298.15*(H36-SUMPRODUCT(L36:AK36*AR$13:BQ$13)),3)))</f>
        <v/>
      </c>
      <c r="E36" s="137" t="str">
        <f aca="false">IF(G36="","",IF(I36="","",ROUND(2*SQRT((0.5*G36)^2+(0.001*298.15)^2*((0.5*I36)^2+SUMPRODUCT(AR36:BQ36*AR$15:BQ$15))),3)))</f>
        <v/>
      </c>
      <c r="F36" s="291"/>
      <c r="G36" s="292"/>
      <c r="H36" s="291"/>
      <c r="I36" s="292"/>
      <c r="K36" s="342" t="s">
        <v>902</v>
      </c>
      <c r="L36" s="434"/>
      <c r="M36" s="435"/>
      <c r="N36" s="435"/>
      <c r="O36" s="435"/>
      <c r="P36" s="436" t="n">
        <v>1</v>
      </c>
      <c r="Q36" s="436"/>
      <c r="R36" s="436"/>
      <c r="S36" s="436"/>
      <c r="T36" s="436"/>
      <c r="U36" s="436"/>
      <c r="V36" s="436" t="n">
        <v>0.5</v>
      </c>
      <c r="W36" s="436"/>
      <c r="X36" s="436"/>
      <c r="Y36" s="436"/>
      <c r="Z36" s="436"/>
      <c r="AA36" s="436"/>
      <c r="AB36" s="436"/>
      <c r="AC36" s="436"/>
      <c r="AD36" s="436" t="n">
        <v>1.5</v>
      </c>
      <c r="AE36" s="436"/>
      <c r="AF36" s="436"/>
      <c r="AG36" s="436"/>
      <c r="AH36" s="436"/>
      <c r="AI36" s="437"/>
      <c r="AJ36" s="436"/>
      <c r="AK36" s="438" t="n">
        <v>-1</v>
      </c>
      <c r="AM36" s="38" t="s">
        <v>82</v>
      </c>
      <c r="AN36" s="443" t="n">
        <v>116.139</v>
      </c>
      <c r="AO36" s="443" t="n">
        <v>0.08</v>
      </c>
      <c r="AP36" s="631"/>
      <c r="AQ36" s="342" t="s">
        <v>902</v>
      </c>
      <c r="AR36" s="439" t="n">
        <f aca="false">L36^2</f>
        <v>0</v>
      </c>
      <c r="AS36" s="440" t="n">
        <f aca="false">M36^2</f>
        <v>0</v>
      </c>
      <c r="AT36" s="440" t="n">
        <f aca="false">N36^2</f>
        <v>0</v>
      </c>
      <c r="AU36" s="440" t="n">
        <f aca="false">O36^2</f>
        <v>0</v>
      </c>
      <c r="AV36" s="440" t="n">
        <f aca="false">P36^2</f>
        <v>1</v>
      </c>
      <c r="AW36" s="440" t="n">
        <f aca="false">Q36^2</f>
        <v>0</v>
      </c>
      <c r="AX36" s="440" t="n">
        <f aca="false">R36^2</f>
        <v>0</v>
      </c>
      <c r="AY36" s="440" t="n">
        <f aca="false">S36^2</f>
        <v>0</v>
      </c>
      <c r="AZ36" s="440" t="n">
        <f aca="false">T36^2</f>
        <v>0</v>
      </c>
      <c r="BA36" s="440" t="n">
        <f aca="false">U36^2</f>
        <v>0</v>
      </c>
      <c r="BB36" s="440" t="n">
        <f aca="false">V36^2</f>
        <v>0.25</v>
      </c>
      <c r="BC36" s="440" t="n">
        <f aca="false">W36^2</f>
        <v>0</v>
      </c>
      <c r="BD36" s="440" t="n">
        <f aca="false">X36^2</f>
        <v>0</v>
      </c>
      <c r="BE36" s="440" t="n">
        <f aca="false">Y36^2</f>
        <v>0</v>
      </c>
      <c r="BF36" s="440" t="n">
        <f aca="false">Z36^2</f>
        <v>0</v>
      </c>
      <c r="BG36" s="440" t="n">
        <f aca="false">AA36^2</f>
        <v>0</v>
      </c>
      <c r="BH36" s="440" t="n">
        <f aca="false">AB36^2</f>
        <v>0</v>
      </c>
      <c r="BI36" s="440" t="n">
        <f aca="false">AC36^2</f>
        <v>0</v>
      </c>
      <c r="BJ36" s="440" t="n">
        <f aca="false">AD36^2</f>
        <v>2.25</v>
      </c>
      <c r="BK36" s="440" t="n">
        <f aca="false">AE36^2</f>
        <v>0</v>
      </c>
      <c r="BL36" s="440" t="n">
        <f aca="false">AF36^2</f>
        <v>0</v>
      </c>
      <c r="BM36" s="440" t="n">
        <f aca="false">AG36^2</f>
        <v>0</v>
      </c>
      <c r="BN36" s="440" t="n">
        <f aca="false">AH36^2</f>
        <v>0</v>
      </c>
      <c r="BO36" s="440" t="n">
        <f aca="false">AI36^2</f>
        <v>0</v>
      </c>
      <c r="BP36" s="440" t="n">
        <f aca="false">AJ36^2</f>
        <v>0</v>
      </c>
      <c r="BQ36" s="441" t="n">
        <f aca="false">-SIGN(AK36)*AK36^2</f>
        <v>1</v>
      </c>
    </row>
    <row r="37" customFormat="false" ht="12.75" hidden="false" customHeight="false" outlineLevel="0" collapsed="false">
      <c r="A37" s="45"/>
      <c r="B37" s="45"/>
      <c r="C37" s="161" t="s">
        <v>909</v>
      </c>
      <c r="D37" s="290" t="str">
        <f aca="false">IF(F37="","",IF(H37="","",ROUND(F37-0.001*298.15*(H37-SUMPRODUCT(L37:AK37*AR$13:BQ$13)),3)))</f>
        <v/>
      </c>
      <c r="E37" s="137" t="str">
        <f aca="false">IF(G37="","",IF(I37="","",ROUND(2*SQRT((0.5*G37)^2+(0.001*298.15)^2*((0.5*I37)^2+SUMPRODUCT(AR37:BQ37*AR$15:BQ$15))),3)))</f>
        <v/>
      </c>
      <c r="F37" s="291"/>
      <c r="G37" s="292"/>
      <c r="H37" s="291"/>
      <c r="I37" s="292"/>
      <c r="J37" s="10"/>
      <c r="K37" s="342" t="s">
        <v>909</v>
      </c>
      <c r="L37" s="434"/>
      <c r="M37" s="435"/>
      <c r="N37" s="435"/>
      <c r="O37" s="435"/>
      <c r="P37" s="436"/>
      <c r="Q37" s="436"/>
      <c r="R37" s="436"/>
      <c r="S37" s="436"/>
      <c r="T37" s="436"/>
      <c r="U37" s="436"/>
      <c r="V37" s="436" t="n">
        <v>2</v>
      </c>
      <c r="W37" s="436"/>
      <c r="X37" s="436"/>
      <c r="Y37" s="436"/>
      <c r="Z37" s="436"/>
      <c r="AA37" s="436"/>
      <c r="AB37" s="436"/>
      <c r="AC37" s="436"/>
      <c r="AD37" s="436" t="n">
        <v>2</v>
      </c>
      <c r="AE37" s="436"/>
      <c r="AF37" s="436"/>
      <c r="AG37" s="436"/>
      <c r="AH37" s="436"/>
      <c r="AI37" s="437" t="n">
        <v>1</v>
      </c>
      <c r="AJ37" s="436"/>
      <c r="AK37" s="438"/>
      <c r="AM37" s="38" t="s">
        <v>86</v>
      </c>
      <c r="AN37" s="444" t="n">
        <v>64.68</v>
      </c>
      <c r="AO37" s="443" t="n">
        <v>0.2</v>
      </c>
      <c r="AP37" s="631"/>
      <c r="AQ37" s="342" t="s">
        <v>909</v>
      </c>
      <c r="AR37" s="439" t="n">
        <f aca="false">L37^2</f>
        <v>0</v>
      </c>
      <c r="AS37" s="440" t="n">
        <f aca="false">M37^2</f>
        <v>0</v>
      </c>
      <c r="AT37" s="440" t="n">
        <f aca="false">N37^2</f>
        <v>0</v>
      </c>
      <c r="AU37" s="440" t="n">
        <f aca="false">O37^2</f>
        <v>0</v>
      </c>
      <c r="AV37" s="440" t="n">
        <f aca="false">P37^2</f>
        <v>0</v>
      </c>
      <c r="AW37" s="440" t="n">
        <f aca="false">Q37^2</f>
        <v>0</v>
      </c>
      <c r="AX37" s="440" t="n">
        <f aca="false">R37^2</f>
        <v>0</v>
      </c>
      <c r="AY37" s="440" t="n">
        <f aca="false">S37^2</f>
        <v>0</v>
      </c>
      <c r="AZ37" s="440" t="n">
        <f aca="false">T37^2</f>
        <v>0</v>
      </c>
      <c r="BA37" s="440" t="n">
        <f aca="false">U37^2</f>
        <v>0</v>
      </c>
      <c r="BB37" s="440" t="n">
        <f aca="false">V37^2</f>
        <v>4</v>
      </c>
      <c r="BC37" s="440" t="n">
        <f aca="false">W37^2</f>
        <v>0</v>
      </c>
      <c r="BD37" s="440" t="n">
        <f aca="false">X37^2</f>
        <v>0</v>
      </c>
      <c r="BE37" s="440" t="n">
        <f aca="false">Y37^2</f>
        <v>0</v>
      </c>
      <c r="BF37" s="440" t="n">
        <f aca="false">Z37^2</f>
        <v>0</v>
      </c>
      <c r="BG37" s="440" t="n">
        <f aca="false">AA37^2</f>
        <v>0</v>
      </c>
      <c r="BH37" s="440" t="n">
        <f aca="false">AB37^2</f>
        <v>0</v>
      </c>
      <c r="BI37" s="440" t="n">
        <f aca="false">AC37^2</f>
        <v>0</v>
      </c>
      <c r="BJ37" s="440" t="n">
        <f aca="false">AD37^2</f>
        <v>4</v>
      </c>
      <c r="BK37" s="440" t="n">
        <f aca="false">AE37^2</f>
        <v>0</v>
      </c>
      <c r="BL37" s="440" t="n">
        <f aca="false">AF37^2</f>
        <v>0</v>
      </c>
      <c r="BM37" s="440" t="n">
        <f aca="false">AG37^2</f>
        <v>0</v>
      </c>
      <c r="BN37" s="440" t="n">
        <f aca="false">AH37^2</f>
        <v>0</v>
      </c>
      <c r="BO37" s="440" t="n">
        <f aca="false">AI37^2</f>
        <v>1</v>
      </c>
      <c r="BP37" s="440" t="n">
        <f aca="false">AJ37^2</f>
        <v>0</v>
      </c>
      <c r="BQ37" s="441" t="n">
        <f aca="false">-SIGN(AK37)*AK37^2</f>
        <v>-0</v>
      </c>
    </row>
    <row r="38" customFormat="false" ht="12.75" hidden="false" customHeight="false" outlineLevel="0" collapsed="false">
      <c r="A38" s="45"/>
      <c r="B38" s="45"/>
      <c r="C38" s="161" t="s">
        <v>916</v>
      </c>
      <c r="D38" s="290" t="str">
        <f aca="false">IF(F38="","",IF(H38="","",ROUND(F38-0.001*298.15*(H38-SUMPRODUCT(L38:AK38*AR$13:BQ$13)),3)))</f>
        <v/>
      </c>
      <c r="E38" s="137" t="str">
        <f aca="false">IF(G38="","",IF(I38="","",ROUND(2*SQRT((0.5*G38)^2+(0.001*298.15)^2*((0.5*I38)^2+SUMPRODUCT(AR38:BQ38*AR$15:BQ$15))),3)))</f>
        <v/>
      </c>
      <c r="F38" s="291"/>
      <c r="G38" s="292"/>
      <c r="H38" s="291"/>
      <c r="I38" s="292"/>
      <c r="J38" s="10"/>
      <c r="K38" s="342" t="s">
        <v>916</v>
      </c>
      <c r="L38" s="434"/>
      <c r="M38" s="435" t="n">
        <v>1</v>
      </c>
      <c r="N38" s="435"/>
      <c r="O38" s="435"/>
      <c r="P38" s="436"/>
      <c r="Q38" s="436"/>
      <c r="R38" s="436"/>
      <c r="S38" s="436"/>
      <c r="T38" s="436"/>
      <c r="U38" s="436"/>
      <c r="V38" s="436" t="n">
        <v>1.5</v>
      </c>
      <c r="W38" s="436"/>
      <c r="X38" s="436"/>
      <c r="Y38" s="436"/>
      <c r="Z38" s="436"/>
      <c r="AA38" s="436"/>
      <c r="AB38" s="436"/>
      <c r="AC38" s="436"/>
      <c r="AD38" s="436" t="n">
        <v>1.5</v>
      </c>
      <c r="AE38" s="436"/>
      <c r="AF38" s="436"/>
      <c r="AG38" s="436"/>
      <c r="AH38" s="436"/>
      <c r="AI38" s="437"/>
      <c r="AJ38" s="436"/>
      <c r="AK38" s="438"/>
      <c r="AM38" s="38" t="s">
        <v>89</v>
      </c>
      <c r="AN38" s="444" t="n">
        <v>29.12</v>
      </c>
      <c r="AO38" s="443" t="n">
        <v>0.2</v>
      </c>
      <c r="AP38" s="631"/>
      <c r="AQ38" s="342" t="s">
        <v>916</v>
      </c>
      <c r="AR38" s="439" t="n">
        <f aca="false">L38^2</f>
        <v>0</v>
      </c>
      <c r="AS38" s="440" t="n">
        <f aca="false">M38^2</f>
        <v>1</v>
      </c>
      <c r="AT38" s="440" t="n">
        <f aca="false">N38^2</f>
        <v>0</v>
      </c>
      <c r="AU38" s="440" t="n">
        <f aca="false">O38^2</f>
        <v>0</v>
      </c>
      <c r="AV38" s="440" t="n">
        <f aca="false">P38^2</f>
        <v>0</v>
      </c>
      <c r="AW38" s="440" t="n">
        <f aca="false">Q38^2</f>
        <v>0</v>
      </c>
      <c r="AX38" s="440" t="n">
        <f aca="false">R38^2</f>
        <v>0</v>
      </c>
      <c r="AY38" s="440" t="n">
        <f aca="false">S38^2</f>
        <v>0</v>
      </c>
      <c r="AZ38" s="440" t="n">
        <f aca="false">T38^2</f>
        <v>0</v>
      </c>
      <c r="BA38" s="440" t="n">
        <f aca="false">U38^2</f>
        <v>0</v>
      </c>
      <c r="BB38" s="440" t="n">
        <f aca="false">V38^2</f>
        <v>2.25</v>
      </c>
      <c r="BC38" s="440" t="n">
        <f aca="false">W38^2</f>
        <v>0</v>
      </c>
      <c r="BD38" s="440" t="n">
        <f aca="false">X38^2</f>
        <v>0</v>
      </c>
      <c r="BE38" s="440" t="n">
        <f aca="false">Y38^2</f>
        <v>0</v>
      </c>
      <c r="BF38" s="440" t="n">
        <f aca="false">Z38^2</f>
        <v>0</v>
      </c>
      <c r="BG38" s="440" t="n">
        <f aca="false">AA38^2</f>
        <v>0</v>
      </c>
      <c r="BH38" s="440" t="n">
        <f aca="false">AB38^2</f>
        <v>0</v>
      </c>
      <c r="BI38" s="440" t="n">
        <f aca="false">AC38^2</f>
        <v>0</v>
      </c>
      <c r="BJ38" s="440" t="n">
        <f aca="false">AD38^2</f>
        <v>2.25</v>
      </c>
      <c r="BK38" s="440" t="n">
        <f aca="false">AE38^2</f>
        <v>0</v>
      </c>
      <c r="BL38" s="440" t="n">
        <f aca="false">AF38^2</f>
        <v>0</v>
      </c>
      <c r="BM38" s="440" t="n">
        <f aca="false">AG38^2</f>
        <v>0</v>
      </c>
      <c r="BN38" s="440" t="n">
        <f aca="false">AH38^2</f>
        <v>0</v>
      </c>
      <c r="BO38" s="440" t="n">
        <f aca="false">AI38^2</f>
        <v>0</v>
      </c>
      <c r="BP38" s="440" t="n">
        <f aca="false">AJ38^2</f>
        <v>0</v>
      </c>
      <c r="BQ38" s="441" t="n">
        <f aca="false">-SIGN(AK38)*AK38^2</f>
        <v>-0</v>
      </c>
    </row>
    <row r="39" customFormat="false" ht="12.75" hidden="false" customHeight="false" outlineLevel="0" collapsed="false">
      <c r="A39" s="45"/>
      <c r="B39" s="45"/>
      <c r="C39" s="161" t="s">
        <v>923</v>
      </c>
      <c r="D39" s="290" t="str">
        <f aca="false">IF(F39="","",IF(H39="","",ROUND(F39-0.001*298.15*(H39-SUMPRODUCT(L39:AK39*AR$13:BQ$13)),3)))</f>
        <v/>
      </c>
      <c r="E39" s="137" t="str">
        <f aca="false">IF(G39="","",IF(I39="","",ROUND(2*SQRT((0.5*G39)^2+(0.001*298.15)^2*((0.5*I39)^2+SUMPRODUCT(AR39:BQ39*AR$15:BQ$15))),3)))</f>
        <v/>
      </c>
      <c r="F39" s="295"/>
      <c r="G39" s="297"/>
      <c r="H39" s="295"/>
      <c r="I39" s="297"/>
      <c r="J39" s="10"/>
      <c r="K39" s="161" t="s">
        <v>923</v>
      </c>
      <c r="L39" s="445"/>
      <c r="M39" s="446" t="n">
        <v>1</v>
      </c>
      <c r="N39" s="446"/>
      <c r="O39" s="446"/>
      <c r="P39" s="436"/>
      <c r="Q39" s="436"/>
      <c r="R39" s="436"/>
      <c r="S39" s="436"/>
      <c r="T39" s="436"/>
      <c r="U39" s="436"/>
      <c r="V39" s="436" t="n">
        <v>2</v>
      </c>
      <c r="W39" s="436"/>
      <c r="X39" s="436"/>
      <c r="Y39" s="436"/>
      <c r="Z39" s="436"/>
      <c r="AA39" s="436"/>
      <c r="AB39" s="436"/>
      <c r="AC39" s="436"/>
      <c r="AD39" s="436" t="n">
        <v>2</v>
      </c>
      <c r="AE39" s="436"/>
      <c r="AF39" s="436"/>
      <c r="AG39" s="436"/>
      <c r="AH39" s="436"/>
      <c r="AI39" s="437"/>
      <c r="AJ39" s="436"/>
      <c r="AK39" s="438" t="n">
        <v>-1</v>
      </c>
      <c r="AM39" s="31" t="s">
        <v>93</v>
      </c>
      <c r="AN39" s="444"/>
      <c r="AO39" s="443"/>
      <c r="AQ39" s="161" t="s">
        <v>923</v>
      </c>
      <c r="AR39" s="439" t="n">
        <f aca="false">L39^2</f>
        <v>0</v>
      </c>
      <c r="AS39" s="440" t="n">
        <f aca="false">M39^2</f>
        <v>1</v>
      </c>
      <c r="AT39" s="440" t="n">
        <f aca="false">N39^2</f>
        <v>0</v>
      </c>
      <c r="AU39" s="440" t="n">
        <f aca="false">O39^2</f>
        <v>0</v>
      </c>
      <c r="AV39" s="440" t="n">
        <f aca="false">P39^2</f>
        <v>0</v>
      </c>
      <c r="AW39" s="440" t="n">
        <f aca="false">Q39^2</f>
        <v>0</v>
      </c>
      <c r="AX39" s="440" t="n">
        <f aca="false">R39^2</f>
        <v>0</v>
      </c>
      <c r="AY39" s="440" t="n">
        <f aca="false">S39^2</f>
        <v>0</v>
      </c>
      <c r="AZ39" s="440" t="n">
        <f aca="false">T39^2</f>
        <v>0</v>
      </c>
      <c r="BA39" s="440" t="n">
        <f aca="false">U39^2</f>
        <v>0</v>
      </c>
      <c r="BB39" s="440" t="n">
        <f aca="false">V39^2</f>
        <v>4</v>
      </c>
      <c r="BC39" s="440" t="n">
        <f aca="false">W39^2</f>
        <v>0</v>
      </c>
      <c r="BD39" s="440" t="n">
        <f aca="false">X39^2</f>
        <v>0</v>
      </c>
      <c r="BE39" s="440" t="n">
        <f aca="false">Y39^2</f>
        <v>0</v>
      </c>
      <c r="BF39" s="440" t="n">
        <f aca="false">Z39^2</f>
        <v>0</v>
      </c>
      <c r="BG39" s="440" t="n">
        <f aca="false">AA39^2</f>
        <v>0</v>
      </c>
      <c r="BH39" s="440" t="n">
        <f aca="false">AB39^2</f>
        <v>0</v>
      </c>
      <c r="BI39" s="440" t="n">
        <f aca="false">AC39^2</f>
        <v>0</v>
      </c>
      <c r="BJ39" s="440" t="n">
        <f aca="false">AD39^2</f>
        <v>4</v>
      </c>
      <c r="BK39" s="440" t="n">
        <f aca="false">AE39^2</f>
        <v>0</v>
      </c>
      <c r="BL39" s="440" t="n">
        <f aca="false">AF39^2</f>
        <v>0</v>
      </c>
      <c r="BM39" s="440" t="n">
        <f aca="false">AG39^2</f>
        <v>0</v>
      </c>
      <c r="BN39" s="440" t="n">
        <f aca="false">AH39^2</f>
        <v>0</v>
      </c>
      <c r="BO39" s="440" t="n">
        <f aca="false">AI39^2</f>
        <v>0</v>
      </c>
      <c r="BP39" s="440" t="n">
        <f aca="false">AJ39^2</f>
        <v>0</v>
      </c>
      <c r="BQ39" s="441" t="n">
        <f aca="false">-SIGN(AK39)*AK39^2</f>
        <v>1</v>
      </c>
    </row>
    <row r="40" customFormat="false" ht="12.75" hidden="false" customHeight="false" outlineLevel="0" collapsed="false">
      <c r="A40" s="45"/>
      <c r="B40" s="44"/>
      <c r="C40" s="161" t="s">
        <v>924</v>
      </c>
      <c r="D40" s="290" t="str">
        <f aca="false">IF(F40="","",IF(H40="","",ROUND(F40-0.001*298.15*(H40-SUMPRODUCT(L40:AK40*AR$13:BQ$13)),3)))</f>
        <v/>
      </c>
      <c r="E40" s="137" t="str">
        <f aca="false">IF(G40="","",IF(I40="","",ROUND(2*SQRT((0.5*G40)^2+(0.001*298.15)^2*((0.5*I40)^2+SUMPRODUCT(AR40:BQ40*AR$15:BQ$15))),3)))</f>
        <v/>
      </c>
      <c r="F40" s="291"/>
      <c r="G40" s="292"/>
      <c r="H40" s="291"/>
      <c r="I40" s="292"/>
      <c r="K40" s="342" t="s">
        <v>924</v>
      </c>
      <c r="L40" s="434" t="n">
        <v>1</v>
      </c>
      <c r="M40" s="435"/>
      <c r="N40" s="435"/>
      <c r="O40" s="435"/>
      <c r="P40" s="436"/>
      <c r="Q40" s="436"/>
      <c r="R40" s="436"/>
      <c r="S40" s="436"/>
      <c r="T40" s="436"/>
      <c r="U40" s="436"/>
      <c r="V40" s="436"/>
      <c r="W40" s="436"/>
      <c r="X40" s="436"/>
      <c r="Y40" s="436"/>
      <c r="Z40" s="436"/>
      <c r="AA40" s="436"/>
      <c r="AB40" s="436"/>
      <c r="AC40" s="436"/>
      <c r="AD40" s="436"/>
      <c r="AE40" s="436"/>
      <c r="AF40" s="436"/>
      <c r="AG40" s="436"/>
      <c r="AH40" s="436"/>
      <c r="AI40" s="437"/>
      <c r="AJ40" s="436"/>
      <c r="AK40" s="438" t="n">
        <v>3</v>
      </c>
      <c r="AM40" s="38" t="s">
        <v>97</v>
      </c>
      <c r="AN40" s="443" t="n">
        <v>191.502</v>
      </c>
      <c r="AO40" s="443" t="n">
        <v>0.025</v>
      </c>
      <c r="AQ40" s="342" t="s">
        <v>924</v>
      </c>
      <c r="AR40" s="439" t="n">
        <f aca="false">L40^2</f>
        <v>1</v>
      </c>
      <c r="AS40" s="440" t="n">
        <f aca="false">M40^2</f>
        <v>0</v>
      </c>
      <c r="AT40" s="440" t="n">
        <f aca="false">N40^2</f>
        <v>0</v>
      </c>
      <c r="AU40" s="440" t="n">
        <f aca="false">O40^2</f>
        <v>0</v>
      </c>
      <c r="AV40" s="440" t="n">
        <f aca="false">P40^2</f>
        <v>0</v>
      </c>
      <c r="AW40" s="440" t="n">
        <f aca="false">Q40^2</f>
        <v>0</v>
      </c>
      <c r="AX40" s="440" t="n">
        <f aca="false">R40^2</f>
        <v>0</v>
      </c>
      <c r="AY40" s="440" t="n">
        <f aca="false">S40^2</f>
        <v>0</v>
      </c>
      <c r="AZ40" s="440" t="n">
        <f aca="false">T40^2</f>
        <v>0</v>
      </c>
      <c r="BA40" s="440" t="n">
        <f aca="false">U40^2</f>
        <v>0</v>
      </c>
      <c r="BB40" s="440" t="n">
        <f aca="false">V40^2</f>
        <v>0</v>
      </c>
      <c r="BC40" s="440" t="n">
        <f aca="false">W40^2</f>
        <v>0</v>
      </c>
      <c r="BD40" s="440" t="n">
        <f aca="false">X40^2</f>
        <v>0</v>
      </c>
      <c r="BE40" s="440" t="n">
        <f aca="false">Y40^2</f>
        <v>0</v>
      </c>
      <c r="BF40" s="440" t="n">
        <f aca="false">Z40^2</f>
        <v>0</v>
      </c>
      <c r="BG40" s="440" t="n">
        <f aca="false">AA40^2</f>
        <v>0</v>
      </c>
      <c r="BH40" s="440" t="n">
        <f aca="false">AB40^2</f>
        <v>0</v>
      </c>
      <c r="BI40" s="440" t="n">
        <f aca="false">AC40^2</f>
        <v>0</v>
      </c>
      <c r="BJ40" s="440" t="n">
        <f aca="false">AD40^2</f>
        <v>0</v>
      </c>
      <c r="BK40" s="440" t="n">
        <f aca="false">AE40^2</f>
        <v>0</v>
      </c>
      <c r="BL40" s="440" t="n">
        <f aca="false">AF40^2</f>
        <v>0</v>
      </c>
      <c r="BM40" s="440" t="n">
        <f aca="false">AG40^2</f>
        <v>0</v>
      </c>
      <c r="BN40" s="440" t="n">
        <f aca="false">AH40^2</f>
        <v>0</v>
      </c>
      <c r="BO40" s="440" t="n">
        <f aca="false">AI40^2</f>
        <v>0</v>
      </c>
      <c r="BP40" s="440" t="n">
        <f aca="false">AJ40^2</f>
        <v>0</v>
      </c>
      <c r="BQ40" s="441" t="n">
        <f aca="false">-SIGN(AK40)*AK40^2</f>
        <v>-9</v>
      </c>
    </row>
    <row r="41" customFormat="false" ht="12.75" hidden="false" customHeight="false" outlineLevel="0" collapsed="false">
      <c r="A41" s="45"/>
      <c r="B41" s="45"/>
      <c r="C41" s="161" t="s">
        <v>933</v>
      </c>
      <c r="D41" s="290" t="str">
        <f aca="false">IF(F41="","",IF(H41="","",ROUND(F41-0.001*298.15*(H41-SUMPRODUCT(L41:AK41*AR$13:BQ$13)),3)))</f>
        <v/>
      </c>
      <c r="E41" s="137" t="str">
        <f aca="false">IF(G41="","",IF(I41="","",ROUND(2*SQRT((0.5*G41)^2+(0.001*298.15)^2*((0.5*I41)^2+SUMPRODUCT(AR41:BQ41*AR$15:BQ$15))),3)))</f>
        <v/>
      </c>
      <c r="F41" s="295"/>
      <c r="G41" s="297"/>
      <c r="H41" s="295"/>
      <c r="I41" s="297"/>
      <c r="K41" s="342" t="s">
        <v>933</v>
      </c>
      <c r="L41" s="445" t="n">
        <v>1</v>
      </c>
      <c r="M41" s="446"/>
      <c r="N41" s="446"/>
      <c r="O41" s="446"/>
      <c r="P41" s="436"/>
      <c r="Q41" s="436"/>
      <c r="R41" s="436"/>
      <c r="S41" s="436"/>
      <c r="T41" s="436"/>
      <c r="U41" s="436"/>
      <c r="V41" s="436"/>
      <c r="W41" s="436"/>
      <c r="X41" s="436"/>
      <c r="Y41" s="436"/>
      <c r="Z41" s="436"/>
      <c r="AA41" s="436"/>
      <c r="AB41" s="436"/>
      <c r="AC41" s="436"/>
      <c r="AD41" s="436" t="n">
        <v>2</v>
      </c>
      <c r="AE41" s="436"/>
      <c r="AF41" s="436"/>
      <c r="AG41" s="436"/>
      <c r="AH41" s="436"/>
      <c r="AI41" s="437"/>
      <c r="AJ41" s="436"/>
      <c r="AK41" s="438" t="n">
        <v>-1</v>
      </c>
      <c r="AM41" s="38" t="s">
        <v>99</v>
      </c>
      <c r="AN41" s="443" t="n">
        <v>51.3</v>
      </c>
      <c r="AO41" s="443" t="n">
        <v>0.2</v>
      </c>
      <c r="AQ41" s="342" t="s">
        <v>933</v>
      </c>
      <c r="AR41" s="439" t="n">
        <f aca="false">L41^2</f>
        <v>1</v>
      </c>
      <c r="AS41" s="440" t="n">
        <f aca="false">M41^2</f>
        <v>0</v>
      </c>
      <c r="AT41" s="440" t="n">
        <f aca="false">N41^2</f>
        <v>0</v>
      </c>
      <c r="AU41" s="440" t="n">
        <f aca="false">O41^2</f>
        <v>0</v>
      </c>
      <c r="AV41" s="440" t="n">
        <f aca="false">P41^2</f>
        <v>0</v>
      </c>
      <c r="AW41" s="440" t="n">
        <f aca="false">Q41^2</f>
        <v>0</v>
      </c>
      <c r="AX41" s="440" t="n">
        <f aca="false">R41^2</f>
        <v>0</v>
      </c>
      <c r="AY41" s="440" t="n">
        <f aca="false">S41^2</f>
        <v>0</v>
      </c>
      <c r="AZ41" s="440" t="n">
        <f aca="false">T41^2</f>
        <v>0</v>
      </c>
      <c r="BA41" s="440" t="n">
        <f aca="false">U41^2</f>
        <v>0</v>
      </c>
      <c r="BB41" s="440" t="n">
        <f aca="false">V41^2</f>
        <v>0</v>
      </c>
      <c r="BC41" s="440" t="n">
        <f aca="false">W41^2</f>
        <v>0</v>
      </c>
      <c r="BD41" s="440" t="n">
        <f aca="false">X41^2</f>
        <v>0</v>
      </c>
      <c r="BE41" s="440" t="n">
        <f aca="false">Y41^2</f>
        <v>0</v>
      </c>
      <c r="BF41" s="440" t="n">
        <f aca="false">Z41^2</f>
        <v>0</v>
      </c>
      <c r="BG41" s="440" t="n">
        <f aca="false">AA41^2</f>
        <v>0</v>
      </c>
      <c r="BH41" s="440" t="n">
        <f aca="false">AB41^2</f>
        <v>0</v>
      </c>
      <c r="BI41" s="440" t="n">
        <f aca="false">AC41^2</f>
        <v>0</v>
      </c>
      <c r="BJ41" s="440" t="n">
        <f aca="false">AD41^2</f>
        <v>4</v>
      </c>
      <c r="BK41" s="440" t="n">
        <f aca="false">AE41^2</f>
        <v>0</v>
      </c>
      <c r="BL41" s="440" t="n">
        <f aca="false">AF41^2</f>
        <v>0</v>
      </c>
      <c r="BM41" s="440" t="n">
        <f aca="false">AG41^2</f>
        <v>0</v>
      </c>
      <c r="BN41" s="440" t="n">
        <f aca="false">AH41^2</f>
        <v>0</v>
      </c>
      <c r="BO41" s="440" t="n">
        <f aca="false">AI41^2</f>
        <v>0</v>
      </c>
      <c r="BP41" s="440" t="n">
        <f aca="false">AJ41^2</f>
        <v>0</v>
      </c>
      <c r="BQ41" s="441" t="n">
        <f aca="false">-SIGN(AK41)*AK41^2</f>
        <v>1</v>
      </c>
    </row>
    <row r="42" customFormat="false" ht="12.75" hidden="false" customHeight="false" outlineLevel="0" collapsed="false">
      <c r="A42" s="45"/>
      <c r="B42" s="44"/>
      <c r="C42" s="38" t="s">
        <v>934</v>
      </c>
      <c r="D42" s="290" t="str">
        <f aca="false">IF(F42="","",IF(H42="","",ROUND(F42-0.001*298.15*(H42-SUMPRODUCT(L42:AK42*AR$13:BQ$13)),3)))</f>
        <v/>
      </c>
      <c r="E42" s="137" t="str">
        <f aca="false">IF(G42="","",IF(I42="","",ROUND(2*SQRT((0.5*G42)^2+(0.001*298.15)^2*((0.5*I42)^2+SUMPRODUCT(AR42:BQ42*AR$15:BQ$15))),3)))</f>
        <v/>
      </c>
      <c r="F42" s="291"/>
      <c r="G42" s="292"/>
      <c r="H42" s="291"/>
      <c r="I42" s="292"/>
      <c r="K42" s="140" t="s">
        <v>934</v>
      </c>
      <c r="L42" s="434"/>
      <c r="M42" s="435"/>
      <c r="N42" s="435"/>
      <c r="O42" s="435"/>
      <c r="P42" s="436"/>
      <c r="Q42" s="436"/>
      <c r="R42" s="436"/>
      <c r="S42" s="436"/>
      <c r="T42" s="436"/>
      <c r="U42" s="436"/>
      <c r="V42" s="436"/>
      <c r="W42" s="436"/>
      <c r="X42" s="436"/>
      <c r="Y42" s="436"/>
      <c r="Z42" s="436"/>
      <c r="AA42" s="436"/>
      <c r="AB42" s="436"/>
      <c r="AC42" s="436" t="n">
        <v>1</v>
      </c>
      <c r="AD42" s="436"/>
      <c r="AE42" s="436"/>
      <c r="AF42" s="436"/>
      <c r="AG42" s="436"/>
      <c r="AH42" s="436"/>
      <c r="AI42" s="437"/>
      <c r="AJ42" s="436"/>
      <c r="AK42" s="438" t="n">
        <v>2</v>
      </c>
      <c r="AM42" s="31" t="s">
        <v>103</v>
      </c>
      <c r="AN42" s="444"/>
      <c r="AO42" s="443"/>
      <c r="AQ42" s="140" t="s">
        <v>934</v>
      </c>
      <c r="AR42" s="439" t="n">
        <f aca="false">L42^2</f>
        <v>0</v>
      </c>
      <c r="AS42" s="440" t="n">
        <f aca="false">M42^2</f>
        <v>0</v>
      </c>
      <c r="AT42" s="440" t="n">
        <f aca="false">N42^2</f>
        <v>0</v>
      </c>
      <c r="AU42" s="440" t="n">
        <f aca="false">O42^2</f>
        <v>0</v>
      </c>
      <c r="AV42" s="440" t="n">
        <f aca="false">P42^2</f>
        <v>0</v>
      </c>
      <c r="AW42" s="440" t="n">
        <f aca="false">Q42^2</f>
        <v>0</v>
      </c>
      <c r="AX42" s="440" t="n">
        <f aca="false">R42^2</f>
        <v>0</v>
      </c>
      <c r="AY42" s="440" t="n">
        <f aca="false">S42^2</f>
        <v>0</v>
      </c>
      <c r="AZ42" s="440" t="n">
        <f aca="false">T42^2</f>
        <v>0</v>
      </c>
      <c r="BA42" s="440" t="n">
        <f aca="false">U42^2</f>
        <v>0</v>
      </c>
      <c r="BB42" s="440" t="n">
        <f aca="false">V42^2</f>
        <v>0</v>
      </c>
      <c r="BC42" s="440" t="n">
        <f aca="false">W42^2</f>
        <v>0</v>
      </c>
      <c r="BD42" s="440" t="n">
        <f aca="false">X42^2</f>
        <v>0</v>
      </c>
      <c r="BE42" s="440" t="n">
        <f aca="false">Y42^2</f>
        <v>0</v>
      </c>
      <c r="BF42" s="440" t="n">
        <f aca="false">Z42^2</f>
        <v>0</v>
      </c>
      <c r="BG42" s="440" t="n">
        <f aca="false">AA42^2</f>
        <v>0</v>
      </c>
      <c r="BH42" s="440" t="n">
        <f aca="false">AB42^2</f>
        <v>0</v>
      </c>
      <c r="BI42" s="440" t="n">
        <f aca="false">AC42^2</f>
        <v>1</v>
      </c>
      <c r="BJ42" s="440" t="n">
        <f aca="false">AD42^2</f>
        <v>0</v>
      </c>
      <c r="BK42" s="440" t="n">
        <f aca="false">AE42^2</f>
        <v>0</v>
      </c>
      <c r="BL42" s="440" t="n">
        <f aca="false">AF42^2</f>
        <v>0</v>
      </c>
      <c r="BM42" s="440" t="n">
        <f aca="false">AG42^2</f>
        <v>0</v>
      </c>
      <c r="BN42" s="440" t="n">
        <f aca="false">AH42^2</f>
        <v>0</v>
      </c>
      <c r="BO42" s="440" t="n">
        <f aca="false">AI42^2</f>
        <v>0</v>
      </c>
      <c r="BP42" s="440" t="n">
        <f aca="false">AJ42^2</f>
        <v>0</v>
      </c>
      <c r="BQ42" s="441" t="n">
        <f aca="false">-SIGN(AK42)*AK42^2</f>
        <v>-4</v>
      </c>
    </row>
    <row r="43" customFormat="false" ht="12.75" hidden="false" customHeight="false" outlineLevel="0" collapsed="false">
      <c r="A43" s="45"/>
      <c r="B43" s="45"/>
      <c r="C43" s="161" t="s">
        <v>941</v>
      </c>
      <c r="D43" s="290" t="str">
        <f aca="false">IF(F43="","",IF(H43="","",ROUND(F43-0.001*298.15*(H43-SUMPRODUCT(L43:AK43*AR$13:BQ$13)),3)))</f>
        <v/>
      </c>
      <c r="E43" s="137" t="str">
        <f aca="false">IF(G43="","",IF(I43="","",ROUND(2*SQRT((0.5*G43)^2+(0.001*298.15)^2*((0.5*I43)^2+SUMPRODUCT(AR43:BQ43*AR$15:BQ$15))),3)))</f>
        <v/>
      </c>
      <c r="F43" s="291"/>
      <c r="G43" s="292"/>
      <c r="H43" s="291"/>
      <c r="I43" s="292"/>
      <c r="J43" s="10"/>
      <c r="K43" s="342" t="s">
        <v>941</v>
      </c>
      <c r="L43" s="434"/>
      <c r="M43" s="435"/>
      <c r="N43" s="435"/>
      <c r="O43" s="435"/>
      <c r="P43" s="436"/>
      <c r="Q43" s="436"/>
      <c r="R43" s="436"/>
      <c r="S43" s="436"/>
      <c r="T43" s="436"/>
      <c r="U43" s="436" t="n">
        <v>1</v>
      </c>
      <c r="V43" s="436"/>
      <c r="W43" s="436"/>
      <c r="X43" s="436"/>
      <c r="Y43" s="436"/>
      <c r="Z43" s="436"/>
      <c r="AA43" s="436"/>
      <c r="AB43" s="436"/>
      <c r="AC43" s="436"/>
      <c r="AD43" s="436"/>
      <c r="AE43" s="436"/>
      <c r="AF43" s="436"/>
      <c r="AG43" s="436"/>
      <c r="AH43" s="436"/>
      <c r="AI43" s="437"/>
      <c r="AJ43" s="436"/>
      <c r="AK43" s="438" t="n">
        <v>2</v>
      </c>
      <c r="AM43" s="38" t="s">
        <v>107</v>
      </c>
      <c r="AN43" s="443" t="s">
        <v>2050</v>
      </c>
      <c r="AO43" s="443" t="s">
        <v>2055</v>
      </c>
      <c r="AP43" s="631"/>
      <c r="AQ43" s="342" t="s">
        <v>941</v>
      </c>
      <c r="AR43" s="439" t="n">
        <f aca="false">L43^2</f>
        <v>0</v>
      </c>
      <c r="AS43" s="440" t="n">
        <f aca="false">M43^2</f>
        <v>0</v>
      </c>
      <c r="AT43" s="440" t="n">
        <f aca="false">N43^2</f>
        <v>0</v>
      </c>
      <c r="AU43" s="440" t="n">
        <f aca="false">O43^2</f>
        <v>0</v>
      </c>
      <c r="AV43" s="440" t="n">
        <f aca="false">P43^2</f>
        <v>0</v>
      </c>
      <c r="AW43" s="440" t="n">
        <f aca="false">Q43^2</f>
        <v>0</v>
      </c>
      <c r="AX43" s="440" t="n">
        <f aca="false">R43^2</f>
        <v>0</v>
      </c>
      <c r="AY43" s="440" t="n">
        <f aca="false">S43^2</f>
        <v>0</v>
      </c>
      <c r="AZ43" s="440" t="n">
        <f aca="false">T43^2</f>
        <v>0</v>
      </c>
      <c r="BA43" s="440" t="n">
        <f aca="false">U43^2</f>
        <v>1</v>
      </c>
      <c r="BB43" s="440" t="n">
        <f aca="false">V43^2</f>
        <v>0</v>
      </c>
      <c r="BC43" s="440" t="n">
        <f aca="false">W43^2</f>
        <v>0</v>
      </c>
      <c r="BD43" s="440" t="n">
        <f aca="false">X43^2</f>
        <v>0</v>
      </c>
      <c r="BE43" s="440" t="n">
        <f aca="false">Y43^2</f>
        <v>0</v>
      </c>
      <c r="BF43" s="440" t="n">
        <f aca="false">Z43^2</f>
        <v>0</v>
      </c>
      <c r="BG43" s="440" t="n">
        <f aca="false">AA43^2</f>
        <v>0</v>
      </c>
      <c r="BH43" s="440" t="n">
        <f aca="false">AB43^2</f>
        <v>0</v>
      </c>
      <c r="BI43" s="440" t="n">
        <f aca="false">AC43^2</f>
        <v>0</v>
      </c>
      <c r="BJ43" s="440" t="n">
        <f aca="false">AD43^2</f>
        <v>0</v>
      </c>
      <c r="BK43" s="440" t="n">
        <f aca="false">AE43^2</f>
        <v>0</v>
      </c>
      <c r="BL43" s="440" t="n">
        <f aca="false">AF43^2</f>
        <v>0</v>
      </c>
      <c r="BM43" s="440" t="n">
        <f aca="false">AG43^2</f>
        <v>0</v>
      </c>
      <c r="BN43" s="440" t="n">
        <f aca="false">AH43^2</f>
        <v>0</v>
      </c>
      <c r="BO43" s="440" t="n">
        <f aca="false">AI43^2</f>
        <v>0</v>
      </c>
      <c r="BP43" s="440" t="n">
        <f aca="false">AJ43^2</f>
        <v>0</v>
      </c>
      <c r="BQ43" s="441" t="n">
        <f aca="false">-SIGN(AK43)*AK43^2</f>
        <v>-4</v>
      </c>
    </row>
    <row r="44" customFormat="false" ht="12.75" hidden="false" customHeight="false" outlineLevel="0" collapsed="false">
      <c r="A44" s="45"/>
      <c r="B44" s="45"/>
      <c r="C44" s="161" t="s">
        <v>948</v>
      </c>
      <c r="D44" s="290" t="str">
        <f aca="false">IF(F44="","",IF(H44="","",ROUND(F44-0.001*298.15*(H44-SUMPRODUCT(L44:AK44*AR$13:BQ$13)),3)))</f>
        <v/>
      </c>
      <c r="E44" s="137" t="str">
        <f aca="false">IF(G44="","",IF(I44="","",ROUND(2*SQRT((0.5*G44)^2+(0.001*298.15)^2*((0.5*I44)^2+SUMPRODUCT(AR44:BQ44*AR$15:BQ$15))),3)))</f>
        <v/>
      </c>
      <c r="F44" s="291"/>
      <c r="G44" s="292"/>
      <c r="H44" s="291"/>
      <c r="I44" s="292"/>
      <c r="J44" s="10"/>
      <c r="K44" s="342" t="s">
        <v>948</v>
      </c>
      <c r="L44" s="434"/>
      <c r="M44" s="435"/>
      <c r="N44" s="435"/>
      <c r="O44" s="435"/>
      <c r="P44" s="436"/>
      <c r="Q44" s="436"/>
      <c r="R44" s="436"/>
      <c r="S44" s="436"/>
      <c r="T44" s="436"/>
      <c r="U44" s="436" t="n">
        <v>1</v>
      </c>
      <c r="V44" s="436"/>
      <c r="W44" s="436"/>
      <c r="X44" s="436"/>
      <c r="Y44" s="436"/>
      <c r="Z44" s="436"/>
      <c r="AA44" s="436"/>
      <c r="AB44" s="436"/>
      <c r="AC44" s="436"/>
      <c r="AD44" s="436"/>
      <c r="AE44" s="436"/>
      <c r="AF44" s="436"/>
      <c r="AG44" s="436"/>
      <c r="AH44" s="436"/>
      <c r="AI44" s="437"/>
      <c r="AJ44" s="436"/>
      <c r="AK44" s="438" t="n">
        <v>3</v>
      </c>
      <c r="AM44" s="31" t="s">
        <v>110</v>
      </c>
      <c r="AN44" s="444"/>
      <c r="AO44" s="443"/>
      <c r="AQ44" s="342" t="s">
        <v>948</v>
      </c>
      <c r="AR44" s="439" t="n">
        <f aca="false">L44^2</f>
        <v>0</v>
      </c>
      <c r="AS44" s="440" t="n">
        <f aca="false">M44^2</f>
        <v>0</v>
      </c>
      <c r="AT44" s="440" t="n">
        <f aca="false">N44^2</f>
        <v>0</v>
      </c>
      <c r="AU44" s="440" t="n">
        <f aca="false">O44^2</f>
        <v>0</v>
      </c>
      <c r="AV44" s="440" t="n">
        <f aca="false">P44^2</f>
        <v>0</v>
      </c>
      <c r="AW44" s="440" t="n">
        <f aca="false">Q44^2</f>
        <v>0</v>
      </c>
      <c r="AX44" s="440" t="n">
        <f aca="false">R44^2</f>
        <v>0</v>
      </c>
      <c r="AY44" s="440" t="n">
        <f aca="false">S44^2</f>
        <v>0</v>
      </c>
      <c r="AZ44" s="440" t="n">
        <f aca="false">T44^2</f>
        <v>0</v>
      </c>
      <c r="BA44" s="440" t="n">
        <f aca="false">U44^2</f>
        <v>1</v>
      </c>
      <c r="BB44" s="440" t="n">
        <f aca="false">V44^2</f>
        <v>0</v>
      </c>
      <c r="BC44" s="440" t="n">
        <f aca="false">W44^2</f>
        <v>0</v>
      </c>
      <c r="BD44" s="440" t="n">
        <f aca="false">X44^2</f>
        <v>0</v>
      </c>
      <c r="BE44" s="440" t="n">
        <f aca="false">Y44^2</f>
        <v>0</v>
      </c>
      <c r="BF44" s="440" t="n">
        <f aca="false">Z44^2</f>
        <v>0</v>
      </c>
      <c r="BG44" s="440" t="n">
        <f aca="false">AA44^2</f>
        <v>0</v>
      </c>
      <c r="BH44" s="440" t="n">
        <f aca="false">AB44^2</f>
        <v>0</v>
      </c>
      <c r="BI44" s="440" t="n">
        <f aca="false">AC44^2</f>
        <v>0</v>
      </c>
      <c r="BJ44" s="440" t="n">
        <f aca="false">AD44^2</f>
        <v>0</v>
      </c>
      <c r="BK44" s="440" t="n">
        <f aca="false">AE44^2</f>
        <v>0</v>
      </c>
      <c r="BL44" s="440" t="n">
        <f aca="false">AF44^2</f>
        <v>0</v>
      </c>
      <c r="BM44" s="440" t="n">
        <f aca="false">AG44^2</f>
        <v>0</v>
      </c>
      <c r="BN44" s="440" t="n">
        <f aca="false">AH44^2</f>
        <v>0</v>
      </c>
      <c r="BO44" s="440" t="n">
        <f aca="false">AI44^2</f>
        <v>0</v>
      </c>
      <c r="BP44" s="440" t="n">
        <f aca="false">AJ44^2</f>
        <v>0</v>
      </c>
      <c r="BQ44" s="441" t="n">
        <f aca="false">-SIGN(AK44)*AK44^2</f>
        <v>-9</v>
      </c>
    </row>
    <row r="45" customFormat="false" ht="12.75" hidden="false" customHeight="false" outlineLevel="0" collapsed="false">
      <c r="A45" s="45"/>
      <c r="B45" s="45"/>
      <c r="C45" s="161" t="s">
        <v>954</v>
      </c>
      <c r="D45" s="290" t="str">
        <f aca="false">IF(F45="","",IF(H45="","",ROUND(F45-0.001*298.15*(H45-SUMPRODUCT(L45:AK45*AR$13:BQ$13)),3)))</f>
        <v/>
      </c>
      <c r="E45" s="137" t="str">
        <f aca="false">IF(G45="","",IF(I45="","",ROUND(2*SQRT((0.5*G45)^2+(0.001*298.15)^2*((0.5*I45)^2+SUMPRODUCT(AR45:BQ45*AR$15:BQ$15))),3)))</f>
        <v/>
      </c>
      <c r="F45" s="291"/>
      <c r="G45" s="292"/>
      <c r="H45" s="291"/>
      <c r="I45" s="292"/>
      <c r="K45" s="342" t="s">
        <v>954</v>
      </c>
      <c r="L45" s="434"/>
      <c r="M45" s="435"/>
      <c r="N45" s="435"/>
      <c r="O45" s="435"/>
      <c r="P45" s="436"/>
      <c r="Q45" s="436"/>
      <c r="R45" s="436"/>
      <c r="S45" s="436"/>
      <c r="T45" s="436"/>
      <c r="U45" s="436"/>
      <c r="V45" s="436"/>
      <c r="W45" s="436"/>
      <c r="X45" s="436"/>
      <c r="Y45" s="436"/>
      <c r="Z45" s="436" t="n">
        <v>1</v>
      </c>
      <c r="AA45" s="436"/>
      <c r="AB45" s="436"/>
      <c r="AC45" s="436"/>
      <c r="AD45" s="436"/>
      <c r="AE45" s="436"/>
      <c r="AF45" s="436"/>
      <c r="AG45" s="436"/>
      <c r="AH45" s="436"/>
      <c r="AI45" s="437"/>
      <c r="AJ45" s="436"/>
      <c r="AK45" s="438" t="n">
        <v>2</v>
      </c>
      <c r="AM45" s="38" t="s">
        <v>119</v>
      </c>
      <c r="AN45" s="444"/>
      <c r="AO45" s="443"/>
      <c r="AQ45" s="342" t="s">
        <v>954</v>
      </c>
      <c r="AR45" s="439" t="n">
        <f aca="false">L45^2</f>
        <v>0</v>
      </c>
      <c r="AS45" s="440" t="n">
        <f aca="false">M45^2</f>
        <v>0</v>
      </c>
      <c r="AT45" s="440" t="n">
        <f aca="false">N45^2</f>
        <v>0</v>
      </c>
      <c r="AU45" s="440" t="n">
        <f aca="false">O45^2</f>
        <v>0</v>
      </c>
      <c r="AV45" s="440" t="n">
        <f aca="false">P45^2</f>
        <v>0</v>
      </c>
      <c r="AW45" s="440" t="n">
        <f aca="false">Q45^2</f>
        <v>0</v>
      </c>
      <c r="AX45" s="440" t="n">
        <f aca="false">R45^2</f>
        <v>0</v>
      </c>
      <c r="AY45" s="440" t="n">
        <f aca="false">S45^2</f>
        <v>0</v>
      </c>
      <c r="AZ45" s="440" t="n">
        <f aca="false">T45^2</f>
        <v>0</v>
      </c>
      <c r="BA45" s="440" t="n">
        <f aca="false">U45^2</f>
        <v>0</v>
      </c>
      <c r="BB45" s="440" t="n">
        <f aca="false">V45^2</f>
        <v>0</v>
      </c>
      <c r="BC45" s="440" t="n">
        <f aca="false">W45^2</f>
        <v>0</v>
      </c>
      <c r="BD45" s="440" t="n">
        <f aca="false">X45^2</f>
        <v>0</v>
      </c>
      <c r="BE45" s="440" t="n">
        <f aca="false">Y45^2</f>
        <v>0</v>
      </c>
      <c r="BF45" s="440" t="n">
        <f aca="false">Z45^2</f>
        <v>1</v>
      </c>
      <c r="BG45" s="440" t="n">
        <f aca="false">AA45^2</f>
        <v>0</v>
      </c>
      <c r="BH45" s="440" t="n">
        <f aca="false">AB45^2</f>
        <v>0</v>
      </c>
      <c r="BI45" s="440" t="n">
        <f aca="false">AC45^2</f>
        <v>0</v>
      </c>
      <c r="BJ45" s="440" t="n">
        <f aca="false">AD45^2</f>
        <v>0</v>
      </c>
      <c r="BK45" s="440" t="n">
        <f aca="false">AE45^2</f>
        <v>0</v>
      </c>
      <c r="BL45" s="440" t="n">
        <f aca="false">AF45^2</f>
        <v>0</v>
      </c>
      <c r="BM45" s="440" t="n">
        <f aca="false">AG45^2</f>
        <v>0</v>
      </c>
      <c r="BN45" s="440" t="n">
        <f aca="false">AH45^2</f>
        <v>0</v>
      </c>
      <c r="BO45" s="440" t="n">
        <f aca="false">AI45^2</f>
        <v>0</v>
      </c>
      <c r="BP45" s="440" t="n">
        <f aca="false">AJ45^2</f>
        <v>0</v>
      </c>
      <c r="BQ45" s="441" t="n">
        <f aca="false">-SIGN(AK45)*AK45^2</f>
        <v>-4</v>
      </c>
    </row>
    <row r="46" customFormat="false" ht="12.75" hidden="false" customHeight="false" outlineLevel="0" collapsed="false">
      <c r="A46" s="45"/>
      <c r="B46" s="44"/>
      <c r="C46" s="161" t="s">
        <v>963</v>
      </c>
      <c r="D46" s="290" t="str">
        <f aca="false">IF(F46="","",IF(H46="","",ROUND(F46-0.001*298.15*(H46-SUMPRODUCT(L46:AK46*AR$13:BQ$13)),3)))</f>
        <v/>
      </c>
      <c r="E46" s="137" t="str">
        <f aca="false">IF(G46="","",IF(I46="","",ROUND(2*SQRT((0.5*G46)^2+(0.001*298.15)^2*((0.5*I46)^2+SUMPRODUCT(AR46:BQ46*AR$15:BQ$15))),3)))</f>
        <v/>
      </c>
      <c r="F46" s="291"/>
      <c r="G46" s="292"/>
      <c r="H46" s="291"/>
      <c r="I46" s="292"/>
      <c r="K46" s="342" t="s">
        <v>963</v>
      </c>
      <c r="L46" s="434"/>
      <c r="M46" s="435"/>
      <c r="N46" s="435"/>
      <c r="O46" s="435"/>
      <c r="P46" s="436"/>
      <c r="Q46" s="436" t="n">
        <v>1</v>
      </c>
      <c r="R46" s="436"/>
      <c r="S46" s="436"/>
      <c r="T46" s="436"/>
      <c r="U46" s="436"/>
      <c r="V46" s="436"/>
      <c r="W46" s="436"/>
      <c r="X46" s="436"/>
      <c r="Y46" s="436"/>
      <c r="Z46" s="436"/>
      <c r="AA46" s="436"/>
      <c r="AB46" s="436"/>
      <c r="AC46" s="436"/>
      <c r="AD46" s="436"/>
      <c r="AE46" s="436"/>
      <c r="AF46" s="436"/>
      <c r="AG46" s="436"/>
      <c r="AH46" s="436"/>
      <c r="AI46" s="437"/>
      <c r="AJ46" s="436"/>
      <c r="AK46" s="438" t="n">
        <v>2</v>
      </c>
      <c r="AM46" s="38" t="s">
        <v>120</v>
      </c>
      <c r="AN46" s="444" t="n">
        <v>76.78</v>
      </c>
      <c r="AO46" s="443" t="n">
        <v>0.3</v>
      </c>
      <c r="AQ46" s="342" t="s">
        <v>963</v>
      </c>
      <c r="AR46" s="439" t="n">
        <f aca="false">L46^2</f>
        <v>0</v>
      </c>
      <c r="AS46" s="440" t="n">
        <f aca="false">M46^2</f>
        <v>0</v>
      </c>
      <c r="AT46" s="440" t="n">
        <f aca="false">N46^2</f>
        <v>0</v>
      </c>
      <c r="AU46" s="440" t="n">
        <f aca="false">O46^2</f>
        <v>0</v>
      </c>
      <c r="AV46" s="440" t="n">
        <f aca="false">P46^2</f>
        <v>0</v>
      </c>
      <c r="AW46" s="440" t="n">
        <f aca="false">Q46^2</f>
        <v>1</v>
      </c>
      <c r="AX46" s="440" t="n">
        <f aca="false">R46^2</f>
        <v>0</v>
      </c>
      <c r="AY46" s="440" t="n">
        <f aca="false">S46^2</f>
        <v>0</v>
      </c>
      <c r="AZ46" s="440" t="n">
        <f aca="false">T46^2</f>
        <v>0</v>
      </c>
      <c r="BA46" s="440" t="n">
        <f aca="false">U46^2</f>
        <v>0</v>
      </c>
      <c r="BB46" s="440" t="n">
        <f aca="false">V46^2</f>
        <v>0</v>
      </c>
      <c r="BC46" s="440" t="n">
        <f aca="false">W46^2</f>
        <v>0</v>
      </c>
      <c r="BD46" s="440" t="n">
        <f aca="false">X46^2</f>
        <v>0</v>
      </c>
      <c r="BE46" s="440" t="n">
        <f aca="false">Y46^2</f>
        <v>0</v>
      </c>
      <c r="BF46" s="440" t="n">
        <f aca="false">Z46^2</f>
        <v>0</v>
      </c>
      <c r="BG46" s="440" t="n">
        <f aca="false">AA46^2</f>
        <v>0</v>
      </c>
      <c r="BH46" s="440" t="n">
        <f aca="false">AB46^2</f>
        <v>0</v>
      </c>
      <c r="BI46" s="440" t="n">
        <f aca="false">AC46^2</f>
        <v>0</v>
      </c>
      <c r="BJ46" s="440" t="n">
        <f aca="false">AD46^2</f>
        <v>0</v>
      </c>
      <c r="BK46" s="440" t="n">
        <f aca="false">AE46^2</f>
        <v>0</v>
      </c>
      <c r="BL46" s="440" t="n">
        <f aca="false">AF46^2</f>
        <v>0</v>
      </c>
      <c r="BM46" s="440" t="n">
        <f aca="false">AG46^2</f>
        <v>0</v>
      </c>
      <c r="BN46" s="440" t="n">
        <f aca="false">AH46^2</f>
        <v>0</v>
      </c>
      <c r="BO46" s="440" t="n">
        <f aca="false">AI46^2</f>
        <v>0</v>
      </c>
      <c r="BP46" s="440" t="n">
        <f aca="false">AJ46^2</f>
        <v>0</v>
      </c>
      <c r="BQ46" s="441" t="n">
        <f aca="false">-SIGN(AK46)*AK46^2</f>
        <v>-4</v>
      </c>
    </row>
    <row r="47" customFormat="false" ht="12.75" hidden="false" customHeight="false" outlineLevel="0" collapsed="false">
      <c r="A47" s="45"/>
      <c r="B47" s="44"/>
      <c r="C47" s="161" t="s">
        <v>970</v>
      </c>
      <c r="D47" s="290" t="str">
        <f aca="false">IF(F47="","",IF(H47="","",ROUND(F47-0.001*298.15*(H47-SUMPRODUCT(L47:AK47*AR$13:BQ$13)),3)))</f>
        <v/>
      </c>
      <c r="E47" s="137" t="str">
        <f aca="false">IF(G47="","",IF(I47="","",ROUND(2*SQRT((0.5*G47)^2+(0.001*298.15)^2*((0.5*I47)^2+SUMPRODUCT(AR47:BQ47*AR$15:BQ$15))),3)))</f>
        <v/>
      </c>
      <c r="F47" s="291"/>
      <c r="G47" s="292"/>
      <c r="H47" s="291"/>
      <c r="I47" s="292"/>
      <c r="J47" s="10"/>
      <c r="K47" s="342" t="s">
        <v>970</v>
      </c>
      <c r="L47" s="434"/>
      <c r="M47" s="435"/>
      <c r="N47" s="435"/>
      <c r="O47" s="435"/>
      <c r="P47" s="436"/>
      <c r="Q47" s="436"/>
      <c r="R47" s="436"/>
      <c r="S47" s="436"/>
      <c r="T47" s="436"/>
      <c r="U47" s="436"/>
      <c r="V47" s="436"/>
      <c r="W47" s="436"/>
      <c r="X47" s="436"/>
      <c r="Y47" s="436"/>
      <c r="Z47" s="436"/>
      <c r="AA47" s="436"/>
      <c r="AB47" s="436"/>
      <c r="AC47" s="436"/>
      <c r="AD47" s="436"/>
      <c r="AE47" s="436"/>
      <c r="AF47" s="436"/>
      <c r="AG47" s="436"/>
      <c r="AH47" s="436"/>
      <c r="AI47" s="437"/>
      <c r="AJ47" s="436" t="n">
        <v>1</v>
      </c>
      <c r="AK47" s="438" t="n">
        <v>2</v>
      </c>
      <c r="AM47" s="38" t="s">
        <v>125</v>
      </c>
      <c r="AN47" s="444"/>
      <c r="AO47" s="443"/>
      <c r="AQ47" s="342" t="s">
        <v>970</v>
      </c>
      <c r="AR47" s="439" t="n">
        <f aca="false">L47^2</f>
        <v>0</v>
      </c>
      <c r="AS47" s="440" t="n">
        <f aca="false">M47^2</f>
        <v>0</v>
      </c>
      <c r="AT47" s="440" t="n">
        <f aca="false">N47^2</f>
        <v>0</v>
      </c>
      <c r="AU47" s="440" t="n">
        <f aca="false">O47^2</f>
        <v>0</v>
      </c>
      <c r="AV47" s="440" t="n">
        <f aca="false">P47^2</f>
        <v>0</v>
      </c>
      <c r="AW47" s="440" t="n">
        <f aca="false">Q47^2</f>
        <v>0</v>
      </c>
      <c r="AX47" s="440" t="n">
        <f aca="false">R47^2</f>
        <v>0</v>
      </c>
      <c r="AY47" s="440" t="n">
        <f aca="false">S47^2</f>
        <v>0</v>
      </c>
      <c r="AZ47" s="440" t="n">
        <f aca="false">T47^2</f>
        <v>0</v>
      </c>
      <c r="BA47" s="440" t="n">
        <f aca="false">U47^2</f>
        <v>0</v>
      </c>
      <c r="BB47" s="440" t="n">
        <f aca="false">V47^2</f>
        <v>0</v>
      </c>
      <c r="BC47" s="440" t="n">
        <f aca="false">W47^2</f>
        <v>0</v>
      </c>
      <c r="BD47" s="440" t="n">
        <f aca="false">X47^2</f>
        <v>0</v>
      </c>
      <c r="BE47" s="440" t="n">
        <f aca="false">Y47^2</f>
        <v>0</v>
      </c>
      <c r="BF47" s="440" t="n">
        <f aca="false">Z47^2</f>
        <v>0</v>
      </c>
      <c r="BG47" s="440" t="n">
        <f aca="false">AA47^2</f>
        <v>0</v>
      </c>
      <c r="BH47" s="440" t="n">
        <f aca="false">AB47^2</f>
        <v>0</v>
      </c>
      <c r="BI47" s="440" t="n">
        <f aca="false">AC47^2</f>
        <v>0</v>
      </c>
      <c r="BJ47" s="440" t="n">
        <f aca="false">AD47^2</f>
        <v>0</v>
      </c>
      <c r="BK47" s="440" t="n">
        <f aca="false">AE47^2</f>
        <v>0</v>
      </c>
      <c r="BL47" s="440" t="n">
        <f aca="false">AF47^2</f>
        <v>0</v>
      </c>
      <c r="BM47" s="440" t="n">
        <f aca="false">AG47^2</f>
        <v>0</v>
      </c>
      <c r="BN47" s="440" t="n">
        <f aca="false">AH47^2</f>
        <v>0</v>
      </c>
      <c r="BO47" s="440" t="n">
        <f aca="false">AI47^2</f>
        <v>0</v>
      </c>
      <c r="BP47" s="440" t="n">
        <f aca="false">AJ47^2</f>
        <v>1</v>
      </c>
      <c r="BQ47" s="441" t="n">
        <f aca="false">-SIGN(AK47)*AK47^2</f>
        <v>-4</v>
      </c>
    </row>
    <row r="48" customFormat="false" ht="12.75" hidden="false" customHeight="false" outlineLevel="0" collapsed="false">
      <c r="A48" s="45"/>
      <c r="B48" s="45"/>
      <c r="C48" s="161" t="s">
        <v>975</v>
      </c>
      <c r="D48" s="290" t="str">
        <f aca="false">IF(F48="","",IF(H48="","",ROUND(F48-0.001*298.15*(H48-SUMPRODUCT(L48:AK48*AR$13:BQ$13)),3)))</f>
        <v/>
      </c>
      <c r="E48" s="137" t="str">
        <f aca="false">IF(G48="","",IF(I48="","",ROUND(2*SQRT((0.5*G48)^2+(0.001*298.15)^2*((0.5*I48)^2+SUMPRODUCT(AR48:BQ48*AR$15:BQ$15))),3)))</f>
        <v/>
      </c>
      <c r="F48" s="291"/>
      <c r="G48" s="292"/>
      <c r="H48" s="291"/>
      <c r="I48" s="292"/>
      <c r="J48" s="10"/>
      <c r="K48" s="342" t="s">
        <v>975</v>
      </c>
      <c r="L48" s="434"/>
      <c r="M48" s="435" t="n">
        <v>1</v>
      </c>
      <c r="N48" s="435"/>
      <c r="O48" s="435"/>
      <c r="P48" s="436"/>
      <c r="Q48" s="436"/>
      <c r="R48" s="436"/>
      <c r="S48" s="436"/>
      <c r="T48" s="436"/>
      <c r="U48" s="436"/>
      <c r="V48" s="436"/>
      <c r="W48" s="436"/>
      <c r="X48" s="436"/>
      <c r="Y48" s="436"/>
      <c r="Z48" s="436"/>
      <c r="AA48" s="436"/>
      <c r="AB48" s="436"/>
      <c r="AC48" s="436"/>
      <c r="AD48" s="436"/>
      <c r="AE48" s="436"/>
      <c r="AF48" s="436"/>
      <c r="AG48" s="436"/>
      <c r="AH48" s="436"/>
      <c r="AI48" s="437"/>
      <c r="AJ48" s="436"/>
      <c r="AK48" s="438" t="n">
        <v>2</v>
      </c>
      <c r="AM48" s="31" t="s">
        <v>129</v>
      </c>
      <c r="AN48" s="444" t="n">
        <v>18.81</v>
      </c>
      <c r="AO48" s="443" t="n">
        <v>0.08</v>
      </c>
      <c r="AQ48" s="342" t="s">
        <v>975</v>
      </c>
      <c r="AR48" s="439" t="n">
        <f aca="false">L48^2</f>
        <v>0</v>
      </c>
      <c r="AS48" s="440" t="n">
        <f aca="false">M48^2</f>
        <v>1</v>
      </c>
      <c r="AT48" s="440" t="n">
        <f aca="false">N48^2</f>
        <v>0</v>
      </c>
      <c r="AU48" s="440" t="n">
        <f aca="false">O48^2</f>
        <v>0</v>
      </c>
      <c r="AV48" s="440" t="n">
        <f aca="false">P48^2</f>
        <v>0</v>
      </c>
      <c r="AW48" s="440" t="n">
        <f aca="false">Q48^2</f>
        <v>0</v>
      </c>
      <c r="AX48" s="440" t="n">
        <f aca="false">R48^2</f>
        <v>0</v>
      </c>
      <c r="AY48" s="440" t="n">
        <f aca="false">S48^2</f>
        <v>0</v>
      </c>
      <c r="AZ48" s="440" t="n">
        <f aca="false">T48^2</f>
        <v>0</v>
      </c>
      <c r="BA48" s="440" t="n">
        <f aca="false">U48^2</f>
        <v>0</v>
      </c>
      <c r="BB48" s="440" t="n">
        <f aca="false">V48^2</f>
        <v>0</v>
      </c>
      <c r="BC48" s="440" t="n">
        <f aca="false">W48^2</f>
        <v>0</v>
      </c>
      <c r="BD48" s="440" t="n">
        <f aca="false">X48^2</f>
        <v>0</v>
      </c>
      <c r="BE48" s="440" t="n">
        <f aca="false">Y48^2</f>
        <v>0</v>
      </c>
      <c r="BF48" s="440" t="n">
        <f aca="false">Z48^2</f>
        <v>0</v>
      </c>
      <c r="BG48" s="440" t="n">
        <f aca="false">AA48^2</f>
        <v>0</v>
      </c>
      <c r="BH48" s="440" t="n">
        <f aca="false">AB48^2</f>
        <v>0</v>
      </c>
      <c r="BI48" s="440" t="n">
        <f aca="false">AC48^2</f>
        <v>0</v>
      </c>
      <c r="BJ48" s="440" t="n">
        <f aca="false">AD48^2</f>
        <v>0</v>
      </c>
      <c r="BK48" s="440" t="n">
        <f aca="false">AE48^2</f>
        <v>0</v>
      </c>
      <c r="BL48" s="440" t="n">
        <f aca="false">AF48^2</f>
        <v>0</v>
      </c>
      <c r="BM48" s="440" t="n">
        <f aca="false">AG48^2</f>
        <v>0</v>
      </c>
      <c r="BN48" s="440" t="n">
        <f aca="false">AH48^2</f>
        <v>0</v>
      </c>
      <c r="BO48" s="440" t="n">
        <f aca="false">AI48^2</f>
        <v>0</v>
      </c>
      <c r="BP48" s="440" t="n">
        <f aca="false">AJ48^2</f>
        <v>0</v>
      </c>
      <c r="BQ48" s="441" t="n">
        <f aca="false">-SIGN(AK48)*AK48^2</f>
        <v>-4</v>
      </c>
    </row>
    <row r="49" customFormat="false" ht="12.75" hidden="false" customHeight="false" outlineLevel="0" collapsed="false">
      <c r="A49" s="45"/>
      <c r="B49" s="45"/>
      <c r="C49" s="161" t="s">
        <v>981</v>
      </c>
      <c r="D49" s="290" t="str">
        <f aca="false">IF(F49="","",IF(H49="","",ROUND(F49-0.001*298.15*(H49-SUMPRODUCT(L49:AK49*AR$13:BQ$13)),3)))</f>
        <v/>
      </c>
      <c r="E49" s="137" t="str">
        <f aca="false">IF(G49="","",IF(I49="","",ROUND(2*SQRT((0.5*G49)^2+(0.001*298.15)^2*((0.5*I49)^2+SUMPRODUCT(AR49:BQ49*AR$15:BQ$15))),3)))</f>
        <v/>
      </c>
      <c r="F49" s="295"/>
      <c r="G49" s="297"/>
      <c r="H49" s="295"/>
      <c r="I49" s="297"/>
      <c r="J49" s="10"/>
      <c r="K49" s="342" t="s">
        <v>981</v>
      </c>
      <c r="L49" s="445"/>
      <c r="M49" s="446"/>
      <c r="N49" s="446"/>
      <c r="O49" s="446"/>
      <c r="P49" s="436"/>
      <c r="Q49" s="436"/>
      <c r="R49" s="436"/>
      <c r="S49" s="436"/>
      <c r="T49" s="436"/>
      <c r="U49" s="436"/>
      <c r="V49" s="436"/>
      <c r="W49" s="436"/>
      <c r="X49" s="436"/>
      <c r="Y49" s="436"/>
      <c r="Z49" s="436"/>
      <c r="AA49" s="436"/>
      <c r="AB49" s="436"/>
      <c r="AC49" s="436"/>
      <c r="AD49" s="436"/>
      <c r="AE49" s="436"/>
      <c r="AF49" s="436" t="n">
        <v>1</v>
      </c>
      <c r="AG49" s="436"/>
      <c r="AH49" s="436"/>
      <c r="AI49" s="437"/>
      <c r="AJ49" s="436"/>
      <c r="AK49" s="438" t="n">
        <v>2</v>
      </c>
      <c r="AM49" s="38" t="s">
        <v>132</v>
      </c>
      <c r="AN49" s="444"/>
      <c r="AO49" s="443"/>
      <c r="AQ49" s="342" t="s">
        <v>981</v>
      </c>
      <c r="AR49" s="439" t="n">
        <f aca="false">L49^2</f>
        <v>0</v>
      </c>
      <c r="AS49" s="440" t="n">
        <f aca="false">M49^2</f>
        <v>0</v>
      </c>
      <c r="AT49" s="440" t="n">
        <f aca="false">N49^2</f>
        <v>0</v>
      </c>
      <c r="AU49" s="440" t="n">
        <f aca="false">O49^2</f>
        <v>0</v>
      </c>
      <c r="AV49" s="440" t="n">
        <f aca="false">P49^2</f>
        <v>0</v>
      </c>
      <c r="AW49" s="440" t="n">
        <f aca="false">Q49^2</f>
        <v>0</v>
      </c>
      <c r="AX49" s="440" t="n">
        <f aca="false">R49^2</f>
        <v>0</v>
      </c>
      <c r="AY49" s="440" t="n">
        <f aca="false">S49^2</f>
        <v>0</v>
      </c>
      <c r="AZ49" s="440" t="n">
        <f aca="false">T49^2</f>
        <v>0</v>
      </c>
      <c r="BA49" s="440" t="n">
        <f aca="false">U49^2</f>
        <v>0</v>
      </c>
      <c r="BB49" s="440" t="n">
        <f aca="false">V49^2</f>
        <v>0</v>
      </c>
      <c r="BC49" s="440" t="n">
        <f aca="false">W49^2</f>
        <v>0</v>
      </c>
      <c r="BD49" s="440" t="n">
        <f aca="false">X49^2</f>
        <v>0</v>
      </c>
      <c r="BE49" s="440" t="n">
        <f aca="false">Y49^2</f>
        <v>0</v>
      </c>
      <c r="BF49" s="440" t="n">
        <f aca="false">Z49^2</f>
        <v>0</v>
      </c>
      <c r="BG49" s="440" t="n">
        <f aca="false">AA49^2</f>
        <v>0</v>
      </c>
      <c r="BH49" s="440" t="n">
        <f aca="false">AB49^2</f>
        <v>0</v>
      </c>
      <c r="BI49" s="440" t="n">
        <f aca="false">AC49^2</f>
        <v>0</v>
      </c>
      <c r="BJ49" s="440" t="n">
        <f aca="false">AD49^2</f>
        <v>0</v>
      </c>
      <c r="BK49" s="440" t="n">
        <f aca="false">AE49^2</f>
        <v>0</v>
      </c>
      <c r="BL49" s="440" t="n">
        <f aca="false">AF49^2</f>
        <v>1</v>
      </c>
      <c r="BM49" s="440" t="n">
        <f aca="false">AG49^2</f>
        <v>0</v>
      </c>
      <c r="BN49" s="440" t="n">
        <f aca="false">AH49^2</f>
        <v>0</v>
      </c>
      <c r="BO49" s="440" t="n">
        <f aca="false">AI49^2</f>
        <v>0</v>
      </c>
      <c r="BP49" s="440" t="n">
        <f aca="false">AJ49^2</f>
        <v>0</v>
      </c>
      <c r="BQ49" s="441" t="n">
        <f aca="false">-SIGN(AK49)*AK49^2</f>
        <v>-4</v>
      </c>
    </row>
    <row r="50" customFormat="false" ht="12.75" hidden="false" customHeight="false" outlineLevel="0" collapsed="false">
      <c r="A50" s="45"/>
      <c r="B50" s="44"/>
      <c r="C50" s="161" t="s">
        <v>982</v>
      </c>
      <c r="D50" s="290" t="n">
        <f aca="false">IF(F50="","",IF(H50="","",ROUND(F50-0.001*298.15*(H50-SUMPRODUCT(L50:AK50*AR$13:BQ$13)),3)))</f>
        <v>-292.607</v>
      </c>
      <c r="E50" s="137" t="n">
        <f aca="false">IF(G50="","",IF(I50="","",ROUND(2*SQRT((0.5*G50)^2+(0.001*298.15)^2*((0.5*I50)^2+SUMPRODUCT(AR50:BQ50*AR$15:BQ$15))),3)))</f>
        <v>0.15</v>
      </c>
      <c r="F50" s="291" t="s">
        <v>1630</v>
      </c>
      <c r="G50" s="292" t="s">
        <v>2064</v>
      </c>
      <c r="H50" s="291" t="s">
        <v>1631</v>
      </c>
      <c r="I50" s="292" t="s">
        <v>2065</v>
      </c>
      <c r="J50" s="10"/>
      <c r="K50" s="342" t="s">
        <v>982</v>
      </c>
      <c r="L50" s="434"/>
      <c r="M50" s="435"/>
      <c r="N50" s="435"/>
      <c r="O50" s="435"/>
      <c r="P50" s="436"/>
      <c r="Q50" s="436"/>
      <c r="R50" s="436"/>
      <c r="S50" s="436"/>
      <c r="T50" s="436"/>
      <c r="U50" s="436"/>
      <c r="V50" s="436"/>
      <c r="W50" s="436"/>
      <c r="X50" s="436"/>
      <c r="Y50" s="436" t="n">
        <v>1</v>
      </c>
      <c r="Z50" s="436"/>
      <c r="AA50" s="436"/>
      <c r="AB50" s="436"/>
      <c r="AC50" s="436"/>
      <c r="AD50" s="436"/>
      <c r="AE50" s="436"/>
      <c r="AF50" s="436"/>
      <c r="AG50" s="436"/>
      <c r="AH50" s="436"/>
      <c r="AI50" s="437"/>
      <c r="AJ50" s="436"/>
      <c r="AK50" s="438" t="n">
        <v>1</v>
      </c>
      <c r="AQ50" s="342" t="s">
        <v>982</v>
      </c>
      <c r="AR50" s="439" t="n">
        <f aca="false">L50^2</f>
        <v>0</v>
      </c>
      <c r="AS50" s="440" t="n">
        <f aca="false">M50^2</f>
        <v>0</v>
      </c>
      <c r="AT50" s="440" t="n">
        <f aca="false">N50^2</f>
        <v>0</v>
      </c>
      <c r="AU50" s="440" t="n">
        <f aca="false">O50^2</f>
        <v>0</v>
      </c>
      <c r="AV50" s="440" t="n">
        <f aca="false">P50^2</f>
        <v>0</v>
      </c>
      <c r="AW50" s="440" t="n">
        <f aca="false">Q50^2</f>
        <v>0</v>
      </c>
      <c r="AX50" s="440" t="n">
        <f aca="false">R50^2</f>
        <v>0</v>
      </c>
      <c r="AY50" s="440" t="n">
        <f aca="false">S50^2</f>
        <v>0</v>
      </c>
      <c r="AZ50" s="440" t="n">
        <f aca="false">T50^2</f>
        <v>0</v>
      </c>
      <c r="BA50" s="440" t="n">
        <f aca="false">U50^2</f>
        <v>0</v>
      </c>
      <c r="BB50" s="440" t="n">
        <f aca="false">V50^2</f>
        <v>0</v>
      </c>
      <c r="BC50" s="440" t="n">
        <f aca="false">W50^2</f>
        <v>0</v>
      </c>
      <c r="BD50" s="440" t="n">
        <f aca="false">X50^2</f>
        <v>0</v>
      </c>
      <c r="BE50" s="440" t="n">
        <f aca="false">Y50^2</f>
        <v>1</v>
      </c>
      <c r="BF50" s="440" t="n">
        <f aca="false">Z50^2</f>
        <v>0</v>
      </c>
      <c r="BG50" s="440" t="n">
        <f aca="false">AA50^2</f>
        <v>0</v>
      </c>
      <c r="BH50" s="440" t="n">
        <f aca="false">AB50^2</f>
        <v>0</v>
      </c>
      <c r="BI50" s="440" t="n">
        <f aca="false">AC50^2</f>
        <v>0</v>
      </c>
      <c r="BJ50" s="440" t="n">
        <f aca="false">AD50^2</f>
        <v>0</v>
      </c>
      <c r="BK50" s="440" t="n">
        <f aca="false">AE50^2</f>
        <v>0</v>
      </c>
      <c r="BL50" s="440" t="n">
        <f aca="false">AF50^2</f>
        <v>0</v>
      </c>
      <c r="BM50" s="440" t="n">
        <f aca="false">AG50^2</f>
        <v>0</v>
      </c>
      <c r="BN50" s="440" t="n">
        <f aca="false">AH50^2</f>
        <v>0</v>
      </c>
      <c r="BO50" s="440" t="n">
        <f aca="false">AI50^2</f>
        <v>0</v>
      </c>
      <c r="BP50" s="440" t="n">
        <f aca="false">AJ50^2</f>
        <v>0</v>
      </c>
      <c r="BQ50" s="441" t="n">
        <f aca="false">-SIGN(AK50)*AK50^2</f>
        <v>-1</v>
      </c>
    </row>
    <row r="51" customFormat="false" ht="12.75" hidden="false" customHeight="false" outlineLevel="0" collapsed="false">
      <c r="A51" s="45"/>
      <c r="B51" s="44"/>
      <c r="C51" s="161" t="s">
        <v>989</v>
      </c>
      <c r="D51" s="290" t="n">
        <f aca="false">IF(F51="","",IF(H51="","",ROUND(F51-0.001*298.15*(H51-SUMPRODUCT(L51:AK51*AR$13:BQ$13)),3)))</f>
        <v>-261.885</v>
      </c>
      <c r="E51" s="137" t="n">
        <f aca="false">IF(G51="","",IF(I51="","",ROUND(2*SQRT((0.5*G51)^2+(0.001*298.15)^2*((0.5*I51)^2+SUMPRODUCT(AR51:BQ51*AR$15:BQ$15))),3)))</f>
        <v>0.106</v>
      </c>
      <c r="F51" s="291" t="s">
        <v>1636</v>
      </c>
      <c r="G51" s="292" t="s">
        <v>2066</v>
      </c>
      <c r="H51" s="291" t="s">
        <v>1637</v>
      </c>
      <c r="I51" s="292" t="s">
        <v>728</v>
      </c>
      <c r="K51" s="342" t="s">
        <v>989</v>
      </c>
      <c r="L51" s="434"/>
      <c r="M51" s="435"/>
      <c r="N51" s="435"/>
      <c r="O51" s="435"/>
      <c r="P51" s="436"/>
      <c r="Q51" s="436"/>
      <c r="R51" s="436"/>
      <c r="S51" s="436"/>
      <c r="T51" s="436"/>
      <c r="U51" s="436"/>
      <c r="V51" s="436"/>
      <c r="W51" s="436"/>
      <c r="X51" s="436"/>
      <c r="Y51" s="436"/>
      <c r="Z51" s="436"/>
      <c r="AA51" s="436"/>
      <c r="AB51" s="436" t="n">
        <v>1</v>
      </c>
      <c r="AC51" s="436"/>
      <c r="AD51" s="436"/>
      <c r="AE51" s="436"/>
      <c r="AF51" s="436"/>
      <c r="AG51" s="436"/>
      <c r="AH51" s="436"/>
      <c r="AI51" s="437"/>
      <c r="AJ51" s="436"/>
      <c r="AK51" s="438" t="n">
        <v>1</v>
      </c>
      <c r="AQ51" s="342" t="s">
        <v>989</v>
      </c>
      <c r="AR51" s="439" t="n">
        <f aca="false">L51^2</f>
        <v>0</v>
      </c>
      <c r="AS51" s="440" t="n">
        <f aca="false">M51^2</f>
        <v>0</v>
      </c>
      <c r="AT51" s="440" t="n">
        <f aca="false">N51^2</f>
        <v>0</v>
      </c>
      <c r="AU51" s="440" t="n">
        <f aca="false">O51^2</f>
        <v>0</v>
      </c>
      <c r="AV51" s="440" t="n">
        <f aca="false">P51^2</f>
        <v>0</v>
      </c>
      <c r="AW51" s="440" t="n">
        <f aca="false">Q51^2</f>
        <v>0</v>
      </c>
      <c r="AX51" s="440" t="n">
        <f aca="false">R51^2</f>
        <v>0</v>
      </c>
      <c r="AY51" s="440" t="n">
        <f aca="false">S51^2</f>
        <v>0</v>
      </c>
      <c r="AZ51" s="440" t="n">
        <f aca="false">T51^2</f>
        <v>0</v>
      </c>
      <c r="BA51" s="440" t="n">
        <f aca="false">U51^2</f>
        <v>0</v>
      </c>
      <c r="BB51" s="440" t="n">
        <f aca="false">V51^2</f>
        <v>0</v>
      </c>
      <c r="BC51" s="440" t="n">
        <f aca="false">W51^2</f>
        <v>0</v>
      </c>
      <c r="BD51" s="440" t="n">
        <f aca="false">X51^2</f>
        <v>0</v>
      </c>
      <c r="BE51" s="440" t="n">
        <f aca="false">Y51^2</f>
        <v>0</v>
      </c>
      <c r="BF51" s="440" t="n">
        <f aca="false">Z51^2</f>
        <v>0</v>
      </c>
      <c r="BG51" s="440" t="n">
        <f aca="false">AA51^2</f>
        <v>0</v>
      </c>
      <c r="BH51" s="440" t="n">
        <f aca="false">AB51^2</f>
        <v>1</v>
      </c>
      <c r="BI51" s="440" t="n">
        <f aca="false">AC51^2</f>
        <v>0</v>
      </c>
      <c r="BJ51" s="440" t="n">
        <f aca="false">AD51^2</f>
        <v>0</v>
      </c>
      <c r="BK51" s="440" t="n">
        <f aca="false">AE51^2</f>
        <v>0</v>
      </c>
      <c r="BL51" s="440" t="n">
        <f aca="false">AF51^2</f>
        <v>0</v>
      </c>
      <c r="BM51" s="440" t="n">
        <f aca="false">AG51^2</f>
        <v>0</v>
      </c>
      <c r="BN51" s="440" t="n">
        <f aca="false">AH51^2</f>
        <v>0</v>
      </c>
      <c r="BO51" s="440" t="n">
        <f aca="false">AI51^2</f>
        <v>0</v>
      </c>
      <c r="BP51" s="440" t="n">
        <f aca="false">AJ51^2</f>
        <v>0</v>
      </c>
      <c r="BQ51" s="441" t="n">
        <f aca="false">-SIGN(AK51)*AK51^2</f>
        <v>-1</v>
      </c>
    </row>
    <row r="52" customFormat="false" ht="12.75" hidden="false" customHeight="false" outlineLevel="0" collapsed="false">
      <c r="A52" s="45"/>
      <c r="B52" s="44"/>
      <c r="C52" s="299" t="s">
        <v>998</v>
      </c>
      <c r="D52" s="290" t="n">
        <f aca="false">IF(F52="","",IF(H52="","",ROUND(F52-0.001*298.15*(H52-SUMPRODUCT(L52:AK52*AR$13:BQ$13)),3)))</f>
        <v>-282.475</v>
      </c>
      <c r="E52" s="137" t="n">
        <f aca="false">IF(G52="","",IF(I52="","",ROUND(2*SQRT((0.5*G52)^2+(0.001*298.15)^2*((0.5*I52)^2+SUMPRODUCT(AR52:BQ52*AR$15:BQ$15))),3)))</f>
        <v>0.138</v>
      </c>
      <c r="F52" s="300" t="s">
        <v>2048</v>
      </c>
      <c r="G52" s="301" t="s">
        <v>730</v>
      </c>
      <c r="H52" s="300" t="s">
        <v>1643</v>
      </c>
      <c r="I52" s="301" t="s">
        <v>761</v>
      </c>
      <c r="K52" s="353" t="s">
        <v>998</v>
      </c>
      <c r="L52" s="434"/>
      <c r="M52" s="435"/>
      <c r="N52" s="435"/>
      <c r="O52" s="435"/>
      <c r="P52" s="436"/>
      <c r="Q52" s="436"/>
      <c r="R52" s="436"/>
      <c r="S52" s="436"/>
      <c r="T52" s="436"/>
      <c r="U52" s="436"/>
      <c r="V52" s="436"/>
      <c r="W52" s="436"/>
      <c r="X52" s="436" t="n">
        <v>1</v>
      </c>
      <c r="Y52" s="436"/>
      <c r="Z52" s="436"/>
      <c r="AA52" s="436"/>
      <c r="AB52" s="436"/>
      <c r="AC52" s="436"/>
      <c r="AD52" s="436"/>
      <c r="AE52" s="436"/>
      <c r="AF52" s="436"/>
      <c r="AG52" s="436"/>
      <c r="AH52" s="436"/>
      <c r="AI52" s="437"/>
      <c r="AJ52" s="436"/>
      <c r="AK52" s="438" t="n">
        <v>1</v>
      </c>
      <c r="AQ52" s="353" t="s">
        <v>998</v>
      </c>
      <c r="AR52" s="439" t="n">
        <f aca="false">L52^2</f>
        <v>0</v>
      </c>
      <c r="AS52" s="440" t="n">
        <f aca="false">M52^2</f>
        <v>0</v>
      </c>
      <c r="AT52" s="440" t="n">
        <f aca="false">N52^2</f>
        <v>0</v>
      </c>
      <c r="AU52" s="440" t="n">
        <f aca="false">O52^2</f>
        <v>0</v>
      </c>
      <c r="AV52" s="440" t="n">
        <f aca="false">P52^2</f>
        <v>0</v>
      </c>
      <c r="AW52" s="440" t="n">
        <f aca="false">Q52^2</f>
        <v>0</v>
      </c>
      <c r="AX52" s="440" t="n">
        <f aca="false">R52^2</f>
        <v>0</v>
      </c>
      <c r="AY52" s="440" t="n">
        <f aca="false">S52^2</f>
        <v>0</v>
      </c>
      <c r="AZ52" s="440" t="n">
        <f aca="false">T52^2</f>
        <v>0</v>
      </c>
      <c r="BA52" s="440" t="n">
        <f aca="false">U52^2</f>
        <v>0</v>
      </c>
      <c r="BB52" s="440" t="n">
        <f aca="false">V52^2</f>
        <v>0</v>
      </c>
      <c r="BC52" s="440" t="n">
        <f aca="false">W52^2</f>
        <v>0</v>
      </c>
      <c r="BD52" s="440" t="n">
        <f aca="false">X52^2</f>
        <v>1</v>
      </c>
      <c r="BE52" s="440" t="n">
        <f aca="false">Y52^2</f>
        <v>0</v>
      </c>
      <c r="BF52" s="440" t="n">
        <f aca="false">Z52^2</f>
        <v>0</v>
      </c>
      <c r="BG52" s="440" t="n">
        <f aca="false">AA52^2</f>
        <v>0</v>
      </c>
      <c r="BH52" s="440" t="n">
        <f aca="false">AB52^2</f>
        <v>0</v>
      </c>
      <c r="BI52" s="440" t="n">
        <f aca="false">AC52^2</f>
        <v>0</v>
      </c>
      <c r="BJ52" s="440" t="n">
        <f aca="false">AD52^2</f>
        <v>0</v>
      </c>
      <c r="BK52" s="440" t="n">
        <f aca="false">AE52^2</f>
        <v>0</v>
      </c>
      <c r="BL52" s="440" t="n">
        <f aca="false">AF52^2</f>
        <v>0</v>
      </c>
      <c r="BM52" s="440" t="n">
        <f aca="false">AG52^2</f>
        <v>0</v>
      </c>
      <c r="BN52" s="440" t="n">
        <f aca="false">AH52^2</f>
        <v>0</v>
      </c>
      <c r="BO52" s="440" t="n">
        <f aca="false">AI52^2</f>
        <v>0</v>
      </c>
      <c r="BP52" s="440" t="n">
        <f aca="false">AJ52^2</f>
        <v>0</v>
      </c>
      <c r="BQ52" s="441" t="n">
        <f aca="false">-SIGN(AK52)*AK52^2</f>
        <v>-1</v>
      </c>
    </row>
    <row r="53" customFormat="false" ht="12.75" hidden="false" customHeight="false" outlineLevel="0" collapsed="false">
      <c r="A53" s="45"/>
      <c r="B53" s="44"/>
      <c r="C53" s="299" t="s">
        <v>1005</v>
      </c>
      <c r="D53" s="290" t="n">
        <f aca="false">IF(F53="","",IF(H53="","",ROUND(F53-0.001*298.15*(H53-SUMPRODUCT(L53:AK53*AR$13:BQ$13)),3)))</f>
        <v>-283.608</v>
      </c>
      <c r="E53" s="137" t="n">
        <f aca="false">IF(G53="","",IF(I53="","",ROUND(2*SQRT((0.5*G53)^2+(0.001*298.15)^2*((0.5*I53)^2+SUMPRODUCT(AR53:BQ53*AR$15:BQ$15))),3)))</f>
        <v>0.198</v>
      </c>
      <c r="F53" s="291" t="s">
        <v>1006</v>
      </c>
      <c r="G53" s="292" t="s">
        <v>1033</v>
      </c>
      <c r="H53" s="291" t="s">
        <v>1647</v>
      </c>
      <c r="I53" s="292" t="s">
        <v>742</v>
      </c>
      <c r="K53" s="353" t="s">
        <v>1005</v>
      </c>
      <c r="L53" s="434"/>
      <c r="M53" s="435"/>
      <c r="N53" s="435"/>
      <c r="O53" s="435"/>
      <c r="P53" s="436"/>
      <c r="Q53" s="436"/>
      <c r="R53" s="436"/>
      <c r="S53" s="436"/>
      <c r="T53" s="436"/>
      <c r="U53" s="436"/>
      <c r="V53" s="436"/>
      <c r="W53" s="436"/>
      <c r="X53" s="436"/>
      <c r="Y53" s="436"/>
      <c r="Z53" s="436"/>
      <c r="AA53" s="436"/>
      <c r="AB53" s="436"/>
      <c r="AC53" s="436"/>
      <c r="AD53" s="436"/>
      <c r="AE53" s="436"/>
      <c r="AF53" s="436"/>
      <c r="AG53" s="436" t="n">
        <v>1</v>
      </c>
      <c r="AH53" s="436"/>
      <c r="AI53" s="437"/>
      <c r="AJ53" s="436"/>
      <c r="AK53" s="438" t="n">
        <v>1</v>
      </c>
      <c r="AQ53" s="353" t="s">
        <v>1005</v>
      </c>
      <c r="AR53" s="439" t="n">
        <f aca="false">L53^2</f>
        <v>0</v>
      </c>
      <c r="AS53" s="440" t="n">
        <f aca="false">M53^2</f>
        <v>0</v>
      </c>
      <c r="AT53" s="440" t="n">
        <f aca="false">N53^2</f>
        <v>0</v>
      </c>
      <c r="AU53" s="440" t="n">
        <f aca="false">O53^2</f>
        <v>0</v>
      </c>
      <c r="AV53" s="440" t="n">
        <f aca="false">P53^2</f>
        <v>0</v>
      </c>
      <c r="AW53" s="440" t="n">
        <f aca="false">Q53^2</f>
        <v>0</v>
      </c>
      <c r="AX53" s="440" t="n">
        <f aca="false">R53^2</f>
        <v>0</v>
      </c>
      <c r="AY53" s="440" t="n">
        <f aca="false">S53^2</f>
        <v>0</v>
      </c>
      <c r="AZ53" s="440" t="n">
        <f aca="false">T53^2</f>
        <v>0</v>
      </c>
      <c r="BA53" s="440" t="n">
        <f aca="false">U53^2</f>
        <v>0</v>
      </c>
      <c r="BB53" s="440" t="n">
        <f aca="false">V53^2</f>
        <v>0</v>
      </c>
      <c r="BC53" s="440" t="n">
        <f aca="false">W53^2</f>
        <v>0</v>
      </c>
      <c r="BD53" s="440" t="n">
        <f aca="false">X53^2</f>
        <v>0</v>
      </c>
      <c r="BE53" s="440" t="n">
        <f aca="false">Y53^2</f>
        <v>0</v>
      </c>
      <c r="BF53" s="440" t="n">
        <f aca="false">Z53^2</f>
        <v>0</v>
      </c>
      <c r="BG53" s="440" t="n">
        <f aca="false">AA53^2</f>
        <v>0</v>
      </c>
      <c r="BH53" s="440" t="n">
        <f aca="false">AB53^2</f>
        <v>0</v>
      </c>
      <c r="BI53" s="440" t="n">
        <f aca="false">AC53^2</f>
        <v>0</v>
      </c>
      <c r="BJ53" s="440" t="n">
        <f aca="false">AD53^2</f>
        <v>0</v>
      </c>
      <c r="BK53" s="440" t="n">
        <f aca="false">AE53^2</f>
        <v>0</v>
      </c>
      <c r="BL53" s="440" t="n">
        <f aca="false">AF53^2</f>
        <v>0</v>
      </c>
      <c r="BM53" s="440" t="n">
        <f aca="false">AG53^2</f>
        <v>1</v>
      </c>
      <c r="BN53" s="440" t="n">
        <f aca="false">AH53^2</f>
        <v>0</v>
      </c>
      <c r="BO53" s="440" t="n">
        <f aca="false">AI53^2</f>
        <v>0</v>
      </c>
      <c r="BP53" s="440" t="n">
        <f aca="false">AJ53^2</f>
        <v>0</v>
      </c>
      <c r="BQ53" s="441" t="n">
        <f aca="false">-SIGN(AK53)*AK53^2</f>
        <v>-1</v>
      </c>
    </row>
    <row r="54" customFormat="false" ht="13.5" hidden="false" customHeight="false" outlineLevel="0" collapsed="false">
      <c r="A54" s="45"/>
      <c r="B54" s="44"/>
      <c r="C54" s="304" t="s">
        <v>1012</v>
      </c>
      <c r="D54" s="305" t="n">
        <f aca="false">IF(F54="","",IF(H54="","",ROUND(F54-0.001*298.15*(H54-SUMPRODUCT(L54:AK54*AR$13:BQ$13)),3)))</f>
        <v>-291.7</v>
      </c>
      <c r="E54" s="145" t="n">
        <f aca="false">IF(G54="","",IF(I54="","",ROUND(2*SQRT((0.5*G54)^2+(0.001*298.15)^2*((0.5*I54)^2+SUMPRODUCT(AR54:BQ54*AR$15:BQ$15))),3)))</f>
        <v>0.213</v>
      </c>
      <c r="F54" s="306" t="s">
        <v>2049</v>
      </c>
      <c r="G54" s="307" t="s">
        <v>1033</v>
      </c>
      <c r="H54" s="306" t="s">
        <v>1650</v>
      </c>
      <c r="I54" s="307" t="s">
        <v>742</v>
      </c>
      <c r="K54" s="374" t="s">
        <v>1012</v>
      </c>
      <c r="L54" s="447"/>
      <c r="M54" s="448"/>
      <c r="N54" s="448"/>
      <c r="O54" s="448"/>
      <c r="P54" s="449"/>
      <c r="Q54" s="449"/>
      <c r="R54" s="449"/>
      <c r="S54" s="449" t="n">
        <v>1</v>
      </c>
      <c r="T54" s="449"/>
      <c r="U54" s="449"/>
      <c r="V54" s="449"/>
      <c r="W54" s="449"/>
      <c r="X54" s="449"/>
      <c r="Y54" s="449"/>
      <c r="Z54" s="449"/>
      <c r="AA54" s="449"/>
      <c r="AB54" s="449"/>
      <c r="AC54" s="449"/>
      <c r="AD54" s="449"/>
      <c r="AE54" s="449"/>
      <c r="AF54" s="449"/>
      <c r="AG54" s="449"/>
      <c r="AH54" s="449"/>
      <c r="AI54" s="450"/>
      <c r="AJ54" s="449"/>
      <c r="AK54" s="451" t="n">
        <v>1</v>
      </c>
      <c r="AQ54" s="374" t="s">
        <v>1012</v>
      </c>
      <c r="AR54" s="452" t="n">
        <f aca="false">L54^2</f>
        <v>0</v>
      </c>
      <c r="AS54" s="453" t="n">
        <f aca="false">M54^2</f>
        <v>0</v>
      </c>
      <c r="AT54" s="453" t="n">
        <f aca="false">N54^2</f>
        <v>0</v>
      </c>
      <c r="AU54" s="453" t="n">
        <f aca="false">O54^2</f>
        <v>0</v>
      </c>
      <c r="AV54" s="453" t="n">
        <f aca="false">P54^2</f>
        <v>0</v>
      </c>
      <c r="AW54" s="453" t="n">
        <f aca="false">Q54^2</f>
        <v>0</v>
      </c>
      <c r="AX54" s="453" t="n">
        <f aca="false">R54^2</f>
        <v>0</v>
      </c>
      <c r="AY54" s="453" t="n">
        <f aca="false">S54^2</f>
        <v>1</v>
      </c>
      <c r="AZ54" s="453" t="n">
        <f aca="false">T54^2</f>
        <v>0</v>
      </c>
      <c r="BA54" s="453" t="n">
        <f aca="false">U54^2</f>
        <v>0</v>
      </c>
      <c r="BB54" s="453" t="n">
        <f aca="false">V54^2</f>
        <v>0</v>
      </c>
      <c r="BC54" s="453" t="n">
        <f aca="false">W54^2</f>
        <v>0</v>
      </c>
      <c r="BD54" s="453" t="n">
        <f aca="false">X54^2</f>
        <v>0</v>
      </c>
      <c r="BE54" s="453" t="n">
        <f aca="false">Y54^2</f>
        <v>0</v>
      </c>
      <c r="BF54" s="453" t="n">
        <f aca="false">Z54^2</f>
        <v>0</v>
      </c>
      <c r="BG54" s="453" t="n">
        <f aca="false">AA54^2</f>
        <v>0</v>
      </c>
      <c r="BH54" s="453" t="n">
        <f aca="false">AB54^2</f>
        <v>0</v>
      </c>
      <c r="BI54" s="453" t="n">
        <f aca="false">AC54^2</f>
        <v>0</v>
      </c>
      <c r="BJ54" s="453" t="n">
        <f aca="false">AD54^2</f>
        <v>0</v>
      </c>
      <c r="BK54" s="453" t="n">
        <f aca="false">AE54^2</f>
        <v>0</v>
      </c>
      <c r="BL54" s="453" t="n">
        <f aca="false">AF54^2</f>
        <v>0</v>
      </c>
      <c r="BM54" s="453" t="n">
        <f aca="false">AG54^2</f>
        <v>0</v>
      </c>
      <c r="BN54" s="453" t="n">
        <f aca="false">AH54^2</f>
        <v>0</v>
      </c>
      <c r="BO54" s="453" t="n">
        <f aca="false">AI54^2</f>
        <v>0</v>
      </c>
      <c r="BP54" s="453" t="n">
        <f aca="false">AJ54^2</f>
        <v>0</v>
      </c>
      <c r="BQ54" s="454" t="n">
        <f aca="false">-SIGN(AK54)*AK54^2</f>
        <v>-1</v>
      </c>
    </row>
    <row r="55" customFormat="false" ht="12.75" hidden="false" customHeight="false" outlineLevel="0" collapsed="false">
      <c r="C55" s="273"/>
      <c r="D55" s="273"/>
      <c r="E55" s="273"/>
      <c r="F55" s="273"/>
      <c r="G55" s="273"/>
      <c r="H55" s="273"/>
      <c r="I55" s="273"/>
      <c r="K55" s="66"/>
      <c r="L55" s="66"/>
      <c r="M55" s="66"/>
      <c r="N55" s="66"/>
      <c r="O55" s="66"/>
      <c r="AQ55" s="66"/>
      <c r="AR55" s="66"/>
      <c r="AS55" s="66"/>
      <c r="AT55" s="66"/>
      <c r="AU55" s="66"/>
    </row>
    <row r="56" customFormat="false" ht="12.75" hidden="false" customHeight="false" outlineLevel="0" collapsed="false">
      <c r="B56" s="455"/>
      <c r="C56" s="273"/>
      <c r="D56" s="273"/>
      <c r="E56" s="273"/>
      <c r="F56" s="273"/>
      <c r="G56" s="273"/>
      <c r="H56" s="273"/>
      <c r="I56" s="273"/>
      <c r="K56" s="66"/>
      <c r="L56" s="66"/>
      <c r="M56" s="66"/>
      <c r="N56" s="66"/>
      <c r="O56" s="66"/>
      <c r="AQ56" s="66"/>
      <c r="AR56" s="66"/>
      <c r="AS56" s="66"/>
      <c r="AT56" s="66"/>
      <c r="AU56" s="66"/>
    </row>
    <row r="57" customFormat="false" ht="13.5" hidden="false" customHeight="false" outlineLevel="0" collapsed="false">
      <c r="B57" s="455"/>
      <c r="C57" s="273"/>
      <c r="D57" s="273"/>
      <c r="E57" s="273"/>
      <c r="F57" s="273"/>
      <c r="G57" s="273"/>
      <c r="H57" s="273"/>
      <c r="I57" s="273"/>
      <c r="K57" s="66"/>
      <c r="L57" s="66"/>
      <c r="M57" s="66"/>
      <c r="N57" s="66"/>
      <c r="O57" s="66"/>
      <c r="AQ57" s="66"/>
      <c r="AR57" s="66"/>
      <c r="AS57" s="66"/>
      <c r="AT57" s="66"/>
      <c r="AU57" s="66"/>
    </row>
    <row r="58" customFormat="false" ht="15" hidden="false" customHeight="false" outlineLevel="0" collapsed="false">
      <c r="C58" s="15"/>
      <c r="D58" s="283" t="s">
        <v>779</v>
      </c>
      <c r="E58" s="284"/>
      <c r="F58" s="283" t="s">
        <v>780</v>
      </c>
      <c r="G58" s="284"/>
      <c r="H58" s="283" t="s">
        <v>781</v>
      </c>
      <c r="I58" s="284"/>
      <c r="K58" s="282"/>
      <c r="L58" s="282"/>
      <c r="M58" s="282"/>
      <c r="N58" s="282"/>
      <c r="O58" s="282"/>
      <c r="AQ58" s="282"/>
      <c r="AR58" s="282"/>
      <c r="AS58" s="282"/>
      <c r="AT58" s="282"/>
      <c r="AU58" s="282"/>
    </row>
    <row r="59" customFormat="false" ht="13.5" hidden="false" customHeight="false" outlineLevel="0" collapsed="false">
      <c r="C59" s="16" t="s">
        <v>1020</v>
      </c>
      <c r="D59" s="50"/>
      <c r="E59" s="50" t="s">
        <v>725</v>
      </c>
      <c r="F59" s="50"/>
      <c r="G59" s="50" t="s">
        <v>725</v>
      </c>
      <c r="H59" s="50"/>
      <c r="I59" s="50" t="s">
        <v>725</v>
      </c>
      <c r="K59" s="52"/>
      <c r="L59" s="52"/>
      <c r="M59" s="52"/>
      <c r="N59" s="52"/>
      <c r="O59" s="52"/>
      <c r="AQ59" s="52"/>
      <c r="AR59" s="52"/>
      <c r="AS59" s="52"/>
      <c r="AT59" s="52"/>
      <c r="AU59" s="52"/>
    </row>
    <row r="60" customFormat="false" ht="13.5" hidden="false" customHeight="false" outlineLevel="0" collapsed="false">
      <c r="C60" s="16" t="s">
        <v>782</v>
      </c>
      <c r="D60" s="53" t="s">
        <v>726</v>
      </c>
      <c r="E60" s="53" t="s">
        <v>727</v>
      </c>
      <c r="F60" s="53" t="s">
        <v>726</v>
      </c>
      <c r="G60" s="53" t="s">
        <v>727</v>
      </c>
      <c r="H60" s="53" t="s">
        <v>726</v>
      </c>
      <c r="I60" s="53" t="s">
        <v>727</v>
      </c>
      <c r="K60" s="11"/>
      <c r="L60" s="412" t="s">
        <v>1193</v>
      </c>
      <c r="M60" s="413"/>
      <c r="N60" s="413"/>
      <c r="O60" s="413"/>
      <c r="P60" s="414"/>
      <c r="Q60" s="414"/>
      <c r="R60" s="414"/>
      <c r="S60" s="414"/>
      <c r="T60" s="414"/>
      <c r="U60" s="414"/>
      <c r="V60" s="414"/>
      <c r="W60" s="414"/>
      <c r="X60" s="414"/>
      <c r="Y60" s="414"/>
      <c r="Z60" s="414"/>
      <c r="AA60" s="414"/>
      <c r="AB60" s="414"/>
      <c r="AC60" s="414"/>
      <c r="AD60" s="414"/>
      <c r="AE60" s="414"/>
      <c r="AF60" s="414"/>
      <c r="AG60" s="414"/>
      <c r="AH60" s="414"/>
      <c r="AI60" s="414"/>
      <c r="AJ60" s="414"/>
      <c r="AK60" s="279"/>
      <c r="AQ60" s="11"/>
      <c r="AR60" s="412" t="s">
        <v>1193</v>
      </c>
      <c r="AS60" s="413"/>
      <c r="AT60" s="413"/>
      <c r="AU60" s="413"/>
      <c r="AV60" s="414"/>
      <c r="AW60" s="414"/>
      <c r="AX60" s="414"/>
      <c r="AY60" s="414"/>
      <c r="AZ60" s="414"/>
      <c r="BA60" s="414"/>
      <c r="BB60" s="414"/>
      <c r="BC60" s="414"/>
      <c r="BD60" s="414"/>
      <c r="BE60" s="414"/>
      <c r="BF60" s="414"/>
      <c r="BG60" s="414"/>
      <c r="BH60" s="414"/>
      <c r="BI60" s="414"/>
      <c r="BJ60" s="414"/>
      <c r="BK60" s="414"/>
      <c r="BL60" s="414"/>
      <c r="BM60" s="414"/>
      <c r="BN60" s="414"/>
      <c r="BO60" s="414"/>
      <c r="BP60" s="414"/>
      <c r="BQ60" s="279"/>
    </row>
    <row r="61" customFormat="false" ht="15" hidden="false" customHeight="false" outlineLevel="0" collapsed="false">
      <c r="C61" s="21" t="s">
        <v>783</v>
      </c>
      <c r="D61" s="55" t="s">
        <v>784</v>
      </c>
      <c r="E61" s="55" t="s">
        <v>784</v>
      </c>
      <c r="F61" s="55" t="s">
        <v>784</v>
      </c>
      <c r="G61" s="55" t="s">
        <v>784</v>
      </c>
      <c r="H61" s="55" t="s">
        <v>167</v>
      </c>
      <c r="I61" s="55" t="s">
        <v>167</v>
      </c>
      <c r="K61" s="415" t="s">
        <v>783</v>
      </c>
      <c r="L61" s="416" t="s">
        <v>32</v>
      </c>
      <c r="M61" s="417" t="s">
        <v>40</v>
      </c>
      <c r="N61" s="418" t="s">
        <v>41</v>
      </c>
      <c r="O61" s="418" t="s">
        <v>46</v>
      </c>
      <c r="P61" s="417" t="s">
        <v>48</v>
      </c>
      <c r="Q61" s="417" t="s">
        <v>49</v>
      </c>
      <c r="R61" s="418" t="s">
        <v>54</v>
      </c>
      <c r="S61" s="418" t="s">
        <v>59</v>
      </c>
      <c r="T61" s="418" t="s">
        <v>66</v>
      </c>
      <c r="U61" s="418" t="s">
        <v>68</v>
      </c>
      <c r="V61" s="418" t="s">
        <v>75</v>
      </c>
      <c r="W61" s="418" t="s">
        <v>82</v>
      </c>
      <c r="X61" s="418" t="s">
        <v>86</v>
      </c>
      <c r="Y61" s="418" t="s">
        <v>89</v>
      </c>
      <c r="Z61" s="417" t="s">
        <v>93</v>
      </c>
      <c r="AA61" s="418" t="s">
        <v>97</v>
      </c>
      <c r="AB61" s="418" t="s">
        <v>99</v>
      </c>
      <c r="AC61" s="417" t="s">
        <v>103</v>
      </c>
      <c r="AD61" s="418" t="s">
        <v>107</v>
      </c>
      <c r="AE61" s="417" t="s">
        <v>110</v>
      </c>
      <c r="AF61" s="418" t="s">
        <v>119</v>
      </c>
      <c r="AG61" s="418" t="s">
        <v>120</v>
      </c>
      <c r="AH61" s="418" t="s">
        <v>125</v>
      </c>
      <c r="AI61" s="417" t="s">
        <v>129</v>
      </c>
      <c r="AJ61" s="418" t="s">
        <v>132</v>
      </c>
      <c r="AK61" s="419" t="s">
        <v>1187</v>
      </c>
      <c r="AQ61" s="415" t="s">
        <v>783</v>
      </c>
      <c r="AR61" s="416" t="s">
        <v>32</v>
      </c>
      <c r="AS61" s="417" t="s">
        <v>40</v>
      </c>
      <c r="AT61" s="418" t="s">
        <v>41</v>
      </c>
      <c r="AU61" s="418" t="s">
        <v>46</v>
      </c>
      <c r="AV61" s="417" t="s">
        <v>48</v>
      </c>
      <c r="AW61" s="417" t="s">
        <v>49</v>
      </c>
      <c r="AX61" s="418" t="s">
        <v>54</v>
      </c>
      <c r="AY61" s="418" t="s">
        <v>59</v>
      </c>
      <c r="AZ61" s="418" t="s">
        <v>66</v>
      </c>
      <c r="BA61" s="418" t="s">
        <v>68</v>
      </c>
      <c r="BB61" s="418" t="s">
        <v>75</v>
      </c>
      <c r="BC61" s="418" t="s">
        <v>82</v>
      </c>
      <c r="BD61" s="418" t="s">
        <v>86</v>
      </c>
      <c r="BE61" s="418" t="s">
        <v>89</v>
      </c>
      <c r="BF61" s="417" t="s">
        <v>93</v>
      </c>
      <c r="BG61" s="418" t="s">
        <v>97</v>
      </c>
      <c r="BH61" s="418" t="s">
        <v>99</v>
      </c>
      <c r="BI61" s="417" t="s">
        <v>103</v>
      </c>
      <c r="BJ61" s="418" t="s">
        <v>107</v>
      </c>
      <c r="BK61" s="417" t="s">
        <v>110</v>
      </c>
      <c r="BL61" s="418" t="s">
        <v>119</v>
      </c>
      <c r="BM61" s="418" t="s">
        <v>120</v>
      </c>
      <c r="BN61" s="418" t="s">
        <v>125</v>
      </c>
      <c r="BO61" s="417" t="s">
        <v>129</v>
      </c>
      <c r="BP61" s="418" t="s">
        <v>132</v>
      </c>
      <c r="BQ61" s="419" t="s">
        <v>1187</v>
      </c>
    </row>
    <row r="62" customFormat="false" ht="12.75" hidden="false" customHeight="false" outlineLevel="0" collapsed="false">
      <c r="C62" s="310" t="s">
        <v>1021</v>
      </c>
      <c r="D62" s="285" t="str">
        <f aca="false">IF(F62="","",IF(H62="","",ROUND(F62-0.001*298.15*(H62-SUMPRODUCT(L62:AK62*AR$13:BQ$13)),3)))</f>
        <v/>
      </c>
      <c r="E62" s="131" t="str">
        <f aca="false">IF(G62="","",IF(I62="","",ROUND(2*SQRT((0.5*G62)^2+(0.001*298.15)^2*((0.5*I62)^2+SUMPRODUCT(AR62:BQ62*AR$15:BQ$15))),3)))</f>
        <v/>
      </c>
      <c r="F62" s="311"/>
      <c r="G62" s="312"/>
      <c r="H62" s="311"/>
      <c r="I62" s="312"/>
      <c r="K62" s="310" t="s">
        <v>1021</v>
      </c>
      <c r="L62" s="426"/>
      <c r="M62" s="427"/>
      <c r="N62" s="427"/>
      <c r="O62" s="427"/>
      <c r="P62" s="428"/>
      <c r="Q62" s="428"/>
      <c r="R62" s="428"/>
      <c r="S62" s="428"/>
      <c r="T62" s="428"/>
      <c r="U62" s="428"/>
      <c r="V62" s="428"/>
      <c r="W62" s="428"/>
      <c r="X62" s="428"/>
      <c r="Y62" s="428"/>
      <c r="Z62" s="428"/>
      <c r="AA62" s="428"/>
      <c r="AB62" s="428"/>
      <c r="AC62" s="428"/>
      <c r="AD62" s="428" t="n">
        <v>1</v>
      </c>
      <c r="AE62" s="428"/>
      <c r="AF62" s="428"/>
      <c r="AG62" s="428"/>
      <c r="AH62" s="428"/>
      <c r="AI62" s="429" t="n">
        <v>1</v>
      </c>
      <c r="AJ62" s="428"/>
      <c r="AK62" s="430"/>
      <c r="AO62" s="10"/>
      <c r="AQ62" s="310" t="s">
        <v>1021</v>
      </c>
      <c r="AR62" s="431" t="n">
        <f aca="false">L62^2</f>
        <v>0</v>
      </c>
      <c r="AS62" s="432" t="n">
        <f aca="false">M62^2</f>
        <v>0</v>
      </c>
      <c r="AT62" s="432" t="n">
        <f aca="false">N62^2</f>
        <v>0</v>
      </c>
      <c r="AU62" s="432" t="n">
        <f aca="false">O62^2</f>
        <v>0</v>
      </c>
      <c r="AV62" s="432" t="n">
        <f aca="false">P62^2</f>
        <v>0</v>
      </c>
      <c r="AW62" s="432" t="n">
        <f aca="false">Q62^2</f>
        <v>0</v>
      </c>
      <c r="AX62" s="432" t="n">
        <f aca="false">R62^2</f>
        <v>0</v>
      </c>
      <c r="AY62" s="432" t="n">
        <f aca="false">S62^2</f>
        <v>0</v>
      </c>
      <c r="AZ62" s="432" t="n">
        <f aca="false">T62^2</f>
        <v>0</v>
      </c>
      <c r="BA62" s="432" t="n">
        <f aca="false">U62^2</f>
        <v>0</v>
      </c>
      <c r="BB62" s="432" t="n">
        <f aca="false">V62^2</f>
        <v>0</v>
      </c>
      <c r="BC62" s="432" t="n">
        <f aca="false">W62^2</f>
        <v>0</v>
      </c>
      <c r="BD62" s="432" t="n">
        <f aca="false">X62^2</f>
        <v>0</v>
      </c>
      <c r="BE62" s="432" t="n">
        <f aca="false">Y62^2</f>
        <v>0</v>
      </c>
      <c r="BF62" s="432" t="n">
        <f aca="false">Z62^2</f>
        <v>0</v>
      </c>
      <c r="BG62" s="432" t="n">
        <f aca="false">AA62^2</f>
        <v>0</v>
      </c>
      <c r="BH62" s="432" t="n">
        <f aca="false">AB62^2</f>
        <v>0</v>
      </c>
      <c r="BI62" s="432" t="n">
        <f aca="false">AC62^2</f>
        <v>0</v>
      </c>
      <c r="BJ62" s="432" t="n">
        <f aca="false">AD62^2</f>
        <v>1</v>
      </c>
      <c r="BK62" s="432" t="n">
        <f aca="false">AE62^2</f>
        <v>0</v>
      </c>
      <c r="BL62" s="432" t="n">
        <f aca="false">AF62^2</f>
        <v>0</v>
      </c>
      <c r="BM62" s="432" t="n">
        <f aca="false">AG62^2</f>
        <v>0</v>
      </c>
      <c r="BN62" s="432" t="n">
        <f aca="false">AH62^2</f>
        <v>0</v>
      </c>
      <c r="BO62" s="432" t="n">
        <f aca="false">AI62^2</f>
        <v>1</v>
      </c>
      <c r="BP62" s="432" t="n">
        <f aca="false">AJ62^2</f>
        <v>0</v>
      </c>
      <c r="BQ62" s="433" t="n">
        <f aca="false">-SIGN(AK62)*AK62^2</f>
        <v>0</v>
      </c>
    </row>
    <row r="63" customFormat="false" ht="12.75" hidden="false" customHeight="false" outlineLevel="0" collapsed="false">
      <c r="C63" s="313" t="s">
        <v>1022</v>
      </c>
      <c r="D63" s="290" t="str">
        <f aca="false">IF(F63="","",IF(H63="","",ROUND(F63-0.001*298.15*(H63-SUMPRODUCT(L63:AK63*AR$13:BQ$13)),3)))</f>
        <v/>
      </c>
      <c r="E63" s="137" t="str">
        <f aca="false">IF(G63="","",IF(I63="","",ROUND(2*SQRT((0.5*G63)^2+(0.001*298.15)^2*((0.5*I63)^2+SUMPRODUCT(AR63:BQ63*AR$15:BQ$15))),3)))</f>
        <v/>
      </c>
      <c r="F63" s="314"/>
      <c r="G63" s="315"/>
      <c r="H63" s="314"/>
      <c r="I63" s="315"/>
      <c r="K63" s="313" t="s">
        <v>1022</v>
      </c>
      <c r="L63" s="434"/>
      <c r="M63" s="435" t="n">
        <v>1</v>
      </c>
      <c r="N63" s="435"/>
      <c r="O63" s="435"/>
      <c r="P63" s="436"/>
      <c r="Q63" s="436"/>
      <c r="R63" s="436"/>
      <c r="S63" s="436"/>
      <c r="T63" s="436"/>
      <c r="U63" s="436"/>
      <c r="V63" s="436"/>
      <c r="W63" s="436"/>
      <c r="X63" s="436"/>
      <c r="Y63" s="436"/>
      <c r="Z63" s="436"/>
      <c r="AA63" s="436"/>
      <c r="AB63" s="436"/>
      <c r="AC63" s="436"/>
      <c r="AD63" s="436" t="n">
        <v>1</v>
      </c>
      <c r="AE63" s="436"/>
      <c r="AF63" s="436"/>
      <c r="AG63" s="436"/>
      <c r="AH63" s="436"/>
      <c r="AI63" s="437"/>
      <c r="AJ63" s="436"/>
      <c r="AK63" s="438" t="n">
        <v>-1</v>
      </c>
      <c r="AQ63" s="313" t="s">
        <v>1022</v>
      </c>
      <c r="AR63" s="439" t="n">
        <f aca="false">L63^2</f>
        <v>0</v>
      </c>
      <c r="AS63" s="440" t="n">
        <f aca="false">M63^2</f>
        <v>1</v>
      </c>
      <c r="AT63" s="440" t="n">
        <f aca="false">N63^2</f>
        <v>0</v>
      </c>
      <c r="AU63" s="440" t="n">
        <f aca="false">O63^2</f>
        <v>0</v>
      </c>
      <c r="AV63" s="440" t="n">
        <f aca="false">P63^2</f>
        <v>0</v>
      </c>
      <c r="AW63" s="440" t="n">
        <f aca="false">Q63^2</f>
        <v>0</v>
      </c>
      <c r="AX63" s="440" t="n">
        <f aca="false">R63^2</f>
        <v>0</v>
      </c>
      <c r="AY63" s="440" t="n">
        <f aca="false">S63^2</f>
        <v>0</v>
      </c>
      <c r="AZ63" s="440" t="n">
        <f aca="false">T63^2</f>
        <v>0</v>
      </c>
      <c r="BA63" s="440" t="n">
        <f aca="false">U63^2</f>
        <v>0</v>
      </c>
      <c r="BB63" s="440" t="n">
        <f aca="false">V63^2</f>
        <v>0</v>
      </c>
      <c r="BC63" s="440" t="n">
        <f aca="false">W63^2</f>
        <v>0</v>
      </c>
      <c r="BD63" s="440" t="n">
        <f aca="false">X63^2</f>
        <v>0</v>
      </c>
      <c r="BE63" s="440" t="n">
        <f aca="false">Y63^2</f>
        <v>0</v>
      </c>
      <c r="BF63" s="440" t="n">
        <f aca="false">Z63^2</f>
        <v>0</v>
      </c>
      <c r="BG63" s="440" t="n">
        <f aca="false">AA63^2</f>
        <v>0</v>
      </c>
      <c r="BH63" s="440" t="n">
        <f aca="false">AB63^2</f>
        <v>0</v>
      </c>
      <c r="BI63" s="440" t="n">
        <f aca="false">AC63^2</f>
        <v>0</v>
      </c>
      <c r="BJ63" s="440" t="n">
        <f aca="false">AD63^2</f>
        <v>1</v>
      </c>
      <c r="BK63" s="440" t="n">
        <f aca="false">AE63^2</f>
        <v>0</v>
      </c>
      <c r="BL63" s="440" t="n">
        <f aca="false">AF63^2</f>
        <v>0</v>
      </c>
      <c r="BM63" s="440" t="n">
        <f aca="false">AG63^2</f>
        <v>0</v>
      </c>
      <c r="BN63" s="440" t="n">
        <f aca="false">AH63^2</f>
        <v>0</v>
      </c>
      <c r="BO63" s="440" t="n">
        <f aca="false">AI63^2</f>
        <v>0</v>
      </c>
      <c r="BP63" s="440" t="n">
        <f aca="false">AJ63^2</f>
        <v>0</v>
      </c>
      <c r="BQ63" s="441" t="n">
        <f aca="false">-SIGN(AK63)*AK63^2</f>
        <v>1</v>
      </c>
    </row>
    <row r="64" customFormat="false" ht="13.5" hidden="false" customHeight="false" outlineLevel="0" collapsed="false">
      <c r="C64" s="317" t="s">
        <v>1023</v>
      </c>
      <c r="D64" s="305" t="str">
        <f aca="false">IF(F64="","",IF(H64="","",ROUND(F64-0.001*298.15*(H64-SUMPRODUCT(L64:AK64*AR$13:BQ$13)),3)))</f>
        <v/>
      </c>
      <c r="E64" s="145" t="str">
        <f aca="false">IF(G64="","",IF(I64="","",ROUND(2*SQRT((0.5*G64)^2+(0.001*298.15)^2*((0.5*I64)^2+SUMPRODUCT(AR64:BQ64*AR$15:BQ$15))),3)))</f>
        <v/>
      </c>
      <c r="F64" s="318"/>
      <c r="G64" s="319"/>
      <c r="H64" s="318"/>
      <c r="I64" s="319"/>
      <c r="K64" s="317" t="s">
        <v>1023</v>
      </c>
      <c r="L64" s="447" t="n">
        <v>1</v>
      </c>
      <c r="M64" s="448"/>
      <c r="N64" s="448"/>
      <c r="O64" s="448"/>
      <c r="P64" s="449"/>
      <c r="Q64" s="449"/>
      <c r="R64" s="449"/>
      <c r="S64" s="449"/>
      <c r="T64" s="449"/>
      <c r="U64" s="449"/>
      <c r="V64" s="449"/>
      <c r="W64" s="449"/>
      <c r="X64" s="449"/>
      <c r="Y64" s="449"/>
      <c r="Z64" s="449"/>
      <c r="AA64" s="449"/>
      <c r="AB64" s="449"/>
      <c r="AC64" s="449"/>
      <c r="AD64" s="449" t="n">
        <v>1</v>
      </c>
      <c r="AE64" s="449"/>
      <c r="AF64" s="449"/>
      <c r="AG64" s="449"/>
      <c r="AH64" s="449"/>
      <c r="AI64" s="450"/>
      <c r="AJ64" s="449"/>
      <c r="AK64" s="451" t="n">
        <v>-1</v>
      </c>
      <c r="AQ64" s="317" t="s">
        <v>1023</v>
      </c>
      <c r="AR64" s="452" t="n">
        <f aca="false">L64^2</f>
        <v>1</v>
      </c>
      <c r="AS64" s="453" t="n">
        <f aca="false">M64^2</f>
        <v>0</v>
      </c>
      <c r="AT64" s="453" t="n">
        <f aca="false">N64^2</f>
        <v>0</v>
      </c>
      <c r="AU64" s="453" t="n">
        <f aca="false">O64^2</f>
        <v>0</v>
      </c>
      <c r="AV64" s="453" t="n">
        <f aca="false">P64^2</f>
        <v>0</v>
      </c>
      <c r="AW64" s="453" t="n">
        <f aca="false">Q64^2</f>
        <v>0</v>
      </c>
      <c r="AX64" s="453" t="n">
        <f aca="false">R64^2</f>
        <v>0</v>
      </c>
      <c r="AY64" s="453" t="n">
        <f aca="false">S64^2</f>
        <v>0</v>
      </c>
      <c r="AZ64" s="453" t="n">
        <f aca="false">T64^2</f>
        <v>0</v>
      </c>
      <c r="BA64" s="453" t="n">
        <f aca="false">U64^2</f>
        <v>0</v>
      </c>
      <c r="BB64" s="453" t="n">
        <f aca="false">V64^2</f>
        <v>0</v>
      </c>
      <c r="BC64" s="453" t="n">
        <f aca="false">W64^2</f>
        <v>0</v>
      </c>
      <c r="BD64" s="453" t="n">
        <f aca="false">X64^2</f>
        <v>0</v>
      </c>
      <c r="BE64" s="453" t="n">
        <f aca="false">Y64^2</f>
        <v>0</v>
      </c>
      <c r="BF64" s="453" t="n">
        <f aca="false">Z64^2</f>
        <v>0</v>
      </c>
      <c r="BG64" s="453" t="n">
        <f aca="false">AA64^2</f>
        <v>0</v>
      </c>
      <c r="BH64" s="453" t="n">
        <f aca="false">AB64^2</f>
        <v>0</v>
      </c>
      <c r="BI64" s="453" t="n">
        <f aca="false">AC64^2</f>
        <v>0</v>
      </c>
      <c r="BJ64" s="453" t="n">
        <f aca="false">AD64^2</f>
        <v>1</v>
      </c>
      <c r="BK64" s="453" t="n">
        <f aca="false">AE64^2</f>
        <v>0</v>
      </c>
      <c r="BL64" s="453" t="n">
        <f aca="false">AF64^2</f>
        <v>0</v>
      </c>
      <c r="BM64" s="453" t="n">
        <f aca="false">AG64^2</f>
        <v>0</v>
      </c>
      <c r="BN64" s="453" t="n">
        <f aca="false">AH64^2</f>
        <v>0</v>
      </c>
      <c r="BO64" s="453" t="n">
        <f aca="false">AI64^2</f>
        <v>0</v>
      </c>
      <c r="BP64" s="453" t="n">
        <f aca="false">AJ64^2</f>
        <v>0</v>
      </c>
      <c r="BQ64" s="454" t="n">
        <f aca="false">-SIGN(AK64)*AK64^2</f>
        <v>1</v>
      </c>
    </row>
    <row r="65" customFormat="false" ht="12.75" hidden="false" customHeight="false" outlineLevel="0" collapsed="false">
      <c r="C65" s="192"/>
      <c r="D65" s="214"/>
      <c r="E65" s="214"/>
      <c r="F65" s="214"/>
      <c r="G65" s="214"/>
      <c r="H65" s="214"/>
      <c r="I65" s="214"/>
      <c r="K65" s="214"/>
      <c r="L65" s="214"/>
      <c r="M65" s="214"/>
      <c r="N65" s="214"/>
      <c r="O65" s="214"/>
      <c r="AQ65" s="214"/>
      <c r="AR65" s="214"/>
      <c r="AS65" s="214"/>
      <c r="AT65" s="214"/>
      <c r="AU65" s="214"/>
    </row>
    <row r="66" customFormat="false" ht="12.75" hidden="false" customHeight="false" outlineLevel="0" collapsed="false">
      <c r="C66" s="112"/>
      <c r="D66" s="66"/>
      <c r="E66" s="66"/>
      <c r="F66" s="66"/>
      <c r="G66" s="66"/>
      <c r="H66" s="66"/>
      <c r="I66" s="66"/>
      <c r="K66" s="66"/>
      <c r="L66" s="66"/>
      <c r="M66" s="66"/>
      <c r="N66" s="66"/>
      <c r="O66" s="66"/>
      <c r="AQ66" s="66"/>
      <c r="AR66" s="66"/>
      <c r="AS66" s="66"/>
      <c r="AT66" s="66"/>
      <c r="AU66" s="66"/>
    </row>
    <row r="67" customFormat="false" ht="13.5" hidden="false" customHeight="false" outlineLevel="0" collapsed="false">
      <c r="C67" s="112"/>
      <c r="D67" s="66"/>
      <c r="E67" s="66"/>
      <c r="F67" s="66"/>
      <c r="G67" s="66"/>
      <c r="H67" s="66"/>
      <c r="I67" s="66"/>
      <c r="K67" s="66"/>
      <c r="L67" s="66"/>
      <c r="M67" s="66"/>
      <c r="N67" s="66"/>
      <c r="O67" s="66"/>
      <c r="AQ67" s="66"/>
      <c r="AR67" s="66"/>
      <c r="AS67" s="66"/>
      <c r="AT67" s="66"/>
      <c r="AU67" s="66"/>
    </row>
    <row r="68" customFormat="false" ht="15" hidden="false" customHeight="false" outlineLevel="0" collapsed="false">
      <c r="C68" s="15"/>
      <c r="D68" s="283" t="s">
        <v>779</v>
      </c>
      <c r="E68" s="284"/>
      <c r="F68" s="283" t="s">
        <v>780</v>
      </c>
      <c r="G68" s="284"/>
      <c r="H68" s="283" t="s">
        <v>781</v>
      </c>
      <c r="I68" s="284"/>
      <c r="K68" s="282"/>
      <c r="L68" s="282"/>
      <c r="M68" s="282"/>
      <c r="N68" s="282"/>
      <c r="O68" s="282"/>
      <c r="AQ68" s="282"/>
      <c r="AR68" s="282"/>
      <c r="AS68" s="282"/>
      <c r="AT68" s="282"/>
      <c r="AU68" s="282"/>
    </row>
    <row r="69" customFormat="false" ht="13.5" hidden="false" customHeight="false" outlineLevel="0" collapsed="false">
      <c r="C69" s="16"/>
      <c r="D69" s="50"/>
      <c r="E69" s="50" t="s">
        <v>725</v>
      </c>
      <c r="F69" s="50"/>
      <c r="G69" s="50" t="s">
        <v>725</v>
      </c>
      <c r="H69" s="50"/>
      <c r="I69" s="50" t="s">
        <v>725</v>
      </c>
      <c r="K69" s="52"/>
      <c r="L69" s="52"/>
      <c r="M69" s="52"/>
      <c r="N69" s="52"/>
      <c r="O69" s="52"/>
      <c r="AQ69" s="52"/>
      <c r="AR69" s="52"/>
      <c r="AS69" s="52"/>
      <c r="AT69" s="52"/>
      <c r="AU69" s="52"/>
    </row>
    <row r="70" customFormat="false" ht="13.5" hidden="false" customHeight="false" outlineLevel="0" collapsed="false">
      <c r="C70" s="16" t="s">
        <v>1024</v>
      </c>
      <c r="D70" s="53" t="s">
        <v>726</v>
      </c>
      <c r="E70" s="53" t="s">
        <v>727</v>
      </c>
      <c r="F70" s="53" t="s">
        <v>726</v>
      </c>
      <c r="G70" s="53" t="s">
        <v>727</v>
      </c>
      <c r="H70" s="53" t="s">
        <v>726</v>
      </c>
      <c r="I70" s="53" t="s">
        <v>727</v>
      </c>
      <c r="K70" s="11"/>
      <c r="L70" s="412" t="s">
        <v>1193</v>
      </c>
      <c r="M70" s="413"/>
      <c r="N70" s="413"/>
      <c r="O70" s="413"/>
      <c r="P70" s="414"/>
      <c r="Q70" s="414"/>
      <c r="R70" s="414"/>
      <c r="S70" s="414"/>
      <c r="T70" s="414"/>
      <c r="U70" s="414"/>
      <c r="V70" s="414"/>
      <c r="W70" s="414"/>
      <c r="X70" s="414"/>
      <c r="Y70" s="414"/>
      <c r="Z70" s="414"/>
      <c r="AA70" s="414"/>
      <c r="AB70" s="414"/>
      <c r="AC70" s="414"/>
      <c r="AD70" s="414"/>
      <c r="AE70" s="414"/>
      <c r="AF70" s="414"/>
      <c r="AG70" s="414"/>
      <c r="AH70" s="414"/>
      <c r="AI70" s="414"/>
      <c r="AJ70" s="414"/>
      <c r="AK70" s="279"/>
      <c r="AQ70" s="11"/>
      <c r="AR70" s="412" t="s">
        <v>1193</v>
      </c>
      <c r="AS70" s="413"/>
      <c r="AT70" s="413"/>
      <c r="AU70" s="413"/>
      <c r="AV70" s="414"/>
      <c r="AW70" s="414"/>
      <c r="AX70" s="414"/>
      <c r="AY70" s="414"/>
      <c r="AZ70" s="414"/>
      <c r="BA70" s="414"/>
      <c r="BB70" s="414"/>
      <c r="BC70" s="414"/>
      <c r="BD70" s="414"/>
      <c r="BE70" s="414"/>
      <c r="BF70" s="414"/>
      <c r="BG70" s="414"/>
      <c r="BH70" s="414"/>
      <c r="BI70" s="414"/>
      <c r="BJ70" s="414"/>
      <c r="BK70" s="414"/>
      <c r="BL70" s="414"/>
      <c r="BM70" s="414"/>
      <c r="BN70" s="414"/>
      <c r="BO70" s="414"/>
      <c r="BP70" s="414"/>
      <c r="BQ70" s="279"/>
    </row>
    <row r="71" customFormat="false" ht="15" hidden="false" customHeight="false" outlineLevel="0" collapsed="false">
      <c r="C71" s="21" t="s">
        <v>783</v>
      </c>
      <c r="D71" s="55" t="s">
        <v>784</v>
      </c>
      <c r="E71" s="55" t="s">
        <v>784</v>
      </c>
      <c r="F71" s="55" t="s">
        <v>784</v>
      </c>
      <c r="G71" s="55" t="s">
        <v>784</v>
      </c>
      <c r="H71" s="55" t="s">
        <v>167</v>
      </c>
      <c r="I71" s="55" t="s">
        <v>167</v>
      </c>
      <c r="K71" s="415" t="s">
        <v>783</v>
      </c>
      <c r="L71" s="416" t="s">
        <v>32</v>
      </c>
      <c r="M71" s="417" t="s">
        <v>40</v>
      </c>
      <c r="N71" s="418" t="s">
        <v>41</v>
      </c>
      <c r="O71" s="418" t="s">
        <v>46</v>
      </c>
      <c r="P71" s="417" t="s">
        <v>48</v>
      </c>
      <c r="Q71" s="417" t="s">
        <v>49</v>
      </c>
      <c r="R71" s="418" t="s">
        <v>54</v>
      </c>
      <c r="S71" s="418" t="s">
        <v>59</v>
      </c>
      <c r="T71" s="418" t="s">
        <v>66</v>
      </c>
      <c r="U71" s="418" t="s">
        <v>68</v>
      </c>
      <c r="V71" s="418" t="s">
        <v>75</v>
      </c>
      <c r="W71" s="418" t="s">
        <v>82</v>
      </c>
      <c r="X71" s="418" t="s">
        <v>86</v>
      </c>
      <c r="Y71" s="418" t="s">
        <v>89</v>
      </c>
      <c r="Z71" s="417" t="s">
        <v>93</v>
      </c>
      <c r="AA71" s="418" t="s">
        <v>97</v>
      </c>
      <c r="AB71" s="418" t="s">
        <v>99</v>
      </c>
      <c r="AC71" s="417" t="s">
        <v>103</v>
      </c>
      <c r="AD71" s="418" t="s">
        <v>107</v>
      </c>
      <c r="AE71" s="417" t="s">
        <v>110</v>
      </c>
      <c r="AF71" s="418" t="s">
        <v>119</v>
      </c>
      <c r="AG71" s="418" t="s">
        <v>120</v>
      </c>
      <c r="AH71" s="418" t="s">
        <v>125</v>
      </c>
      <c r="AI71" s="417" t="s">
        <v>129</v>
      </c>
      <c r="AJ71" s="418" t="s">
        <v>132</v>
      </c>
      <c r="AK71" s="419" t="s">
        <v>1187</v>
      </c>
      <c r="AQ71" s="415" t="s">
        <v>783</v>
      </c>
      <c r="AR71" s="416" t="s">
        <v>32</v>
      </c>
      <c r="AS71" s="417" t="s">
        <v>40</v>
      </c>
      <c r="AT71" s="418" t="s">
        <v>41</v>
      </c>
      <c r="AU71" s="418" t="s">
        <v>46</v>
      </c>
      <c r="AV71" s="417" t="s">
        <v>48</v>
      </c>
      <c r="AW71" s="417" t="s">
        <v>49</v>
      </c>
      <c r="AX71" s="418" t="s">
        <v>54</v>
      </c>
      <c r="AY71" s="418" t="s">
        <v>59</v>
      </c>
      <c r="AZ71" s="418" t="s">
        <v>66</v>
      </c>
      <c r="BA71" s="418" t="s">
        <v>68</v>
      </c>
      <c r="BB71" s="418" t="s">
        <v>75</v>
      </c>
      <c r="BC71" s="418" t="s">
        <v>82</v>
      </c>
      <c r="BD71" s="418" t="s">
        <v>86</v>
      </c>
      <c r="BE71" s="418" t="s">
        <v>89</v>
      </c>
      <c r="BF71" s="417" t="s">
        <v>93</v>
      </c>
      <c r="BG71" s="418" t="s">
        <v>97</v>
      </c>
      <c r="BH71" s="418" t="s">
        <v>99</v>
      </c>
      <c r="BI71" s="417" t="s">
        <v>103</v>
      </c>
      <c r="BJ71" s="418" t="s">
        <v>107</v>
      </c>
      <c r="BK71" s="417" t="s">
        <v>110</v>
      </c>
      <c r="BL71" s="418" t="s">
        <v>119</v>
      </c>
      <c r="BM71" s="418" t="s">
        <v>120</v>
      </c>
      <c r="BN71" s="418" t="s">
        <v>125</v>
      </c>
      <c r="BO71" s="417" t="s">
        <v>129</v>
      </c>
      <c r="BP71" s="418" t="s">
        <v>132</v>
      </c>
      <c r="BQ71" s="419" t="s">
        <v>1187</v>
      </c>
    </row>
    <row r="72" customFormat="false" ht="12.75" hidden="false" customHeight="false" outlineLevel="0" collapsed="false">
      <c r="C72" s="456" t="s">
        <v>1025</v>
      </c>
      <c r="D72" s="285" t="n">
        <f aca="false">IF(F72="","",IF(H72="","",ROUND(F72-0.001*298.15*(H72-SUMPRODUCT(L72:AK72*AR$13:BQ$13)),3)))</f>
        <v>0</v>
      </c>
      <c r="E72" s="131" t="str">
        <f aca="false">IF(G72="","",IF(I72="","",ROUND(2*SQRT((0.5*G72)^2+(0.001*298.15)^2*((0.5*I72)^2+SUMPRODUCT(AR72:BQ72*AR$15:BQ$15))),3)))</f>
        <v/>
      </c>
      <c r="F72" s="322" t="s">
        <v>786</v>
      </c>
      <c r="G72" s="323"/>
      <c r="H72" s="322" t="s">
        <v>2050</v>
      </c>
      <c r="I72" s="323" t="s">
        <v>2055</v>
      </c>
      <c r="K72" s="425" t="s">
        <v>1025</v>
      </c>
      <c r="L72" s="426"/>
      <c r="M72" s="427"/>
      <c r="N72" s="427"/>
      <c r="O72" s="427"/>
      <c r="P72" s="428"/>
      <c r="Q72" s="428"/>
      <c r="R72" s="428"/>
      <c r="S72" s="428"/>
      <c r="T72" s="428"/>
      <c r="U72" s="428"/>
      <c r="V72" s="428"/>
      <c r="W72" s="428"/>
      <c r="X72" s="428"/>
      <c r="Y72" s="428"/>
      <c r="Z72" s="428"/>
      <c r="AA72" s="428"/>
      <c r="AB72" s="428"/>
      <c r="AC72" s="428"/>
      <c r="AD72" s="428" t="n">
        <v>1</v>
      </c>
      <c r="AE72" s="428"/>
      <c r="AF72" s="428"/>
      <c r="AG72" s="428"/>
      <c r="AH72" s="428"/>
      <c r="AI72" s="429"/>
      <c r="AJ72" s="428"/>
      <c r="AK72" s="430"/>
      <c r="AQ72" s="425" t="s">
        <v>1025</v>
      </c>
      <c r="AR72" s="431" t="n">
        <f aca="false">L72^2</f>
        <v>0</v>
      </c>
      <c r="AS72" s="432" t="n">
        <f aca="false">M72^2</f>
        <v>0</v>
      </c>
      <c r="AT72" s="432" t="n">
        <f aca="false">N72^2</f>
        <v>0</v>
      </c>
      <c r="AU72" s="432" t="n">
        <f aca="false">O72^2</f>
        <v>0</v>
      </c>
      <c r="AV72" s="432" t="n">
        <f aca="false">P72^2</f>
        <v>0</v>
      </c>
      <c r="AW72" s="432" t="n">
        <f aca="false">Q72^2</f>
        <v>0</v>
      </c>
      <c r="AX72" s="432" t="n">
        <f aca="false">R72^2</f>
        <v>0</v>
      </c>
      <c r="AY72" s="432" t="n">
        <f aca="false">S72^2</f>
        <v>0</v>
      </c>
      <c r="AZ72" s="432" t="n">
        <f aca="false">T72^2</f>
        <v>0</v>
      </c>
      <c r="BA72" s="432" t="n">
        <f aca="false">U72^2</f>
        <v>0</v>
      </c>
      <c r="BB72" s="432" t="n">
        <f aca="false">V72^2</f>
        <v>0</v>
      </c>
      <c r="BC72" s="432" t="n">
        <f aca="false">W72^2</f>
        <v>0</v>
      </c>
      <c r="BD72" s="432" t="n">
        <f aca="false">X72^2</f>
        <v>0</v>
      </c>
      <c r="BE72" s="432" t="n">
        <f aca="false">Y72^2</f>
        <v>0</v>
      </c>
      <c r="BF72" s="432" t="n">
        <f aca="false">Z72^2</f>
        <v>0</v>
      </c>
      <c r="BG72" s="432" t="n">
        <f aca="false">AA72^2</f>
        <v>0</v>
      </c>
      <c r="BH72" s="432" t="n">
        <f aca="false">AB72^2</f>
        <v>0</v>
      </c>
      <c r="BI72" s="432" t="n">
        <f aca="false">AC72^2</f>
        <v>0</v>
      </c>
      <c r="BJ72" s="432" t="n">
        <f aca="false">AD72^2</f>
        <v>1</v>
      </c>
      <c r="BK72" s="432" t="n">
        <f aca="false">AE72^2</f>
        <v>0</v>
      </c>
      <c r="BL72" s="432" t="n">
        <f aca="false">AF72^2</f>
        <v>0</v>
      </c>
      <c r="BM72" s="432" t="n">
        <f aca="false">AG72^2</f>
        <v>0</v>
      </c>
      <c r="BN72" s="432" t="n">
        <f aca="false">AH72^2</f>
        <v>0</v>
      </c>
      <c r="BO72" s="432" t="n">
        <f aca="false">AI72^2</f>
        <v>0</v>
      </c>
      <c r="BP72" s="432" t="n">
        <f aca="false">AJ72^2</f>
        <v>0</v>
      </c>
      <c r="BQ72" s="433" t="n">
        <f aca="false">-SIGN(AK72)*AK72^2</f>
        <v>0</v>
      </c>
    </row>
    <row r="73" customFormat="false" ht="12.75" hidden="false" customHeight="false" outlineLevel="0" collapsed="false">
      <c r="C73" s="354" t="s">
        <v>1026</v>
      </c>
      <c r="D73" s="290" t="n">
        <f aca="false">IF(F73="","",IF(H73="","",ROUND(F73-0.001*298.15*(H73-SUMPRODUCT(L73:AK73*AR$13:BQ$13)),3)))</f>
        <v>0</v>
      </c>
      <c r="E73" s="137" t="str">
        <f aca="false">IF(G73="","",IF(I73="","",ROUND(2*SQRT((0.5*G73)^2+(0.001*298.15)^2*((0.5*I73)^2+SUMPRODUCT(AR73:BQ73*AR$15:BQ$15))),3)))</f>
        <v/>
      </c>
      <c r="F73" s="300" t="s">
        <v>786</v>
      </c>
      <c r="G73" s="301"/>
      <c r="H73" s="300" t="s">
        <v>541</v>
      </c>
      <c r="I73" s="301" t="s">
        <v>2055</v>
      </c>
      <c r="K73" s="342" t="s">
        <v>1026</v>
      </c>
      <c r="L73" s="434"/>
      <c r="M73" s="435"/>
      <c r="N73" s="435"/>
      <c r="O73" s="435"/>
      <c r="P73" s="436"/>
      <c r="Q73" s="436"/>
      <c r="R73" s="436"/>
      <c r="S73" s="436"/>
      <c r="T73" s="436"/>
      <c r="U73" s="436"/>
      <c r="V73" s="436" t="n">
        <v>1</v>
      </c>
      <c r="W73" s="436"/>
      <c r="X73" s="436"/>
      <c r="Y73" s="436"/>
      <c r="Z73" s="436"/>
      <c r="AA73" s="436"/>
      <c r="AB73" s="436"/>
      <c r="AC73" s="436"/>
      <c r="AD73" s="436"/>
      <c r="AE73" s="436"/>
      <c r="AF73" s="436"/>
      <c r="AG73" s="436"/>
      <c r="AH73" s="436"/>
      <c r="AI73" s="437"/>
      <c r="AJ73" s="436"/>
      <c r="AK73" s="438"/>
      <c r="AQ73" s="342" t="s">
        <v>1026</v>
      </c>
      <c r="AR73" s="439" t="n">
        <f aca="false">L73^2</f>
        <v>0</v>
      </c>
      <c r="AS73" s="440" t="n">
        <f aca="false">M73^2</f>
        <v>0</v>
      </c>
      <c r="AT73" s="440" t="n">
        <f aca="false">N73^2</f>
        <v>0</v>
      </c>
      <c r="AU73" s="440" t="n">
        <f aca="false">O73^2</f>
        <v>0</v>
      </c>
      <c r="AV73" s="440" t="n">
        <f aca="false">P73^2</f>
        <v>0</v>
      </c>
      <c r="AW73" s="440" t="n">
        <f aca="false">Q73^2</f>
        <v>0</v>
      </c>
      <c r="AX73" s="440" t="n">
        <f aca="false">R73^2</f>
        <v>0</v>
      </c>
      <c r="AY73" s="440" t="n">
        <f aca="false">S73^2</f>
        <v>0</v>
      </c>
      <c r="AZ73" s="440" t="n">
        <f aca="false">T73^2</f>
        <v>0</v>
      </c>
      <c r="BA73" s="440" t="n">
        <f aca="false">U73^2</f>
        <v>0</v>
      </c>
      <c r="BB73" s="440" t="n">
        <f aca="false">V73^2</f>
        <v>1</v>
      </c>
      <c r="BC73" s="440" t="n">
        <f aca="false">W73^2</f>
        <v>0</v>
      </c>
      <c r="BD73" s="440" t="n">
        <f aca="false">X73^2</f>
        <v>0</v>
      </c>
      <c r="BE73" s="440" t="n">
        <f aca="false">Y73^2</f>
        <v>0</v>
      </c>
      <c r="BF73" s="440" t="n">
        <f aca="false">Z73^2</f>
        <v>0</v>
      </c>
      <c r="BG73" s="440" t="n">
        <f aca="false">AA73^2</f>
        <v>0</v>
      </c>
      <c r="BH73" s="440" t="n">
        <f aca="false">AB73^2</f>
        <v>0</v>
      </c>
      <c r="BI73" s="440" t="n">
        <f aca="false">AC73^2</f>
        <v>0</v>
      </c>
      <c r="BJ73" s="440" t="n">
        <f aca="false">AD73^2</f>
        <v>0</v>
      </c>
      <c r="BK73" s="440" t="n">
        <f aca="false">AE73^2</f>
        <v>0</v>
      </c>
      <c r="BL73" s="440" t="n">
        <f aca="false">AF73^2</f>
        <v>0</v>
      </c>
      <c r="BM73" s="440" t="n">
        <f aca="false">AG73^2</f>
        <v>0</v>
      </c>
      <c r="BN73" s="440" t="n">
        <f aca="false">AH73^2</f>
        <v>0</v>
      </c>
      <c r="BO73" s="440" t="n">
        <f aca="false">AI73^2</f>
        <v>0</v>
      </c>
      <c r="BP73" s="440" t="n">
        <f aca="false">AJ73^2</f>
        <v>0</v>
      </c>
      <c r="BQ73" s="441" t="n">
        <f aca="false">-SIGN(AK73)*AK73^2</f>
        <v>-0</v>
      </c>
    </row>
    <row r="74" customFormat="false" ht="12.75" hidden="false" customHeight="false" outlineLevel="0" collapsed="false">
      <c r="C74" s="345" t="s">
        <v>1027</v>
      </c>
      <c r="D74" s="290" t="n">
        <f aca="false">IF(F74="","",IF(H74="","",ROUND(F74-0.001*298.15*(H74-SUMPRODUCT(L74:AK74*AR$13:BQ$13)),3)))</f>
        <v>-228.587</v>
      </c>
      <c r="E74" s="137" t="n">
        <f aca="false">IF(G74="","",IF(I74="","",ROUND(2*SQRT((0.5*G74)^2+(0.001*298.15)^2*((0.5*I74)^2+SUMPRODUCT(AR74:BQ74*AR$15:BQ$15))),3)))</f>
        <v>0.045</v>
      </c>
      <c r="F74" s="291" t="s">
        <v>1669</v>
      </c>
      <c r="G74" s="292" t="s">
        <v>2057</v>
      </c>
      <c r="H74" s="291" t="s">
        <v>2051</v>
      </c>
      <c r="I74" s="292" t="s">
        <v>789</v>
      </c>
      <c r="K74" s="342" t="s">
        <v>1027</v>
      </c>
      <c r="L74" s="434"/>
      <c r="M74" s="435"/>
      <c r="N74" s="435"/>
      <c r="O74" s="435"/>
      <c r="P74" s="436"/>
      <c r="Q74" s="436"/>
      <c r="R74" s="436"/>
      <c r="S74" s="436"/>
      <c r="T74" s="436"/>
      <c r="U74" s="436"/>
      <c r="V74" s="436" t="n">
        <v>1</v>
      </c>
      <c r="W74" s="436"/>
      <c r="X74" s="436"/>
      <c r="Y74" s="436"/>
      <c r="Z74" s="436"/>
      <c r="AA74" s="436"/>
      <c r="AB74" s="436"/>
      <c r="AC74" s="436"/>
      <c r="AD74" s="436" t="n">
        <v>0.5</v>
      </c>
      <c r="AE74" s="436"/>
      <c r="AF74" s="436"/>
      <c r="AG74" s="436"/>
      <c r="AH74" s="436"/>
      <c r="AI74" s="437"/>
      <c r="AJ74" s="436"/>
      <c r="AK74" s="438"/>
      <c r="AQ74" s="342" t="s">
        <v>1027</v>
      </c>
      <c r="AR74" s="439" t="n">
        <f aca="false">L74^2</f>
        <v>0</v>
      </c>
      <c r="AS74" s="440" t="n">
        <f aca="false">M74^2</f>
        <v>0</v>
      </c>
      <c r="AT74" s="440" t="n">
        <f aca="false">N74^2</f>
        <v>0</v>
      </c>
      <c r="AU74" s="440" t="n">
        <f aca="false">O74^2</f>
        <v>0</v>
      </c>
      <c r="AV74" s="440" t="n">
        <f aca="false">P74^2</f>
        <v>0</v>
      </c>
      <c r="AW74" s="440" t="n">
        <f aca="false">Q74^2</f>
        <v>0</v>
      </c>
      <c r="AX74" s="440" t="n">
        <f aca="false">R74^2</f>
        <v>0</v>
      </c>
      <c r="AY74" s="440" t="n">
        <f aca="false">S74^2</f>
        <v>0</v>
      </c>
      <c r="AZ74" s="440" t="n">
        <f aca="false">T74^2</f>
        <v>0</v>
      </c>
      <c r="BA74" s="440" t="n">
        <f aca="false">U74^2</f>
        <v>0</v>
      </c>
      <c r="BB74" s="440" t="n">
        <f aca="false">V74^2</f>
        <v>1</v>
      </c>
      <c r="BC74" s="440" t="n">
        <f aca="false">W74^2</f>
        <v>0</v>
      </c>
      <c r="BD74" s="440" t="n">
        <f aca="false">X74^2</f>
        <v>0</v>
      </c>
      <c r="BE74" s="440" t="n">
        <f aca="false">Y74^2</f>
        <v>0</v>
      </c>
      <c r="BF74" s="440" t="n">
        <f aca="false">Z74^2</f>
        <v>0</v>
      </c>
      <c r="BG74" s="440" t="n">
        <f aca="false">AA74^2</f>
        <v>0</v>
      </c>
      <c r="BH74" s="440" t="n">
        <f aca="false">AB74^2</f>
        <v>0</v>
      </c>
      <c r="BI74" s="440" t="n">
        <f aca="false">AC74^2</f>
        <v>0</v>
      </c>
      <c r="BJ74" s="440" t="n">
        <f aca="false">AD74^2</f>
        <v>0.25</v>
      </c>
      <c r="BK74" s="440" t="n">
        <f aca="false">AE74^2</f>
        <v>0</v>
      </c>
      <c r="BL74" s="440" t="n">
        <f aca="false">AF74^2</f>
        <v>0</v>
      </c>
      <c r="BM74" s="440" t="n">
        <f aca="false">AG74^2</f>
        <v>0</v>
      </c>
      <c r="BN74" s="440" t="n">
        <f aca="false">AH74^2</f>
        <v>0</v>
      </c>
      <c r="BO74" s="440" t="n">
        <f aca="false">AI74^2</f>
        <v>0</v>
      </c>
      <c r="BP74" s="440" t="n">
        <f aca="false">AJ74^2</f>
        <v>0</v>
      </c>
      <c r="BQ74" s="441" t="n">
        <f aca="false">-SIGN(AK74)*AK74^2</f>
        <v>-0</v>
      </c>
    </row>
    <row r="75" customFormat="false" ht="13.5" hidden="false" customHeight="false" outlineLevel="0" collapsed="false">
      <c r="C75" s="375" t="s">
        <v>1031</v>
      </c>
      <c r="D75" s="305" t="n">
        <f aca="false">IF(F75="","",IF(H75="","",ROUND(F75-0.001*298.15*(H75-SUMPRODUCT(L75:AK75*AR$13:BQ$13)),3)))</f>
        <v>-394.375</v>
      </c>
      <c r="E75" s="145" t="n">
        <f aca="false">IF(G75="","",IF(I75="","",ROUND(2*SQRT((0.5*G75)^2+(0.001*298.15)^2*((0.5*I75)^2+SUMPRODUCT(AR75:BQ75*AR$15:BQ$15))),3)))</f>
        <v>0.136</v>
      </c>
      <c r="F75" s="306" t="s">
        <v>1032</v>
      </c>
      <c r="G75" s="307" t="s">
        <v>1033</v>
      </c>
      <c r="H75" s="306" t="s">
        <v>2052</v>
      </c>
      <c r="I75" s="307" t="s">
        <v>789</v>
      </c>
      <c r="K75" s="374" t="s">
        <v>1031</v>
      </c>
      <c r="L75" s="447"/>
      <c r="M75" s="448"/>
      <c r="N75" s="448"/>
      <c r="O75" s="448"/>
      <c r="P75" s="449" t="n">
        <v>1</v>
      </c>
      <c r="Q75" s="449"/>
      <c r="R75" s="449"/>
      <c r="S75" s="449"/>
      <c r="T75" s="449"/>
      <c r="U75" s="449"/>
      <c r="V75" s="449"/>
      <c r="W75" s="449"/>
      <c r="X75" s="449"/>
      <c r="Y75" s="449"/>
      <c r="Z75" s="449"/>
      <c r="AA75" s="449"/>
      <c r="AB75" s="449"/>
      <c r="AC75" s="449"/>
      <c r="AD75" s="449" t="n">
        <v>1</v>
      </c>
      <c r="AE75" s="449"/>
      <c r="AF75" s="449"/>
      <c r="AG75" s="449"/>
      <c r="AH75" s="449"/>
      <c r="AI75" s="450"/>
      <c r="AJ75" s="449"/>
      <c r="AK75" s="451"/>
      <c r="AQ75" s="374" t="s">
        <v>1031</v>
      </c>
      <c r="AR75" s="452" t="n">
        <f aca="false">L75^2</f>
        <v>0</v>
      </c>
      <c r="AS75" s="453" t="n">
        <f aca="false">M75^2</f>
        <v>0</v>
      </c>
      <c r="AT75" s="453" t="n">
        <f aca="false">N75^2</f>
        <v>0</v>
      </c>
      <c r="AU75" s="453" t="n">
        <f aca="false">O75^2</f>
        <v>0</v>
      </c>
      <c r="AV75" s="453" t="n">
        <f aca="false">P75^2</f>
        <v>1</v>
      </c>
      <c r="AW75" s="453" t="n">
        <f aca="false">Q75^2</f>
        <v>0</v>
      </c>
      <c r="AX75" s="453" t="n">
        <f aca="false">R75^2</f>
        <v>0</v>
      </c>
      <c r="AY75" s="453" t="n">
        <f aca="false">S75^2</f>
        <v>0</v>
      </c>
      <c r="AZ75" s="453" t="n">
        <f aca="false">T75^2</f>
        <v>0</v>
      </c>
      <c r="BA75" s="453" t="n">
        <f aca="false">U75^2</f>
        <v>0</v>
      </c>
      <c r="BB75" s="453" t="n">
        <f aca="false">V75^2</f>
        <v>0</v>
      </c>
      <c r="BC75" s="453" t="n">
        <f aca="false">W75^2</f>
        <v>0</v>
      </c>
      <c r="BD75" s="453" t="n">
        <f aca="false">X75^2</f>
        <v>0</v>
      </c>
      <c r="BE75" s="453" t="n">
        <f aca="false">Y75^2</f>
        <v>0</v>
      </c>
      <c r="BF75" s="453" t="n">
        <f aca="false">Z75^2</f>
        <v>0</v>
      </c>
      <c r="BG75" s="453" t="n">
        <f aca="false">AA75^2</f>
        <v>0</v>
      </c>
      <c r="BH75" s="453" t="n">
        <f aca="false">AB75^2</f>
        <v>0</v>
      </c>
      <c r="BI75" s="453" t="n">
        <f aca="false">AC75^2</f>
        <v>0</v>
      </c>
      <c r="BJ75" s="453" t="n">
        <f aca="false">AD75^2</f>
        <v>1</v>
      </c>
      <c r="BK75" s="453" t="n">
        <f aca="false">AE75^2</f>
        <v>0</v>
      </c>
      <c r="BL75" s="453" t="n">
        <f aca="false">AF75^2</f>
        <v>0</v>
      </c>
      <c r="BM75" s="453" t="n">
        <f aca="false">AG75^2</f>
        <v>0</v>
      </c>
      <c r="BN75" s="453" t="n">
        <f aca="false">AH75^2</f>
        <v>0</v>
      </c>
      <c r="BO75" s="453" t="n">
        <f aca="false">AI75^2</f>
        <v>0</v>
      </c>
      <c r="BP75" s="453" t="n">
        <f aca="false">AJ75^2</f>
        <v>0</v>
      </c>
      <c r="BQ75" s="454" t="n">
        <f aca="false">-SIGN(AK75)*AK75^2</f>
        <v>-0</v>
      </c>
    </row>
    <row r="76" customFormat="false" ht="12.75" hidden="false" customHeight="false" outlineLevel="0" collapsed="false">
      <c r="C76" s="112"/>
      <c r="D76" s="66"/>
      <c r="E76" s="66"/>
      <c r="F76" s="66"/>
      <c r="G76" s="66"/>
      <c r="H76" s="66"/>
      <c r="I76" s="66"/>
      <c r="K76" s="66"/>
      <c r="L76" s="66"/>
      <c r="M76" s="66"/>
      <c r="N76" s="66"/>
      <c r="O76" s="66"/>
      <c r="AQ76" s="66"/>
      <c r="AR76" s="66"/>
      <c r="AS76" s="66"/>
      <c r="AT76" s="66"/>
      <c r="AU76" s="66"/>
    </row>
    <row r="77" customFormat="false" ht="12.75" hidden="false" customHeight="false" outlineLevel="0" collapsed="false">
      <c r="C77" s="112"/>
      <c r="D77" s="66"/>
      <c r="E77" s="66"/>
      <c r="F77" s="66"/>
      <c r="G77" s="66"/>
      <c r="H77" s="66"/>
      <c r="I77" s="66"/>
      <c r="K77" s="66"/>
      <c r="L77" s="66"/>
      <c r="M77" s="66"/>
      <c r="N77" s="66"/>
      <c r="O77" s="66"/>
      <c r="AQ77" s="66"/>
      <c r="AR77" s="66"/>
      <c r="AS77" s="66"/>
      <c r="AT77" s="66"/>
      <c r="AU77" s="66"/>
    </row>
    <row r="78" customFormat="false" ht="14.25" hidden="false" customHeight="true" outlineLevel="0" collapsed="false">
      <c r="C78" s="112"/>
      <c r="D78" s="66"/>
      <c r="E78" s="66"/>
      <c r="F78" s="66"/>
      <c r="G78" s="66"/>
      <c r="H78" s="66"/>
      <c r="I78" s="66"/>
      <c r="K78" s="66"/>
      <c r="L78" s="66"/>
      <c r="M78" s="66"/>
      <c r="N78" s="66"/>
      <c r="O78" s="66"/>
      <c r="AQ78" s="66"/>
      <c r="AR78" s="66"/>
      <c r="AS78" s="66"/>
      <c r="AT78" s="66"/>
      <c r="AU78" s="66"/>
    </row>
    <row r="79" customFormat="false" ht="15" hidden="false" customHeight="false" outlineLevel="0" collapsed="false">
      <c r="B79" s="15"/>
      <c r="C79" s="15"/>
      <c r="D79" s="283" t="s">
        <v>779</v>
      </c>
      <c r="E79" s="284"/>
      <c r="F79" s="283" t="s">
        <v>780</v>
      </c>
      <c r="G79" s="284"/>
      <c r="H79" s="283" t="s">
        <v>781</v>
      </c>
      <c r="I79" s="284"/>
      <c r="K79" s="282"/>
      <c r="L79" s="282"/>
      <c r="M79" s="282"/>
      <c r="N79" s="282"/>
      <c r="O79" s="282"/>
      <c r="AQ79" s="282"/>
      <c r="AR79" s="282"/>
      <c r="AS79" s="282"/>
      <c r="AT79" s="282"/>
      <c r="AU79" s="282"/>
    </row>
    <row r="80" customFormat="false" ht="13.5" hidden="false" customHeight="false" outlineLevel="0" collapsed="false">
      <c r="B80" s="16"/>
      <c r="C80" s="16"/>
      <c r="D80" s="50"/>
      <c r="E80" s="50" t="s">
        <v>725</v>
      </c>
      <c r="F80" s="50"/>
      <c r="G80" s="50" t="s">
        <v>725</v>
      </c>
      <c r="H80" s="50"/>
      <c r="I80" s="50" t="s">
        <v>725</v>
      </c>
      <c r="K80" s="52"/>
      <c r="L80" s="52"/>
      <c r="M80" s="52"/>
      <c r="N80" s="52"/>
      <c r="O80" s="52"/>
      <c r="AQ80" s="52"/>
      <c r="AR80" s="52"/>
      <c r="AS80" s="52"/>
      <c r="AT80" s="52"/>
      <c r="AU80" s="52"/>
    </row>
    <row r="81" customFormat="false" ht="13.5" hidden="false" customHeight="false" outlineLevel="0" collapsed="false">
      <c r="B81" s="16" t="s">
        <v>1039</v>
      </c>
      <c r="C81" s="16" t="s">
        <v>1039</v>
      </c>
      <c r="D81" s="53" t="s">
        <v>726</v>
      </c>
      <c r="E81" s="53" t="s">
        <v>727</v>
      </c>
      <c r="F81" s="53" t="s">
        <v>726</v>
      </c>
      <c r="G81" s="53" t="s">
        <v>727</v>
      </c>
      <c r="H81" s="53" t="s">
        <v>726</v>
      </c>
      <c r="I81" s="53" t="s">
        <v>727</v>
      </c>
      <c r="K81" s="11"/>
      <c r="L81" s="412" t="s">
        <v>1193</v>
      </c>
      <c r="M81" s="413"/>
      <c r="N81" s="413"/>
      <c r="O81" s="413"/>
      <c r="P81" s="414"/>
      <c r="Q81" s="414"/>
      <c r="R81" s="414"/>
      <c r="S81" s="414"/>
      <c r="T81" s="414"/>
      <c r="U81" s="414"/>
      <c r="V81" s="414"/>
      <c r="W81" s="414"/>
      <c r="X81" s="414"/>
      <c r="Y81" s="414"/>
      <c r="Z81" s="414"/>
      <c r="AA81" s="414"/>
      <c r="AB81" s="414"/>
      <c r="AC81" s="414"/>
      <c r="AD81" s="414"/>
      <c r="AE81" s="414"/>
      <c r="AF81" s="414"/>
      <c r="AG81" s="414"/>
      <c r="AH81" s="414"/>
      <c r="AI81" s="414"/>
      <c r="AJ81" s="414"/>
      <c r="AK81" s="279"/>
      <c r="AQ81" s="11"/>
      <c r="AR81" s="412" t="s">
        <v>1193</v>
      </c>
      <c r="AS81" s="413"/>
      <c r="AT81" s="413"/>
      <c r="AU81" s="413"/>
      <c r="AV81" s="414"/>
      <c r="AW81" s="414"/>
      <c r="AX81" s="414"/>
      <c r="AY81" s="414"/>
      <c r="AZ81" s="414"/>
      <c r="BA81" s="414"/>
      <c r="BB81" s="414"/>
      <c r="BC81" s="414"/>
      <c r="BD81" s="414"/>
      <c r="BE81" s="414"/>
      <c r="BF81" s="414"/>
      <c r="BG81" s="414"/>
      <c r="BH81" s="414"/>
      <c r="BI81" s="414"/>
      <c r="BJ81" s="414"/>
      <c r="BK81" s="414"/>
      <c r="BL81" s="414"/>
      <c r="BM81" s="414"/>
      <c r="BN81" s="414"/>
      <c r="BO81" s="414"/>
      <c r="BP81" s="414"/>
      <c r="BQ81" s="279"/>
    </row>
    <row r="82" customFormat="false" ht="15" hidden="false" customHeight="false" outlineLevel="0" collapsed="false">
      <c r="B82" s="21" t="s">
        <v>1040</v>
      </c>
      <c r="C82" s="21" t="s">
        <v>783</v>
      </c>
      <c r="D82" s="55" t="s">
        <v>784</v>
      </c>
      <c r="E82" s="55" t="s">
        <v>784</v>
      </c>
      <c r="F82" s="55" t="s">
        <v>784</v>
      </c>
      <c r="G82" s="55" t="s">
        <v>784</v>
      </c>
      <c r="H82" s="55" t="s">
        <v>167</v>
      </c>
      <c r="I82" s="55" t="s">
        <v>167</v>
      </c>
      <c r="K82" s="415" t="s">
        <v>783</v>
      </c>
      <c r="L82" s="416" t="s">
        <v>32</v>
      </c>
      <c r="M82" s="417" t="s">
        <v>40</v>
      </c>
      <c r="N82" s="418" t="s">
        <v>41</v>
      </c>
      <c r="O82" s="418" t="s">
        <v>46</v>
      </c>
      <c r="P82" s="417" t="s">
        <v>48</v>
      </c>
      <c r="Q82" s="417" t="s">
        <v>49</v>
      </c>
      <c r="R82" s="418" t="s">
        <v>54</v>
      </c>
      <c r="S82" s="418" t="s">
        <v>59</v>
      </c>
      <c r="T82" s="418" t="s">
        <v>66</v>
      </c>
      <c r="U82" s="418" t="s">
        <v>68</v>
      </c>
      <c r="V82" s="418" t="s">
        <v>75</v>
      </c>
      <c r="W82" s="418" t="s">
        <v>82</v>
      </c>
      <c r="X82" s="418" t="s">
        <v>86</v>
      </c>
      <c r="Y82" s="418" t="s">
        <v>89</v>
      </c>
      <c r="Z82" s="417" t="s">
        <v>93</v>
      </c>
      <c r="AA82" s="418" t="s">
        <v>97</v>
      </c>
      <c r="AB82" s="418" t="s">
        <v>99</v>
      </c>
      <c r="AC82" s="417" t="s">
        <v>103</v>
      </c>
      <c r="AD82" s="418" t="s">
        <v>107</v>
      </c>
      <c r="AE82" s="417" t="s">
        <v>110</v>
      </c>
      <c r="AF82" s="418" t="s">
        <v>119</v>
      </c>
      <c r="AG82" s="418" t="s">
        <v>120</v>
      </c>
      <c r="AH82" s="418" t="s">
        <v>125</v>
      </c>
      <c r="AI82" s="417" t="s">
        <v>129</v>
      </c>
      <c r="AJ82" s="418" t="s">
        <v>132</v>
      </c>
      <c r="AK82" s="419" t="s">
        <v>1187</v>
      </c>
      <c r="AQ82" s="415" t="s">
        <v>783</v>
      </c>
      <c r="AR82" s="416" t="s">
        <v>32</v>
      </c>
      <c r="AS82" s="417" t="s">
        <v>40</v>
      </c>
      <c r="AT82" s="418" t="s">
        <v>41</v>
      </c>
      <c r="AU82" s="418" t="s">
        <v>46</v>
      </c>
      <c r="AV82" s="417" t="s">
        <v>48</v>
      </c>
      <c r="AW82" s="417" t="s">
        <v>49</v>
      </c>
      <c r="AX82" s="418" t="s">
        <v>54</v>
      </c>
      <c r="AY82" s="418" t="s">
        <v>59</v>
      </c>
      <c r="AZ82" s="418" t="s">
        <v>66</v>
      </c>
      <c r="BA82" s="418" t="s">
        <v>68</v>
      </c>
      <c r="BB82" s="418" t="s">
        <v>75</v>
      </c>
      <c r="BC82" s="418" t="s">
        <v>82</v>
      </c>
      <c r="BD82" s="418" t="s">
        <v>86</v>
      </c>
      <c r="BE82" s="418" t="s">
        <v>89</v>
      </c>
      <c r="BF82" s="417" t="s">
        <v>93</v>
      </c>
      <c r="BG82" s="418" t="s">
        <v>97</v>
      </c>
      <c r="BH82" s="418" t="s">
        <v>99</v>
      </c>
      <c r="BI82" s="417" t="s">
        <v>103</v>
      </c>
      <c r="BJ82" s="418" t="s">
        <v>107</v>
      </c>
      <c r="BK82" s="417" t="s">
        <v>110</v>
      </c>
      <c r="BL82" s="418" t="s">
        <v>119</v>
      </c>
      <c r="BM82" s="418" t="s">
        <v>120</v>
      </c>
      <c r="BN82" s="418" t="s">
        <v>125</v>
      </c>
      <c r="BO82" s="417" t="s">
        <v>129</v>
      </c>
      <c r="BP82" s="418" t="s">
        <v>132</v>
      </c>
      <c r="BQ82" s="419" t="s">
        <v>1187</v>
      </c>
    </row>
    <row r="83" customFormat="false" ht="12.75" hidden="false" customHeight="false" outlineLevel="0" collapsed="false">
      <c r="B83" s="335" t="s">
        <v>187</v>
      </c>
      <c r="C83" s="335" t="s">
        <v>187</v>
      </c>
      <c r="D83" s="285" t="str">
        <f aca="false">IF(F83="","",IF(H83="","",ROUND(F83-0.001*298.15*(H83-SUMPRODUCT(L83:AK83*AR$13:BQ$13)),3)))</f>
        <v/>
      </c>
      <c r="E83" s="131" t="str">
        <f aca="false">IF(G83="","",IF(I83="","",ROUND(2*SQRT((0.5*G83)^2+(0.001*298.15)^2*((0.5*I83)^2+SUMPRODUCT(AR83:BQ83*AR$15:BQ$15))),3)))</f>
        <v/>
      </c>
      <c r="F83" s="336"/>
      <c r="G83" s="337"/>
      <c r="H83" s="336"/>
      <c r="I83" s="337"/>
      <c r="K83" s="335" t="s">
        <v>187</v>
      </c>
      <c r="L83" s="426"/>
      <c r="M83" s="427"/>
      <c r="N83" s="427"/>
      <c r="O83" s="427"/>
      <c r="P83" s="428"/>
      <c r="Q83" s="428"/>
      <c r="R83" s="428"/>
      <c r="S83" s="428"/>
      <c r="T83" s="428"/>
      <c r="U83" s="428"/>
      <c r="V83" s="428"/>
      <c r="W83" s="428"/>
      <c r="X83" s="428"/>
      <c r="Y83" s="428"/>
      <c r="Z83" s="428"/>
      <c r="AA83" s="428"/>
      <c r="AB83" s="428"/>
      <c r="AC83" s="428"/>
      <c r="AD83" s="428"/>
      <c r="AE83" s="428" t="n">
        <v>1</v>
      </c>
      <c r="AF83" s="428"/>
      <c r="AG83" s="428"/>
      <c r="AH83" s="428"/>
      <c r="AI83" s="429"/>
      <c r="AJ83" s="428"/>
      <c r="AK83" s="430"/>
      <c r="AQ83" s="335" t="s">
        <v>187</v>
      </c>
      <c r="AR83" s="431" t="n">
        <f aca="false">L83^2</f>
        <v>0</v>
      </c>
      <c r="AS83" s="432" t="n">
        <f aca="false">M83^2</f>
        <v>0</v>
      </c>
      <c r="AT83" s="432" t="n">
        <f aca="false">N83^2</f>
        <v>0</v>
      </c>
      <c r="AU83" s="432" t="n">
        <f aca="false">O83^2</f>
        <v>0</v>
      </c>
      <c r="AV83" s="432" t="n">
        <f aca="false">P83^2</f>
        <v>0</v>
      </c>
      <c r="AW83" s="432" t="n">
        <f aca="false">Q83^2</f>
        <v>0</v>
      </c>
      <c r="AX83" s="432" t="n">
        <f aca="false">R83^2</f>
        <v>0</v>
      </c>
      <c r="AY83" s="432" t="n">
        <f aca="false">S83^2</f>
        <v>0</v>
      </c>
      <c r="AZ83" s="432" t="n">
        <f aca="false">T83^2</f>
        <v>0</v>
      </c>
      <c r="BA83" s="432" t="n">
        <f aca="false">U83^2</f>
        <v>0</v>
      </c>
      <c r="BB83" s="432" t="n">
        <f aca="false">V83^2</f>
        <v>0</v>
      </c>
      <c r="BC83" s="432" t="n">
        <f aca="false">W83^2</f>
        <v>0</v>
      </c>
      <c r="BD83" s="432" t="n">
        <f aca="false">X83^2</f>
        <v>0</v>
      </c>
      <c r="BE83" s="432" t="n">
        <f aca="false">Y83^2</f>
        <v>0</v>
      </c>
      <c r="BF83" s="432" t="n">
        <f aca="false">Z83^2</f>
        <v>0</v>
      </c>
      <c r="BG83" s="432" t="n">
        <f aca="false">AA83^2</f>
        <v>0</v>
      </c>
      <c r="BH83" s="432" t="n">
        <f aca="false">AB83^2</f>
        <v>0</v>
      </c>
      <c r="BI83" s="432" t="n">
        <f aca="false">AC83^2</f>
        <v>0</v>
      </c>
      <c r="BJ83" s="432" t="n">
        <f aca="false">AD83^2</f>
        <v>0</v>
      </c>
      <c r="BK83" s="432" t="n">
        <f aca="false">AE83^2</f>
        <v>1</v>
      </c>
      <c r="BL83" s="432" t="n">
        <f aca="false">AF83^2</f>
        <v>0</v>
      </c>
      <c r="BM83" s="432" t="n">
        <f aca="false">AG83^2</f>
        <v>0</v>
      </c>
      <c r="BN83" s="432" t="n">
        <f aca="false">AH83^2</f>
        <v>0</v>
      </c>
      <c r="BO83" s="432" t="n">
        <f aca="false">AI83^2</f>
        <v>0</v>
      </c>
      <c r="BP83" s="432" t="n">
        <f aca="false">AJ83^2</f>
        <v>0</v>
      </c>
      <c r="BQ83" s="433" t="n">
        <f aca="false">-SIGN(AK83)*AK83^2</f>
        <v>0</v>
      </c>
    </row>
    <row r="84" customFormat="false" ht="12.75" hidden="false" customHeight="false" outlineLevel="0" collapsed="false">
      <c r="B84" s="342" t="s">
        <v>188</v>
      </c>
      <c r="C84" s="342" t="s">
        <v>188</v>
      </c>
      <c r="D84" s="290" t="str">
        <f aca="false">IF(F84="","",IF(H84="","",ROUND(F84-0.001*298.15*(H84-SUMPRODUCT(L84:AK84*AR$13:BQ$13)),3)))</f>
        <v/>
      </c>
      <c r="E84" s="137" t="str">
        <f aca="false">IF(G84="","",IF(I84="","",ROUND(2*SQRT((0.5*G84)^2+(0.001*298.15)^2*((0.5*I84)^2+SUMPRODUCT(AR84:BQ84*AR$15:BQ$15))),3)))</f>
        <v/>
      </c>
      <c r="F84" s="291"/>
      <c r="G84" s="292"/>
      <c r="H84" s="295"/>
      <c r="I84" s="297"/>
      <c r="K84" s="342" t="s">
        <v>188</v>
      </c>
      <c r="L84" s="434"/>
      <c r="M84" s="435"/>
      <c r="N84" s="435"/>
      <c r="O84" s="435"/>
      <c r="P84" s="436"/>
      <c r="Q84" s="436"/>
      <c r="R84" s="436"/>
      <c r="S84" s="436"/>
      <c r="T84" s="436"/>
      <c r="U84" s="436"/>
      <c r="V84" s="436"/>
      <c r="W84" s="436"/>
      <c r="X84" s="436"/>
      <c r="Y84" s="436"/>
      <c r="Z84" s="436"/>
      <c r="AA84" s="436"/>
      <c r="AB84" s="436"/>
      <c r="AC84" s="436"/>
      <c r="AD84" s="436"/>
      <c r="AE84" s="436" t="n">
        <v>1</v>
      </c>
      <c r="AF84" s="436"/>
      <c r="AG84" s="436"/>
      <c r="AH84" s="436"/>
      <c r="AI84" s="437"/>
      <c r="AJ84" s="436"/>
      <c r="AK84" s="438"/>
      <c r="AQ84" s="342" t="s">
        <v>188</v>
      </c>
      <c r="AR84" s="439" t="n">
        <f aca="false">L84^2</f>
        <v>0</v>
      </c>
      <c r="AS84" s="440" t="n">
        <f aca="false">M84^2</f>
        <v>0</v>
      </c>
      <c r="AT84" s="440" t="n">
        <f aca="false">N84^2</f>
        <v>0</v>
      </c>
      <c r="AU84" s="440" t="n">
        <f aca="false">O84^2</f>
        <v>0</v>
      </c>
      <c r="AV84" s="440" t="n">
        <f aca="false">P84^2</f>
        <v>0</v>
      </c>
      <c r="AW84" s="440" t="n">
        <f aca="false">Q84^2</f>
        <v>0</v>
      </c>
      <c r="AX84" s="440" t="n">
        <f aca="false">R84^2</f>
        <v>0</v>
      </c>
      <c r="AY84" s="440" t="n">
        <f aca="false">S84^2</f>
        <v>0</v>
      </c>
      <c r="AZ84" s="440" t="n">
        <f aca="false">T84^2</f>
        <v>0</v>
      </c>
      <c r="BA84" s="440" t="n">
        <f aca="false">U84^2</f>
        <v>0</v>
      </c>
      <c r="BB84" s="440" t="n">
        <f aca="false">V84^2</f>
        <v>0</v>
      </c>
      <c r="BC84" s="440" t="n">
        <f aca="false">W84^2</f>
        <v>0</v>
      </c>
      <c r="BD84" s="440" t="n">
        <f aca="false">X84^2</f>
        <v>0</v>
      </c>
      <c r="BE84" s="440" t="n">
        <f aca="false">Y84^2</f>
        <v>0</v>
      </c>
      <c r="BF84" s="440" t="n">
        <f aca="false">Z84^2</f>
        <v>0</v>
      </c>
      <c r="BG84" s="440" t="n">
        <f aca="false">AA84^2</f>
        <v>0</v>
      </c>
      <c r="BH84" s="440" t="n">
        <f aca="false">AB84^2</f>
        <v>0</v>
      </c>
      <c r="BI84" s="440" t="n">
        <f aca="false">AC84^2</f>
        <v>0</v>
      </c>
      <c r="BJ84" s="440" t="n">
        <f aca="false">AD84^2</f>
        <v>0</v>
      </c>
      <c r="BK84" s="440" t="n">
        <f aca="false">AE84^2</f>
        <v>1</v>
      </c>
      <c r="BL84" s="440" t="n">
        <f aca="false">AF84^2</f>
        <v>0</v>
      </c>
      <c r="BM84" s="440" t="n">
        <f aca="false">AG84^2</f>
        <v>0</v>
      </c>
      <c r="BN84" s="440" t="n">
        <f aca="false">AH84^2</f>
        <v>0</v>
      </c>
      <c r="BO84" s="440" t="n">
        <f aca="false">AI84^2</f>
        <v>0</v>
      </c>
      <c r="BP84" s="440" t="n">
        <f aca="false">AJ84^2</f>
        <v>0</v>
      </c>
      <c r="BQ84" s="441" t="n">
        <f aca="false">-SIGN(AK84)*AK84^2</f>
        <v>-0</v>
      </c>
    </row>
    <row r="85" customFormat="false" ht="12.75" hidden="false" customHeight="false" outlineLevel="0" collapsed="false">
      <c r="B85" s="345" t="s">
        <v>1041</v>
      </c>
      <c r="C85" s="345" t="s">
        <v>1041</v>
      </c>
      <c r="D85" s="290" t="str">
        <f aca="false">IF(F85="","",IF(H85="","",ROUND(F85-0.001*298.15*(H85-SUMPRODUCT(L85:AK85*AR$13:BQ$13)),3)))</f>
        <v/>
      </c>
      <c r="E85" s="137" t="str">
        <f aca="false">IF(G85="","",IF(I85="","",ROUND(2*SQRT((0.5*G85)^2+(0.001*298.15)^2*((0.5*I85)^2+SUMPRODUCT(AR85:BQ85*AR$15:BQ$15))),3)))</f>
        <v/>
      </c>
      <c r="F85" s="291"/>
      <c r="G85" s="292"/>
      <c r="H85" s="291"/>
      <c r="I85" s="292"/>
      <c r="K85" s="342" t="s">
        <v>1041</v>
      </c>
      <c r="L85" s="434"/>
      <c r="M85" s="435"/>
      <c r="N85" s="435"/>
      <c r="O85" s="435"/>
      <c r="P85" s="436"/>
      <c r="Q85" s="436"/>
      <c r="R85" s="436"/>
      <c r="S85" s="436"/>
      <c r="T85" s="436"/>
      <c r="U85" s="436"/>
      <c r="V85" s="436"/>
      <c r="W85" s="436"/>
      <c r="X85" s="436"/>
      <c r="Y85" s="436"/>
      <c r="Z85" s="436"/>
      <c r="AA85" s="436"/>
      <c r="AB85" s="436"/>
      <c r="AC85" s="436"/>
      <c r="AD85" s="436" t="n">
        <v>5</v>
      </c>
      <c r="AE85" s="436" t="n">
        <v>4</v>
      </c>
      <c r="AF85" s="436"/>
      <c r="AG85" s="436"/>
      <c r="AH85" s="436"/>
      <c r="AI85" s="437"/>
      <c r="AJ85" s="436"/>
      <c r="AK85" s="438"/>
      <c r="AQ85" s="342" t="s">
        <v>1041</v>
      </c>
      <c r="AR85" s="439" t="n">
        <f aca="false">L85^2</f>
        <v>0</v>
      </c>
      <c r="AS85" s="440" t="n">
        <f aca="false">M85^2</f>
        <v>0</v>
      </c>
      <c r="AT85" s="440" t="n">
        <f aca="false">N85^2</f>
        <v>0</v>
      </c>
      <c r="AU85" s="440" t="n">
        <f aca="false">O85^2</f>
        <v>0</v>
      </c>
      <c r="AV85" s="440" t="n">
        <f aca="false">P85^2</f>
        <v>0</v>
      </c>
      <c r="AW85" s="440" t="n">
        <f aca="false">Q85^2</f>
        <v>0</v>
      </c>
      <c r="AX85" s="440" t="n">
        <f aca="false">R85^2</f>
        <v>0</v>
      </c>
      <c r="AY85" s="440" t="n">
        <f aca="false">S85^2</f>
        <v>0</v>
      </c>
      <c r="AZ85" s="440" t="n">
        <f aca="false">T85^2</f>
        <v>0</v>
      </c>
      <c r="BA85" s="440" t="n">
        <f aca="false">U85^2</f>
        <v>0</v>
      </c>
      <c r="BB85" s="440" t="n">
        <f aca="false">V85^2</f>
        <v>0</v>
      </c>
      <c r="BC85" s="440" t="n">
        <f aca="false">W85^2</f>
        <v>0</v>
      </c>
      <c r="BD85" s="440" t="n">
        <f aca="false">X85^2</f>
        <v>0</v>
      </c>
      <c r="BE85" s="440" t="n">
        <f aca="false">Y85^2</f>
        <v>0</v>
      </c>
      <c r="BF85" s="440" t="n">
        <f aca="false">Z85^2</f>
        <v>0</v>
      </c>
      <c r="BG85" s="440" t="n">
        <f aca="false">AA85^2</f>
        <v>0</v>
      </c>
      <c r="BH85" s="440" t="n">
        <f aca="false">AB85^2</f>
        <v>0</v>
      </c>
      <c r="BI85" s="440" t="n">
        <f aca="false">AC85^2</f>
        <v>0</v>
      </c>
      <c r="BJ85" s="440" t="n">
        <f aca="false">AD85^2</f>
        <v>25</v>
      </c>
      <c r="BK85" s="440" t="n">
        <f aca="false">AE85^2</f>
        <v>16</v>
      </c>
      <c r="BL85" s="440" t="n">
        <f aca="false">AF85^2</f>
        <v>0</v>
      </c>
      <c r="BM85" s="440" t="n">
        <f aca="false">AG85^2</f>
        <v>0</v>
      </c>
      <c r="BN85" s="440" t="n">
        <f aca="false">AH85^2</f>
        <v>0</v>
      </c>
      <c r="BO85" s="440" t="n">
        <f aca="false">AI85^2</f>
        <v>0</v>
      </c>
      <c r="BP85" s="440" t="n">
        <f aca="false">AJ85^2</f>
        <v>0</v>
      </c>
      <c r="BQ85" s="441" t="n">
        <f aca="false">-SIGN(AK85)*AK85^2</f>
        <v>-0</v>
      </c>
    </row>
    <row r="86" customFormat="false" ht="12.75" hidden="false" customHeight="false" outlineLevel="0" collapsed="false">
      <c r="A86" s="10"/>
      <c r="B86" s="342" t="s">
        <v>1042</v>
      </c>
      <c r="C86" s="345" t="s">
        <v>1043</v>
      </c>
      <c r="D86" s="290" t="n">
        <f aca="false">IF(F86="","",IF(H86="","",ROUND(F86-0.001*298.15*(H86-SUMPRODUCT(L86:AK86*AR$13:BQ$13)),3)))</f>
        <v>-856.321</v>
      </c>
      <c r="E86" s="137" t="n">
        <f aca="false">IF(G86="","",IF(I86="","",ROUND(2*SQRT((0.5*G86)^2+(0.001*298.15)^2*((0.5*I86)^2+SUMPRODUCT(AR86:BQ86*AR$15:BQ$15))),3)))</f>
        <v>1.002</v>
      </c>
      <c r="F86" s="291" t="s">
        <v>1044</v>
      </c>
      <c r="G86" s="292" t="s">
        <v>896</v>
      </c>
      <c r="H86" s="291" t="s">
        <v>1045</v>
      </c>
      <c r="I86" s="292" t="s">
        <v>728</v>
      </c>
      <c r="J86" s="10"/>
      <c r="K86" s="342" t="s">
        <v>1043</v>
      </c>
      <c r="L86" s="434"/>
      <c r="M86" s="435"/>
      <c r="N86" s="435"/>
      <c r="O86" s="435"/>
      <c r="P86" s="436"/>
      <c r="Q86" s="436"/>
      <c r="R86" s="436"/>
      <c r="S86" s="436"/>
      <c r="T86" s="436"/>
      <c r="U86" s="436"/>
      <c r="V86" s="436"/>
      <c r="W86" s="436"/>
      <c r="X86" s="436"/>
      <c r="Y86" s="436"/>
      <c r="Z86" s="436"/>
      <c r="AA86" s="436"/>
      <c r="AB86" s="436"/>
      <c r="AC86" s="436"/>
      <c r="AD86" s="436" t="n">
        <v>1</v>
      </c>
      <c r="AE86" s="436"/>
      <c r="AF86" s="436"/>
      <c r="AG86" s="436"/>
      <c r="AH86" s="436"/>
      <c r="AI86" s="437" t="n">
        <v>1</v>
      </c>
      <c r="AJ86" s="436"/>
      <c r="AK86" s="438"/>
      <c r="AQ86" s="342" t="s">
        <v>1043</v>
      </c>
      <c r="AR86" s="439" t="n">
        <f aca="false">L86^2</f>
        <v>0</v>
      </c>
      <c r="AS86" s="440" t="n">
        <f aca="false">M86^2</f>
        <v>0</v>
      </c>
      <c r="AT86" s="440" t="n">
        <f aca="false">N86^2</f>
        <v>0</v>
      </c>
      <c r="AU86" s="440" t="n">
        <f aca="false">O86^2</f>
        <v>0</v>
      </c>
      <c r="AV86" s="440" t="n">
        <f aca="false">P86^2</f>
        <v>0</v>
      </c>
      <c r="AW86" s="440" t="n">
        <f aca="false">Q86^2</f>
        <v>0</v>
      </c>
      <c r="AX86" s="440" t="n">
        <f aca="false">R86^2</f>
        <v>0</v>
      </c>
      <c r="AY86" s="440" t="n">
        <f aca="false">S86^2</f>
        <v>0</v>
      </c>
      <c r="AZ86" s="440" t="n">
        <f aca="false">T86^2</f>
        <v>0</v>
      </c>
      <c r="BA86" s="440" t="n">
        <f aca="false">U86^2</f>
        <v>0</v>
      </c>
      <c r="BB86" s="440" t="n">
        <f aca="false">V86^2</f>
        <v>0</v>
      </c>
      <c r="BC86" s="440" t="n">
        <f aca="false">W86^2</f>
        <v>0</v>
      </c>
      <c r="BD86" s="440" t="n">
        <f aca="false">X86^2</f>
        <v>0</v>
      </c>
      <c r="BE86" s="440" t="n">
        <f aca="false">Y86^2</f>
        <v>0</v>
      </c>
      <c r="BF86" s="440" t="n">
        <f aca="false">Z86^2</f>
        <v>0</v>
      </c>
      <c r="BG86" s="440" t="n">
        <f aca="false">AA86^2</f>
        <v>0</v>
      </c>
      <c r="BH86" s="440" t="n">
        <f aca="false">AB86^2</f>
        <v>0</v>
      </c>
      <c r="BI86" s="440" t="n">
        <f aca="false">AC86^2</f>
        <v>0</v>
      </c>
      <c r="BJ86" s="440" t="n">
        <f aca="false">AD86^2</f>
        <v>1</v>
      </c>
      <c r="BK86" s="440" t="n">
        <f aca="false">AE86^2</f>
        <v>0</v>
      </c>
      <c r="BL86" s="440" t="n">
        <f aca="false">AF86^2</f>
        <v>0</v>
      </c>
      <c r="BM86" s="440" t="n">
        <f aca="false">AG86^2</f>
        <v>0</v>
      </c>
      <c r="BN86" s="440" t="n">
        <f aca="false">AH86^2</f>
        <v>0</v>
      </c>
      <c r="BO86" s="440" t="n">
        <f aca="false">AI86^2</f>
        <v>1</v>
      </c>
      <c r="BP86" s="440" t="n">
        <f aca="false">AJ86^2</f>
        <v>0</v>
      </c>
      <c r="BQ86" s="441" t="n">
        <f aca="false">-SIGN(AK86)*AK86^2</f>
        <v>-0</v>
      </c>
    </row>
    <row r="87" customFormat="false" ht="12.75" hidden="false" customHeight="false" outlineLevel="0" collapsed="false">
      <c r="A87" s="10"/>
      <c r="B87" s="345" t="s">
        <v>1050</v>
      </c>
      <c r="C87" s="345" t="s">
        <v>1050</v>
      </c>
      <c r="D87" s="290" t="n">
        <f aca="false">IF(F87="","",IF(H87="","",ROUND(F87-0.001*298.15*(H87-SUMPRODUCT(L87:AK87*AR$13:BQ$13)),3)))</f>
        <v>-1194.375</v>
      </c>
      <c r="E87" s="137" t="n">
        <f aca="false">IF(G87="","",IF(I87="","",ROUND(2*SQRT((0.5*G87)^2+(0.001*298.15)^2*((0.5*I87)^2+SUMPRODUCT(AR87:BQ87*AR$15:BQ$15))),3)))</f>
        <v>1.404</v>
      </c>
      <c r="F87" s="291" t="s">
        <v>1051</v>
      </c>
      <c r="G87" s="292" t="s">
        <v>1052</v>
      </c>
      <c r="H87" s="291" t="s">
        <v>1053</v>
      </c>
      <c r="I87" s="292" t="s">
        <v>740</v>
      </c>
      <c r="J87" s="10"/>
      <c r="K87" s="342" t="s">
        <v>1050</v>
      </c>
      <c r="L87" s="434"/>
      <c r="M87" s="435" t="n">
        <v>2</v>
      </c>
      <c r="N87" s="435"/>
      <c r="O87" s="435"/>
      <c r="P87" s="436"/>
      <c r="Q87" s="436"/>
      <c r="R87" s="436"/>
      <c r="S87" s="436"/>
      <c r="T87" s="436"/>
      <c r="U87" s="436"/>
      <c r="V87" s="436"/>
      <c r="W87" s="436"/>
      <c r="X87" s="436"/>
      <c r="Y87" s="436"/>
      <c r="Z87" s="436"/>
      <c r="AA87" s="436"/>
      <c r="AB87" s="436"/>
      <c r="AC87" s="436"/>
      <c r="AD87" s="436" t="n">
        <v>1.5</v>
      </c>
      <c r="AE87" s="436"/>
      <c r="AF87" s="436"/>
      <c r="AG87" s="436"/>
      <c r="AH87" s="436"/>
      <c r="AI87" s="437"/>
      <c r="AJ87" s="436"/>
      <c r="AK87" s="438"/>
      <c r="AQ87" s="342" t="s">
        <v>1050</v>
      </c>
      <c r="AR87" s="439" t="n">
        <f aca="false">L87^2</f>
        <v>0</v>
      </c>
      <c r="AS87" s="440" t="n">
        <f aca="false">M87^2</f>
        <v>4</v>
      </c>
      <c r="AT87" s="440" t="n">
        <f aca="false">N87^2</f>
        <v>0</v>
      </c>
      <c r="AU87" s="440" t="n">
        <f aca="false">O87^2</f>
        <v>0</v>
      </c>
      <c r="AV87" s="440" t="n">
        <f aca="false">P87^2</f>
        <v>0</v>
      </c>
      <c r="AW87" s="440" t="n">
        <f aca="false">Q87^2</f>
        <v>0</v>
      </c>
      <c r="AX87" s="440" t="n">
        <f aca="false">R87^2</f>
        <v>0</v>
      </c>
      <c r="AY87" s="440" t="n">
        <f aca="false">S87^2</f>
        <v>0</v>
      </c>
      <c r="AZ87" s="440" t="n">
        <f aca="false">T87^2</f>
        <v>0</v>
      </c>
      <c r="BA87" s="440" t="n">
        <f aca="false">U87^2</f>
        <v>0</v>
      </c>
      <c r="BB87" s="440" t="n">
        <f aca="false">V87^2</f>
        <v>0</v>
      </c>
      <c r="BC87" s="440" t="n">
        <f aca="false">W87^2</f>
        <v>0</v>
      </c>
      <c r="BD87" s="440" t="n">
        <f aca="false">X87^2</f>
        <v>0</v>
      </c>
      <c r="BE87" s="440" t="n">
        <f aca="false">Y87^2</f>
        <v>0</v>
      </c>
      <c r="BF87" s="440" t="n">
        <f aca="false">Z87^2</f>
        <v>0</v>
      </c>
      <c r="BG87" s="440" t="n">
        <f aca="false">AA87^2</f>
        <v>0</v>
      </c>
      <c r="BH87" s="440" t="n">
        <f aca="false">AB87^2</f>
        <v>0</v>
      </c>
      <c r="BI87" s="440" t="n">
        <f aca="false">AC87^2</f>
        <v>0</v>
      </c>
      <c r="BJ87" s="440" t="n">
        <f aca="false">AD87^2</f>
        <v>2.25</v>
      </c>
      <c r="BK87" s="440" t="n">
        <f aca="false">AE87^2</f>
        <v>0</v>
      </c>
      <c r="BL87" s="440" t="n">
        <f aca="false">AF87^2</f>
        <v>0</v>
      </c>
      <c r="BM87" s="440" t="n">
        <f aca="false">AG87^2</f>
        <v>0</v>
      </c>
      <c r="BN87" s="440" t="n">
        <f aca="false">AH87^2</f>
        <v>0</v>
      </c>
      <c r="BO87" s="440" t="n">
        <f aca="false">AI87^2</f>
        <v>0</v>
      </c>
      <c r="BP87" s="440" t="n">
        <f aca="false">AJ87^2</f>
        <v>0</v>
      </c>
      <c r="BQ87" s="441" t="n">
        <f aca="false">-SIGN(AK87)*AK87^2</f>
        <v>-0</v>
      </c>
    </row>
    <row r="88" customFormat="false" ht="12.75" hidden="false" customHeight="false" outlineLevel="0" collapsed="false">
      <c r="A88" s="10"/>
      <c r="B88" s="345" t="s">
        <v>1058</v>
      </c>
      <c r="C88" s="345" t="s">
        <v>1059</v>
      </c>
      <c r="D88" s="290" t="str">
        <f aca="false">IF(F88="","",IF(H88="","",ROUND(F88-0.001*298.15*(H88-SUMPRODUCT(L88:AK88*AR$13:BQ$13)),3)))</f>
        <v/>
      </c>
      <c r="E88" s="137" t="str">
        <f aca="false">IF(G88="","",IF(I88="","",ROUND(2*SQRT((0.5*G88)^2+(0.001*298.15)^2*((0.5*I88)^2+SUMPRODUCT(AR88:BQ88*AR$15:BQ$15))),3)))</f>
        <v/>
      </c>
      <c r="F88" s="291"/>
      <c r="G88" s="292"/>
      <c r="H88" s="291"/>
      <c r="I88" s="292"/>
      <c r="J88" s="10"/>
      <c r="K88" s="342" t="s">
        <v>1059</v>
      </c>
      <c r="L88" s="434"/>
      <c r="M88" s="435" t="n">
        <v>1</v>
      </c>
      <c r="N88" s="435"/>
      <c r="O88" s="435"/>
      <c r="P88" s="436"/>
      <c r="Q88" s="436"/>
      <c r="R88" s="436"/>
      <c r="S88" s="436"/>
      <c r="T88" s="436"/>
      <c r="U88" s="436"/>
      <c r="V88" s="436" t="n">
        <v>1.5</v>
      </c>
      <c r="W88" s="436"/>
      <c r="X88" s="436"/>
      <c r="Y88" s="436"/>
      <c r="Z88" s="436"/>
      <c r="AA88" s="436"/>
      <c r="AB88" s="436"/>
      <c r="AC88" s="436"/>
      <c r="AD88" s="436" t="n">
        <v>1.5</v>
      </c>
      <c r="AE88" s="436"/>
      <c r="AF88" s="436"/>
      <c r="AG88" s="436"/>
      <c r="AH88" s="436"/>
      <c r="AI88" s="437"/>
      <c r="AJ88" s="436"/>
      <c r="AK88" s="438"/>
      <c r="AQ88" s="342" t="s">
        <v>1059</v>
      </c>
      <c r="AR88" s="439" t="n">
        <f aca="false">L88^2</f>
        <v>0</v>
      </c>
      <c r="AS88" s="440" t="n">
        <f aca="false">M88^2</f>
        <v>1</v>
      </c>
      <c r="AT88" s="440" t="n">
        <f aca="false">N88^2</f>
        <v>0</v>
      </c>
      <c r="AU88" s="440" t="n">
        <f aca="false">O88^2</f>
        <v>0</v>
      </c>
      <c r="AV88" s="440" t="n">
        <f aca="false">P88^2</f>
        <v>0</v>
      </c>
      <c r="AW88" s="440" t="n">
        <f aca="false">Q88^2</f>
        <v>0</v>
      </c>
      <c r="AX88" s="440" t="n">
        <f aca="false">R88^2</f>
        <v>0</v>
      </c>
      <c r="AY88" s="440" t="n">
        <f aca="false">S88^2</f>
        <v>0</v>
      </c>
      <c r="AZ88" s="440" t="n">
        <f aca="false">T88^2</f>
        <v>0</v>
      </c>
      <c r="BA88" s="440" t="n">
        <f aca="false">U88^2</f>
        <v>0</v>
      </c>
      <c r="BB88" s="440" t="n">
        <f aca="false">V88^2</f>
        <v>2.25</v>
      </c>
      <c r="BC88" s="440" t="n">
        <f aca="false">W88^2</f>
        <v>0</v>
      </c>
      <c r="BD88" s="440" t="n">
        <f aca="false">X88^2</f>
        <v>0</v>
      </c>
      <c r="BE88" s="440" t="n">
        <f aca="false">Y88^2</f>
        <v>0</v>
      </c>
      <c r="BF88" s="440" t="n">
        <f aca="false">Z88^2</f>
        <v>0</v>
      </c>
      <c r="BG88" s="440" t="n">
        <f aca="false">AA88^2</f>
        <v>0</v>
      </c>
      <c r="BH88" s="440" t="n">
        <f aca="false">AB88^2</f>
        <v>0</v>
      </c>
      <c r="BI88" s="440" t="n">
        <f aca="false">AC88^2</f>
        <v>0</v>
      </c>
      <c r="BJ88" s="440" t="n">
        <f aca="false">AD88^2</f>
        <v>2.25</v>
      </c>
      <c r="BK88" s="440" t="n">
        <f aca="false">AE88^2</f>
        <v>0</v>
      </c>
      <c r="BL88" s="440" t="n">
        <f aca="false">AF88^2</f>
        <v>0</v>
      </c>
      <c r="BM88" s="440" t="n">
        <f aca="false">AG88^2</f>
        <v>0</v>
      </c>
      <c r="BN88" s="440" t="n">
        <f aca="false">AH88^2</f>
        <v>0</v>
      </c>
      <c r="BO88" s="440" t="n">
        <f aca="false">AI88^2</f>
        <v>0</v>
      </c>
      <c r="BP88" s="440" t="n">
        <f aca="false">AJ88^2</f>
        <v>0</v>
      </c>
      <c r="BQ88" s="441" t="n">
        <f aca="false">-SIGN(AK88)*AK88^2</f>
        <v>-0</v>
      </c>
    </row>
    <row r="89" customFormat="false" ht="12.75" hidden="false" customHeight="false" outlineLevel="0" collapsed="false">
      <c r="B89" s="342" t="s">
        <v>1066</v>
      </c>
      <c r="C89" s="345" t="s">
        <v>1067</v>
      </c>
      <c r="D89" s="290" t="n">
        <f aca="false">IF(F89="","",IF(H89="","",ROUND(F89-0.001*298.15*(H89-SUMPRODUCT(L89:AK89*AR$13:BQ$13)),3)))</f>
        <v>-1582.309</v>
      </c>
      <c r="E89" s="137" t="n">
        <f aca="false">IF(G89="","",IF(I89="","",ROUND(2*SQRT((0.5*G89)^2+(0.001*298.15)^2*((0.5*I89)^2+SUMPRODUCT(AR89:BQ89*AR$15:BQ$15))),3)))</f>
        <v>1.302</v>
      </c>
      <c r="F89" s="291" t="s">
        <v>1068</v>
      </c>
      <c r="G89" s="292" t="s">
        <v>265</v>
      </c>
      <c r="H89" s="291" t="s">
        <v>1069</v>
      </c>
      <c r="I89" s="292" t="s">
        <v>730</v>
      </c>
      <c r="J89" s="10"/>
      <c r="K89" s="342" t="s">
        <v>1067</v>
      </c>
      <c r="L89" s="434" t="n">
        <v>2</v>
      </c>
      <c r="M89" s="435"/>
      <c r="N89" s="435"/>
      <c r="O89" s="435"/>
      <c r="P89" s="436"/>
      <c r="Q89" s="436"/>
      <c r="R89" s="436"/>
      <c r="S89" s="436"/>
      <c r="T89" s="436"/>
      <c r="U89" s="436"/>
      <c r="V89" s="436"/>
      <c r="W89" s="436"/>
      <c r="X89" s="436"/>
      <c r="Y89" s="436"/>
      <c r="Z89" s="436"/>
      <c r="AA89" s="436"/>
      <c r="AB89" s="436"/>
      <c r="AC89" s="436"/>
      <c r="AD89" s="436" t="n">
        <v>1.5</v>
      </c>
      <c r="AE89" s="436"/>
      <c r="AF89" s="436"/>
      <c r="AG89" s="436"/>
      <c r="AH89" s="436"/>
      <c r="AI89" s="437"/>
      <c r="AJ89" s="436"/>
      <c r="AK89" s="438"/>
      <c r="AQ89" s="342" t="s">
        <v>1067</v>
      </c>
      <c r="AR89" s="439" t="n">
        <f aca="false">L89^2</f>
        <v>4</v>
      </c>
      <c r="AS89" s="440" t="n">
        <f aca="false">M89^2</f>
        <v>0</v>
      </c>
      <c r="AT89" s="440" t="n">
        <f aca="false">N89^2</f>
        <v>0</v>
      </c>
      <c r="AU89" s="440" t="n">
        <f aca="false">O89^2</f>
        <v>0</v>
      </c>
      <c r="AV89" s="440" t="n">
        <f aca="false">P89^2</f>
        <v>0</v>
      </c>
      <c r="AW89" s="440" t="n">
        <f aca="false">Q89^2</f>
        <v>0</v>
      </c>
      <c r="AX89" s="440" t="n">
        <f aca="false">R89^2</f>
        <v>0</v>
      </c>
      <c r="AY89" s="440" t="n">
        <f aca="false">S89^2</f>
        <v>0</v>
      </c>
      <c r="AZ89" s="440" t="n">
        <f aca="false">T89^2</f>
        <v>0</v>
      </c>
      <c r="BA89" s="440" t="n">
        <f aca="false">U89^2</f>
        <v>0</v>
      </c>
      <c r="BB89" s="440" t="n">
        <f aca="false">V89^2</f>
        <v>0</v>
      </c>
      <c r="BC89" s="440" t="n">
        <f aca="false">W89^2</f>
        <v>0</v>
      </c>
      <c r="BD89" s="440" t="n">
        <f aca="false">X89^2</f>
        <v>0</v>
      </c>
      <c r="BE89" s="440" t="n">
        <f aca="false">Y89^2</f>
        <v>0</v>
      </c>
      <c r="BF89" s="440" t="n">
        <f aca="false">Z89^2</f>
        <v>0</v>
      </c>
      <c r="BG89" s="440" t="n">
        <f aca="false">AA89^2</f>
        <v>0</v>
      </c>
      <c r="BH89" s="440" t="n">
        <f aca="false">AB89^2</f>
        <v>0</v>
      </c>
      <c r="BI89" s="440" t="n">
        <f aca="false">AC89^2</f>
        <v>0</v>
      </c>
      <c r="BJ89" s="440" t="n">
        <f aca="false">AD89^2</f>
        <v>2.25</v>
      </c>
      <c r="BK89" s="440" t="n">
        <f aca="false">AE89^2</f>
        <v>0</v>
      </c>
      <c r="BL89" s="440" t="n">
        <f aca="false">AF89^2</f>
        <v>0</v>
      </c>
      <c r="BM89" s="440" t="n">
        <f aca="false">AG89^2</f>
        <v>0</v>
      </c>
      <c r="BN89" s="440" t="n">
        <f aca="false">AH89^2</f>
        <v>0</v>
      </c>
      <c r="BO89" s="440" t="n">
        <f aca="false">AI89^2</f>
        <v>0</v>
      </c>
      <c r="BP89" s="440" t="n">
        <f aca="false">AJ89^2</f>
        <v>0</v>
      </c>
      <c r="BQ89" s="441" t="n">
        <f aca="false">-SIGN(AK89)*AK89^2</f>
        <v>-0</v>
      </c>
    </row>
    <row r="90" customFormat="false" ht="12.75" hidden="false" customHeight="false" outlineLevel="0" collapsed="false">
      <c r="B90" s="342" t="s">
        <v>1075</v>
      </c>
      <c r="C90" s="345" t="s">
        <v>1076</v>
      </c>
      <c r="D90" s="290" t="str">
        <f aca="false">IF(F90="","",IF(H90="","",ROUND(F90-0.001*298.15*(H90-SUMPRODUCT(L90:AK90*AR$13:BQ$13)),3)))</f>
        <v/>
      </c>
      <c r="E90" s="137" t="str">
        <f aca="false">IF(G90="","",IF(I90="","",ROUND(2*SQRT((0.5*G90)^2+(0.001*298.15)^2*((0.5*I90)^2+SUMPRODUCT(AR90:BQ90*AR$15:BQ$15))),3)))</f>
        <v/>
      </c>
      <c r="F90" s="291"/>
      <c r="G90" s="292"/>
      <c r="H90" s="291"/>
      <c r="I90" s="292"/>
      <c r="J90" s="10"/>
      <c r="K90" s="342" t="s">
        <v>1076</v>
      </c>
      <c r="L90" s="434" t="n">
        <v>1</v>
      </c>
      <c r="M90" s="435"/>
      <c r="N90" s="435"/>
      <c r="O90" s="435"/>
      <c r="P90" s="436"/>
      <c r="Q90" s="436"/>
      <c r="R90" s="436"/>
      <c r="S90" s="436"/>
      <c r="T90" s="436"/>
      <c r="U90" s="436"/>
      <c r="V90" s="436" t="n">
        <v>1.5</v>
      </c>
      <c r="W90" s="436"/>
      <c r="X90" s="436"/>
      <c r="Y90" s="436"/>
      <c r="Z90" s="436"/>
      <c r="AA90" s="436"/>
      <c r="AB90" s="436"/>
      <c r="AC90" s="436"/>
      <c r="AD90" s="436" t="n">
        <v>1.5</v>
      </c>
      <c r="AE90" s="436"/>
      <c r="AF90" s="436"/>
      <c r="AG90" s="436"/>
      <c r="AH90" s="436"/>
      <c r="AI90" s="437"/>
      <c r="AJ90" s="436"/>
      <c r="AK90" s="438"/>
      <c r="AQ90" s="342" t="s">
        <v>1076</v>
      </c>
      <c r="AR90" s="439" t="n">
        <f aca="false">L90^2</f>
        <v>1</v>
      </c>
      <c r="AS90" s="440" t="n">
        <f aca="false">M90^2</f>
        <v>0</v>
      </c>
      <c r="AT90" s="440" t="n">
        <f aca="false">N90^2</f>
        <v>0</v>
      </c>
      <c r="AU90" s="440" t="n">
        <f aca="false">O90^2</f>
        <v>0</v>
      </c>
      <c r="AV90" s="440" t="n">
        <f aca="false">P90^2</f>
        <v>0</v>
      </c>
      <c r="AW90" s="440" t="n">
        <f aca="false">Q90^2</f>
        <v>0</v>
      </c>
      <c r="AX90" s="440" t="n">
        <f aca="false">R90^2</f>
        <v>0</v>
      </c>
      <c r="AY90" s="440" t="n">
        <f aca="false">S90^2</f>
        <v>0</v>
      </c>
      <c r="AZ90" s="440" t="n">
        <f aca="false">T90^2</f>
        <v>0</v>
      </c>
      <c r="BA90" s="440" t="n">
        <f aca="false">U90^2</f>
        <v>0</v>
      </c>
      <c r="BB90" s="440" t="n">
        <f aca="false">V90^2</f>
        <v>2.25</v>
      </c>
      <c r="BC90" s="440" t="n">
        <f aca="false">W90^2</f>
        <v>0</v>
      </c>
      <c r="BD90" s="440" t="n">
        <f aca="false">X90^2</f>
        <v>0</v>
      </c>
      <c r="BE90" s="440" t="n">
        <f aca="false">Y90^2</f>
        <v>0</v>
      </c>
      <c r="BF90" s="440" t="n">
        <f aca="false">Z90^2</f>
        <v>0</v>
      </c>
      <c r="BG90" s="440" t="n">
        <f aca="false">AA90^2</f>
        <v>0</v>
      </c>
      <c r="BH90" s="440" t="n">
        <f aca="false">AB90^2</f>
        <v>0</v>
      </c>
      <c r="BI90" s="440" t="n">
        <f aca="false">AC90^2</f>
        <v>0</v>
      </c>
      <c r="BJ90" s="440" t="n">
        <f aca="false">AD90^2</f>
        <v>2.25</v>
      </c>
      <c r="BK90" s="440" t="n">
        <f aca="false">AE90^2</f>
        <v>0</v>
      </c>
      <c r="BL90" s="440" t="n">
        <f aca="false">AF90^2</f>
        <v>0</v>
      </c>
      <c r="BM90" s="440" t="n">
        <f aca="false">AG90^2</f>
        <v>0</v>
      </c>
      <c r="BN90" s="440" t="n">
        <f aca="false">AH90^2</f>
        <v>0</v>
      </c>
      <c r="BO90" s="440" t="n">
        <f aca="false">AI90^2</f>
        <v>0</v>
      </c>
      <c r="BP90" s="440" t="n">
        <f aca="false">AJ90^2</f>
        <v>0</v>
      </c>
      <c r="BQ90" s="441" t="n">
        <f aca="false">-SIGN(AK90)*AK90^2</f>
        <v>-0</v>
      </c>
    </row>
    <row r="91" customFormat="false" ht="12.75" hidden="false" customHeight="false" outlineLevel="0" collapsed="false">
      <c r="B91" s="342" t="s">
        <v>1080</v>
      </c>
      <c r="C91" s="345" t="s">
        <v>1080</v>
      </c>
      <c r="D91" s="290" t="str">
        <f aca="false">IF(F91="","",IF(H91="","",ROUND(F91-0.001*298.15*(H91-SUMPRODUCT(L91:AK91*AR$13:BQ$13)),3)))</f>
        <v/>
      </c>
      <c r="E91" s="137" t="str">
        <f aca="false">IF(G91="","",IF(I91="","",ROUND(2*SQRT((0.5*G91)^2+(0.001*298.15)^2*((0.5*I91)^2+SUMPRODUCT(AR91:BQ91*AR$15:BQ$15))),3)))</f>
        <v/>
      </c>
      <c r="F91" s="291"/>
      <c r="G91" s="292"/>
      <c r="H91" s="291"/>
      <c r="I91" s="292"/>
      <c r="J91" s="133"/>
      <c r="K91" s="342" t="s">
        <v>1080</v>
      </c>
      <c r="L91" s="434" t="n">
        <v>1</v>
      </c>
      <c r="M91" s="435"/>
      <c r="N91" s="435"/>
      <c r="O91" s="435"/>
      <c r="P91" s="436"/>
      <c r="Q91" s="436"/>
      <c r="R91" s="436" t="n">
        <v>1.5</v>
      </c>
      <c r="S91" s="436"/>
      <c r="T91" s="436"/>
      <c r="U91" s="436"/>
      <c r="V91" s="436" t="n">
        <v>6</v>
      </c>
      <c r="W91" s="436"/>
      <c r="X91" s="436"/>
      <c r="Y91" s="436"/>
      <c r="Z91" s="436"/>
      <c r="AA91" s="436"/>
      <c r="AB91" s="436"/>
      <c r="AC91" s="436"/>
      <c r="AD91" s="436" t="n">
        <v>3</v>
      </c>
      <c r="AE91" s="436"/>
      <c r="AF91" s="436"/>
      <c r="AG91" s="436"/>
      <c r="AH91" s="436"/>
      <c r="AI91" s="437"/>
      <c r="AJ91" s="436"/>
      <c r="AK91" s="438"/>
      <c r="AQ91" s="342" t="s">
        <v>1080</v>
      </c>
      <c r="AR91" s="439" t="n">
        <f aca="false">L91^2</f>
        <v>1</v>
      </c>
      <c r="AS91" s="440" t="n">
        <f aca="false">M91^2</f>
        <v>0</v>
      </c>
      <c r="AT91" s="440" t="n">
        <f aca="false">N91^2</f>
        <v>0</v>
      </c>
      <c r="AU91" s="440" t="n">
        <f aca="false">O91^2</f>
        <v>0</v>
      </c>
      <c r="AV91" s="440" t="n">
        <f aca="false">P91^2</f>
        <v>0</v>
      </c>
      <c r="AW91" s="440" t="n">
        <f aca="false">Q91^2</f>
        <v>0</v>
      </c>
      <c r="AX91" s="440" t="n">
        <f aca="false">R91^2</f>
        <v>2.25</v>
      </c>
      <c r="AY91" s="440" t="n">
        <f aca="false">S91^2</f>
        <v>0</v>
      </c>
      <c r="AZ91" s="440" t="n">
        <f aca="false">T91^2</f>
        <v>0</v>
      </c>
      <c r="BA91" s="440" t="n">
        <f aca="false">U91^2</f>
        <v>0</v>
      </c>
      <c r="BB91" s="440" t="n">
        <f aca="false">V91^2</f>
        <v>36</v>
      </c>
      <c r="BC91" s="440" t="n">
        <f aca="false">W91^2</f>
        <v>0</v>
      </c>
      <c r="BD91" s="440" t="n">
        <f aca="false">X91^2</f>
        <v>0</v>
      </c>
      <c r="BE91" s="440" t="n">
        <f aca="false">Y91^2</f>
        <v>0</v>
      </c>
      <c r="BF91" s="440" t="n">
        <f aca="false">Z91^2</f>
        <v>0</v>
      </c>
      <c r="BG91" s="440" t="n">
        <f aca="false">AA91^2</f>
        <v>0</v>
      </c>
      <c r="BH91" s="440" t="n">
        <f aca="false">AB91^2</f>
        <v>0</v>
      </c>
      <c r="BI91" s="440" t="n">
        <f aca="false">AC91^2</f>
        <v>0</v>
      </c>
      <c r="BJ91" s="440" t="n">
        <f aca="false">AD91^2</f>
        <v>9</v>
      </c>
      <c r="BK91" s="440" t="n">
        <f aca="false">AE91^2</f>
        <v>0</v>
      </c>
      <c r="BL91" s="440" t="n">
        <f aca="false">AF91^2</f>
        <v>0</v>
      </c>
      <c r="BM91" s="440" t="n">
        <f aca="false">AG91^2</f>
        <v>0</v>
      </c>
      <c r="BN91" s="440" t="n">
        <f aca="false">AH91^2</f>
        <v>0</v>
      </c>
      <c r="BO91" s="440" t="n">
        <f aca="false">AI91^2</f>
        <v>0</v>
      </c>
      <c r="BP91" s="440" t="n">
        <f aca="false">AJ91^2</f>
        <v>0</v>
      </c>
      <c r="BQ91" s="441" t="n">
        <f aca="false">-SIGN(AK91)*AK91^2</f>
        <v>-0</v>
      </c>
    </row>
    <row r="92" customFormat="false" ht="12.75" hidden="false" customHeight="false" outlineLevel="0" collapsed="false">
      <c r="B92" s="342" t="s">
        <v>1084</v>
      </c>
      <c r="C92" s="345" t="s">
        <v>1085</v>
      </c>
      <c r="D92" s="290" t="str">
        <f aca="false">IF(F92="","",IF(H92="","",ROUND(F92-0.001*298.15*(H92-SUMPRODUCT(L92:AK92*AR$13:BQ$13)),3)))</f>
        <v/>
      </c>
      <c r="E92" s="137" t="str">
        <f aca="false">IF(G92="","",IF(I92="","",ROUND(2*SQRT((0.5*G92)^2+(0.001*298.15)^2*((0.5*I92)^2+SUMPRODUCT(AR92:BQ92*AR$15:BQ$15))),3)))</f>
        <v/>
      </c>
      <c r="F92" s="347"/>
      <c r="G92" s="348"/>
      <c r="H92" s="347"/>
      <c r="I92" s="348"/>
      <c r="J92" s="133"/>
      <c r="K92" s="342" t="s">
        <v>1085</v>
      </c>
      <c r="L92" s="434" t="n">
        <v>2</v>
      </c>
      <c r="M92" s="435"/>
      <c r="N92" s="435"/>
      <c r="O92" s="435"/>
      <c r="P92" s="436"/>
      <c r="Q92" s="436"/>
      <c r="R92" s="436"/>
      <c r="S92" s="436"/>
      <c r="T92" s="436"/>
      <c r="U92" s="436"/>
      <c r="V92" s="436"/>
      <c r="W92" s="436"/>
      <c r="X92" s="436"/>
      <c r="Y92" s="436"/>
      <c r="Z92" s="436"/>
      <c r="AA92" s="436"/>
      <c r="AB92" s="436"/>
      <c r="AC92" s="436"/>
      <c r="AD92" s="436" t="n">
        <v>2.5</v>
      </c>
      <c r="AE92" s="436"/>
      <c r="AF92" s="436"/>
      <c r="AG92" s="436"/>
      <c r="AH92" s="436"/>
      <c r="AI92" s="437" t="n">
        <v>1</v>
      </c>
      <c r="AJ92" s="436"/>
      <c r="AK92" s="438"/>
      <c r="AQ92" s="342" t="s">
        <v>1085</v>
      </c>
      <c r="AR92" s="439" t="n">
        <f aca="false">L92^2</f>
        <v>4</v>
      </c>
      <c r="AS92" s="440" t="n">
        <f aca="false">M92^2</f>
        <v>0</v>
      </c>
      <c r="AT92" s="440" t="n">
        <f aca="false">N92^2</f>
        <v>0</v>
      </c>
      <c r="AU92" s="440" t="n">
        <f aca="false">O92^2</f>
        <v>0</v>
      </c>
      <c r="AV92" s="440" t="n">
        <f aca="false">P92^2</f>
        <v>0</v>
      </c>
      <c r="AW92" s="440" t="n">
        <f aca="false">Q92^2</f>
        <v>0</v>
      </c>
      <c r="AX92" s="440" t="n">
        <f aca="false">R92^2</f>
        <v>0</v>
      </c>
      <c r="AY92" s="440" t="n">
        <f aca="false">S92^2</f>
        <v>0</v>
      </c>
      <c r="AZ92" s="440" t="n">
        <f aca="false">T92^2</f>
        <v>0</v>
      </c>
      <c r="BA92" s="440" t="n">
        <f aca="false">U92^2</f>
        <v>0</v>
      </c>
      <c r="BB92" s="440" t="n">
        <f aca="false">V92^2</f>
        <v>0</v>
      </c>
      <c r="BC92" s="440" t="n">
        <f aca="false">W92^2</f>
        <v>0</v>
      </c>
      <c r="BD92" s="440" t="n">
        <f aca="false">X92^2</f>
        <v>0</v>
      </c>
      <c r="BE92" s="440" t="n">
        <f aca="false">Y92^2</f>
        <v>0</v>
      </c>
      <c r="BF92" s="440" t="n">
        <f aca="false">Z92^2</f>
        <v>0</v>
      </c>
      <c r="BG92" s="440" t="n">
        <f aca="false">AA92^2</f>
        <v>0</v>
      </c>
      <c r="BH92" s="440" t="n">
        <f aca="false">AB92^2</f>
        <v>0</v>
      </c>
      <c r="BI92" s="440" t="n">
        <f aca="false">AC92^2</f>
        <v>0</v>
      </c>
      <c r="BJ92" s="440" t="n">
        <f aca="false">AD92^2</f>
        <v>6.25</v>
      </c>
      <c r="BK92" s="440" t="n">
        <f aca="false">AE92^2</f>
        <v>0</v>
      </c>
      <c r="BL92" s="440" t="n">
        <f aca="false">AF92^2</f>
        <v>0</v>
      </c>
      <c r="BM92" s="440" t="n">
        <f aca="false">AG92^2</f>
        <v>0</v>
      </c>
      <c r="BN92" s="440" t="n">
        <f aca="false">AH92^2</f>
        <v>0</v>
      </c>
      <c r="BO92" s="440" t="n">
        <f aca="false">AI92^2</f>
        <v>1</v>
      </c>
      <c r="BP92" s="440" t="n">
        <f aca="false">AJ92^2</f>
        <v>0</v>
      </c>
      <c r="BQ92" s="441" t="n">
        <f aca="false">-SIGN(AK92)*AK92^2</f>
        <v>-0</v>
      </c>
    </row>
    <row r="93" customFormat="false" ht="12.75" hidden="false" customHeight="false" outlineLevel="0" collapsed="false">
      <c r="B93" s="353" t="s">
        <v>1086</v>
      </c>
      <c r="C93" s="354" t="s">
        <v>1087</v>
      </c>
      <c r="D93" s="290" t="str">
        <f aca="false">IF(F93="","",IF(H93="","",ROUND(F93-0.001*298.15*(H93-SUMPRODUCT(L93:AK93*AR$13:BQ$13)),3)))</f>
        <v/>
      </c>
      <c r="E93" s="137" t="str">
        <f aca="false">IF(G93="","",IF(I93="","",ROUND(2*SQRT((0.5*G93)^2+(0.001*298.15)^2*((0.5*I93)^2+SUMPRODUCT(AR93:BQ93*AR$15:BQ$15))),3)))</f>
        <v/>
      </c>
      <c r="F93" s="300"/>
      <c r="G93" s="301"/>
      <c r="H93" s="300"/>
      <c r="I93" s="301"/>
      <c r="J93" s="133"/>
      <c r="K93" s="342" t="s">
        <v>1087</v>
      </c>
      <c r="L93" s="434"/>
      <c r="M93" s="435"/>
      <c r="N93" s="435"/>
      <c r="O93" s="435"/>
      <c r="P93" s="436"/>
      <c r="Q93" s="436"/>
      <c r="R93" s="436"/>
      <c r="S93" s="436"/>
      <c r="T93" s="436"/>
      <c r="U93" s="436" t="n">
        <v>2</v>
      </c>
      <c r="V93" s="436"/>
      <c r="W93" s="436"/>
      <c r="X93" s="436"/>
      <c r="Y93" s="436"/>
      <c r="Z93" s="436"/>
      <c r="AA93" s="436"/>
      <c r="AB93" s="436"/>
      <c r="AC93" s="436"/>
      <c r="AD93" s="436" t="n">
        <v>1.5</v>
      </c>
      <c r="AE93" s="436"/>
      <c r="AF93" s="436"/>
      <c r="AG93" s="436"/>
      <c r="AH93" s="436"/>
      <c r="AI93" s="437"/>
      <c r="AJ93" s="436"/>
      <c r="AK93" s="438"/>
      <c r="AQ93" s="342" t="s">
        <v>1087</v>
      </c>
      <c r="AR93" s="439" t="n">
        <f aca="false">L93^2</f>
        <v>0</v>
      </c>
      <c r="AS93" s="440" t="n">
        <f aca="false">M93^2</f>
        <v>0</v>
      </c>
      <c r="AT93" s="440" t="n">
        <f aca="false">N93^2</f>
        <v>0</v>
      </c>
      <c r="AU93" s="440" t="n">
        <f aca="false">O93^2</f>
        <v>0</v>
      </c>
      <c r="AV93" s="440" t="n">
        <f aca="false">P93^2</f>
        <v>0</v>
      </c>
      <c r="AW93" s="440" t="n">
        <f aca="false">Q93^2</f>
        <v>0</v>
      </c>
      <c r="AX93" s="440" t="n">
        <f aca="false">R93^2</f>
        <v>0</v>
      </c>
      <c r="AY93" s="440" t="n">
        <f aca="false">S93^2</f>
        <v>0</v>
      </c>
      <c r="AZ93" s="440" t="n">
        <f aca="false">T93^2</f>
        <v>0</v>
      </c>
      <c r="BA93" s="440" t="n">
        <f aca="false">U93^2</f>
        <v>4</v>
      </c>
      <c r="BB93" s="440" t="n">
        <f aca="false">V93^2</f>
        <v>0</v>
      </c>
      <c r="BC93" s="440" t="n">
        <f aca="false">W93^2</f>
        <v>0</v>
      </c>
      <c r="BD93" s="440" t="n">
        <f aca="false">X93^2</f>
        <v>0</v>
      </c>
      <c r="BE93" s="440" t="n">
        <f aca="false">Y93^2</f>
        <v>0</v>
      </c>
      <c r="BF93" s="440" t="n">
        <f aca="false">Z93^2</f>
        <v>0</v>
      </c>
      <c r="BG93" s="440" t="n">
        <f aca="false">AA93^2</f>
        <v>0</v>
      </c>
      <c r="BH93" s="440" t="n">
        <f aca="false">AB93^2</f>
        <v>0</v>
      </c>
      <c r="BI93" s="440" t="n">
        <f aca="false">AC93^2</f>
        <v>0</v>
      </c>
      <c r="BJ93" s="440" t="n">
        <f aca="false">AD93^2</f>
        <v>2.25</v>
      </c>
      <c r="BK93" s="440" t="n">
        <f aca="false">AE93^2</f>
        <v>0</v>
      </c>
      <c r="BL93" s="440" t="n">
        <f aca="false">AF93^2</f>
        <v>0</v>
      </c>
      <c r="BM93" s="440" t="n">
        <f aca="false">AG93^2</f>
        <v>0</v>
      </c>
      <c r="BN93" s="440" t="n">
        <f aca="false">AH93^2</f>
        <v>0</v>
      </c>
      <c r="BO93" s="440" t="n">
        <f aca="false">AI93^2</f>
        <v>0</v>
      </c>
      <c r="BP93" s="440" t="n">
        <f aca="false">AJ93^2</f>
        <v>0</v>
      </c>
      <c r="BQ93" s="441" t="n">
        <f aca="false">-SIGN(AK93)*AK93^2</f>
        <v>-0</v>
      </c>
    </row>
    <row r="94" customFormat="false" ht="12.75" hidden="false" customHeight="false" outlineLevel="0" collapsed="false">
      <c r="B94" s="353" t="s">
        <v>1093</v>
      </c>
      <c r="C94" s="354" t="s">
        <v>1094</v>
      </c>
      <c r="D94" s="290" t="str">
        <f aca="false">IF(F94="","",IF(H94="","",ROUND(F94-0.001*298.15*(H94-SUMPRODUCT(L94:AK94*AR$13:BQ$13)),3)))</f>
        <v/>
      </c>
      <c r="E94" s="137" t="str">
        <f aca="false">IF(G94="","",IF(I94="","",ROUND(2*SQRT((0.5*G94)^2+(0.001*298.15)^2*((0.5*I94)^2+SUMPRODUCT(AR94:BQ94*AR$15:BQ$15))),3)))</f>
        <v/>
      </c>
      <c r="F94" s="300"/>
      <c r="G94" s="301"/>
      <c r="H94" s="300"/>
      <c r="I94" s="301"/>
      <c r="J94" s="133"/>
      <c r="K94" s="342" t="s">
        <v>1094</v>
      </c>
      <c r="L94" s="434"/>
      <c r="M94" s="435"/>
      <c r="N94" s="435"/>
      <c r="O94" s="435"/>
      <c r="P94" s="436"/>
      <c r="Q94" s="436"/>
      <c r="R94" s="436"/>
      <c r="S94" s="436"/>
      <c r="T94" s="436"/>
      <c r="U94" s="436" t="n">
        <v>3</v>
      </c>
      <c r="V94" s="436"/>
      <c r="W94" s="436"/>
      <c r="X94" s="436"/>
      <c r="Y94" s="436"/>
      <c r="Z94" s="436"/>
      <c r="AA94" s="436"/>
      <c r="AB94" s="436"/>
      <c r="AC94" s="436"/>
      <c r="AD94" s="436" t="n">
        <v>2</v>
      </c>
      <c r="AE94" s="436"/>
      <c r="AF94" s="436"/>
      <c r="AG94" s="436"/>
      <c r="AH94" s="436"/>
      <c r="AI94" s="437"/>
      <c r="AJ94" s="436"/>
      <c r="AK94" s="438"/>
      <c r="AQ94" s="342" t="s">
        <v>1094</v>
      </c>
      <c r="AR94" s="439" t="n">
        <f aca="false">L94^2</f>
        <v>0</v>
      </c>
      <c r="AS94" s="440" t="n">
        <f aca="false">M94^2</f>
        <v>0</v>
      </c>
      <c r="AT94" s="440" t="n">
        <f aca="false">N94^2</f>
        <v>0</v>
      </c>
      <c r="AU94" s="440" t="n">
        <f aca="false">O94^2</f>
        <v>0</v>
      </c>
      <c r="AV94" s="440" t="n">
        <f aca="false">P94^2</f>
        <v>0</v>
      </c>
      <c r="AW94" s="440" t="n">
        <f aca="false">Q94^2</f>
        <v>0</v>
      </c>
      <c r="AX94" s="440" t="n">
        <f aca="false">R94^2</f>
        <v>0</v>
      </c>
      <c r="AY94" s="440" t="n">
        <f aca="false">S94^2</f>
        <v>0</v>
      </c>
      <c r="AZ94" s="440" t="n">
        <f aca="false">T94^2</f>
        <v>0</v>
      </c>
      <c r="BA94" s="440" t="n">
        <f aca="false">U94^2</f>
        <v>9</v>
      </c>
      <c r="BB94" s="440" t="n">
        <f aca="false">V94^2</f>
        <v>0</v>
      </c>
      <c r="BC94" s="440" t="n">
        <f aca="false">W94^2</f>
        <v>0</v>
      </c>
      <c r="BD94" s="440" t="n">
        <f aca="false">X94^2</f>
        <v>0</v>
      </c>
      <c r="BE94" s="440" t="n">
        <f aca="false">Y94^2</f>
        <v>0</v>
      </c>
      <c r="BF94" s="440" t="n">
        <f aca="false">Z94^2</f>
        <v>0</v>
      </c>
      <c r="BG94" s="440" t="n">
        <f aca="false">AA94^2</f>
        <v>0</v>
      </c>
      <c r="BH94" s="440" t="n">
        <f aca="false">AB94^2</f>
        <v>0</v>
      </c>
      <c r="BI94" s="440" t="n">
        <f aca="false">AC94^2</f>
        <v>0</v>
      </c>
      <c r="BJ94" s="440" t="n">
        <f aca="false">AD94^2</f>
        <v>4</v>
      </c>
      <c r="BK94" s="440" t="n">
        <f aca="false">AE94^2</f>
        <v>0</v>
      </c>
      <c r="BL94" s="440" t="n">
        <f aca="false">AF94^2</f>
        <v>0</v>
      </c>
      <c r="BM94" s="440" t="n">
        <f aca="false">AG94^2</f>
        <v>0</v>
      </c>
      <c r="BN94" s="440" t="n">
        <f aca="false">AH94^2</f>
        <v>0</v>
      </c>
      <c r="BO94" s="440" t="n">
        <f aca="false">AI94^2</f>
        <v>0</v>
      </c>
      <c r="BP94" s="440" t="n">
        <f aca="false">AJ94^2</f>
        <v>0</v>
      </c>
      <c r="BQ94" s="441" t="n">
        <f aca="false">-SIGN(AK94)*AK94^2</f>
        <v>-0</v>
      </c>
    </row>
    <row r="95" customFormat="false" ht="12.75" hidden="false" customHeight="false" outlineLevel="0" collapsed="false">
      <c r="B95" s="353" t="s">
        <v>1100</v>
      </c>
      <c r="C95" s="354" t="s">
        <v>1101</v>
      </c>
      <c r="D95" s="290" t="str">
        <f aca="false">IF(F95="","",IF(H95="","",ROUND(F95-0.001*298.15*(H95-SUMPRODUCT(L95:AK95*AR$13:BQ$13)),3)))</f>
        <v/>
      </c>
      <c r="E95" s="137" t="str">
        <f aca="false">IF(G95="","",IF(I95="","",ROUND(2*SQRT((0.5*G95)^2+(0.001*298.15)^2*((0.5*I95)^2+SUMPRODUCT(AR95:BQ95*AR$15:BQ$15))),3)))</f>
        <v/>
      </c>
      <c r="F95" s="300"/>
      <c r="G95" s="301"/>
      <c r="H95" s="300"/>
      <c r="I95" s="301"/>
      <c r="J95" s="133"/>
      <c r="K95" s="342" t="s">
        <v>1101</v>
      </c>
      <c r="L95" s="434"/>
      <c r="M95" s="435"/>
      <c r="N95" s="435"/>
      <c r="O95" s="435"/>
      <c r="P95" s="436"/>
      <c r="Q95" s="436"/>
      <c r="R95" s="436"/>
      <c r="S95" s="436"/>
      <c r="T95" s="436"/>
      <c r="U95" s="436" t="n">
        <v>2</v>
      </c>
      <c r="V95" s="436"/>
      <c r="W95" s="436"/>
      <c r="X95" s="436"/>
      <c r="Y95" s="436"/>
      <c r="Z95" s="436"/>
      <c r="AA95" s="436"/>
      <c r="AB95" s="436"/>
      <c r="AC95" s="436"/>
      <c r="AD95" s="436" t="n">
        <v>2</v>
      </c>
      <c r="AE95" s="436"/>
      <c r="AF95" s="436"/>
      <c r="AG95" s="436"/>
      <c r="AH95" s="436"/>
      <c r="AI95" s="437" t="n">
        <v>1</v>
      </c>
      <c r="AJ95" s="436"/>
      <c r="AK95" s="438"/>
      <c r="AQ95" s="342" t="s">
        <v>1101</v>
      </c>
      <c r="AR95" s="439" t="n">
        <f aca="false">L95^2</f>
        <v>0</v>
      </c>
      <c r="AS95" s="440" t="n">
        <f aca="false">M95^2</f>
        <v>0</v>
      </c>
      <c r="AT95" s="440" t="n">
        <f aca="false">N95^2</f>
        <v>0</v>
      </c>
      <c r="AU95" s="440" t="n">
        <f aca="false">O95^2</f>
        <v>0</v>
      </c>
      <c r="AV95" s="440" t="n">
        <f aca="false">P95^2</f>
        <v>0</v>
      </c>
      <c r="AW95" s="440" t="n">
        <f aca="false">Q95^2</f>
        <v>0</v>
      </c>
      <c r="AX95" s="440" t="n">
        <f aca="false">R95^2</f>
        <v>0</v>
      </c>
      <c r="AY95" s="440" t="n">
        <f aca="false">S95^2</f>
        <v>0</v>
      </c>
      <c r="AZ95" s="440" t="n">
        <f aca="false">T95^2</f>
        <v>0</v>
      </c>
      <c r="BA95" s="440" t="n">
        <f aca="false">U95^2</f>
        <v>4</v>
      </c>
      <c r="BB95" s="440" t="n">
        <f aca="false">V95^2</f>
        <v>0</v>
      </c>
      <c r="BC95" s="440" t="n">
        <f aca="false">W95^2</f>
        <v>0</v>
      </c>
      <c r="BD95" s="440" t="n">
        <f aca="false">X95^2</f>
        <v>0</v>
      </c>
      <c r="BE95" s="440" t="n">
        <f aca="false">Y95^2</f>
        <v>0</v>
      </c>
      <c r="BF95" s="440" t="n">
        <f aca="false">Z95^2</f>
        <v>0</v>
      </c>
      <c r="BG95" s="440" t="n">
        <f aca="false">AA95^2</f>
        <v>0</v>
      </c>
      <c r="BH95" s="440" t="n">
        <f aca="false">AB95^2</f>
        <v>0</v>
      </c>
      <c r="BI95" s="440" t="n">
        <f aca="false">AC95^2</f>
        <v>0</v>
      </c>
      <c r="BJ95" s="440" t="n">
        <f aca="false">AD95^2</f>
        <v>4</v>
      </c>
      <c r="BK95" s="440" t="n">
        <f aca="false">AE95^2</f>
        <v>0</v>
      </c>
      <c r="BL95" s="440" t="n">
        <f aca="false">AF95^2</f>
        <v>0</v>
      </c>
      <c r="BM95" s="440" t="n">
        <f aca="false">AG95^2</f>
        <v>0</v>
      </c>
      <c r="BN95" s="440" t="n">
        <f aca="false">AH95^2</f>
        <v>0</v>
      </c>
      <c r="BO95" s="440" t="n">
        <f aca="false">AI95^2</f>
        <v>1</v>
      </c>
      <c r="BP95" s="440" t="n">
        <f aca="false">AJ95^2</f>
        <v>0</v>
      </c>
      <c r="BQ95" s="441" t="n">
        <f aca="false">-SIGN(AK95)*AK95^2</f>
        <v>-0</v>
      </c>
    </row>
    <row r="96" customFormat="false" ht="12.75" hidden="false" customHeight="false" outlineLevel="0" collapsed="false">
      <c r="B96" s="353" t="s">
        <v>1107</v>
      </c>
      <c r="C96" s="354" t="s">
        <v>1108</v>
      </c>
      <c r="D96" s="290" t="str">
        <f aca="false">IF(F96="","",IF(H96="","",ROUND(F96-0.001*298.15*(H96-SUMPRODUCT(L96:AK96*AR$13:BQ$13)),3)))</f>
        <v/>
      </c>
      <c r="E96" s="137" t="str">
        <f aca="false">IF(G96="","",IF(I96="","",ROUND(2*SQRT((0.5*G96)^2+(0.001*298.15)^2*((0.5*I96)^2+SUMPRODUCT(AR96:BQ96*AR$15:BQ$15))),3)))</f>
        <v/>
      </c>
      <c r="F96" s="291"/>
      <c r="G96" s="292"/>
      <c r="H96" s="291"/>
      <c r="I96" s="292"/>
      <c r="J96" s="133"/>
      <c r="K96" s="342" t="s">
        <v>1108</v>
      </c>
      <c r="L96" s="434"/>
      <c r="M96" s="435"/>
      <c r="N96" s="435"/>
      <c r="O96" s="435"/>
      <c r="P96" s="436"/>
      <c r="Q96" s="436"/>
      <c r="R96" s="436"/>
      <c r="S96" s="436"/>
      <c r="T96" s="436"/>
      <c r="U96" s="436"/>
      <c r="V96" s="436"/>
      <c r="W96" s="436"/>
      <c r="X96" s="436"/>
      <c r="Y96" s="436"/>
      <c r="Z96" s="436" t="n">
        <v>1</v>
      </c>
      <c r="AA96" s="436"/>
      <c r="AB96" s="436"/>
      <c r="AC96" s="436"/>
      <c r="AD96" s="436" t="n">
        <v>0.5</v>
      </c>
      <c r="AE96" s="436"/>
      <c r="AF96" s="436"/>
      <c r="AG96" s="436"/>
      <c r="AH96" s="436"/>
      <c r="AI96" s="437"/>
      <c r="AJ96" s="436"/>
      <c r="AK96" s="438"/>
      <c r="AQ96" s="342" t="s">
        <v>1108</v>
      </c>
      <c r="AR96" s="439" t="n">
        <f aca="false">L96^2</f>
        <v>0</v>
      </c>
      <c r="AS96" s="440" t="n">
        <f aca="false">M96^2</f>
        <v>0</v>
      </c>
      <c r="AT96" s="440" t="n">
        <f aca="false">N96^2</f>
        <v>0</v>
      </c>
      <c r="AU96" s="440" t="n">
        <f aca="false">O96^2</f>
        <v>0</v>
      </c>
      <c r="AV96" s="440" t="n">
        <f aca="false">P96^2</f>
        <v>0</v>
      </c>
      <c r="AW96" s="440" t="n">
        <f aca="false">Q96^2</f>
        <v>0</v>
      </c>
      <c r="AX96" s="440" t="n">
        <f aca="false">R96^2</f>
        <v>0</v>
      </c>
      <c r="AY96" s="440" t="n">
        <f aca="false">S96^2</f>
        <v>0</v>
      </c>
      <c r="AZ96" s="440" t="n">
        <f aca="false">T96^2</f>
        <v>0</v>
      </c>
      <c r="BA96" s="440" t="n">
        <f aca="false">U96^2</f>
        <v>0</v>
      </c>
      <c r="BB96" s="440" t="n">
        <f aca="false">V96^2</f>
        <v>0</v>
      </c>
      <c r="BC96" s="440" t="n">
        <f aca="false">W96^2</f>
        <v>0</v>
      </c>
      <c r="BD96" s="440" t="n">
        <f aca="false">X96^2</f>
        <v>0</v>
      </c>
      <c r="BE96" s="440" t="n">
        <f aca="false">Y96^2</f>
        <v>0</v>
      </c>
      <c r="BF96" s="440" t="n">
        <f aca="false">Z96^2</f>
        <v>1</v>
      </c>
      <c r="BG96" s="440" t="n">
        <f aca="false">AA96^2</f>
        <v>0</v>
      </c>
      <c r="BH96" s="440" t="n">
        <f aca="false">AB96^2</f>
        <v>0</v>
      </c>
      <c r="BI96" s="440" t="n">
        <f aca="false">AC96^2</f>
        <v>0</v>
      </c>
      <c r="BJ96" s="440" t="n">
        <f aca="false">AD96^2</f>
        <v>0.25</v>
      </c>
      <c r="BK96" s="440" t="n">
        <f aca="false">AE96^2</f>
        <v>0</v>
      </c>
      <c r="BL96" s="440" t="n">
        <f aca="false">AF96^2</f>
        <v>0</v>
      </c>
      <c r="BM96" s="440" t="n">
        <f aca="false">AG96^2</f>
        <v>0</v>
      </c>
      <c r="BN96" s="440" t="n">
        <f aca="false">AH96^2</f>
        <v>0</v>
      </c>
      <c r="BO96" s="440" t="n">
        <f aca="false">AI96^2</f>
        <v>0</v>
      </c>
      <c r="BP96" s="440" t="n">
        <f aca="false">AJ96^2</f>
        <v>0</v>
      </c>
      <c r="BQ96" s="441" t="n">
        <f aca="false">-SIGN(AK96)*AK96^2</f>
        <v>-0</v>
      </c>
    </row>
    <row r="97" customFormat="false" ht="12.75" hidden="false" customHeight="false" outlineLevel="0" collapsed="false">
      <c r="B97" s="353" t="s">
        <v>1114</v>
      </c>
      <c r="C97" s="354" t="s">
        <v>1115</v>
      </c>
      <c r="D97" s="290" t="str">
        <f aca="false">IF(F97="","",IF(H97="","",ROUND(F97-0.001*298.15*(H97-SUMPRODUCT(L97:AK97*AR$13:BQ$13)),3)))</f>
        <v/>
      </c>
      <c r="E97" s="137" t="str">
        <f aca="false">IF(G97="","",IF(I97="","",ROUND(2*SQRT((0.5*G97)^2+(0.001*298.15)^2*((0.5*I97)^2+SUMPRODUCT(AR97:BQ97*AR$15:BQ$15))),3)))</f>
        <v/>
      </c>
      <c r="F97" s="361"/>
      <c r="G97" s="360"/>
      <c r="H97" s="361"/>
      <c r="I97" s="360"/>
      <c r="J97" s="133"/>
      <c r="K97" s="342" t="s">
        <v>1115</v>
      </c>
      <c r="L97" s="434"/>
      <c r="M97" s="435"/>
      <c r="N97" s="435"/>
      <c r="O97" s="435"/>
      <c r="P97" s="436"/>
      <c r="Q97" s="436"/>
      <c r="R97" s="436"/>
      <c r="S97" s="436"/>
      <c r="T97" s="436"/>
      <c r="U97" s="436"/>
      <c r="V97" s="436" t="n">
        <v>1</v>
      </c>
      <c r="W97" s="436"/>
      <c r="X97" s="436"/>
      <c r="Y97" s="436"/>
      <c r="Z97" s="436" t="n">
        <v>1</v>
      </c>
      <c r="AA97" s="436"/>
      <c r="AB97" s="436"/>
      <c r="AC97" s="436"/>
      <c r="AD97" s="436" t="n">
        <v>1</v>
      </c>
      <c r="AE97" s="436"/>
      <c r="AF97" s="436"/>
      <c r="AG97" s="436"/>
      <c r="AH97" s="436"/>
      <c r="AI97" s="437"/>
      <c r="AJ97" s="436"/>
      <c r="AK97" s="438"/>
      <c r="AQ97" s="342" t="s">
        <v>1115</v>
      </c>
      <c r="AR97" s="439" t="n">
        <f aca="false">L97^2</f>
        <v>0</v>
      </c>
      <c r="AS97" s="440" t="n">
        <f aca="false">M97^2</f>
        <v>0</v>
      </c>
      <c r="AT97" s="440" t="n">
        <f aca="false">N97^2</f>
        <v>0</v>
      </c>
      <c r="AU97" s="440" t="n">
        <f aca="false">O97^2</f>
        <v>0</v>
      </c>
      <c r="AV97" s="440" t="n">
        <f aca="false">P97^2</f>
        <v>0</v>
      </c>
      <c r="AW97" s="440" t="n">
        <f aca="false">Q97^2</f>
        <v>0</v>
      </c>
      <c r="AX97" s="440" t="n">
        <f aca="false">R97^2</f>
        <v>0</v>
      </c>
      <c r="AY97" s="440" t="n">
        <f aca="false">S97^2</f>
        <v>0</v>
      </c>
      <c r="AZ97" s="440" t="n">
        <f aca="false">T97^2</f>
        <v>0</v>
      </c>
      <c r="BA97" s="440" t="n">
        <f aca="false">U97^2</f>
        <v>0</v>
      </c>
      <c r="BB97" s="440" t="n">
        <f aca="false">V97^2</f>
        <v>1</v>
      </c>
      <c r="BC97" s="440" t="n">
        <f aca="false">W97^2</f>
        <v>0</v>
      </c>
      <c r="BD97" s="440" t="n">
        <f aca="false">X97^2</f>
        <v>0</v>
      </c>
      <c r="BE97" s="440" t="n">
        <f aca="false">Y97^2</f>
        <v>0</v>
      </c>
      <c r="BF97" s="440" t="n">
        <f aca="false">Z97^2</f>
        <v>1</v>
      </c>
      <c r="BG97" s="440" t="n">
        <f aca="false">AA97^2</f>
        <v>0</v>
      </c>
      <c r="BH97" s="440" t="n">
        <f aca="false">AB97^2</f>
        <v>0</v>
      </c>
      <c r="BI97" s="440" t="n">
        <f aca="false">AC97^2</f>
        <v>0</v>
      </c>
      <c r="BJ97" s="440" t="n">
        <f aca="false">AD97^2</f>
        <v>1</v>
      </c>
      <c r="BK97" s="440" t="n">
        <f aca="false">AE97^2</f>
        <v>0</v>
      </c>
      <c r="BL97" s="440" t="n">
        <f aca="false">AF97^2</f>
        <v>0</v>
      </c>
      <c r="BM97" s="440" t="n">
        <f aca="false">AG97^2</f>
        <v>0</v>
      </c>
      <c r="BN97" s="440" t="n">
        <f aca="false">AH97^2</f>
        <v>0</v>
      </c>
      <c r="BO97" s="440" t="n">
        <f aca="false">AI97^2</f>
        <v>0</v>
      </c>
      <c r="BP97" s="440" t="n">
        <f aca="false">AJ97^2</f>
        <v>0</v>
      </c>
      <c r="BQ97" s="441" t="n">
        <f aca="false">-SIGN(AK97)*AK97^2</f>
        <v>-0</v>
      </c>
    </row>
    <row r="98" customFormat="false" ht="12.75" hidden="false" customHeight="false" outlineLevel="0" collapsed="false">
      <c r="B98" s="353" t="s">
        <v>1119</v>
      </c>
      <c r="C98" s="354" t="s">
        <v>1120</v>
      </c>
      <c r="D98" s="290" t="str">
        <f aca="false">IF(F98="","",IF(H98="","",ROUND(F98-0.001*298.15*(H98-SUMPRODUCT(L98:AK98*AR$13:BQ$13)),3)))</f>
        <v/>
      </c>
      <c r="E98" s="137" t="str">
        <f aca="false">IF(G98="","",IF(I98="","",ROUND(2*SQRT((0.5*G98)^2+(0.001*298.15)^2*((0.5*I98)^2+SUMPRODUCT(AR98:BQ98*AR$15:BQ$15))),3)))</f>
        <v/>
      </c>
      <c r="F98" s="300"/>
      <c r="G98" s="301"/>
      <c r="H98" s="300"/>
      <c r="I98" s="301"/>
      <c r="J98" s="133"/>
      <c r="K98" s="342" t="s">
        <v>1120</v>
      </c>
      <c r="L98" s="434"/>
      <c r="M98" s="435"/>
      <c r="N98" s="435"/>
      <c r="O98" s="435"/>
      <c r="P98" s="436" t="n">
        <v>1</v>
      </c>
      <c r="Q98" s="436"/>
      <c r="R98" s="436"/>
      <c r="S98" s="436"/>
      <c r="T98" s="436"/>
      <c r="U98" s="436"/>
      <c r="V98" s="436"/>
      <c r="W98" s="436"/>
      <c r="X98" s="436"/>
      <c r="Y98" s="436"/>
      <c r="Z98" s="436" t="n">
        <v>1</v>
      </c>
      <c r="AA98" s="436"/>
      <c r="AB98" s="436"/>
      <c r="AC98" s="436"/>
      <c r="AD98" s="436" t="n">
        <v>1.5</v>
      </c>
      <c r="AE98" s="436"/>
      <c r="AF98" s="436"/>
      <c r="AG98" s="436"/>
      <c r="AH98" s="436"/>
      <c r="AI98" s="437"/>
      <c r="AJ98" s="436"/>
      <c r="AK98" s="438"/>
      <c r="AQ98" s="342" t="s">
        <v>1120</v>
      </c>
      <c r="AR98" s="439" t="n">
        <f aca="false">L98^2</f>
        <v>0</v>
      </c>
      <c r="AS98" s="440" t="n">
        <f aca="false">M98^2</f>
        <v>0</v>
      </c>
      <c r="AT98" s="440" t="n">
        <f aca="false">N98^2</f>
        <v>0</v>
      </c>
      <c r="AU98" s="440" t="n">
        <f aca="false">O98^2</f>
        <v>0</v>
      </c>
      <c r="AV98" s="440" t="n">
        <f aca="false">P98^2</f>
        <v>1</v>
      </c>
      <c r="AW98" s="440" t="n">
        <f aca="false">Q98^2</f>
        <v>0</v>
      </c>
      <c r="AX98" s="440" t="n">
        <f aca="false">R98^2</f>
        <v>0</v>
      </c>
      <c r="AY98" s="440" t="n">
        <f aca="false">S98^2</f>
        <v>0</v>
      </c>
      <c r="AZ98" s="440" t="n">
        <f aca="false">T98^2</f>
        <v>0</v>
      </c>
      <c r="BA98" s="440" t="n">
        <f aca="false">U98^2</f>
        <v>0</v>
      </c>
      <c r="BB98" s="440" t="n">
        <f aca="false">V98^2</f>
        <v>0</v>
      </c>
      <c r="BC98" s="440" t="n">
        <f aca="false">W98^2</f>
        <v>0</v>
      </c>
      <c r="BD98" s="440" t="n">
        <f aca="false">X98^2</f>
        <v>0</v>
      </c>
      <c r="BE98" s="440" t="n">
        <f aca="false">Y98^2</f>
        <v>0</v>
      </c>
      <c r="BF98" s="440" t="n">
        <f aca="false">Z98^2</f>
        <v>1</v>
      </c>
      <c r="BG98" s="440" t="n">
        <f aca="false">AA98^2</f>
        <v>0</v>
      </c>
      <c r="BH98" s="440" t="n">
        <f aca="false">AB98^2</f>
        <v>0</v>
      </c>
      <c r="BI98" s="440" t="n">
        <f aca="false">AC98^2</f>
        <v>0</v>
      </c>
      <c r="BJ98" s="440" t="n">
        <f aca="false">AD98^2</f>
        <v>2.25</v>
      </c>
      <c r="BK98" s="440" t="n">
        <f aca="false">AE98^2</f>
        <v>0</v>
      </c>
      <c r="BL98" s="440" t="n">
        <f aca="false">AF98^2</f>
        <v>0</v>
      </c>
      <c r="BM98" s="440" t="n">
        <f aca="false">AG98^2</f>
        <v>0</v>
      </c>
      <c r="BN98" s="440" t="n">
        <f aca="false">AH98^2</f>
        <v>0</v>
      </c>
      <c r="BO98" s="440" t="n">
        <f aca="false">AI98^2</f>
        <v>0</v>
      </c>
      <c r="BP98" s="440" t="n">
        <f aca="false">AJ98^2</f>
        <v>0</v>
      </c>
      <c r="BQ98" s="441" t="n">
        <f aca="false">-SIGN(AK98)*AK98^2</f>
        <v>-0</v>
      </c>
    </row>
    <row r="99" customFormat="false" ht="12.75" hidden="false" customHeight="false" outlineLevel="0" collapsed="false">
      <c r="B99" s="353" t="s">
        <v>1121</v>
      </c>
      <c r="C99" s="354" t="s">
        <v>1122</v>
      </c>
      <c r="D99" s="290" t="str">
        <f aca="false">IF(F99="","",IF(H99="","",ROUND(F99-0.001*298.15*(H99-SUMPRODUCT(L99:AK99*AR$13:BQ$13)),3)))</f>
        <v/>
      </c>
      <c r="E99" s="137" t="str">
        <f aca="false">IF(G99="","",IF(I99="","",ROUND(2*SQRT((0.5*G99)^2+(0.001*298.15)^2*((0.5*I99)^2+SUMPRODUCT(AR99:BQ99*AR$15:BQ$15))),3)))</f>
        <v/>
      </c>
      <c r="F99" s="300"/>
      <c r="G99" s="301"/>
      <c r="H99" s="300"/>
      <c r="I99" s="301"/>
      <c r="J99" s="133"/>
      <c r="K99" s="342" t="s">
        <v>1122</v>
      </c>
      <c r="L99" s="434"/>
      <c r="M99" s="435"/>
      <c r="N99" s="435"/>
      <c r="O99" s="435"/>
      <c r="P99" s="436"/>
      <c r="Q99" s="436"/>
      <c r="R99" s="436"/>
      <c r="S99" s="436"/>
      <c r="T99" s="436"/>
      <c r="U99" s="436"/>
      <c r="V99" s="436"/>
      <c r="W99" s="436"/>
      <c r="X99" s="436"/>
      <c r="Y99" s="436"/>
      <c r="Z99" s="436" t="n">
        <v>2</v>
      </c>
      <c r="AA99" s="436"/>
      <c r="AB99" s="436"/>
      <c r="AC99" s="436"/>
      <c r="AD99" s="436" t="n">
        <v>2</v>
      </c>
      <c r="AE99" s="436"/>
      <c r="AF99" s="436"/>
      <c r="AG99" s="436"/>
      <c r="AH99" s="436"/>
      <c r="AI99" s="437" t="n">
        <v>1</v>
      </c>
      <c r="AJ99" s="436"/>
      <c r="AK99" s="438"/>
      <c r="AQ99" s="342" t="s">
        <v>1122</v>
      </c>
      <c r="AR99" s="439" t="n">
        <f aca="false">L99^2</f>
        <v>0</v>
      </c>
      <c r="AS99" s="440" t="n">
        <f aca="false">M99^2</f>
        <v>0</v>
      </c>
      <c r="AT99" s="440" t="n">
        <f aca="false">N99^2</f>
        <v>0</v>
      </c>
      <c r="AU99" s="440" t="n">
        <f aca="false">O99^2</f>
        <v>0</v>
      </c>
      <c r="AV99" s="440" t="n">
        <f aca="false">P99^2</f>
        <v>0</v>
      </c>
      <c r="AW99" s="440" t="n">
        <f aca="false">Q99^2</f>
        <v>0</v>
      </c>
      <c r="AX99" s="440" t="n">
        <f aca="false">R99^2</f>
        <v>0</v>
      </c>
      <c r="AY99" s="440" t="n">
        <f aca="false">S99^2</f>
        <v>0</v>
      </c>
      <c r="AZ99" s="440" t="n">
        <f aca="false">T99^2</f>
        <v>0</v>
      </c>
      <c r="BA99" s="440" t="n">
        <f aca="false">U99^2</f>
        <v>0</v>
      </c>
      <c r="BB99" s="440" t="n">
        <f aca="false">V99^2</f>
        <v>0</v>
      </c>
      <c r="BC99" s="440" t="n">
        <f aca="false">W99^2</f>
        <v>0</v>
      </c>
      <c r="BD99" s="440" t="n">
        <f aca="false">X99^2</f>
        <v>0</v>
      </c>
      <c r="BE99" s="440" t="n">
        <f aca="false">Y99^2</f>
        <v>0</v>
      </c>
      <c r="BF99" s="440" t="n">
        <f aca="false">Z99^2</f>
        <v>4</v>
      </c>
      <c r="BG99" s="440" t="n">
        <f aca="false">AA99^2</f>
        <v>0</v>
      </c>
      <c r="BH99" s="440" t="n">
        <f aca="false">AB99^2</f>
        <v>0</v>
      </c>
      <c r="BI99" s="440" t="n">
        <f aca="false">AC99^2</f>
        <v>0</v>
      </c>
      <c r="BJ99" s="440" t="n">
        <f aca="false">AD99^2</f>
        <v>4</v>
      </c>
      <c r="BK99" s="440" t="n">
        <f aca="false">AE99^2</f>
        <v>0</v>
      </c>
      <c r="BL99" s="440" t="n">
        <f aca="false">AF99^2</f>
        <v>0</v>
      </c>
      <c r="BM99" s="440" t="n">
        <f aca="false">AG99^2</f>
        <v>0</v>
      </c>
      <c r="BN99" s="440" t="n">
        <f aca="false">AH99^2</f>
        <v>0</v>
      </c>
      <c r="BO99" s="440" t="n">
        <f aca="false">AI99^2</f>
        <v>1</v>
      </c>
      <c r="BP99" s="440" t="n">
        <f aca="false">AJ99^2</f>
        <v>0</v>
      </c>
      <c r="BQ99" s="441" t="n">
        <f aca="false">-SIGN(AK99)*AK99^2</f>
        <v>-0</v>
      </c>
    </row>
    <row r="100" customFormat="false" ht="12.75" hidden="false" customHeight="false" outlineLevel="0" collapsed="false">
      <c r="B100" s="353" t="s">
        <v>1123</v>
      </c>
      <c r="C100" s="354" t="s">
        <v>1124</v>
      </c>
      <c r="D100" s="290" t="str">
        <f aca="false">IF(F100="","",IF(H100="","",ROUND(F100-0.001*298.15*(H100-SUMPRODUCT(L100:AK100*AR$13:BQ$13)),3)))</f>
        <v/>
      </c>
      <c r="E100" s="137" t="str">
        <f aca="false">IF(G100="","",IF(I100="","",ROUND(2*SQRT((0.5*G100)^2+(0.001*298.15)^2*((0.5*I100)^2+SUMPRODUCT(AR100:BQ100*AR$15:BQ$15))),3)))</f>
        <v/>
      </c>
      <c r="F100" s="300"/>
      <c r="G100" s="301"/>
      <c r="H100" s="300"/>
      <c r="I100" s="301"/>
      <c r="J100" s="133"/>
      <c r="K100" s="342" t="s">
        <v>1124</v>
      </c>
      <c r="L100" s="445"/>
      <c r="M100" s="446"/>
      <c r="N100" s="446"/>
      <c r="O100" s="446"/>
      <c r="P100" s="436"/>
      <c r="Q100" s="436" t="n">
        <v>1</v>
      </c>
      <c r="R100" s="436"/>
      <c r="S100" s="436"/>
      <c r="T100" s="436"/>
      <c r="U100" s="436"/>
      <c r="V100" s="436"/>
      <c r="W100" s="436"/>
      <c r="X100" s="436"/>
      <c r="Y100" s="436"/>
      <c r="Z100" s="436"/>
      <c r="AA100" s="436"/>
      <c r="AB100" s="436"/>
      <c r="AC100" s="436"/>
      <c r="AD100" s="436" t="n">
        <v>0.5</v>
      </c>
      <c r="AE100" s="436"/>
      <c r="AF100" s="436"/>
      <c r="AG100" s="436"/>
      <c r="AH100" s="436"/>
      <c r="AI100" s="437"/>
      <c r="AJ100" s="436"/>
      <c r="AK100" s="438"/>
      <c r="AQ100" s="342" t="s">
        <v>1124</v>
      </c>
      <c r="AR100" s="439" t="n">
        <f aca="false">L100^2</f>
        <v>0</v>
      </c>
      <c r="AS100" s="440" t="n">
        <f aca="false">M100^2</f>
        <v>0</v>
      </c>
      <c r="AT100" s="440" t="n">
        <f aca="false">N100^2</f>
        <v>0</v>
      </c>
      <c r="AU100" s="440" t="n">
        <f aca="false">O100^2</f>
        <v>0</v>
      </c>
      <c r="AV100" s="440" t="n">
        <f aca="false">P100^2</f>
        <v>0</v>
      </c>
      <c r="AW100" s="440" t="n">
        <f aca="false">Q100^2</f>
        <v>1</v>
      </c>
      <c r="AX100" s="440" t="n">
        <f aca="false">R100^2</f>
        <v>0</v>
      </c>
      <c r="AY100" s="440" t="n">
        <f aca="false">S100^2</f>
        <v>0</v>
      </c>
      <c r="AZ100" s="440" t="n">
        <f aca="false">T100^2</f>
        <v>0</v>
      </c>
      <c r="BA100" s="440" t="n">
        <f aca="false">U100^2</f>
        <v>0</v>
      </c>
      <c r="BB100" s="440" t="n">
        <f aca="false">V100^2</f>
        <v>0</v>
      </c>
      <c r="BC100" s="440" t="n">
        <f aca="false">W100^2</f>
        <v>0</v>
      </c>
      <c r="BD100" s="440" t="n">
        <f aca="false">X100^2</f>
        <v>0</v>
      </c>
      <c r="BE100" s="440" t="n">
        <f aca="false">Y100^2</f>
        <v>0</v>
      </c>
      <c r="BF100" s="440" t="n">
        <f aca="false">Z100^2</f>
        <v>0</v>
      </c>
      <c r="BG100" s="440" t="n">
        <f aca="false">AA100^2</f>
        <v>0</v>
      </c>
      <c r="BH100" s="440" t="n">
        <f aca="false">AB100^2</f>
        <v>0</v>
      </c>
      <c r="BI100" s="440" t="n">
        <f aca="false">AC100^2</f>
        <v>0</v>
      </c>
      <c r="BJ100" s="440" t="n">
        <f aca="false">AD100^2</f>
        <v>0.25</v>
      </c>
      <c r="BK100" s="440" t="n">
        <f aca="false">AE100^2</f>
        <v>0</v>
      </c>
      <c r="BL100" s="440" t="n">
        <f aca="false">AF100^2</f>
        <v>0</v>
      </c>
      <c r="BM100" s="440" t="n">
        <f aca="false">AG100^2</f>
        <v>0</v>
      </c>
      <c r="BN100" s="440" t="n">
        <f aca="false">AH100^2</f>
        <v>0</v>
      </c>
      <c r="BO100" s="440" t="n">
        <f aca="false">AI100^2</f>
        <v>0</v>
      </c>
      <c r="BP100" s="440" t="n">
        <f aca="false">AJ100^2</f>
        <v>0</v>
      </c>
      <c r="BQ100" s="441" t="n">
        <f aca="false">-SIGN(AK100)*AK100^2</f>
        <v>-0</v>
      </c>
    </row>
    <row r="101" customFormat="false" ht="12.75" hidden="false" customHeight="false" outlineLevel="0" collapsed="false">
      <c r="B101" s="353" t="s">
        <v>1134</v>
      </c>
      <c r="C101" s="354" t="s">
        <v>1135</v>
      </c>
      <c r="D101" s="290" t="str">
        <f aca="false">IF(F101="","",IF(H101="","",ROUND(F101-0.001*298.15*(H101-SUMPRODUCT(L101:AK101*AR$13:BQ$13)),3)))</f>
        <v/>
      </c>
      <c r="E101" s="137" t="str">
        <f aca="false">IF(G101="","",IF(I101="","",ROUND(2*SQRT((0.5*G101)^2+(0.001*298.15)^2*((0.5*I101)^2+SUMPRODUCT(AR101:BQ101*AR$15:BQ$15))),3)))</f>
        <v/>
      </c>
      <c r="F101" s="300"/>
      <c r="G101" s="301"/>
      <c r="H101" s="300"/>
      <c r="I101" s="301"/>
      <c r="J101" s="133"/>
      <c r="K101" s="342" t="s">
        <v>1135</v>
      </c>
      <c r="L101" s="434"/>
      <c r="M101" s="435"/>
      <c r="N101" s="435"/>
      <c r="O101" s="435"/>
      <c r="P101" s="436"/>
      <c r="Q101" s="436" t="n">
        <v>1</v>
      </c>
      <c r="R101" s="436"/>
      <c r="S101" s="436"/>
      <c r="T101" s="436"/>
      <c r="U101" s="436"/>
      <c r="V101" s="436" t="n">
        <v>1</v>
      </c>
      <c r="W101" s="436"/>
      <c r="X101" s="436"/>
      <c r="Y101" s="436"/>
      <c r="Z101" s="436"/>
      <c r="AA101" s="436"/>
      <c r="AB101" s="436"/>
      <c r="AC101" s="436"/>
      <c r="AD101" s="436" t="n">
        <v>1</v>
      </c>
      <c r="AE101" s="436"/>
      <c r="AF101" s="436"/>
      <c r="AG101" s="436"/>
      <c r="AH101" s="436"/>
      <c r="AI101" s="437"/>
      <c r="AJ101" s="436"/>
      <c r="AK101" s="438"/>
      <c r="AQ101" s="342" t="s">
        <v>1135</v>
      </c>
      <c r="AR101" s="439" t="n">
        <f aca="false">L101^2</f>
        <v>0</v>
      </c>
      <c r="AS101" s="440" t="n">
        <f aca="false">M101^2</f>
        <v>0</v>
      </c>
      <c r="AT101" s="440" t="n">
        <f aca="false">N101^2</f>
        <v>0</v>
      </c>
      <c r="AU101" s="440" t="n">
        <f aca="false">O101^2</f>
        <v>0</v>
      </c>
      <c r="AV101" s="440" t="n">
        <f aca="false">P101^2</f>
        <v>0</v>
      </c>
      <c r="AW101" s="440" t="n">
        <f aca="false">Q101^2</f>
        <v>1</v>
      </c>
      <c r="AX101" s="440" t="n">
        <f aca="false">R101^2</f>
        <v>0</v>
      </c>
      <c r="AY101" s="440" t="n">
        <f aca="false">S101^2</f>
        <v>0</v>
      </c>
      <c r="AZ101" s="440" t="n">
        <f aca="false">T101^2</f>
        <v>0</v>
      </c>
      <c r="BA101" s="440" t="n">
        <f aca="false">U101^2</f>
        <v>0</v>
      </c>
      <c r="BB101" s="440" t="n">
        <f aca="false">V101^2</f>
        <v>1</v>
      </c>
      <c r="BC101" s="440" t="n">
        <f aca="false">W101^2</f>
        <v>0</v>
      </c>
      <c r="BD101" s="440" t="n">
        <f aca="false">X101^2</f>
        <v>0</v>
      </c>
      <c r="BE101" s="440" t="n">
        <f aca="false">Y101^2</f>
        <v>0</v>
      </c>
      <c r="BF101" s="440" t="n">
        <f aca="false">Z101^2</f>
        <v>0</v>
      </c>
      <c r="BG101" s="440" t="n">
        <f aca="false">AA101^2</f>
        <v>0</v>
      </c>
      <c r="BH101" s="440" t="n">
        <f aca="false">AB101^2</f>
        <v>0</v>
      </c>
      <c r="BI101" s="440" t="n">
        <f aca="false">AC101^2</f>
        <v>0</v>
      </c>
      <c r="BJ101" s="440" t="n">
        <f aca="false">AD101^2</f>
        <v>1</v>
      </c>
      <c r="BK101" s="440" t="n">
        <f aca="false">AE101^2</f>
        <v>0</v>
      </c>
      <c r="BL101" s="440" t="n">
        <f aca="false">AF101^2</f>
        <v>0</v>
      </c>
      <c r="BM101" s="440" t="n">
        <f aca="false">AG101^2</f>
        <v>0</v>
      </c>
      <c r="BN101" s="440" t="n">
        <f aca="false">AH101^2</f>
        <v>0</v>
      </c>
      <c r="BO101" s="440" t="n">
        <f aca="false">AI101^2</f>
        <v>0</v>
      </c>
      <c r="BP101" s="440" t="n">
        <f aca="false">AJ101^2</f>
        <v>0</v>
      </c>
      <c r="BQ101" s="441" t="n">
        <f aca="false">-SIGN(AK101)*AK101^2</f>
        <v>-0</v>
      </c>
    </row>
    <row r="102" customFormat="false" ht="12.75" hidden="false" customHeight="false" outlineLevel="0" collapsed="false">
      <c r="B102" s="353" t="s">
        <v>1139</v>
      </c>
      <c r="C102" s="354" t="s">
        <v>1140</v>
      </c>
      <c r="D102" s="290" t="str">
        <f aca="false">IF(F102="","",IF(H102="","",ROUND(F102-0.001*298.15*(H102-SUMPRODUCT(L102:AK102*AR$13:BQ$13)),3)))</f>
        <v/>
      </c>
      <c r="E102" s="137" t="str">
        <f aca="false">IF(G102="","",IF(I102="","",ROUND(2*SQRT((0.5*G102)^2+(0.001*298.15)^2*((0.5*I102)^2+SUMPRODUCT(AR102:BQ102*AR$15:BQ$15))),3)))</f>
        <v/>
      </c>
      <c r="F102" s="300"/>
      <c r="G102" s="301"/>
      <c r="H102" s="300"/>
      <c r="I102" s="301"/>
      <c r="J102" s="133"/>
      <c r="K102" s="342" t="s">
        <v>1140</v>
      </c>
      <c r="L102" s="445"/>
      <c r="M102" s="446"/>
      <c r="N102" s="446"/>
      <c r="O102" s="446"/>
      <c r="P102" s="436" t="n">
        <v>1</v>
      </c>
      <c r="Q102" s="436" t="n">
        <v>1</v>
      </c>
      <c r="R102" s="436"/>
      <c r="S102" s="436"/>
      <c r="T102" s="436"/>
      <c r="U102" s="436"/>
      <c r="V102" s="436"/>
      <c r="W102" s="436"/>
      <c r="X102" s="436"/>
      <c r="Y102" s="436"/>
      <c r="Z102" s="436"/>
      <c r="AA102" s="436"/>
      <c r="AB102" s="436"/>
      <c r="AC102" s="436"/>
      <c r="AD102" s="436" t="n">
        <v>1.5</v>
      </c>
      <c r="AE102" s="436"/>
      <c r="AF102" s="436"/>
      <c r="AG102" s="436"/>
      <c r="AH102" s="436"/>
      <c r="AI102" s="437"/>
      <c r="AJ102" s="436"/>
      <c r="AK102" s="438"/>
      <c r="AQ102" s="342" t="s">
        <v>1140</v>
      </c>
      <c r="AR102" s="439" t="n">
        <f aca="false">L102^2</f>
        <v>0</v>
      </c>
      <c r="AS102" s="440" t="n">
        <f aca="false">M102^2</f>
        <v>0</v>
      </c>
      <c r="AT102" s="440" t="n">
        <f aca="false">N102^2</f>
        <v>0</v>
      </c>
      <c r="AU102" s="440" t="n">
        <f aca="false">O102^2</f>
        <v>0</v>
      </c>
      <c r="AV102" s="440" t="n">
        <f aca="false">P102^2</f>
        <v>1</v>
      </c>
      <c r="AW102" s="440" t="n">
        <f aca="false">Q102^2</f>
        <v>1</v>
      </c>
      <c r="AX102" s="440" t="n">
        <f aca="false">R102^2</f>
        <v>0</v>
      </c>
      <c r="AY102" s="440" t="n">
        <f aca="false">S102^2</f>
        <v>0</v>
      </c>
      <c r="AZ102" s="440" t="n">
        <f aca="false">T102^2</f>
        <v>0</v>
      </c>
      <c r="BA102" s="440" t="n">
        <f aca="false">U102^2</f>
        <v>0</v>
      </c>
      <c r="BB102" s="440" t="n">
        <f aca="false">V102^2</f>
        <v>0</v>
      </c>
      <c r="BC102" s="440" t="n">
        <f aca="false">W102^2</f>
        <v>0</v>
      </c>
      <c r="BD102" s="440" t="n">
        <f aca="false">X102^2</f>
        <v>0</v>
      </c>
      <c r="BE102" s="440" t="n">
        <f aca="false">Y102^2</f>
        <v>0</v>
      </c>
      <c r="BF102" s="440" t="n">
        <f aca="false">Z102^2</f>
        <v>0</v>
      </c>
      <c r="BG102" s="440" t="n">
        <f aca="false">AA102^2</f>
        <v>0</v>
      </c>
      <c r="BH102" s="440" t="n">
        <f aca="false">AB102^2</f>
        <v>0</v>
      </c>
      <c r="BI102" s="440" t="n">
        <f aca="false">AC102^2</f>
        <v>0</v>
      </c>
      <c r="BJ102" s="440" t="n">
        <f aca="false">AD102^2</f>
        <v>2.25</v>
      </c>
      <c r="BK102" s="440" t="n">
        <f aca="false">AE102^2</f>
        <v>0</v>
      </c>
      <c r="BL102" s="440" t="n">
        <f aca="false">AF102^2</f>
        <v>0</v>
      </c>
      <c r="BM102" s="440" t="n">
        <f aca="false">AG102^2</f>
        <v>0</v>
      </c>
      <c r="BN102" s="440" t="n">
        <f aca="false">AH102^2</f>
        <v>0</v>
      </c>
      <c r="BO102" s="440" t="n">
        <f aca="false">AI102^2</f>
        <v>0</v>
      </c>
      <c r="BP102" s="440" t="n">
        <f aca="false">AJ102^2</f>
        <v>0</v>
      </c>
      <c r="BQ102" s="441" t="n">
        <f aca="false">-SIGN(AK102)*AK102^2</f>
        <v>-0</v>
      </c>
    </row>
    <row r="103" customFormat="false" ht="12.75" hidden="false" customHeight="false" outlineLevel="0" collapsed="false">
      <c r="B103" s="353" t="s">
        <v>1144</v>
      </c>
      <c r="C103" s="354" t="s">
        <v>1145</v>
      </c>
      <c r="D103" s="290" t="str">
        <f aca="false">IF(F103="","",IF(H103="","",ROUND(F103-0.001*298.15*(H103-SUMPRODUCT(L103:AK103*AR$13:BQ$13)),3)))</f>
        <v/>
      </c>
      <c r="E103" s="137" t="str">
        <f aca="false">IF(G103="","",IF(I103="","",ROUND(2*SQRT((0.5*G103)^2+(0.001*298.15)^2*((0.5*I103)^2+SUMPRODUCT(AR103:BQ103*AR$15:BQ$15))),3)))</f>
        <v/>
      </c>
      <c r="F103" s="300"/>
      <c r="G103" s="301"/>
      <c r="H103" s="300"/>
      <c r="I103" s="301"/>
      <c r="J103" s="133"/>
      <c r="K103" s="140" t="s">
        <v>1145</v>
      </c>
      <c r="L103" s="434"/>
      <c r="M103" s="435"/>
      <c r="N103" s="435"/>
      <c r="O103" s="435"/>
      <c r="P103" s="436"/>
      <c r="Q103" s="436" t="n">
        <v>1</v>
      </c>
      <c r="R103" s="436"/>
      <c r="S103" s="436"/>
      <c r="T103" s="436"/>
      <c r="U103" s="436"/>
      <c r="V103" s="436"/>
      <c r="W103" s="436"/>
      <c r="X103" s="436"/>
      <c r="Y103" s="436"/>
      <c r="Z103" s="436"/>
      <c r="AA103" s="436"/>
      <c r="AB103" s="436"/>
      <c r="AC103" s="436"/>
      <c r="AD103" s="436" t="n">
        <v>1.5</v>
      </c>
      <c r="AE103" s="436"/>
      <c r="AF103" s="436"/>
      <c r="AG103" s="436"/>
      <c r="AH103" s="436"/>
      <c r="AI103" s="437" t="n">
        <v>1</v>
      </c>
      <c r="AJ103" s="436"/>
      <c r="AK103" s="438"/>
      <c r="AQ103" s="140" t="s">
        <v>1145</v>
      </c>
      <c r="AR103" s="439" t="n">
        <f aca="false">L103^2</f>
        <v>0</v>
      </c>
      <c r="AS103" s="440" t="n">
        <f aca="false">M103^2</f>
        <v>0</v>
      </c>
      <c r="AT103" s="440" t="n">
        <f aca="false">N103^2</f>
        <v>0</v>
      </c>
      <c r="AU103" s="440" t="n">
        <f aca="false">O103^2</f>
        <v>0</v>
      </c>
      <c r="AV103" s="440" t="n">
        <f aca="false">P103^2</f>
        <v>0</v>
      </c>
      <c r="AW103" s="440" t="n">
        <f aca="false">Q103^2</f>
        <v>1</v>
      </c>
      <c r="AX103" s="440" t="n">
        <f aca="false">R103^2</f>
        <v>0</v>
      </c>
      <c r="AY103" s="440" t="n">
        <f aca="false">S103^2</f>
        <v>0</v>
      </c>
      <c r="AZ103" s="440" t="n">
        <f aca="false">T103^2</f>
        <v>0</v>
      </c>
      <c r="BA103" s="440" t="n">
        <f aca="false">U103^2</f>
        <v>0</v>
      </c>
      <c r="BB103" s="440" t="n">
        <f aca="false">V103^2</f>
        <v>0</v>
      </c>
      <c r="BC103" s="440" t="n">
        <f aca="false">W103^2</f>
        <v>0</v>
      </c>
      <c r="BD103" s="440" t="n">
        <f aca="false">X103^2</f>
        <v>0</v>
      </c>
      <c r="BE103" s="440" t="n">
        <f aca="false">Y103^2</f>
        <v>0</v>
      </c>
      <c r="BF103" s="440" t="n">
        <f aca="false">Z103^2</f>
        <v>0</v>
      </c>
      <c r="BG103" s="440" t="n">
        <f aca="false">AA103^2</f>
        <v>0</v>
      </c>
      <c r="BH103" s="440" t="n">
        <f aca="false">AB103^2</f>
        <v>0</v>
      </c>
      <c r="BI103" s="440" t="n">
        <f aca="false">AC103^2</f>
        <v>0</v>
      </c>
      <c r="BJ103" s="440" t="n">
        <f aca="false">AD103^2</f>
        <v>2.25</v>
      </c>
      <c r="BK103" s="440" t="n">
        <f aca="false">AE103^2</f>
        <v>0</v>
      </c>
      <c r="BL103" s="440" t="n">
        <f aca="false">AF103^2</f>
        <v>0</v>
      </c>
      <c r="BM103" s="440" t="n">
        <f aca="false">AG103^2</f>
        <v>0</v>
      </c>
      <c r="BN103" s="440" t="n">
        <f aca="false">AH103^2</f>
        <v>0</v>
      </c>
      <c r="BO103" s="440" t="n">
        <f aca="false">AI103^2</f>
        <v>1</v>
      </c>
      <c r="BP103" s="440" t="n">
        <f aca="false">AJ103^2</f>
        <v>0</v>
      </c>
      <c r="BQ103" s="441" t="n">
        <f aca="false">-SIGN(AK103)*AK103^2</f>
        <v>-0</v>
      </c>
    </row>
    <row r="104" customFormat="false" ht="12.75" hidden="false" customHeight="false" outlineLevel="0" collapsed="false">
      <c r="B104" s="354" t="s">
        <v>1146</v>
      </c>
      <c r="C104" s="354" t="s">
        <v>1146</v>
      </c>
      <c r="D104" s="290" t="str">
        <f aca="false">IF(F104="","",IF(H104="","",ROUND(F104-0.001*298.15*(H104-SUMPRODUCT(L104:AK104*AR$13:BQ$13)),3)))</f>
        <v/>
      </c>
      <c r="E104" s="137" t="str">
        <f aca="false">IF(G104="","",IF(I104="","",ROUND(2*SQRT((0.5*G104)^2+(0.001*298.15)^2*((0.5*I104)^2+SUMPRODUCT(AR104:BQ104*AR$15:BQ$15))),3)))</f>
        <v/>
      </c>
      <c r="F104" s="300"/>
      <c r="G104" s="301"/>
      <c r="H104" s="300"/>
      <c r="I104" s="301"/>
      <c r="J104" s="133"/>
      <c r="K104" s="342" t="s">
        <v>1146</v>
      </c>
      <c r="L104" s="434"/>
      <c r="M104" s="435"/>
      <c r="N104" s="435"/>
      <c r="O104" s="435"/>
      <c r="P104" s="436"/>
      <c r="Q104" s="436"/>
      <c r="R104" s="436"/>
      <c r="S104" s="436"/>
      <c r="T104" s="436"/>
      <c r="U104" s="436"/>
      <c r="V104" s="436"/>
      <c r="W104" s="436"/>
      <c r="X104" s="436"/>
      <c r="Y104" s="436"/>
      <c r="Z104" s="436"/>
      <c r="AA104" s="436"/>
      <c r="AB104" s="436" t="n">
        <v>2</v>
      </c>
      <c r="AC104" s="436"/>
      <c r="AD104" s="436" t="n">
        <v>0.5</v>
      </c>
      <c r="AE104" s="436"/>
      <c r="AF104" s="436"/>
      <c r="AG104" s="436"/>
      <c r="AH104" s="436"/>
      <c r="AI104" s="437"/>
      <c r="AJ104" s="436"/>
      <c r="AK104" s="438"/>
      <c r="AQ104" s="342" t="s">
        <v>1146</v>
      </c>
      <c r="AR104" s="439" t="n">
        <f aca="false">L104^2</f>
        <v>0</v>
      </c>
      <c r="AS104" s="440" t="n">
        <f aca="false">M104^2</f>
        <v>0</v>
      </c>
      <c r="AT104" s="440" t="n">
        <f aca="false">N104^2</f>
        <v>0</v>
      </c>
      <c r="AU104" s="440" t="n">
        <f aca="false">O104^2</f>
        <v>0</v>
      </c>
      <c r="AV104" s="440" t="n">
        <f aca="false">P104^2</f>
        <v>0</v>
      </c>
      <c r="AW104" s="440" t="n">
        <f aca="false">Q104^2</f>
        <v>0</v>
      </c>
      <c r="AX104" s="440" t="n">
        <f aca="false">R104^2</f>
        <v>0</v>
      </c>
      <c r="AY104" s="440" t="n">
        <f aca="false">S104^2</f>
        <v>0</v>
      </c>
      <c r="AZ104" s="440" t="n">
        <f aca="false">T104^2</f>
        <v>0</v>
      </c>
      <c r="BA104" s="440" t="n">
        <f aca="false">U104^2</f>
        <v>0</v>
      </c>
      <c r="BB104" s="440" t="n">
        <f aca="false">V104^2</f>
        <v>0</v>
      </c>
      <c r="BC104" s="440" t="n">
        <f aca="false">W104^2</f>
        <v>0</v>
      </c>
      <c r="BD104" s="440" t="n">
        <f aca="false">X104^2</f>
        <v>0</v>
      </c>
      <c r="BE104" s="440" t="n">
        <f aca="false">Y104^2</f>
        <v>0</v>
      </c>
      <c r="BF104" s="440" t="n">
        <f aca="false">Z104^2</f>
        <v>0</v>
      </c>
      <c r="BG104" s="440" t="n">
        <f aca="false">AA104^2</f>
        <v>0</v>
      </c>
      <c r="BH104" s="440" t="n">
        <f aca="false">AB104^2</f>
        <v>4</v>
      </c>
      <c r="BI104" s="440" t="n">
        <f aca="false">AC104^2</f>
        <v>0</v>
      </c>
      <c r="BJ104" s="440" t="n">
        <f aca="false">AD104^2</f>
        <v>0.25</v>
      </c>
      <c r="BK104" s="440" t="n">
        <f aca="false">AE104^2</f>
        <v>0</v>
      </c>
      <c r="BL104" s="440" t="n">
        <f aca="false">AF104^2</f>
        <v>0</v>
      </c>
      <c r="BM104" s="440" t="n">
        <f aca="false">AG104^2</f>
        <v>0</v>
      </c>
      <c r="BN104" s="440" t="n">
        <f aca="false">AH104^2</f>
        <v>0</v>
      </c>
      <c r="BO104" s="440" t="n">
        <f aca="false">AI104^2</f>
        <v>0</v>
      </c>
      <c r="BP104" s="440" t="n">
        <f aca="false">AJ104^2</f>
        <v>0</v>
      </c>
      <c r="BQ104" s="441" t="n">
        <f aca="false">-SIGN(AK104)*AK104^2</f>
        <v>-0</v>
      </c>
    </row>
    <row r="105" customFormat="false" ht="12.75" hidden="false" customHeight="false" outlineLevel="0" collapsed="false">
      <c r="B105" s="353" t="s">
        <v>1147</v>
      </c>
      <c r="C105" s="354" t="s">
        <v>1148</v>
      </c>
      <c r="D105" s="290" t="str">
        <f aca="false">IF(F105="","",IF(H105="","",ROUND(F105-0.001*298.15*(H105-SUMPRODUCT(L105:AK105*AR$13:BQ$13)),3)))</f>
        <v/>
      </c>
      <c r="E105" s="137" t="str">
        <f aca="false">IF(G105="","",IF(I105="","",ROUND(2*SQRT((0.5*G105)^2+(0.001*298.15)^2*((0.5*I105)^2+SUMPRODUCT(AR105:BQ105*AR$15:BQ$15))),3)))</f>
        <v/>
      </c>
      <c r="F105" s="300"/>
      <c r="G105" s="301"/>
      <c r="H105" s="300"/>
      <c r="I105" s="301"/>
      <c r="J105" s="133"/>
      <c r="K105" s="342" t="s">
        <v>1148</v>
      </c>
      <c r="L105" s="434"/>
      <c r="M105" s="435"/>
      <c r="N105" s="435"/>
      <c r="O105" s="435"/>
      <c r="P105" s="436"/>
      <c r="Q105" s="436"/>
      <c r="R105" s="436" t="n">
        <v>0.5</v>
      </c>
      <c r="S105" s="436"/>
      <c r="T105" s="436"/>
      <c r="U105" s="436"/>
      <c r="V105" s="436"/>
      <c r="W105" s="436"/>
      <c r="X105" s="436"/>
      <c r="Y105" s="436"/>
      <c r="Z105" s="436"/>
      <c r="AA105" s="436"/>
      <c r="AB105" s="436" t="n">
        <v>1</v>
      </c>
      <c r="AC105" s="436"/>
      <c r="AD105" s="436"/>
      <c r="AE105" s="436"/>
      <c r="AF105" s="436"/>
      <c r="AG105" s="436"/>
      <c r="AH105" s="436"/>
      <c r="AI105" s="437"/>
      <c r="AJ105" s="436"/>
      <c r="AK105" s="438"/>
      <c r="AQ105" s="342" t="s">
        <v>1148</v>
      </c>
      <c r="AR105" s="439" t="n">
        <f aca="false">L105^2</f>
        <v>0</v>
      </c>
      <c r="AS105" s="440" t="n">
        <f aca="false">M105^2</f>
        <v>0</v>
      </c>
      <c r="AT105" s="440" t="n">
        <f aca="false">N105^2</f>
        <v>0</v>
      </c>
      <c r="AU105" s="440" t="n">
        <f aca="false">O105^2</f>
        <v>0</v>
      </c>
      <c r="AV105" s="440" t="n">
        <f aca="false">P105^2</f>
        <v>0</v>
      </c>
      <c r="AW105" s="440" t="n">
        <f aca="false">Q105^2</f>
        <v>0</v>
      </c>
      <c r="AX105" s="440" t="n">
        <f aca="false">R105^2</f>
        <v>0.25</v>
      </c>
      <c r="AY105" s="440" t="n">
        <f aca="false">S105^2</f>
        <v>0</v>
      </c>
      <c r="AZ105" s="440" t="n">
        <f aca="false">T105^2</f>
        <v>0</v>
      </c>
      <c r="BA105" s="440" t="n">
        <f aca="false">U105^2</f>
        <v>0</v>
      </c>
      <c r="BB105" s="440" t="n">
        <f aca="false">V105^2</f>
        <v>0</v>
      </c>
      <c r="BC105" s="440" t="n">
        <f aca="false">W105^2</f>
        <v>0</v>
      </c>
      <c r="BD105" s="440" t="n">
        <f aca="false">X105^2</f>
        <v>0</v>
      </c>
      <c r="BE105" s="440" t="n">
        <f aca="false">Y105^2</f>
        <v>0</v>
      </c>
      <c r="BF105" s="440" t="n">
        <f aca="false">Z105^2</f>
        <v>0</v>
      </c>
      <c r="BG105" s="440" t="n">
        <f aca="false">AA105^2</f>
        <v>0</v>
      </c>
      <c r="BH105" s="440" t="n">
        <f aca="false">AB105^2</f>
        <v>1</v>
      </c>
      <c r="BI105" s="440" t="n">
        <f aca="false">AC105^2</f>
        <v>0</v>
      </c>
      <c r="BJ105" s="440" t="n">
        <f aca="false">AD105^2</f>
        <v>0</v>
      </c>
      <c r="BK105" s="440" t="n">
        <f aca="false">AE105^2</f>
        <v>0</v>
      </c>
      <c r="BL105" s="440" t="n">
        <f aca="false">AF105^2</f>
        <v>0</v>
      </c>
      <c r="BM105" s="440" t="n">
        <f aca="false">AG105^2</f>
        <v>0</v>
      </c>
      <c r="BN105" s="440" t="n">
        <f aca="false">AH105^2</f>
        <v>0</v>
      </c>
      <c r="BO105" s="440" t="n">
        <f aca="false">AI105^2</f>
        <v>0</v>
      </c>
      <c r="BP105" s="440" t="n">
        <f aca="false">AJ105^2</f>
        <v>0</v>
      </c>
      <c r="BQ105" s="441" t="n">
        <f aca="false">-SIGN(AK105)*AK105^2</f>
        <v>-0</v>
      </c>
    </row>
    <row r="106" customFormat="false" ht="12.75" hidden="false" customHeight="false" outlineLevel="0" collapsed="false">
      <c r="B106" s="354" t="s">
        <v>1154</v>
      </c>
      <c r="C106" s="354" t="s">
        <v>1154</v>
      </c>
      <c r="D106" s="290" t="str">
        <f aca="false">IF(F106="","",IF(H106="","",ROUND(F106-0.001*298.15*(H106-SUMPRODUCT(L106:AK106*AR$13:BQ$13)),3)))</f>
        <v/>
      </c>
      <c r="E106" s="137" t="str">
        <f aca="false">IF(G106="","",IF(I106="","",ROUND(2*SQRT((0.5*G106)^2+(0.001*298.15)^2*((0.5*I106)^2+SUMPRODUCT(AR106:BQ106*AR$15:BQ$15))),3)))</f>
        <v/>
      </c>
      <c r="F106" s="300"/>
      <c r="G106" s="301"/>
      <c r="H106" s="291"/>
      <c r="I106" s="292"/>
      <c r="J106" s="133"/>
      <c r="K106" s="342" t="s">
        <v>1154</v>
      </c>
      <c r="L106" s="434"/>
      <c r="M106" s="435"/>
      <c r="N106" s="435"/>
      <c r="O106" s="435"/>
      <c r="P106" s="436"/>
      <c r="Q106" s="436"/>
      <c r="R106" s="436"/>
      <c r="S106" s="436"/>
      <c r="T106" s="436"/>
      <c r="U106" s="436"/>
      <c r="V106" s="436"/>
      <c r="W106" s="436"/>
      <c r="X106" s="436" t="n">
        <v>2</v>
      </c>
      <c r="Y106" s="436"/>
      <c r="Z106" s="436"/>
      <c r="AA106" s="436"/>
      <c r="AB106" s="436"/>
      <c r="AC106" s="436"/>
      <c r="AD106" s="436" t="n">
        <v>0.5</v>
      </c>
      <c r="AE106" s="436"/>
      <c r="AF106" s="436"/>
      <c r="AG106" s="436"/>
      <c r="AH106" s="436"/>
      <c r="AI106" s="437"/>
      <c r="AJ106" s="436"/>
      <c r="AK106" s="438"/>
      <c r="AQ106" s="342" t="s">
        <v>1154</v>
      </c>
      <c r="AR106" s="439" t="n">
        <f aca="false">L106^2</f>
        <v>0</v>
      </c>
      <c r="AS106" s="440" t="n">
        <f aca="false">M106^2</f>
        <v>0</v>
      </c>
      <c r="AT106" s="440" t="n">
        <f aca="false">N106^2</f>
        <v>0</v>
      </c>
      <c r="AU106" s="440" t="n">
        <f aca="false">O106^2</f>
        <v>0</v>
      </c>
      <c r="AV106" s="440" t="n">
        <f aca="false">P106^2</f>
        <v>0</v>
      </c>
      <c r="AW106" s="440" t="n">
        <f aca="false">Q106^2</f>
        <v>0</v>
      </c>
      <c r="AX106" s="440" t="n">
        <f aca="false">R106^2</f>
        <v>0</v>
      </c>
      <c r="AY106" s="440" t="n">
        <f aca="false">S106^2</f>
        <v>0</v>
      </c>
      <c r="AZ106" s="440" t="n">
        <f aca="false">T106^2</f>
        <v>0</v>
      </c>
      <c r="BA106" s="440" t="n">
        <f aca="false">U106^2</f>
        <v>0</v>
      </c>
      <c r="BB106" s="440" t="n">
        <f aca="false">V106^2</f>
        <v>0</v>
      </c>
      <c r="BC106" s="440" t="n">
        <f aca="false">W106^2</f>
        <v>0</v>
      </c>
      <c r="BD106" s="440" t="n">
        <f aca="false">X106^2</f>
        <v>4</v>
      </c>
      <c r="BE106" s="440" t="n">
        <f aca="false">Y106^2</f>
        <v>0</v>
      </c>
      <c r="BF106" s="440" t="n">
        <f aca="false">Z106^2</f>
        <v>0</v>
      </c>
      <c r="BG106" s="440" t="n">
        <f aca="false">AA106^2</f>
        <v>0</v>
      </c>
      <c r="BH106" s="440" t="n">
        <f aca="false">AB106^2</f>
        <v>0</v>
      </c>
      <c r="BI106" s="440" t="n">
        <f aca="false">AC106^2</f>
        <v>0</v>
      </c>
      <c r="BJ106" s="440" t="n">
        <f aca="false">AD106^2</f>
        <v>0.25</v>
      </c>
      <c r="BK106" s="440" t="n">
        <f aca="false">AE106^2</f>
        <v>0</v>
      </c>
      <c r="BL106" s="440" t="n">
        <f aca="false">AF106^2</f>
        <v>0</v>
      </c>
      <c r="BM106" s="440" t="n">
        <f aca="false">AG106^2</f>
        <v>0</v>
      </c>
      <c r="BN106" s="440" t="n">
        <f aca="false">AH106^2</f>
        <v>0</v>
      </c>
      <c r="BO106" s="440" t="n">
        <f aca="false">AI106^2</f>
        <v>0</v>
      </c>
      <c r="BP106" s="440" t="n">
        <f aca="false">AJ106^2</f>
        <v>0</v>
      </c>
      <c r="BQ106" s="441" t="n">
        <f aca="false">-SIGN(AK106)*AK106^2</f>
        <v>-0</v>
      </c>
    </row>
    <row r="107" customFormat="false" ht="13.5" hidden="false" customHeight="false" outlineLevel="0" collapsed="false">
      <c r="B107" s="374" t="s">
        <v>1155</v>
      </c>
      <c r="C107" s="375" t="s">
        <v>1156</v>
      </c>
      <c r="D107" s="305" t="str">
        <f aca="false">IF(F107="","",IF(H107="","",ROUND(F107-0.001*298.15*(H107-SUMPRODUCT(L107:AK107*AR$13:BQ$13)),3)))</f>
        <v/>
      </c>
      <c r="E107" s="145" t="str">
        <f aca="false">IF(G107="","",IF(I107="","",ROUND(2*SQRT((0.5*G107)^2+(0.001*298.15)^2*((0.5*I107)^2+SUMPRODUCT(AR107:BQ107*AR$15:BQ$15))),3)))</f>
        <v/>
      </c>
      <c r="F107" s="306"/>
      <c r="G107" s="307"/>
      <c r="H107" s="306"/>
      <c r="I107" s="307"/>
      <c r="J107" s="10"/>
      <c r="K107" s="374" t="s">
        <v>1156</v>
      </c>
      <c r="L107" s="447"/>
      <c r="M107" s="448"/>
      <c r="N107" s="448"/>
      <c r="O107" s="448"/>
      <c r="P107" s="449"/>
      <c r="Q107" s="449"/>
      <c r="R107" s="449" t="n">
        <v>0.5</v>
      </c>
      <c r="S107" s="449"/>
      <c r="T107" s="449"/>
      <c r="U107" s="449"/>
      <c r="V107" s="449"/>
      <c r="W107" s="449"/>
      <c r="X107" s="449" t="n">
        <v>1</v>
      </c>
      <c r="Y107" s="449"/>
      <c r="Z107" s="449"/>
      <c r="AA107" s="449"/>
      <c r="AB107" s="449"/>
      <c r="AC107" s="449"/>
      <c r="AD107" s="449"/>
      <c r="AE107" s="449"/>
      <c r="AF107" s="449"/>
      <c r="AG107" s="449"/>
      <c r="AH107" s="449"/>
      <c r="AI107" s="450"/>
      <c r="AJ107" s="449"/>
      <c r="AK107" s="451"/>
      <c r="AQ107" s="374" t="s">
        <v>1156</v>
      </c>
      <c r="AR107" s="452" t="n">
        <f aca="false">L107^2</f>
        <v>0</v>
      </c>
      <c r="AS107" s="453" t="n">
        <f aca="false">M107^2</f>
        <v>0</v>
      </c>
      <c r="AT107" s="453" t="n">
        <f aca="false">N107^2</f>
        <v>0</v>
      </c>
      <c r="AU107" s="453" t="n">
        <f aca="false">O107^2</f>
        <v>0</v>
      </c>
      <c r="AV107" s="453" t="n">
        <f aca="false">P107^2</f>
        <v>0</v>
      </c>
      <c r="AW107" s="453" t="n">
        <f aca="false">Q107^2</f>
        <v>0</v>
      </c>
      <c r="AX107" s="453" t="n">
        <f aca="false">R107^2</f>
        <v>0.25</v>
      </c>
      <c r="AY107" s="453" t="n">
        <f aca="false">S107^2</f>
        <v>0</v>
      </c>
      <c r="AZ107" s="453" t="n">
        <f aca="false">T107^2</f>
        <v>0</v>
      </c>
      <c r="BA107" s="453" t="n">
        <f aca="false">U107^2</f>
        <v>0</v>
      </c>
      <c r="BB107" s="453" t="n">
        <f aca="false">V107^2</f>
        <v>0</v>
      </c>
      <c r="BC107" s="453" t="n">
        <f aca="false">W107^2</f>
        <v>0</v>
      </c>
      <c r="BD107" s="453" t="n">
        <f aca="false">X107^2</f>
        <v>1</v>
      </c>
      <c r="BE107" s="453" t="n">
        <f aca="false">Y107^2</f>
        <v>0</v>
      </c>
      <c r="BF107" s="453" t="n">
        <f aca="false">Z107^2</f>
        <v>0</v>
      </c>
      <c r="BG107" s="453" t="n">
        <f aca="false">AA107^2</f>
        <v>0</v>
      </c>
      <c r="BH107" s="453" t="n">
        <f aca="false">AB107^2</f>
        <v>0</v>
      </c>
      <c r="BI107" s="453" t="n">
        <f aca="false">AC107^2</f>
        <v>0</v>
      </c>
      <c r="BJ107" s="453" t="n">
        <f aca="false">AD107^2</f>
        <v>0</v>
      </c>
      <c r="BK107" s="453" t="n">
        <f aca="false">AE107^2</f>
        <v>0</v>
      </c>
      <c r="BL107" s="453" t="n">
        <f aca="false">AF107^2</f>
        <v>0</v>
      </c>
      <c r="BM107" s="453" t="n">
        <f aca="false">AG107^2</f>
        <v>0</v>
      </c>
      <c r="BN107" s="453" t="n">
        <f aca="false">AH107^2</f>
        <v>0</v>
      </c>
      <c r="BO107" s="453" t="n">
        <f aca="false">AI107^2</f>
        <v>0</v>
      </c>
      <c r="BP107" s="453" t="n">
        <f aca="false">AJ107^2</f>
        <v>0</v>
      </c>
      <c r="BQ107" s="454" t="n">
        <f aca="false">-SIGN(AK107)*AK107^2</f>
        <v>-0</v>
      </c>
    </row>
    <row r="108" customFormat="false" ht="13.5" hidden="false" customHeight="false" outlineLevel="0" collapsed="false">
      <c r="B108" s="280"/>
      <c r="C108" s="112"/>
      <c r="D108" s="66"/>
      <c r="E108" s="66"/>
      <c r="F108" s="66"/>
      <c r="G108" s="66"/>
      <c r="H108" s="66"/>
      <c r="I108" s="66"/>
      <c r="J108" s="10"/>
      <c r="L108" s="416" t="s">
        <v>32</v>
      </c>
      <c r="M108" s="417" t="s">
        <v>40</v>
      </c>
      <c r="N108" s="418" t="s">
        <v>41</v>
      </c>
      <c r="O108" s="418" t="s">
        <v>46</v>
      </c>
      <c r="P108" s="417" t="s">
        <v>48</v>
      </c>
      <c r="Q108" s="417" t="s">
        <v>49</v>
      </c>
      <c r="R108" s="418" t="s">
        <v>54</v>
      </c>
      <c r="S108" s="418" t="s">
        <v>59</v>
      </c>
      <c r="T108" s="418" t="s">
        <v>66</v>
      </c>
      <c r="U108" s="418" t="s">
        <v>68</v>
      </c>
      <c r="V108" s="418" t="s">
        <v>75</v>
      </c>
      <c r="W108" s="418" t="s">
        <v>82</v>
      </c>
      <c r="X108" s="418" t="s">
        <v>86</v>
      </c>
      <c r="Y108" s="418" t="s">
        <v>89</v>
      </c>
      <c r="Z108" s="417" t="s">
        <v>93</v>
      </c>
      <c r="AA108" s="418" t="s">
        <v>97</v>
      </c>
      <c r="AB108" s="418" t="s">
        <v>99</v>
      </c>
      <c r="AC108" s="417" t="s">
        <v>103</v>
      </c>
      <c r="AD108" s="418" t="s">
        <v>107</v>
      </c>
      <c r="AE108" s="417" t="s">
        <v>110</v>
      </c>
      <c r="AF108" s="418" t="s">
        <v>119</v>
      </c>
      <c r="AG108" s="418" t="s">
        <v>120</v>
      </c>
      <c r="AH108" s="418" t="s">
        <v>125</v>
      </c>
      <c r="AI108" s="417" t="s">
        <v>129</v>
      </c>
      <c r="AJ108" s="418" t="s">
        <v>132</v>
      </c>
      <c r="AK108" s="419" t="s">
        <v>1187</v>
      </c>
      <c r="AQ108" s="73"/>
      <c r="AR108" s="416" t="s">
        <v>32</v>
      </c>
      <c r="AS108" s="417" t="s">
        <v>40</v>
      </c>
      <c r="AT108" s="418" t="s">
        <v>41</v>
      </c>
      <c r="AU108" s="418" t="s">
        <v>46</v>
      </c>
      <c r="AV108" s="417" t="s">
        <v>48</v>
      </c>
      <c r="AW108" s="417" t="s">
        <v>49</v>
      </c>
      <c r="AX108" s="418" t="s">
        <v>54</v>
      </c>
      <c r="AY108" s="418" t="s">
        <v>59</v>
      </c>
      <c r="AZ108" s="418" t="s">
        <v>66</v>
      </c>
      <c r="BA108" s="418" t="s">
        <v>68</v>
      </c>
      <c r="BB108" s="418" t="s">
        <v>75</v>
      </c>
      <c r="BC108" s="418" t="s">
        <v>82</v>
      </c>
      <c r="BD108" s="418" t="s">
        <v>86</v>
      </c>
      <c r="BE108" s="418" t="s">
        <v>89</v>
      </c>
      <c r="BF108" s="417" t="s">
        <v>93</v>
      </c>
      <c r="BG108" s="418" t="s">
        <v>97</v>
      </c>
      <c r="BH108" s="418" t="s">
        <v>99</v>
      </c>
      <c r="BI108" s="417" t="s">
        <v>103</v>
      </c>
      <c r="BJ108" s="418" t="s">
        <v>107</v>
      </c>
      <c r="BK108" s="417" t="s">
        <v>110</v>
      </c>
      <c r="BL108" s="418" t="s">
        <v>119</v>
      </c>
      <c r="BM108" s="418" t="s">
        <v>120</v>
      </c>
      <c r="BN108" s="418" t="s">
        <v>125</v>
      </c>
      <c r="BO108" s="417" t="s">
        <v>129</v>
      </c>
      <c r="BP108" s="418" t="s">
        <v>132</v>
      </c>
      <c r="BQ108" s="419" t="s">
        <v>1187</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sheetPr filterMode="false">
    <pageSetUpPr fitToPage="false"/>
  </sheetPr>
  <dimension ref="A1:R10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8" activeCellId="2" sqref="B16:B122 E16:F122 B8"/>
    </sheetView>
  </sheetViews>
  <sheetFormatPr defaultRowHeight="12.75" zeroHeight="false" outlineLevelRow="0" outlineLevelCol="0"/>
  <cols>
    <col collapsed="false" customWidth="true" hidden="false" outlineLevel="0" max="6" min="1" style="0" width="10.71"/>
    <col collapsed="false" customWidth="true" hidden="false" outlineLevel="0" max="7" min="7" style="44" width="10.71"/>
    <col collapsed="false" customWidth="true" hidden="false" outlineLevel="0" max="1025" min="8" style="0" width="10.71"/>
  </cols>
  <sheetData>
    <row r="1" customFormat="false" ht="12.75" hidden="false" customHeight="false" outlineLevel="0" collapsed="false">
      <c r="A1" s="9" t="str">
        <f aca="true">MID(CELL("filename",$A$1),   FIND("\[",CELL("filename",$A$1))+2,   FIND("]",CELL("filename",$A$1),FIND("\[",CELL("filename",$A$1))+2)-FIND("\[",CELL("filename",$A$1))-2)</f>
        <v>TDProperties_Rev0_v69.xlsx</v>
      </c>
    </row>
    <row r="2" customFormat="false" ht="12.75" hidden="false" customHeight="false" outlineLevel="0" collapsed="false">
      <c r="A2" s="0" t="str">
        <f aca="true">MID(CELL("filename",A1),FIND("]",CELL("filename",A1))+1,256)</f>
        <v>AGS Species CODATA 78 77</v>
      </c>
    </row>
    <row r="3" customFormat="false" ht="12.75" hidden="false" customHeight="false" outlineLevel="0" collapsed="false">
      <c r="A3" s="44"/>
    </row>
    <row r="4" customFormat="false" ht="12.75" hidden="false" customHeight="false" outlineLevel="0" collapsed="false">
      <c r="A4" s="281" t="s">
        <v>2067</v>
      </c>
    </row>
    <row r="5" customFormat="false" ht="12.75" hidden="false" customHeight="false" outlineLevel="0" collapsed="false">
      <c r="A5" s="10" t="s">
        <v>150</v>
      </c>
    </row>
    <row r="6" customFormat="false" ht="12.75" hidden="false" customHeight="false" outlineLevel="0" collapsed="false">
      <c r="A6" s="10" t="s">
        <v>775</v>
      </c>
    </row>
    <row r="7" customFormat="false" ht="12.75" hidden="false" customHeight="false" outlineLevel="0" collapsed="false">
      <c r="A7" s="10"/>
    </row>
    <row r="8" customFormat="false" ht="14.25" hidden="false" customHeight="false" outlineLevel="0" collapsed="false">
      <c r="A8" s="281"/>
      <c r="C8" s="10" t="s">
        <v>2044</v>
      </c>
      <c r="H8" s="10" t="s">
        <v>1199</v>
      </c>
      <c r="J8" s="458" t="n">
        <v>0.1094</v>
      </c>
      <c r="K8" s="280" t="s">
        <v>1200</v>
      </c>
    </row>
    <row r="9" customFormat="false" ht="14.25" hidden="false" customHeight="false" outlineLevel="0" collapsed="false">
      <c r="C9" s="45" t="s">
        <v>2068</v>
      </c>
      <c r="H9" s="10" t="s">
        <v>1203</v>
      </c>
      <c r="J9" s="460" t="n">
        <f aca="false">(298.15/1000)*J8</f>
        <v>0.03261761</v>
      </c>
      <c r="K9" s="280" t="s">
        <v>1204</v>
      </c>
    </row>
    <row r="10" customFormat="false" ht="14.25" hidden="false" customHeight="false" outlineLevel="0" collapsed="false">
      <c r="C10" s="45" t="s">
        <v>2069</v>
      </c>
      <c r="H10" s="10" t="s">
        <v>1207</v>
      </c>
      <c r="J10" s="460" t="n">
        <f aca="false">-J9/2</f>
        <v>-0.016308805</v>
      </c>
      <c r="K10" s="280" t="s">
        <v>1208</v>
      </c>
    </row>
    <row r="11" customFormat="false" ht="12.75" hidden="false" customHeight="false" outlineLevel="0" collapsed="false">
      <c r="C11" s="45" t="s">
        <v>2070</v>
      </c>
    </row>
    <row r="12" customFormat="false" ht="12.75" hidden="false" customHeight="false" outlineLevel="0" collapsed="false">
      <c r="C12" s="45" t="s">
        <v>2071</v>
      </c>
    </row>
    <row r="13" customFormat="false" ht="12.75" hidden="false" customHeight="false" outlineLevel="0" collapsed="false">
      <c r="C13" s="9" t="s">
        <v>711</v>
      </c>
      <c r="J13" s="9" t="s">
        <v>712</v>
      </c>
      <c r="N13" s="44"/>
      <c r="O13" s="9" t="s">
        <v>712</v>
      </c>
    </row>
    <row r="14" customFormat="false" ht="12.75" hidden="false" customHeight="false" outlineLevel="0" collapsed="false">
      <c r="C14" s="9" t="s">
        <v>156</v>
      </c>
      <c r="J14" s="9" t="s">
        <v>157</v>
      </c>
      <c r="N14" s="44"/>
      <c r="O14" s="9" t="s">
        <v>158</v>
      </c>
    </row>
    <row r="15" customFormat="false" ht="13.5" hidden="false" customHeight="false" outlineLevel="0" collapsed="false">
      <c r="N15" s="44"/>
    </row>
    <row r="16" customFormat="false" ht="13.5" hidden="false" customHeight="false" outlineLevel="0" collapsed="false">
      <c r="A16" s="10"/>
      <c r="B16" s="10"/>
      <c r="C16" s="47" t="s">
        <v>2072</v>
      </c>
      <c r="D16" s="461"/>
      <c r="E16" s="461"/>
      <c r="F16" s="268"/>
      <c r="G16" s="191"/>
      <c r="H16" s="10"/>
      <c r="I16" s="10"/>
      <c r="J16" s="47" t="s">
        <v>2072</v>
      </c>
      <c r="K16" s="461"/>
      <c r="L16" s="461"/>
      <c r="M16" s="268"/>
      <c r="N16" s="455"/>
      <c r="O16" s="47" t="s">
        <v>2072</v>
      </c>
      <c r="P16" s="461"/>
      <c r="Q16" s="461"/>
      <c r="R16" s="268"/>
    </row>
    <row r="17" customFormat="false" ht="12.75" hidden="false" customHeight="false" outlineLevel="0" collapsed="false">
      <c r="A17" s="10"/>
      <c r="B17" s="10"/>
      <c r="C17" s="15"/>
      <c r="D17" s="11"/>
      <c r="E17" s="11"/>
      <c r="F17" s="463"/>
      <c r="G17" s="191"/>
      <c r="H17" s="50"/>
      <c r="I17" s="50"/>
      <c r="J17" s="11"/>
      <c r="K17" s="11"/>
      <c r="L17" s="11"/>
      <c r="M17" s="11"/>
      <c r="O17" s="11"/>
      <c r="P17" s="11"/>
      <c r="Q17" s="11"/>
      <c r="R17" s="11"/>
    </row>
    <row r="18" customFormat="false" ht="14.25" hidden="false" customHeight="false" outlineLevel="0" collapsed="false">
      <c r="C18" s="20" t="s">
        <v>782</v>
      </c>
      <c r="D18" s="113" t="s">
        <v>511</v>
      </c>
      <c r="E18" s="113" t="s">
        <v>512</v>
      </c>
      <c r="F18" s="168" t="s">
        <v>513</v>
      </c>
      <c r="G18" s="191"/>
      <c r="H18" s="53" t="s">
        <v>1187</v>
      </c>
      <c r="I18" s="53" t="s">
        <v>1214</v>
      </c>
      <c r="J18" s="16" t="s">
        <v>782</v>
      </c>
      <c r="K18" s="113" t="s">
        <v>511</v>
      </c>
      <c r="L18" s="113" t="s">
        <v>512</v>
      </c>
      <c r="M18" s="53" t="s">
        <v>513</v>
      </c>
      <c r="O18" s="16" t="s">
        <v>782</v>
      </c>
      <c r="P18" s="113" t="s">
        <v>511</v>
      </c>
      <c r="Q18" s="113" t="s">
        <v>512</v>
      </c>
      <c r="R18" s="53" t="s">
        <v>513</v>
      </c>
    </row>
    <row r="19" customFormat="false" ht="15" hidden="false" customHeight="false" outlineLevel="0" collapsed="false">
      <c r="C19" s="25" t="s">
        <v>783</v>
      </c>
      <c r="D19" s="55" t="s">
        <v>784</v>
      </c>
      <c r="E19" s="55" t="s">
        <v>784</v>
      </c>
      <c r="F19" s="442" t="s">
        <v>167</v>
      </c>
      <c r="G19" s="191"/>
      <c r="H19" s="464"/>
      <c r="I19" s="464"/>
      <c r="J19" s="21" t="s">
        <v>783</v>
      </c>
      <c r="K19" s="55" t="s">
        <v>784</v>
      </c>
      <c r="L19" s="55" t="s">
        <v>784</v>
      </c>
      <c r="M19" s="55" t="s">
        <v>167</v>
      </c>
      <c r="O19" s="21" t="s">
        <v>783</v>
      </c>
      <c r="P19" s="55" t="s">
        <v>514</v>
      </c>
      <c r="Q19" s="55" t="s">
        <v>514</v>
      </c>
      <c r="R19" s="55" t="s">
        <v>166</v>
      </c>
    </row>
    <row r="20" customFormat="false" ht="12.75" hidden="false" customHeight="false" outlineLevel="0" collapsed="false">
      <c r="C20" s="345" t="s">
        <v>785</v>
      </c>
      <c r="D20" s="632" t="n">
        <v>0</v>
      </c>
      <c r="E20" s="633" t="s">
        <v>786</v>
      </c>
      <c r="F20" s="465" t="s">
        <v>786</v>
      </c>
      <c r="G20" s="191"/>
      <c r="H20" s="467" t="n">
        <v>1</v>
      </c>
      <c r="I20" s="467" t="n">
        <v>0.5</v>
      </c>
      <c r="J20" s="345" t="s">
        <v>785</v>
      </c>
      <c r="K20" s="469" t="n">
        <f aca="false">IF(D20="","",ROUND(D20+$I20*$J$9+$H20*$J$10,3))</f>
        <v>0</v>
      </c>
      <c r="L20" s="469" t="n">
        <f aca="false">IF(E20="","",ROUND(E20,3))</f>
        <v>0</v>
      </c>
      <c r="M20" s="469" t="n">
        <f aca="false">IF(F20="","",ROUND(F20,3))</f>
        <v>0</v>
      </c>
      <c r="O20" s="345" t="s">
        <v>785</v>
      </c>
      <c r="P20" s="469" t="n">
        <f aca="false">IF(D20="","",ROUND((D20+$I20*$J$9+$H20*$J$10)/4.184,3))</f>
        <v>0</v>
      </c>
      <c r="Q20" s="469" t="n">
        <f aca="false">IF(E20="","",ROUND(E20/4.184,3))</f>
        <v>0</v>
      </c>
      <c r="R20" s="469" t="n">
        <f aca="false">IF(F20="","",ROUND(F20/4.184,3))</f>
        <v>0</v>
      </c>
    </row>
    <row r="21" customFormat="false" ht="12.75" hidden="false" customHeight="false" outlineLevel="0" collapsed="false">
      <c r="C21" s="345" t="s">
        <v>787</v>
      </c>
      <c r="D21" s="621" t="n">
        <v>-157.336</v>
      </c>
      <c r="E21" s="466" t="s">
        <v>1505</v>
      </c>
      <c r="F21" s="465" t="s">
        <v>1506</v>
      </c>
      <c r="G21" s="191"/>
      <c r="H21" s="474" t="n">
        <v>-1</v>
      </c>
      <c r="I21" s="474" t="n">
        <v>1</v>
      </c>
      <c r="J21" s="345" t="s">
        <v>787</v>
      </c>
      <c r="K21" s="470" t="n">
        <f aca="false">IF(D21="","",ROUND(D21+$I21*$J$9+$H21*$J$10,3))</f>
        <v>-157.287</v>
      </c>
      <c r="L21" s="470" t="n">
        <f aca="false">IF(E21="","",ROUND(E21,3))</f>
        <v>-230.025</v>
      </c>
      <c r="M21" s="470" t="n">
        <f aca="false">IF(F21="","",ROUND(F21,3))</f>
        <v>-10.71</v>
      </c>
      <c r="O21" s="345" t="s">
        <v>787</v>
      </c>
      <c r="P21" s="470" t="n">
        <f aca="false">IF(D21="","",ROUND((D21+$I21*$J$9+$H21*$J$10)/4.184,3))</f>
        <v>-37.593</v>
      </c>
      <c r="Q21" s="470" t="n">
        <f aca="false">IF(E21="","",ROUND(E21/4.184,3))</f>
        <v>-54.977</v>
      </c>
      <c r="R21" s="470" t="n">
        <f aca="false">IF(F21="","",ROUND(F21/4.184,3))</f>
        <v>-2.56</v>
      </c>
    </row>
    <row r="22" customFormat="false" ht="12.75" hidden="false" customHeight="false" outlineLevel="0" collapsed="false">
      <c r="C22" s="345" t="s">
        <v>794</v>
      </c>
      <c r="D22" s="620" t="n">
        <v>-237.19</v>
      </c>
      <c r="E22" s="466" t="s">
        <v>795</v>
      </c>
      <c r="F22" s="465" t="s">
        <v>800</v>
      </c>
      <c r="G22" s="191"/>
      <c r="H22" s="474" t="n">
        <v>0</v>
      </c>
      <c r="I22" s="474" t="n">
        <v>1.5</v>
      </c>
      <c r="J22" s="345" t="s">
        <v>794</v>
      </c>
      <c r="K22" s="470" t="n">
        <f aca="false">IF(D22="","",ROUND(D22+$I22*$J$9+$H22*$J$10,3))</f>
        <v>-237.141</v>
      </c>
      <c r="L22" s="470" t="n">
        <f aca="false">IF(E22="","",ROUND(E22,3))</f>
        <v>-285.83</v>
      </c>
      <c r="M22" s="470" t="n">
        <f aca="false">IF(F22="","",ROUND(F22,3))</f>
        <v>69.95</v>
      </c>
      <c r="O22" s="345" t="s">
        <v>794</v>
      </c>
      <c r="P22" s="470" t="n">
        <f aca="false">IF(D22="","",ROUND((D22+$I22*$J$9+$H22*$J$10)/4.184,3))</f>
        <v>-56.678</v>
      </c>
      <c r="Q22" s="470" t="n">
        <f aca="false">IF(E22="","",ROUND(E22/4.184,3))</f>
        <v>-68.315</v>
      </c>
      <c r="R22" s="470" t="n">
        <f aca="false">IF(F22="","",ROUND(F22/4.184,3))</f>
        <v>16.718</v>
      </c>
    </row>
    <row r="23" customFormat="false" ht="12.75" hidden="false" customHeight="false" outlineLevel="0" collapsed="false">
      <c r="C23" s="345" t="s">
        <v>802</v>
      </c>
      <c r="D23" s="621" t="n">
        <v>-281.74</v>
      </c>
      <c r="E23" s="466" t="s">
        <v>803</v>
      </c>
      <c r="F23" s="465" t="s">
        <v>1519</v>
      </c>
      <c r="G23" s="191"/>
      <c r="H23" s="474" t="n">
        <v>-1</v>
      </c>
      <c r="I23" s="474" t="n">
        <v>0.5</v>
      </c>
      <c r="J23" s="345" t="s">
        <v>802</v>
      </c>
      <c r="K23" s="470" t="n">
        <f aca="false">IF(D23="","",ROUND(D23+$I23*$J$9+$H23*$J$10,3))</f>
        <v>-281.707</v>
      </c>
      <c r="L23" s="470" t="n">
        <f aca="false">IF(E23="","",ROUND(E23,3))</f>
        <v>-335.35</v>
      </c>
      <c r="M23" s="470" t="n">
        <f aca="false">IF(F23="","",ROUND(F23,3))</f>
        <v>-13.18</v>
      </c>
      <c r="O23" s="345" t="s">
        <v>802</v>
      </c>
      <c r="P23" s="470" t="n">
        <f aca="false">IF(D23="","",ROUND((D23+$I23*$J$9+$H23*$J$10)/4.184,3))</f>
        <v>-67.33</v>
      </c>
      <c r="Q23" s="470" t="n">
        <f aca="false">IF(E23="","",ROUND(E23/4.184,3))</f>
        <v>-80.151</v>
      </c>
      <c r="R23" s="470" t="n">
        <f aca="false">IF(F23="","",ROUND(F23/4.184,3))</f>
        <v>-3.15</v>
      </c>
    </row>
    <row r="24" customFormat="false" ht="12.75" hidden="false" customHeight="false" outlineLevel="0" collapsed="false">
      <c r="C24" s="345" t="s">
        <v>812</v>
      </c>
      <c r="D24" s="620" t="n">
        <v>-131.291</v>
      </c>
      <c r="E24" s="466" t="s">
        <v>813</v>
      </c>
      <c r="F24" s="465" t="s">
        <v>1524</v>
      </c>
      <c r="G24" s="191"/>
      <c r="H24" s="474" t="n">
        <v>-1</v>
      </c>
      <c r="I24" s="474" t="n">
        <v>0.5</v>
      </c>
      <c r="J24" s="345" t="s">
        <v>812</v>
      </c>
      <c r="K24" s="470" t="n">
        <f aca="false">IF(D24="","",ROUND(D24+$I24*$J$9+$H24*$J$10,3))</f>
        <v>-131.258</v>
      </c>
      <c r="L24" s="470" t="n">
        <f aca="false">IF(E24="","",ROUND(E24,3))</f>
        <v>-167.08</v>
      </c>
      <c r="M24" s="470" t="n">
        <f aca="false">IF(F24="","",ROUND(F24,3))</f>
        <v>56.73</v>
      </c>
      <c r="O24" s="345" t="s">
        <v>812</v>
      </c>
      <c r="P24" s="470" t="n">
        <f aca="false">IF(D24="","",ROUND((D24+$I24*$J$9+$H24*$J$10)/4.184,3))</f>
        <v>-31.372</v>
      </c>
      <c r="Q24" s="470" t="n">
        <f aca="false">IF(E24="","",ROUND(E24/4.184,3))</f>
        <v>-39.933</v>
      </c>
      <c r="R24" s="470" t="n">
        <f aca="false">IF(F24="","",ROUND(F24/4.184,3))</f>
        <v>13.559</v>
      </c>
    </row>
    <row r="25" customFormat="false" ht="12.75" hidden="false" customHeight="false" outlineLevel="0" collapsed="false">
      <c r="C25" s="345" t="s">
        <v>818</v>
      </c>
      <c r="D25" s="621" t="n">
        <v>-104.06</v>
      </c>
      <c r="E25" s="466" t="s">
        <v>2047</v>
      </c>
      <c r="F25" s="465" t="s">
        <v>1530</v>
      </c>
      <c r="G25" s="191"/>
      <c r="H25" s="474" t="n">
        <v>-1</v>
      </c>
      <c r="I25" s="474" t="n">
        <v>0</v>
      </c>
      <c r="J25" s="345" t="s">
        <v>818</v>
      </c>
      <c r="K25" s="470" t="n">
        <f aca="false">IF(D25="","",ROUND(D25+$I25*$J$9+$H25*$J$10,3))</f>
        <v>-104.044</v>
      </c>
      <c r="L25" s="470" t="n">
        <f aca="false">IF(E25="","",ROUND(E25,3))</f>
        <v>-121.5</v>
      </c>
      <c r="M25" s="470" t="n">
        <f aca="false">IF(F25="","",ROUND(F25,3))</f>
        <v>82.84</v>
      </c>
      <c r="O25" s="345" t="s">
        <v>818</v>
      </c>
      <c r="P25" s="470" t="n">
        <f aca="false">IF(D25="","",ROUND((D25+$I25*$J$9+$H25*$J$10)/4.184,3))</f>
        <v>-24.867</v>
      </c>
      <c r="Q25" s="470" t="n">
        <f aca="false">IF(E25="","",ROUND(E25/4.184,3))</f>
        <v>-29.039</v>
      </c>
      <c r="R25" s="470" t="n">
        <f aca="false">IF(F25="","",ROUND(F25/4.184,3))</f>
        <v>19.799</v>
      </c>
    </row>
    <row r="26" customFormat="false" ht="12.75" hidden="false" customHeight="false" outlineLevel="0" collapsed="false">
      <c r="C26" s="345" t="s">
        <v>825</v>
      </c>
      <c r="D26" s="620" t="n">
        <v>-51.934</v>
      </c>
      <c r="E26" s="466" t="s">
        <v>1567</v>
      </c>
      <c r="F26" s="465" t="s">
        <v>1536</v>
      </c>
      <c r="G26" s="191"/>
      <c r="H26" s="474" t="n">
        <v>-1</v>
      </c>
      <c r="I26" s="474" t="n">
        <v>0</v>
      </c>
      <c r="J26" s="345" t="s">
        <v>825</v>
      </c>
      <c r="K26" s="470" t="n">
        <f aca="false">IF(D26="","",ROUND(D26+$I26*$J$9+$H26*$J$10,3))</f>
        <v>-51.918</v>
      </c>
      <c r="L26" s="470" t="n">
        <f aca="false">IF(E26="","",ROUND(E26,3))</f>
        <v>-56.9</v>
      </c>
      <c r="M26" s="470" t="n">
        <f aca="false">IF(F26="","",ROUND(F26,3))</f>
        <v>106.7</v>
      </c>
      <c r="O26" s="345" t="s">
        <v>825</v>
      </c>
      <c r="P26" s="470" t="n">
        <f aca="false">IF(D26="","",ROUND((D26+$I26*$J$9+$H26*$J$10)/4.184,3))</f>
        <v>-12.409</v>
      </c>
      <c r="Q26" s="470" t="n">
        <f aca="false">IF(E26="","",ROUND(E26/4.184,3))</f>
        <v>-13.599</v>
      </c>
      <c r="R26" s="470" t="n">
        <f aca="false">IF(F26="","",ROUND(F26/4.184,3))</f>
        <v>25.502</v>
      </c>
    </row>
    <row r="27" customFormat="false" ht="12.75" hidden="false" customHeight="false" outlineLevel="0" collapsed="false">
      <c r="C27" s="345" t="s">
        <v>833</v>
      </c>
      <c r="D27" s="621" t="n">
        <v>-744.464</v>
      </c>
      <c r="E27" s="466" t="s">
        <v>2073</v>
      </c>
      <c r="F27" s="472" t="s">
        <v>2074</v>
      </c>
      <c r="G27" s="133"/>
      <c r="H27" s="474" t="n">
        <v>-2</v>
      </c>
      <c r="I27" s="474" t="n">
        <v>2</v>
      </c>
      <c r="J27" s="345" t="s">
        <v>833</v>
      </c>
      <c r="K27" s="470" t="n">
        <f aca="false">IF(D27="","",ROUND(D27+$I27*$J$9+$H27*$J$10,3))</f>
        <v>-744.366</v>
      </c>
      <c r="L27" s="470" t="n">
        <f aca="false">IF(E27="","",ROUND(E27,3))</f>
        <v>-909.6</v>
      </c>
      <c r="M27" s="470" t="n">
        <f aca="false">IF(F27="","",ROUND(F27,3))</f>
        <v>18.83</v>
      </c>
      <c r="O27" s="345" t="s">
        <v>833</v>
      </c>
      <c r="P27" s="470" t="n">
        <f aca="false">IF(D27="","",ROUND((D27+$I27*$J$9+$H27*$J$10)/4.184,3))</f>
        <v>-177.908</v>
      </c>
      <c r="Q27" s="470" t="n">
        <f aca="false">IF(E27="","",ROUND(E27/4.184,3))</f>
        <v>-217.4</v>
      </c>
      <c r="R27" s="470" t="n">
        <f aca="false">IF(F27="","",ROUND(F27/4.184,3))</f>
        <v>4.5</v>
      </c>
    </row>
    <row r="28" customFormat="false" ht="12.75" hidden="false" customHeight="false" outlineLevel="0" collapsed="false">
      <c r="C28" s="345" t="s">
        <v>840</v>
      </c>
      <c r="D28" s="621"/>
      <c r="E28" s="473"/>
      <c r="F28" s="472"/>
      <c r="G28" s="191"/>
      <c r="H28" s="474" t="n">
        <v>-1</v>
      </c>
      <c r="I28" s="474" t="n">
        <v>0.5</v>
      </c>
      <c r="J28" s="345" t="s">
        <v>840</v>
      </c>
      <c r="K28" s="470" t="str">
        <f aca="false">IF(D28="","",ROUND(D28+$I28*$J$9+$H28*$J$10,3))</f>
        <v/>
      </c>
      <c r="L28" s="470" t="str">
        <f aca="false">IF(E28="","",ROUND(E28,3))</f>
        <v/>
      </c>
      <c r="M28" s="470" t="str">
        <f aca="false">IF(F28="","",ROUND(F28,3))</f>
        <v/>
      </c>
      <c r="O28" s="345" t="s">
        <v>840</v>
      </c>
      <c r="P28" s="470" t="str">
        <f aca="false">IF(D28="","",ROUND((D28+$I28*$J$9+$H28*$J$10)/4.184,3))</f>
        <v/>
      </c>
      <c r="Q28" s="470" t="str">
        <f aca="false">IF(E28="","",ROUND(E28/4.184,3))</f>
        <v/>
      </c>
      <c r="R28" s="470" t="str">
        <f aca="false">IF(F28="","",ROUND(F28/4.184,3))</f>
        <v/>
      </c>
    </row>
    <row r="29" customFormat="false" ht="12.75" hidden="false" customHeight="false" outlineLevel="0" collapsed="false">
      <c r="C29" s="345" t="s">
        <v>851</v>
      </c>
      <c r="D29" s="621"/>
      <c r="E29" s="473"/>
      <c r="F29" s="465" t="s">
        <v>1554</v>
      </c>
      <c r="G29" s="191"/>
      <c r="H29" s="474" t="n">
        <v>-1</v>
      </c>
      <c r="I29" s="474" t="n">
        <v>2</v>
      </c>
      <c r="J29" s="345" t="s">
        <v>851</v>
      </c>
      <c r="K29" s="470" t="str">
        <f aca="false">IF(D29="","",ROUND(D29+$I29*$J$9+$H29*$J$10,3))</f>
        <v/>
      </c>
      <c r="L29" s="470" t="str">
        <f aca="false">IF(E29="","",ROUND(E29,3))</f>
        <v/>
      </c>
      <c r="M29" s="470" t="n">
        <f aca="false">IF(F29="","",ROUND(F29,3))</f>
        <v>146.94</v>
      </c>
      <c r="O29" s="345" t="s">
        <v>851</v>
      </c>
      <c r="P29" s="470" t="str">
        <f aca="false">IF(D29="","",ROUND((D29+$I29*$J$9+$H29*$J$10)/4.184,3))</f>
        <v/>
      </c>
      <c r="Q29" s="470" t="str">
        <f aca="false">IF(E29="","",ROUND(E29/4.184,3))</f>
        <v/>
      </c>
      <c r="R29" s="470" t="n">
        <f aca="false">IF(F29="","",ROUND(F29/4.184,3))</f>
        <v>35.12</v>
      </c>
    </row>
    <row r="30" customFormat="false" ht="12.75" hidden="false" customHeight="false" outlineLevel="0" collapsed="false">
      <c r="C30" s="345" t="s">
        <v>858</v>
      </c>
      <c r="D30" s="621"/>
      <c r="E30" s="473"/>
      <c r="F30" s="472"/>
      <c r="G30" s="191"/>
      <c r="H30" s="474" t="n">
        <v>0</v>
      </c>
      <c r="I30" s="474" t="n">
        <v>2</v>
      </c>
      <c r="J30" s="345" t="s">
        <v>858</v>
      </c>
      <c r="K30" s="470" t="str">
        <f aca="false">IF(D30="","",ROUND(D30+$I30*$J$9+$H30*$J$10,3))</f>
        <v/>
      </c>
      <c r="L30" s="470" t="str">
        <f aca="false">IF(E30="","",ROUND(E30,3))</f>
        <v/>
      </c>
      <c r="M30" s="470" t="str">
        <f aca="false">IF(F30="","",ROUND(F30,3))</f>
        <v/>
      </c>
      <c r="O30" s="345" t="s">
        <v>858</v>
      </c>
      <c r="P30" s="470" t="str">
        <f aca="false">IF(D30="","",ROUND((D30+$I30*$J$9+$H30*$J$10)/4.184,3))</f>
        <v/>
      </c>
      <c r="Q30" s="470" t="str">
        <f aca="false">IF(E30="","",ROUND(E30/4.184,3))</f>
        <v/>
      </c>
      <c r="R30" s="470" t="str">
        <f aca="false">IF(F30="","",ROUND(F30/4.184,3))</f>
        <v/>
      </c>
    </row>
    <row r="31" customFormat="false" ht="12.75" hidden="false" customHeight="false" outlineLevel="0" collapsed="false">
      <c r="C31" s="345" t="s">
        <v>865</v>
      </c>
      <c r="D31" s="620" t="n">
        <v>-79.463</v>
      </c>
      <c r="E31" s="466" t="s">
        <v>866</v>
      </c>
      <c r="F31" s="465" t="s">
        <v>867</v>
      </c>
      <c r="G31" s="191"/>
      <c r="H31" s="474" t="n">
        <v>1</v>
      </c>
      <c r="I31" s="474" t="n">
        <v>2.5</v>
      </c>
      <c r="J31" s="345" t="s">
        <v>865</v>
      </c>
      <c r="K31" s="470" t="n">
        <f aca="false">IF(D31="","",ROUND(D31+$I31*$J$9+$H31*$J$10,3))</f>
        <v>-79.398</v>
      </c>
      <c r="L31" s="470" t="n">
        <f aca="false">IF(E31="","",ROUND(E31,3))</f>
        <v>-133.26</v>
      </c>
      <c r="M31" s="470" t="n">
        <f aca="false">IF(F31="","",ROUND(F31,3))</f>
        <v>111.17</v>
      </c>
      <c r="O31" s="345" t="s">
        <v>865</v>
      </c>
      <c r="P31" s="470" t="n">
        <f aca="false">IF(D31="","",ROUND((D31+$I31*$J$9+$H31*$J$10)/4.184,3))</f>
        <v>-18.977</v>
      </c>
      <c r="Q31" s="470" t="n">
        <f aca="false">IF(E31="","",ROUND(E31/4.184,3))</f>
        <v>-31.85</v>
      </c>
      <c r="R31" s="470" t="n">
        <f aca="false">IF(F31="","",ROUND(F31/4.184,3))</f>
        <v>26.57</v>
      </c>
    </row>
    <row r="32" customFormat="false" ht="12.75" hidden="false" customHeight="false" outlineLevel="0" collapsed="false">
      <c r="C32" s="345" t="s">
        <v>872</v>
      </c>
      <c r="D32" s="621"/>
      <c r="E32" s="473"/>
      <c r="F32" s="472"/>
      <c r="G32" s="191"/>
      <c r="H32" s="474" t="n">
        <v>-1</v>
      </c>
      <c r="I32" s="474" t="n">
        <v>2.5</v>
      </c>
      <c r="J32" s="345" t="s">
        <v>872</v>
      </c>
      <c r="K32" s="470" t="str">
        <f aca="false">IF(D32="","",ROUND(D32+$I32*$J$9+$H32*$J$10,3))</f>
        <v/>
      </c>
      <c r="L32" s="470" t="str">
        <f aca="false">IF(E32="","",ROUND(E32,3))</f>
        <v/>
      </c>
      <c r="M32" s="470" t="str">
        <f aca="false">IF(F32="","",ROUND(F32,3))</f>
        <v/>
      </c>
      <c r="O32" s="345" t="s">
        <v>872</v>
      </c>
      <c r="P32" s="470" t="str">
        <f aca="false">IF(D32="","",ROUND((D32+$I32*$J$9+$H32*$J$10)/4.184,3))</f>
        <v/>
      </c>
      <c r="Q32" s="470" t="str">
        <f aca="false">IF(E32="","",ROUND(E32/4.184,3))</f>
        <v/>
      </c>
      <c r="R32" s="470" t="str">
        <f aca="false">IF(F32="","",ROUND(F32/4.184,3))</f>
        <v/>
      </c>
    </row>
    <row r="33" customFormat="false" ht="12.75" hidden="false" customHeight="false" outlineLevel="0" collapsed="false">
      <c r="C33" s="345" t="s">
        <v>879</v>
      </c>
      <c r="D33" s="621"/>
      <c r="E33" s="473"/>
      <c r="F33" s="472"/>
      <c r="G33" s="240"/>
      <c r="H33" s="474" t="n">
        <v>-2</v>
      </c>
      <c r="I33" s="474" t="n">
        <v>3</v>
      </c>
      <c r="J33" s="345" t="s">
        <v>879</v>
      </c>
      <c r="K33" s="470" t="str">
        <f aca="false">IF(D33="","",ROUND(D33+$I33*$J$9+$H33*$J$10,3))</f>
        <v/>
      </c>
      <c r="L33" s="470" t="str">
        <f aca="false">IF(E33="","",ROUND(E33,3))</f>
        <v/>
      </c>
      <c r="M33" s="470" t="str">
        <f aca="false">IF(F33="","",ROUND(F33,3))</f>
        <v/>
      </c>
      <c r="N33" s="10"/>
      <c r="O33" s="345" t="s">
        <v>879</v>
      </c>
      <c r="P33" s="470" t="str">
        <f aca="false">IF(D33="","",ROUND((D33+$I33*$J$9+$H33*$J$10)/4.184,3))</f>
        <v/>
      </c>
      <c r="Q33" s="470" t="str">
        <f aca="false">IF(E33="","",ROUND(E33/4.184,3))</f>
        <v/>
      </c>
      <c r="R33" s="470" t="str">
        <f aca="false">IF(F33="","",ROUND(F33/4.184,3))</f>
        <v/>
      </c>
    </row>
    <row r="34" customFormat="false" ht="12.75" hidden="false" customHeight="false" outlineLevel="0" collapsed="false">
      <c r="C34" s="345" t="s">
        <v>885</v>
      </c>
      <c r="D34" s="621"/>
      <c r="E34" s="473"/>
      <c r="F34" s="465"/>
      <c r="G34" s="240"/>
      <c r="H34" s="474" t="n">
        <v>0</v>
      </c>
      <c r="I34" s="474" t="n">
        <v>1</v>
      </c>
      <c r="J34" s="345" t="s">
        <v>885</v>
      </c>
      <c r="K34" s="470" t="str">
        <f aca="false">IF(D34="","",ROUND(D34+$I34*$J$9+$H34*$J$10,3))</f>
        <v/>
      </c>
      <c r="L34" s="470" t="str">
        <f aca="false">IF(E34="","",ROUND(E34,3))</f>
        <v/>
      </c>
      <c r="M34" s="470" t="str">
        <f aca="false">IF(F34="","",ROUND(F34,3))</f>
        <v/>
      </c>
      <c r="N34" s="10"/>
      <c r="O34" s="345" t="s">
        <v>885</v>
      </c>
      <c r="P34" s="470" t="str">
        <f aca="false">IF(D34="","",ROUND((D34+$I34*$J$9+$H34*$J$10)/4.184,3))</f>
        <v/>
      </c>
      <c r="Q34" s="470" t="str">
        <f aca="false">IF(E34="","",ROUND(E34/4.184,3))</f>
        <v/>
      </c>
      <c r="R34" s="470" t="str">
        <f aca="false">IF(F34="","",ROUND(F34/4.184,3))</f>
        <v/>
      </c>
    </row>
    <row r="35" customFormat="false" ht="12.75" hidden="false" customHeight="false" outlineLevel="0" collapsed="false">
      <c r="B35" s="10"/>
      <c r="C35" s="345" t="s">
        <v>893</v>
      </c>
      <c r="D35" s="620"/>
      <c r="E35" s="473"/>
      <c r="F35" s="472"/>
      <c r="G35" s="240"/>
      <c r="H35" s="474" t="n">
        <v>-2</v>
      </c>
      <c r="I35" s="474" t="n">
        <v>1.5</v>
      </c>
      <c r="J35" s="345" t="s">
        <v>893</v>
      </c>
      <c r="K35" s="470" t="str">
        <f aca="false">IF(D35="","",ROUND(D35+$I35*$J$9+$H35*$J$10,3))</f>
        <v/>
      </c>
      <c r="L35" s="470" t="str">
        <f aca="false">IF(E35="","",ROUND(E35,3))</f>
        <v/>
      </c>
      <c r="M35" s="470" t="str">
        <f aca="false">IF(F35="","",ROUND(F35,3))</f>
        <v/>
      </c>
      <c r="N35" s="10"/>
      <c r="O35" s="345" t="s">
        <v>893</v>
      </c>
      <c r="P35" s="470" t="str">
        <f aca="false">IF(D35="","",ROUND((D35+$I35*$J$9+$H35*$J$10)/4.184,3))</f>
        <v/>
      </c>
      <c r="Q35" s="470" t="str">
        <f aca="false">IF(E35="","",ROUND(E35/4.184,3))</f>
        <v/>
      </c>
      <c r="R35" s="470" t="str">
        <f aca="false">IF(F35="","",ROUND(F35/4.184,3))</f>
        <v/>
      </c>
    </row>
    <row r="36" customFormat="false" ht="12.75" hidden="false" customHeight="false" outlineLevel="0" collapsed="false">
      <c r="C36" s="345" t="s">
        <v>902</v>
      </c>
      <c r="D36" s="621"/>
      <c r="E36" s="473"/>
      <c r="F36" s="472"/>
      <c r="G36" s="191"/>
      <c r="H36" s="474" t="n">
        <v>-1</v>
      </c>
      <c r="I36" s="474" t="n">
        <v>2</v>
      </c>
      <c r="J36" s="345" t="s">
        <v>902</v>
      </c>
      <c r="K36" s="470" t="str">
        <f aca="false">IF(D36="","",ROUND(D36+$I36*$J$9+$H36*$J$10,3))</f>
        <v/>
      </c>
      <c r="L36" s="470" t="str">
        <f aca="false">IF(E36="","",ROUND(E36,3))</f>
        <v/>
      </c>
      <c r="M36" s="470" t="str">
        <f aca="false">IF(F36="","",ROUND(F36,3))</f>
        <v/>
      </c>
      <c r="O36" s="345" t="s">
        <v>902</v>
      </c>
      <c r="P36" s="470" t="str">
        <f aca="false">IF(D36="","",ROUND((D36+$I36*$J$9+$H36*$J$10)/4.184,3))</f>
        <v/>
      </c>
      <c r="Q36" s="470" t="str">
        <f aca="false">IF(E36="","",ROUND(E36/4.184,3))</f>
        <v/>
      </c>
      <c r="R36" s="470" t="str">
        <f aca="false">IF(F36="","",ROUND(F36/4.184,3))</f>
        <v/>
      </c>
    </row>
    <row r="37" customFormat="false" ht="12.75" hidden="false" customHeight="false" outlineLevel="0" collapsed="false">
      <c r="B37" s="10"/>
      <c r="C37" s="345" t="s">
        <v>909</v>
      </c>
      <c r="D37" s="621"/>
      <c r="E37" s="477"/>
      <c r="F37" s="297"/>
      <c r="G37" s="240"/>
      <c r="H37" s="474" t="n">
        <v>0</v>
      </c>
      <c r="I37" s="474" t="n">
        <v>4</v>
      </c>
      <c r="J37" s="345" t="s">
        <v>909</v>
      </c>
      <c r="K37" s="470" t="str">
        <f aca="false">IF(D37="","",ROUND(D37+$I37*$J$9+$H37*$J$10,3))</f>
        <v/>
      </c>
      <c r="L37" s="470" t="str">
        <f aca="false">IF(E37="","",ROUND(E37,3))</f>
        <v/>
      </c>
      <c r="M37" s="470" t="str">
        <f aca="false">IF(F37="","",ROUND(F37,3))</f>
        <v/>
      </c>
      <c r="N37" s="10"/>
      <c r="O37" s="345" t="s">
        <v>909</v>
      </c>
      <c r="P37" s="470" t="str">
        <f aca="false">IF(D37="","",ROUND((D37+$I37*$J$9+$H37*$J$10)/4.184,3))</f>
        <v/>
      </c>
      <c r="Q37" s="470" t="str">
        <f aca="false">IF(E37="","",ROUND(E37/4.184,3))</f>
        <v/>
      </c>
      <c r="R37" s="470" t="str">
        <f aca="false">IF(F37="","",ROUND(F37/4.184,3))</f>
        <v/>
      </c>
    </row>
    <row r="38" customFormat="false" ht="12.75" hidden="false" customHeight="false" outlineLevel="0" collapsed="false">
      <c r="B38" s="10"/>
      <c r="C38" s="345" t="s">
        <v>916</v>
      </c>
      <c r="D38" s="621"/>
      <c r="E38" s="473"/>
      <c r="F38" s="472"/>
      <c r="G38" s="240"/>
      <c r="H38" s="474" t="n">
        <v>0</v>
      </c>
      <c r="I38" s="474" t="n">
        <v>3</v>
      </c>
      <c r="J38" s="345" t="s">
        <v>916</v>
      </c>
      <c r="K38" s="470" t="str">
        <f aca="false">IF(D38="","",ROUND(D38+$I38*$J$9+$H38*$J$10,3))</f>
        <v/>
      </c>
      <c r="L38" s="470" t="str">
        <f aca="false">IF(E38="","",ROUND(E38,3))</f>
        <v/>
      </c>
      <c r="M38" s="470" t="str">
        <f aca="false">IF(F38="","",ROUND(F38,3))</f>
        <v/>
      </c>
      <c r="N38" s="10"/>
      <c r="O38" s="345" t="s">
        <v>916</v>
      </c>
      <c r="P38" s="470" t="str">
        <f aca="false">IF(D38="","",ROUND((D38+$I38*$J$9+$H38*$J$10)/4.184,3))</f>
        <v/>
      </c>
      <c r="Q38" s="470" t="str">
        <f aca="false">IF(E38="","",ROUND(E38/4.184,3))</f>
        <v/>
      </c>
      <c r="R38" s="470" t="str">
        <f aca="false">IF(F38="","",ROUND(F38/4.184,3))</f>
        <v/>
      </c>
    </row>
    <row r="39" customFormat="false" ht="12.75" hidden="false" customHeight="false" outlineLevel="0" collapsed="false">
      <c r="B39" s="10"/>
      <c r="C39" s="345" t="s">
        <v>923</v>
      </c>
      <c r="D39" s="621"/>
      <c r="E39" s="473"/>
      <c r="F39" s="472"/>
      <c r="G39" s="240"/>
      <c r="H39" s="474" t="n">
        <v>-1</v>
      </c>
      <c r="I39" s="474" t="n">
        <v>4</v>
      </c>
      <c r="J39" s="345" t="s">
        <v>923</v>
      </c>
      <c r="K39" s="470" t="str">
        <f aca="false">IF(D39="","",ROUND(D39+$I39*$J$9+$H39*$J$10,3))</f>
        <v/>
      </c>
      <c r="L39" s="470" t="str">
        <f aca="false">IF(E39="","",ROUND(E39,3))</f>
        <v/>
      </c>
      <c r="M39" s="470" t="str">
        <f aca="false">IF(F39="","",ROUND(F39,3))</f>
        <v/>
      </c>
      <c r="N39" s="10"/>
      <c r="O39" s="345" t="s">
        <v>923</v>
      </c>
      <c r="P39" s="470" t="str">
        <f aca="false">IF(D39="","",ROUND((D39+$I39*$J$9+$H39*$J$10)/4.184,3))</f>
        <v/>
      </c>
      <c r="Q39" s="470" t="str">
        <f aca="false">IF(E39="","",ROUND(E39/4.184,3))</f>
        <v/>
      </c>
      <c r="R39" s="470" t="str">
        <f aca="false">IF(F39="","",ROUND(F39/4.184,3))</f>
        <v/>
      </c>
    </row>
    <row r="40" customFormat="false" ht="12.75" hidden="false" customHeight="false" outlineLevel="0" collapsed="false">
      <c r="C40" s="345" t="s">
        <v>924</v>
      </c>
      <c r="D40" s="620"/>
      <c r="E40" s="473"/>
      <c r="F40" s="472"/>
      <c r="G40" s="191"/>
      <c r="H40" s="474" t="n">
        <v>3</v>
      </c>
      <c r="I40" s="474" t="n">
        <v>0</v>
      </c>
      <c r="J40" s="345" t="s">
        <v>924</v>
      </c>
      <c r="K40" s="470" t="str">
        <f aca="false">IF(D40="","",ROUND(D40+$I40*$J$9+$H40*$J$10,3))</f>
        <v/>
      </c>
      <c r="L40" s="470" t="str">
        <f aca="false">IF(E40="","",ROUND(E40,3))</f>
        <v/>
      </c>
      <c r="M40" s="470" t="str">
        <f aca="false">IF(F40="","",ROUND(F40,3))</f>
        <v/>
      </c>
      <c r="O40" s="345" t="s">
        <v>924</v>
      </c>
      <c r="P40" s="470" t="str">
        <f aca="false">IF(D40="","",ROUND((D40+$I40*$J$9+$H40*$J$10)/4.184,3))</f>
        <v/>
      </c>
      <c r="Q40" s="470" t="str">
        <f aca="false">IF(E40="","",ROUND(E40/4.184,3))</f>
        <v/>
      </c>
      <c r="R40" s="470" t="str">
        <f aca="false">IF(F40="","",ROUND(F40/4.184,3))</f>
        <v/>
      </c>
    </row>
    <row r="41" customFormat="false" ht="12.75" hidden="false" customHeight="false" outlineLevel="0" collapsed="false">
      <c r="C41" s="345" t="s">
        <v>933</v>
      </c>
      <c r="D41" s="621"/>
      <c r="E41" s="477"/>
      <c r="F41" s="297"/>
      <c r="G41" s="191"/>
      <c r="H41" s="474" t="n">
        <v>-1</v>
      </c>
      <c r="I41" s="474" t="n">
        <v>4</v>
      </c>
      <c r="J41" s="345" t="s">
        <v>933</v>
      </c>
      <c r="K41" s="470" t="str">
        <f aca="false">IF(D41="","",ROUND(D41+$I41*$J$9+$H41*$J$10,3))</f>
        <v/>
      </c>
      <c r="L41" s="470" t="str">
        <f aca="false">IF(E41="","",ROUND(E41,3))</f>
        <v/>
      </c>
      <c r="M41" s="470" t="str">
        <f aca="false">IF(F41="","",ROUND(F41,3))</f>
        <v/>
      </c>
      <c r="O41" s="345" t="s">
        <v>933</v>
      </c>
      <c r="P41" s="470" t="str">
        <f aca="false">IF(D41="","",ROUND((D41+$I41*$J$9+$H41*$J$10)/4.184,3))</f>
        <v/>
      </c>
      <c r="Q41" s="470" t="str">
        <f aca="false">IF(E41="","",ROUND(E41/4.184,3))</f>
        <v/>
      </c>
      <c r="R41" s="470" t="str">
        <f aca="false">IF(F41="","",ROUND(F41/4.184,3))</f>
        <v/>
      </c>
    </row>
    <row r="42" customFormat="false" ht="12.75" hidden="false" customHeight="false" outlineLevel="0" collapsed="false">
      <c r="C42" s="138" t="s">
        <v>934</v>
      </c>
      <c r="D42" s="621"/>
      <c r="E42" s="473"/>
      <c r="F42" s="472"/>
      <c r="G42" s="191"/>
      <c r="H42" s="474" t="n">
        <v>2</v>
      </c>
      <c r="I42" s="474" t="n">
        <v>0</v>
      </c>
      <c r="J42" s="138" t="s">
        <v>934</v>
      </c>
      <c r="K42" s="470" t="str">
        <f aca="false">IF(D42="","",ROUND(D42+$I42*$J$9+$H42*$J$10,3))</f>
        <v/>
      </c>
      <c r="L42" s="470" t="str">
        <f aca="false">IF(E42="","",ROUND(E42,3))</f>
        <v/>
      </c>
      <c r="M42" s="470" t="str">
        <f aca="false">IF(F42="","",ROUND(F42,3))</f>
        <v/>
      </c>
      <c r="O42" s="138" t="s">
        <v>934</v>
      </c>
      <c r="P42" s="470" t="str">
        <f aca="false">IF(D42="","",ROUND((D42+$I42*$J$9+$H42*$J$10)/4.184,3))</f>
        <v/>
      </c>
      <c r="Q42" s="470" t="str">
        <f aca="false">IF(E42="","",ROUND(E42/4.184,3))</f>
        <v/>
      </c>
      <c r="R42" s="470" t="str">
        <f aca="false">IF(F42="","",ROUND(F42/4.184,3))</f>
        <v/>
      </c>
    </row>
    <row r="43" customFormat="false" ht="12.75" hidden="false" customHeight="false" outlineLevel="0" collapsed="false">
      <c r="B43" s="10"/>
      <c r="C43" s="345" t="s">
        <v>941</v>
      </c>
      <c r="D43" s="620"/>
      <c r="E43" s="466"/>
      <c r="F43" s="472"/>
      <c r="G43" s="240"/>
      <c r="H43" s="474" t="n">
        <v>2</v>
      </c>
      <c r="I43" s="474" t="n">
        <v>0</v>
      </c>
      <c r="J43" s="345" t="s">
        <v>941</v>
      </c>
      <c r="K43" s="470" t="str">
        <f aca="false">IF(D43="","",ROUND(D43+$I43*$J$9+$H43*$J$10,3))</f>
        <v/>
      </c>
      <c r="L43" s="470" t="str">
        <f aca="false">IF(E43="","",ROUND(E43,3))</f>
        <v/>
      </c>
      <c r="M43" s="470" t="str">
        <f aca="false">IF(F43="","",ROUND(F43,3))</f>
        <v/>
      </c>
      <c r="N43" s="10"/>
      <c r="O43" s="345" t="s">
        <v>941</v>
      </c>
      <c r="P43" s="470" t="str">
        <f aca="false">IF(D43="","",ROUND((D43+$I43*$J$9+$H43*$J$10)/4.184,3))</f>
        <v/>
      </c>
      <c r="Q43" s="470" t="str">
        <f aca="false">IF(E43="","",ROUND(E43/4.184,3))</f>
        <v/>
      </c>
      <c r="R43" s="470" t="str">
        <f aca="false">IF(F43="","",ROUND(F43/4.184,3))</f>
        <v/>
      </c>
    </row>
    <row r="44" customFormat="false" ht="12.75" hidden="false" customHeight="false" outlineLevel="0" collapsed="false">
      <c r="B44" s="10"/>
      <c r="C44" s="345" t="s">
        <v>948</v>
      </c>
      <c r="D44" s="621"/>
      <c r="E44" s="473"/>
      <c r="F44" s="472"/>
      <c r="G44" s="240"/>
      <c r="H44" s="474" t="n">
        <v>3</v>
      </c>
      <c r="I44" s="474" t="n">
        <v>0</v>
      </c>
      <c r="J44" s="345" t="s">
        <v>948</v>
      </c>
      <c r="K44" s="470" t="str">
        <f aca="false">IF(D44="","",ROUND(D44+$I44*$J$9+$H44*$J$10,3))</f>
        <v/>
      </c>
      <c r="L44" s="470" t="str">
        <f aca="false">IF(E44="","",ROUND(E44,3))</f>
        <v/>
      </c>
      <c r="M44" s="470" t="str">
        <f aca="false">IF(F44="","",ROUND(F44,3))</f>
        <v/>
      </c>
      <c r="N44" s="10"/>
      <c r="O44" s="345" t="s">
        <v>948</v>
      </c>
      <c r="P44" s="470" t="str">
        <f aca="false">IF(D44="","",ROUND((D44+$I44*$J$9+$H44*$J$10)/4.184,3))</f>
        <v/>
      </c>
      <c r="Q44" s="470" t="str">
        <f aca="false">IF(E44="","",ROUND(E44/4.184,3))</f>
        <v/>
      </c>
      <c r="R44" s="470" t="str">
        <f aca="false">IF(F44="","",ROUND(F44/4.184,3))</f>
        <v/>
      </c>
    </row>
    <row r="45" customFormat="false" ht="12.75" hidden="false" customHeight="false" outlineLevel="0" collapsed="false">
      <c r="C45" s="345" t="s">
        <v>954</v>
      </c>
      <c r="D45" s="621"/>
      <c r="E45" s="473"/>
      <c r="F45" s="472"/>
      <c r="G45" s="191"/>
      <c r="H45" s="474" t="n">
        <v>2</v>
      </c>
      <c r="I45" s="474" t="n">
        <v>0</v>
      </c>
      <c r="J45" s="345" t="s">
        <v>954</v>
      </c>
      <c r="K45" s="470" t="str">
        <f aca="false">IF(D45="","",ROUND(D45+$I45*$J$9+$H45*$J$10,3))</f>
        <v/>
      </c>
      <c r="L45" s="470" t="str">
        <f aca="false">IF(E45="","",ROUND(E45,3))</f>
        <v/>
      </c>
      <c r="M45" s="470" t="str">
        <f aca="false">IF(F45="","",ROUND(F45,3))</f>
        <v/>
      </c>
      <c r="O45" s="345" t="s">
        <v>954</v>
      </c>
      <c r="P45" s="470" t="str">
        <f aca="false">IF(D45="","",ROUND((D45+$I45*$J$9+$H45*$J$10)/4.184,3))</f>
        <v/>
      </c>
      <c r="Q45" s="470" t="str">
        <f aca="false">IF(E45="","",ROUND(E45/4.184,3))</f>
        <v/>
      </c>
      <c r="R45" s="470" t="str">
        <f aca="false">IF(F45="","",ROUND(F45/4.184,3))</f>
        <v/>
      </c>
    </row>
    <row r="46" customFormat="false" ht="12.75" hidden="false" customHeight="false" outlineLevel="0" collapsed="false">
      <c r="C46" s="345" t="s">
        <v>963</v>
      </c>
      <c r="D46" s="621" t="n">
        <v>-552.811</v>
      </c>
      <c r="E46" s="473" t="s">
        <v>2075</v>
      </c>
      <c r="F46" s="472" t="s">
        <v>2076</v>
      </c>
      <c r="G46" s="133"/>
      <c r="H46" s="474" t="n">
        <v>2</v>
      </c>
      <c r="I46" s="474" t="n">
        <v>0</v>
      </c>
      <c r="J46" s="345" t="s">
        <v>963</v>
      </c>
      <c r="K46" s="470" t="n">
        <f aca="false">IF(D46="","",ROUND(D46+$I46*$J$9+$H46*$J$10,3))</f>
        <v>-552.844</v>
      </c>
      <c r="L46" s="470" t="n">
        <f aca="false">IF(E46="","",ROUND(E46,3))</f>
        <v>-543.1</v>
      </c>
      <c r="M46" s="470" t="n">
        <f aca="false">IF(F46="","",ROUND(F46,3))</f>
        <v>-56.4</v>
      </c>
      <c r="O46" s="345" t="s">
        <v>963</v>
      </c>
      <c r="P46" s="470" t="n">
        <f aca="false">IF(D46="","",ROUND((D46+$I46*$J$9+$H46*$J$10)/4.184,3))</f>
        <v>-132.133</v>
      </c>
      <c r="Q46" s="470" t="n">
        <f aca="false">IF(E46="","",ROUND(E46/4.184,3))</f>
        <v>-129.804</v>
      </c>
      <c r="R46" s="470" t="n">
        <f aca="false">IF(F46="","",ROUND(F46/4.184,3))</f>
        <v>-13.48</v>
      </c>
    </row>
    <row r="47" customFormat="false" ht="12.75" hidden="false" customHeight="false" outlineLevel="0" collapsed="false">
      <c r="C47" s="345" t="s">
        <v>970</v>
      </c>
      <c r="D47" s="621"/>
      <c r="E47" s="473"/>
      <c r="F47" s="472"/>
      <c r="G47" s="240"/>
      <c r="H47" s="474" t="n">
        <v>2</v>
      </c>
      <c r="I47" s="474" t="n">
        <v>0</v>
      </c>
      <c r="J47" s="345" t="s">
        <v>970</v>
      </c>
      <c r="K47" s="470" t="str">
        <f aca="false">IF(D47="","",ROUND(D47+$I47*$J$9+$H47*$J$10,3))</f>
        <v/>
      </c>
      <c r="L47" s="470" t="str">
        <f aca="false">IF(E47="","",ROUND(E47,3))</f>
        <v/>
      </c>
      <c r="M47" s="470" t="str">
        <f aca="false">IF(F47="","",ROUND(F47,3))</f>
        <v/>
      </c>
      <c r="N47" s="10"/>
      <c r="O47" s="345" t="s">
        <v>970</v>
      </c>
      <c r="P47" s="470" t="str">
        <f aca="false">IF(D47="","",ROUND((D47+$I47*$J$9+$H47*$J$10)/4.184,3))</f>
        <v/>
      </c>
      <c r="Q47" s="470" t="str">
        <f aca="false">IF(E47="","",ROUND(E47/4.184,3))</f>
        <v/>
      </c>
      <c r="R47" s="470" t="str">
        <f aca="false">IF(F47="","",ROUND(F47/4.184,3))</f>
        <v/>
      </c>
    </row>
    <row r="48" customFormat="false" ht="12.75" hidden="false" customHeight="false" outlineLevel="0" collapsed="false">
      <c r="B48" s="10"/>
      <c r="C48" s="345" t="s">
        <v>975</v>
      </c>
      <c r="D48" s="620"/>
      <c r="E48" s="473"/>
      <c r="F48" s="465"/>
      <c r="G48" s="240"/>
      <c r="H48" s="474" t="n">
        <v>2</v>
      </c>
      <c r="I48" s="474" t="n">
        <v>0</v>
      </c>
      <c r="J48" s="345" t="s">
        <v>975</v>
      </c>
      <c r="K48" s="470" t="str">
        <f aca="false">IF(D48="","",ROUND(D48+$I48*$J$9+$H48*$J$10,3))</f>
        <v/>
      </c>
      <c r="L48" s="470" t="str">
        <f aca="false">IF(E48="","",ROUND(E48,3))</f>
        <v/>
      </c>
      <c r="M48" s="470" t="str">
        <f aca="false">IF(F48="","",ROUND(F48,3))</f>
        <v/>
      </c>
      <c r="N48" s="10"/>
      <c r="O48" s="345" t="s">
        <v>975</v>
      </c>
      <c r="P48" s="470" t="str">
        <f aca="false">IF(D48="","",ROUND((D48+$I48*$J$9+$H48*$J$10)/4.184,3))</f>
        <v/>
      </c>
      <c r="Q48" s="470" t="str">
        <f aca="false">IF(E48="","",ROUND(E48/4.184,3))</f>
        <v/>
      </c>
      <c r="R48" s="470" t="str">
        <f aca="false">IF(F48="","",ROUND(F48/4.184,3))</f>
        <v/>
      </c>
    </row>
    <row r="49" customFormat="false" ht="12.75" hidden="false" customHeight="false" outlineLevel="0" collapsed="false">
      <c r="B49" s="10"/>
      <c r="C49" s="345" t="s">
        <v>981</v>
      </c>
      <c r="D49" s="620"/>
      <c r="E49" s="466"/>
      <c r="F49" s="465"/>
      <c r="G49" s="240"/>
      <c r="H49" s="474" t="n">
        <v>2</v>
      </c>
      <c r="I49" s="474" t="n">
        <v>0</v>
      </c>
      <c r="J49" s="345" t="s">
        <v>981</v>
      </c>
      <c r="K49" s="470" t="str">
        <f aca="false">IF(D49="","",ROUND(D49+$I49*$J$9+$H49*$J$10,3))</f>
        <v/>
      </c>
      <c r="L49" s="470" t="str">
        <f aca="false">IF(E49="","",ROUND(E49,3))</f>
        <v/>
      </c>
      <c r="M49" s="470" t="str">
        <f aca="false">IF(F49="","",ROUND(F49,3))</f>
        <v/>
      </c>
      <c r="N49" s="10"/>
      <c r="O49" s="345" t="s">
        <v>981</v>
      </c>
      <c r="P49" s="470" t="str">
        <f aca="false">IF(D49="","",ROUND((D49+$I49*$J$9+$H49*$J$10)/4.184,3))</f>
        <v/>
      </c>
      <c r="Q49" s="470" t="str">
        <f aca="false">IF(E49="","",ROUND(E49/4.184,3))</f>
        <v/>
      </c>
      <c r="R49" s="470" t="str">
        <f aca="false">IF(F49="","",ROUND(F49/4.184,3))</f>
        <v/>
      </c>
    </row>
    <row r="50" customFormat="false" ht="12.75" hidden="false" customHeight="false" outlineLevel="0" collapsed="false">
      <c r="C50" s="345" t="s">
        <v>982</v>
      </c>
      <c r="D50" s="621" t="n">
        <v>-292.607</v>
      </c>
      <c r="E50" s="466" t="s">
        <v>1630</v>
      </c>
      <c r="F50" s="465" t="s">
        <v>1631</v>
      </c>
      <c r="G50" s="240"/>
      <c r="H50" s="474" t="n">
        <v>1</v>
      </c>
      <c r="I50" s="474" t="n">
        <v>0</v>
      </c>
      <c r="J50" s="345" t="s">
        <v>982</v>
      </c>
      <c r="K50" s="470" t="n">
        <f aca="false">IF(D50="","",ROUND(D50+$I50*$J$9+$H50*$J$10,3))</f>
        <v>-292.623</v>
      </c>
      <c r="L50" s="470" t="n">
        <f aca="false">IF(E50="","",ROUND(E50,3))</f>
        <v>-278.455</v>
      </c>
      <c r="M50" s="470" t="n">
        <f aca="false">IF(F50="","",ROUND(F50,3))</f>
        <v>11.3</v>
      </c>
      <c r="N50" s="10"/>
      <c r="O50" s="345" t="s">
        <v>982</v>
      </c>
      <c r="P50" s="470" t="n">
        <f aca="false">IF(D50="","",ROUND((D50+$I50*$J$9+$H50*$J$10)/4.184,3))</f>
        <v>-69.939</v>
      </c>
      <c r="Q50" s="470" t="n">
        <f aca="false">IF(E50="","",ROUND(E50/4.184,3))</f>
        <v>-66.552</v>
      </c>
      <c r="R50" s="470" t="n">
        <f aca="false">IF(F50="","",ROUND(F50/4.184,3))</f>
        <v>2.701</v>
      </c>
    </row>
    <row r="51" customFormat="false" ht="12.75" hidden="false" customHeight="false" outlineLevel="0" collapsed="false">
      <c r="C51" s="345" t="s">
        <v>989</v>
      </c>
      <c r="D51" s="621" t="n">
        <v>-261.885</v>
      </c>
      <c r="E51" s="466" t="s">
        <v>1636</v>
      </c>
      <c r="F51" s="465" t="s">
        <v>1637</v>
      </c>
      <c r="G51" s="191"/>
      <c r="H51" s="474" t="n">
        <v>1</v>
      </c>
      <c r="I51" s="474" t="n">
        <v>0</v>
      </c>
      <c r="J51" s="345" t="s">
        <v>989</v>
      </c>
      <c r="K51" s="470" t="n">
        <f aca="false">IF(D51="","",ROUND(D51+$I51*$J$9+$H51*$J$10,3))</f>
        <v>-261.901</v>
      </c>
      <c r="L51" s="470" t="n">
        <f aca="false">IF(E51="","",ROUND(E51,3))</f>
        <v>-240.3</v>
      </c>
      <c r="M51" s="470" t="n">
        <f aca="false">IF(F51="","",ROUND(F51,3))</f>
        <v>58.41</v>
      </c>
      <c r="O51" s="345" t="s">
        <v>989</v>
      </c>
      <c r="P51" s="470" t="n">
        <f aca="false">IF(D51="","",ROUND((D51+$I51*$J$9+$H51*$J$10)/4.184,3))</f>
        <v>-62.596</v>
      </c>
      <c r="Q51" s="470" t="n">
        <f aca="false">IF(E51="","",ROUND(E51/4.184,3))</f>
        <v>-57.433</v>
      </c>
      <c r="R51" s="470" t="n">
        <f aca="false">IF(F51="","",ROUND(F51/4.184,3))</f>
        <v>13.96</v>
      </c>
    </row>
    <row r="52" customFormat="false" ht="12.75" hidden="false" customHeight="false" outlineLevel="0" collapsed="false">
      <c r="C52" s="354" t="s">
        <v>998</v>
      </c>
      <c r="D52" s="622" t="n">
        <v>-282.475</v>
      </c>
      <c r="E52" s="494" t="s">
        <v>2048</v>
      </c>
      <c r="F52" s="490" t="s">
        <v>1643</v>
      </c>
      <c r="G52" s="191"/>
      <c r="H52" s="474" t="n">
        <v>1</v>
      </c>
      <c r="I52" s="474" t="n">
        <v>0</v>
      </c>
      <c r="J52" s="354" t="s">
        <v>998</v>
      </c>
      <c r="K52" s="470" t="n">
        <f aca="false">IF(D52="","",ROUND(D52+$I52*$J$9+$H52*$J$10,3))</f>
        <v>-282.491</v>
      </c>
      <c r="L52" s="470" t="n">
        <f aca="false">IF(E52="","",ROUND(E52,3))</f>
        <v>-252.17</v>
      </c>
      <c r="M52" s="470" t="n">
        <f aca="false">IF(F52="","",ROUND(F52,3))</f>
        <v>101.04</v>
      </c>
      <c r="O52" s="354" t="s">
        <v>998</v>
      </c>
      <c r="P52" s="470" t="n">
        <f aca="false">IF(D52="","",ROUND((D52+$I52*$J$9+$H52*$J$10)/4.184,3))</f>
        <v>-67.517</v>
      </c>
      <c r="Q52" s="470" t="n">
        <f aca="false">IF(E52="","",ROUND(E52/4.184,3))</f>
        <v>-60.27</v>
      </c>
      <c r="R52" s="470" t="n">
        <f aca="false">IF(F52="","",ROUND(F52/4.184,3))</f>
        <v>24.149</v>
      </c>
    </row>
    <row r="53" customFormat="false" ht="12.75" hidden="false" customHeight="false" outlineLevel="0" collapsed="false">
      <c r="C53" s="354" t="s">
        <v>1005</v>
      </c>
      <c r="D53" s="623" t="n">
        <v>-283.608</v>
      </c>
      <c r="E53" s="494" t="s">
        <v>1006</v>
      </c>
      <c r="F53" s="490" t="s">
        <v>1647</v>
      </c>
      <c r="G53" s="191"/>
      <c r="H53" s="474" t="n">
        <v>1</v>
      </c>
      <c r="I53" s="474" t="n">
        <v>0</v>
      </c>
      <c r="J53" s="354" t="s">
        <v>1005</v>
      </c>
      <c r="K53" s="470" t="n">
        <f aca="false">IF(D53="","",ROUND(D53+$I53*$J$9+$H53*$J$10,3))</f>
        <v>-283.624</v>
      </c>
      <c r="L53" s="470" t="n">
        <f aca="false">IF(E53="","",ROUND(E53,3))</f>
        <v>-251.12</v>
      </c>
      <c r="M53" s="470" t="n">
        <f aca="false">IF(F53="","",ROUND(F53,3))</f>
        <v>120.46</v>
      </c>
      <c r="O53" s="354" t="s">
        <v>1005</v>
      </c>
      <c r="P53" s="470" t="n">
        <f aca="false">IF(D53="","",ROUND((D53+$I53*$J$9+$H53*$J$10)/4.184,3))</f>
        <v>-67.788</v>
      </c>
      <c r="Q53" s="470" t="n">
        <f aca="false">IF(E53="","",ROUND(E53/4.184,3))</f>
        <v>-60.019</v>
      </c>
      <c r="R53" s="470" t="n">
        <f aca="false">IF(F53="","",ROUND(F53/4.184,3))</f>
        <v>28.791</v>
      </c>
    </row>
    <row r="54" customFormat="false" ht="13.5" hidden="false" customHeight="false" outlineLevel="0" collapsed="false">
      <c r="C54" s="375" t="s">
        <v>1012</v>
      </c>
      <c r="D54" s="624" t="n">
        <v>-291.7</v>
      </c>
      <c r="E54" s="497" t="s">
        <v>2049</v>
      </c>
      <c r="F54" s="496" t="s">
        <v>1650</v>
      </c>
      <c r="G54" s="191"/>
      <c r="H54" s="474" t="n">
        <v>1</v>
      </c>
      <c r="I54" s="474" t="n">
        <v>0</v>
      </c>
      <c r="J54" s="375" t="s">
        <v>1012</v>
      </c>
      <c r="K54" s="500" t="n">
        <f aca="false">IF(D54="","",ROUND(D54+$I54*$J$9+$H54*$J$10,3))</f>
        <v>-291.716</v>
      </c>
      <c r="L54" s="500" t="n">
        <f aca="false">IF(E54="","",ROUND(E54,3))</f>
        <v>-258.04</v>
      </c>
      <c r="M54" s="500" t="n">
        <f aca="false">IF(F54="","",ROUND(F54,3))</f>
        <v>132.84</v>
      </c>
      <c r="O54" s="375" t="s">
        <v>1012</v>
      </c>
      <c r="P54" s="500" t="n">
        <f aca="false">IF(D54="","",ROUND((D54+$I54*$J$9+$H54*$J$10)/4.184,3))</f>
        <v>-69.722</v>
      </c>
      <c r="Q54" s="500" t="n">
        <f aca="false">IF(E54="","",ROUND(E54/4.184,3))</f>
        <v>-61.673</v>
      </c>
      <c r="R54" s="500" t="n">
        <f aca="false">IF(F54="","",ROUND(F54/4.184,3))</f>
        <v>31.75</v>
      </c>
    </row>
    <row r="55" customFormat="false" ht="12.75" hidden="false" customHeight="false" outlineLevel="0" collapsed="false">
      <c r="C55" s="280"/>
      <c r="D55" s="274"/>
      <c r="E55" s="274"/>
      <c r="F55" s="274"/>
      <c r="G55" s="191"/>
      <c r="J55" s="280"/>
      <c r="K55" s="274"/>
      <c r="L55" s="274"/>
      <c r="M55" s="274"/>
      <c r="O55" s="280"/>
      <c r="P55" s="274"/>
      <c r="Q55" s="274"/>
      <c r="R55" s="274"/>
    </row>
    <row r="56" customFormat="false" ht="12.75" hidden="false" customHeight="false" outlineLevel="0" collapsed="false">
      <c r="C56" s="280"/>
      <c r="D56" s="274"/>
      <c r="E56" s="274"/>
      <c r="F56" s="274"/>
      <c r="G56" s="191"/>
      <c r="J56" s="280"/>
      <c r="K56" s="274"/>
      <c r="L56" s="274"/>
      <c r="M56" s="274"/>
      <c r="O56" s="280"/>
      <c r="P56" s="274"/>
      <c r="Q56" s="274"/>
      <c r="R56" s="274"/>
    </row>
    <row r="57" customFormat="false" ht="12.75" hidden="false" customHeight="false" outlineLevel="0" collapsed="false">
      <c r="C57" s="280"/>
      <c r="D57" s="274"/>
      <c r="E57" s="274"/>
      <c r="F57" s="274"/>
      <c r="G57" s="191"/>
      <c r="J57" s="280"/>
      <c r="K57" s="274"/>
      <c r="L57" s="274"/>
      <c r="M57" s="274"/>
      <c r="O57" s="280"/>
      <c r="P57" s="274"/>
      <c r="Q57" s="274"/>
      <c r="R57" s="274"/>
    </row>
    <row r="58" customFormat="false" ht="13.5" hidden="false" customHeight="false" outlineLevel="0" collapsed="false">
      <c r="C58" s="280"/>
      <c r="D58" s="274"/>
      <c r="E58" s="274"/>
      <c r="F58" s="274"/>
      <c r="G58" s="191"/>
      <c r="J58" s="280"/>
      <c r="K58" s="274"/>
      <c r="L58" s="274"/>
      <c r="M58" s="274"/>
      <c r="O58" s="280"/>
      <c r="P58" s="274"/>
      <c r="Q58" s="274"/>
      <c r="R58" s="274"/>
    </row>
    <row r="59" customFormat="false" ht="12.75" hidden="false" customHeight="false" outlineLevel="0" collapsed="false">
      <c r="C59" s="11" t="s">
        <v>1020</v>
      </c>
      <c r="D59" s="11"/>
      <c r="E59" s="11"/>
      <c r="F59" s="11"/>
      <c r="G59" s="191"/>
      <c r="J59" s="11" t="s">
        <v>1020</v>
      </c>
      <c r="K59" s="11"/>
      <c r="L59" s="11"/>
      <c r="M59" s="11"/>
      <c r="O59" s="11" t="s">
        <v>1020</v>
      </c>
      <c r="P59" s="11"/>
      <c r="Q59" s="11"/>
      <c r="R59" s="11"/>
    </row>
    <row r="60" customFormat="false" ht="14.25" hidden="false" customHeight="false" outlineLevel="0" collapsed="false">
      <c r="C60" s="16" t="s">
        <v>782</v>
      </c>
      <c r="D60" s="113" t="s">
        <v>511</v>
      </c>
      <c r="E60" s="113" t="s">
        <v>512</v>
      </c>
      <c r="F60" s="53" t="s">
        <v>513</v>
      </c>
      <c r="G60" s="191"/>
      <c r="J60" s="16" t="s">
        <v>782</v>
      </c>
      <c r="K60" s="113" t="s">
        <v>511</v>
      </c>
      <c r="L60" s="113" t="s">
        <v>512</v>
      </c>
      <c r="M60" s="53" t="s">
        <v>513</v>
      </c>
      <c r="O60" s="16" t="s">
        <v>782</v>
      </c>
      <c r="P60" s="113" t="s">
        <v>511</v>
      </c>
      <c r="Q60" s="113" t="s">
        <v>512</v>
      </c>
      <c r="R60" s="53" t="s">
        <v>513</v>
      </c>
    </row>
    <row r="61" customFormat="false" ht="15" hidden="false" customHeight="false" outlineLevel="0" collapsed="false">
      <c r="C61" s="21" t="s">
        <v>783</v>
      </c>
      <c r="D61" s="55" t="s">
        <v>784</v>
      </c>
      <c r="E61" s="55" t="s">
        <v>784</v>
      </c>
      <c r="F61" s="55" t="s">
        <v>167</v>
      </c>
      <c r="G61" s="191"/>
      <c r="J61" s="21" t="s">
        <v>783</v>
      </c>
      <c r="K61" s="55" t="s">
        <v>784</v>
      </c>
      <c r="L61" s="55" t="s">
        <v>784</v>
      </c>
      <c r="M61" s="55" t="s">
        <v>167</v>
      </c>
      <c r="O61" s="21" t="s">
        <v>783</v>
      </c>
      <c r="P61" s="55" t="s">
        <v>514</v>
      </c>
      <c r="Q61" s="55" t="s">
        <v>514</v>
      </c>
      <c r="R61" s="55" t="s">
        <v>166</v>
      </c>
    </row>
    <row r="62" customFormat="false" ht="12.75" hidden="false" customHeight="false" outlineLevel="0" collapsed="false">
      <c r="C62" s="310" t="s">
        <v>1021</v>
      </c>
      <c r="D62" s="625"/>
      <c r="E62" s="508"/>
      <c r="F62" s="508"/>
      <c r="G62" s="240"/>
      <c r="J62" s="310" t="s">
        <v>1021</v>
      </c>
      <c r="K62" s="584"/>
      <c r="L62" s="509"/>
      <c r="M62" s="509"/>
      <c r="N62" s="45"/>
      <c r="O62" s="310" t="s">
        <v>1021</v>
      </c>
      <c r="P62" s="584"/>
      <c r="Q62" s="509"/>
      <c r="R62" s="509"/>
    </row>
    <row r="63" customFormat="false" ht="12.75" hidden="false" customHeight="false" outlineLevel="0" collapsed="false">
      <c r="C63" s="313" t="s">
        <v>1022</v>
      </c>
      <c r="D63" s="626"/>
      <c r="E63" s="315"/>
      <c r="F63" s="315"/>
      <c r="G63" s="240"/>
      <c r="J63" s="313" t="s">
        <v>1022</v>
      </c>
      <c r="K63" s="585"/>
      <c r="L63" s="510"/>
      <c r="M63" s="510"/>
      <c r="N63" s="45"/>
      <c r="O63" s="313" t="s">
        <v>1022</v>
      </c>
      <c r="P63" s="585"/>
      <c r="Q63" s="510"/>
      <c r="R63" s="510"/>
    </row>
    <row r="64" customFormat="false" ht="13.5" hidden="false" customHeight="false" outlineLevel="0" collapsed="false">
      <c r="C64" s="317" t="s">
        <v>1023</v>
      </c>
      <c r="D64" s="627"/>
      <c r="E64" s="500"/>
      <c r="F64" s="502"/>
      <c r="G64" s="240"/>
      <c r="J64" s="317" t="s">
        <v>1023</v>
      </c>
      <c r="K64" s="587"/>
      <c r="L64" s="512"/>
      <c r="M64" s="512"/>
      <c r="N64" s="45"/>
      <c r="O64" s="317" t="s">
        <v>1023</v>
      </c>
      <c r="P64" s="587"/>
      <c r="Q64" s="512"/>
      <c r="R64" s="512"/>
    </row>
    <row r="65" customFormat="false" ht="12.75" hidden="false" customHeight="false" outlineLevel="0" collapsed="false">
      <c r="C65" s="280"/>
      <c r="D65" s="274"/>
      <c r="E65" s="274"/>
      <c r="F65" s="274"/>
      <c r="G65" s="191"/>
      <c r="J65" s="280"/>
      <c r="K65" s="274"/>
      <c r="L65" s="274"/>
      <c r="M65" s="274"/>
      <c r="O65" s="280"/>
      <c r="P65" s="274"/>
      <c r="Q65" s="274"/>
      <c r="R65" s="274"/>
    </row>
    <row r="66" customFormat="false" ht="12.75" hidden="false" customHeight="false" outlineLevel="0" collapsed="false">
      <c r="C66" s="280"/>
      <c r="D66" s="274"/>
      <c r="E66" s="274"/>
      <c r="F66" s="274"/>
      <c r="G66" s="191"/>
      <c r="J66" s="280"/>
      <c r="K66" s="274"/>
      <c r="L66" s="274"/>
      <c r="M66" s="274"/>
      <c r="O66" s="280"/>
      <c r="P66" s="274"/>
      <c r="Q66" s="274"/>
      <c r="R66" s="274"/>
    </row>
    <row r="67" customFormat="false" ht="12.75" hidden="false" customHeight="false" outlineLevel="0" collapsed="false">
      <c r="C67" s="280"/>
      <c r="D67" s="274"/>
      <c r="E67" s="274"/>
      <c r="F67" s="274"/>
      <c r="G67" s="191"/>
      <c r="J67" s="280"/>
      <c r="K67" s="274"/>
      <c r="L67" s="274"/>
      <c r="M67" s="274"/>
      <c r="O67" s="280"/>
      <c r="P67" s="274"/>
      <c r="Q67" s="274"/>
      <c r="R67" s="274"/>
    </row>
    <row r="68" customFormat="false" ht="13.5" hidden="false" customHeight="false" outlineLevel="0" collapsed="false">
      <c r="C68" s="274"/>
      <c r="D68" s="274"/>
      <c r="E68" s="274"/>
      <c r="F68" s="274"/>
      <c r="G68" s="191"/>
      <c r="J68" s="274"/>
      <c r="K68" s="274"/>
      <c r="L68" s="274"/>
      <c r="M68" s="274"/>
      <c r="O68" s="274"/>
      <c r="P68" s="274"/>
      <c r="Q68" s="274"/>
      <c r="R68" s="274"/>
    </row>
    <row r="69" customFormat="false" ht="12.75" hidden="false" customHeight="false" outlineLevel="0" collapsed="false">
      <c r="C69" s="11"/>
      <c r="D69" s="11"/>
      <c r="E69" s="11"/>
      <c r="F69" s="11"/>
      <c r="G69" s="191"/>
      <c r="H69" s="520" t="s">
        <v>1024</v>
      </c>
      <c r="I69" s="50"/>
      <c r="J69" s="11"/>
      <c r="K69" s="11"/>
      <c r="L69" s="11"/>
      <c r="M69" s="11"/>
      <c r="O69" s="11"/>
      <c r="P69" s="11"/>
      <c r="Q69" s="11"/>
      <c r="R69" s="11"/>
    </row>
    <row r="70" customFormat="false" ht="14.25" hidden="false" customHeight="false" outlineLevel="0" collapsed="false">
      <c r="C70" s="16" t="s">
        <v>1024</v>
      </c>
      <c r="D70" s="113" t="s">
        <v>511</v>
      </c>
      <c r="E70" s="113" t="s">
        <v>512</v>
      </c>
      <c r="F70" s="53" t="s">
        <v>513</v>
      </c>
      <c r="G70" s="191"/>
      <c r="H70" s="522" t="s">
        <v>1305</v>
      </c>
      <c r="I70" s="53" t="s">
        <v>1214</v>
      </c>
      <c r="J70" s="16" t="s">
        <v>1024</v>
      </c>
      <c r="K70" s="113" t="s">
        <v>511</v>
      </c>
      <c r="L70" s="113" t="s">
        <v>512</v>
      </c>
      <c r="M70" s="53" t="s">
        <v>513</v>
      </c>
      <c r="O70" s="16" t="s">
        <v>1024</v>
      </c>
      <c r="P70" s="113" t="s">
        <v>511</v>
      </c>
      <c r="Q70" s="113" t="s">
        <v>512</v>
      </c>
      <c r="R70" s="53" t="s">
        <v>513</v>
      </c>
    </row>
    <row r="71" customFormat="false" ht="15" hidden="false" customHeight="false" outlineLevel="0" collapsed="false">
      <c r="C71" s="21" t="s">
        <v>783</v>
      </c>
      <c r="D71" s="55" t="s">
        <v>784</v>
      </c>
      <c r="E71" s="55" t="s">
        <v>784</v>
      </c>
      <c r="F71" s="55" t="s">
        <v>167</v>
      </c>
      <c r="G71" s="191"/>
      <c r="H71" s="524" t="s">
        <v>28</v>
      </c>
      <c r="I71" s="464"/>
      <c r="J71" s="21" t="s">
        <v>783</v>
      </c>
      <c r="K71" s="55" t="s">
        <v>784</v>
      </c>
      <c r="L71" s="55" t="s">
        <v>784</v>
      </c>
      <c r="M71" s="55" t="s">
        <v>167</v>
      </c>
      <c r="O71" s="21" t="s">
        <v>783</v>
      </c>
      <c r="P71" s="55" t="s">
        <v>514</v>
      </c>
      <c r="Q71" s="55" t="s">
        <v>514</v>
      </c>
      <c r="R71" s="55" t="s">
        <v>166</v>
      </c>
    </row>
    <row r="72" customFormat="false" ht="12.75" hidden="false" customHeight="false" outlineLevel="0" collapsed="false">
      <c r="B72" s="10"/>
      <c r="C72" s="525" t="s">
        <v>1025</v>
      </c>
      <c r="D72" s="628" t="n">
        <v>0</v>
      </c>
      <c r="E72" s="527" t="s">
        <v>786</v>
      </c>
      <c r="F72" s="526" t="s">
        <v>2050</v>
      </c>
      <c r="G72" s="213"/>
      <c r="H72" s="528" t="n">
        <v>1</v>
      </c>
      <c r="I72" s="529" t="n">
        <v>1</v>
      </c>
      <c r="J72" s="530" t="s">
        <v>1025</v>
      </c>
      <c r="K72" s="469" t="n">
        <f aca="false">IF(D72="","",ROUND(D72+($I72-$H72)*$J$9,3))</f>
        <v>0</v>
      </c>
      <c r="L72" s="469" t="n">
        <f aca="false">IF(E72="","",ROUND(E72,3))</f>
        <v>0</v>
      </c>
      <c r="M72" s="469" t="n">
        <f aca="false">IF(F72="","",ROUND(F72+$H72*$J$8,3))</f>
        <v>205.146</v>
      </c>
      <c r="O72" s="530" t="s">
        <v>1025</v>
      </c>
      <c r="P72" s="469" t="n">
        <f aca="false">IF(D72="","",ROUND((D72+($I72-$H72)*$J$9)/4.184,3))</f>
        <v>0</v>
      </c>
      <c r="Q72" s="469" t="n">
        <f aca="false">IF(E72="","",ROUND(E72/4.184,3))</f>
        <v>0</v>
      </c>
      <c r="R72" s="469" t="n">
        <f aca="false">IF(F72="","",ROUND((F72+$H72*$J$8)/4.184,3))</f>
        <v>49.031</v>
      </c>
    </row>
    <row r="73" customFormat="false" ht="12.75" hidden="false" customHeight="false" outlineLevel="0" collapsed="false">
      <c r="B73" s="10"/>
      <c r="C73" s="354" t="s">
        <v>1026</v>
      </c>
      <c r="D73" s="620" t="n">
        <v>0</v>
      </c>
      <c r="E73" s="466" t="s">
        <v>786</v>
      </c>
      <c r="F73" s="465" t="s">
        <v>541</v>
      </c>
      <c r="G73" s="213"/>
      <c r="H73" s="532" t="n">
        <v>1</v>
      </c>
      <c r="I73" s="533" t="n">
        <v>1</v>
      </c>
      <c r="J73" s="534" t="s">
        <v>1026</v>
      </c>
      <c r="K73" s="470" t="n">
        <f aca="false">IF(D73="","",ROUND(D73+($I73-$H73)*$J$9,3))</f>
        <v>0</v>
      </c>
      <c r="L73" s="470" t="n">
        <f aca="false">IF(E73="","",ROUND(E73,3))</f>
        <v>0</v>
      </c>
      <c r="M73" s="470" t="n">
        <f aca="false">IF(F73="","",ROUND(F73+$H73*$J$8,3))</f>
        <v>130.679</v>
      </c>
      <c r="O73" s="534" t="s">
        <v>1026</v>
      </c>
      <c r="P73" s="470" t="n">
        <f aca="false">IF(D73="","",ROUND((D73+($I73-$H73)*$J$9)/4.184,3))</f>
        <v>0</v>
      </c>
      <c r="Q73" s="470" t="n">
        <f aca="false">IF(E73="","",ROUND(E73/4.184,3))</f>
        <v>0</v>
      </c>
      <c r="R73" s="470" t="n">
        <f aca="false">IF(F73="","",ROUND((F73+$H73*$J$8)/4.184,3))</f>
        <v>31.233</v>
      </c>
    </row>
    <row r="74" customFormat="false" ht="12.75" hidden="false" customHeight="false" outlineLevel="0" collapsed="false">
      <c r="B74" s="10"/>
      <c r="C74" s="345" t="s">
        <v>1027</v>
      </c>
      <c r="D74" s="620" t="n">
        <v>-228.587</v>
      </c>
      <c r="E74" s="466" t="s">
        <v>1669</v>
      </c>
      <c r="F74" s="465" t="s">
        <v>2051</v>
      </c>
      <c r="G74" s="213"/>
      <c r="H74" s="532" t="n">
        <v>1</v>
      </c>
      <c r="I74" s="533" t="n">
        <v>1.5</v>
      </c>
      <c r="J74" s="535" t="s">
        <v>1027</v>
      </c>
      <c r="K74" s="470" t="n">
        <f aca="false">IF(D74="","",ROUND(D74+($I74-$H74)*$J$9,3))</f>
        <v>-228.571</v>
      </c>
      <c r="L74" s="470" t="n">
        <f aca="false">IF(E74="","",ROUND(E74,3))</f>
        <v>-241.814</v>
      </c>
      <c r="M74" s="470" t="n">
        <f aca="false">IF(F74="","",ROUND(F74+$H74*$J$8,3))</f>
        <v>188.833</v>
      </c>
      <c r="O74" s="535" t="s">
        <v>1027</v>
      </c>
      <c r="P74" s="470" t="n">
        <f aca="false">IF(D74="","",ROUND((D74+($I74-$H74)*$J$9)/4.184,3))</f>
        <v>-54.63</v>
      </c>
      <c r="Q74" s="470" t="n">
        <f aca="false">IF(E74="","",ROUND(E74/4.184,3))</f>
        <v>-57.795</v>
      </c>
      <c r="R74" s="470" t="n">
        <f aca="false">IF(F74="","",ROUND((F74+$H74*$J$8)/4.184,3))</f>
        <v>45.132</v>
      </c>
    </row>
    <row r="75" customFormat="false" ht="13.5" hidden="false" customHeight="false" outlineLevel="0" collapsed="false">
      <c r="B75" s="10"/>
      <c r="C75" s="375" t="s">
        <v>1031</v>
      </c>
      <c r="D75" s="624" t="n">
        <v>-394.375</v>
      </c>
      <c r="E75" s="497" t="s">
        <v>1032</v>
      </c>
      <c r="F75" s="496" t="s">
        <v>2052</v>
      </c>
      <c r="G75" s="213"/>
      <c r="H75" s="536" t="n">
        <v>1</v>
      </c>
      <c r="I75" s="537" t="n">
        <v>1</v>
      </c>
      <c r="J75" s="538" t="s">
        <v>1031</v>
      </c>
      <c r="K75" s="500" t="n">
        <f aca="false">IF(D75="","",ROUND(D75+($I75-$H75)*$J$9,3))</f>
        <v>-394.375</v>
      </c>
      <c r="L75" s="500" t="n">
        <f aca="false">IF(E75="","",ROUND(E75,3))</f>
        <v>-393.51</v>
      </c>
      <c r="M75" s="500" t="n">
        <f aca="false">IF(F75="","",ROUND(F75+$H75*$J$8,3))</f>
        <v>213.786</v>
      </c>
      <c r="O75" s="538" t="s">
        <v>1031</v>
      </c>
      <c r="P75" s="500" t="n">
        <f aca="false">IF(D75="","",ROUND((D75+($I75-$H75)*$J$9)/4.184,3))</f>
        <v>-94.258</v>
      </c>
      <c r="Q75" s="500" t="n">
        <f aca="false">IF(E75="","",ROUND(E75/4.184,3))</f>
        <v>-94.051</v>
      </c>
      <c r="R75" s="500" t="n">
        <f aca="false">IF(F75="","",ROUND((F75+$H75*$J$8)/4.184,3))</f>
        <v>51.096</v>
      </c>
    </row>
    <row r="76" customFormat="false" ht="12.75" hidden="false" customHeight="false" outlineLevel="0" collapsed="false">
      <c r="C76" s="280"/>
      <c r="D76" s="274"/>
      <c r="E76" s="274"/>
      <c r="F76" s="274"/>
      <c r="J76" s="280"/>
      <c r="K76" s="274"/>
      <c r="L76" s="274"/>
      <c r="M76" s="274"/>
      <c r="O76" s="280"/>
      <c r="P76" s="274"/>
      <c r="Q76" s="274"/>
      <c r="R76" s="274"/>
    </row>
    <row r="77" customFormat="false" ht="12.75" hidden="false" customHeight="false" outlineLevel="0" collapsed="false">
      <c r="C77" s="280"/>
      <c r="D77" s="274"/>
      <c r="E77" s="274"/>
      <c r="F77" s="274"/>
      <c r="J77" s="280"/>
      <c r="K77" s="274"/>
      <c r="L77" s="274"/>
      <c r="M77" s="274"/>
      <c r="O77" s="280"/>
      <c r="P77" s="274"/>
      <c r="Q77" s="274"/>
      <c r="R77" s="274"/>
    </row>
    <row r="78" customFormat="false" ht="12.75" hidden="false" customHeight="false" outlineLevel="0" collapsed="false">
      <c r="C78" s="280"/>
      <c r="D78" s="274"/>
      <c r="E78" s="274"/>
      <c r="F78" s="274"/>
      <c r="J78" s="280"/>
      <c r="K78" s="274"/>
      <c r="L78" s="274"/>
      <c r="M78" s="274"/>
      <c r="O78" s="280"/>
      <c r="P78" s="274"/>
      <c r="Q78" s="274"/>
      <c r="R78" s="274"/>
    </row>
    <row r="79" customFormat="false" ht="13.5" hidden="false" customHeight="false" outlineLevel="0" collapsed="false">
      <c r="C79" s="280"/>
      <c r="D79" s="274"/>
      <c r="E79" s="274"/>
      <c r="F79" s="274"/>
      <c r="J79" s="280"/>
      <c r="K79" s="274"/>
      <c r="L79" s="274"/>
      <c r="M79" s="274"/>
      <c r="O79" s="280"/>
      <c r="P79" s="274"/>
      <c r="Q79" s="274"/>
      <c r="R79" s="274"/>
    </row>
    <row r="80" customFormat="false" ht="12.75" hidden="false" customHeight="false" outlineLevel="0" collapsed="false">
      <c r="B80" s="11"/>
      <c r="C80" s="11"/>
      <c r="D80" s="11"/>
      <c r="E80" s="11"/>
      <c r="F80" s="11"/>
      <c r="G80" s="210"/>
      <c r="H80" s="618"/>
      <c r="I80" s="50"/>
      <c r="J80" s="11"/>
      <c r="K80" s="11"/>
      <c r="L80" s="11"/>
      <c r="M80" s="11"/>
      <c r="O80" s="11"/>
      <c r="P80" s="11"/>
      <c r="Q80" s="11"/>
      <c r="R80" s="11"/>
    </row>
    <row r="81" customFormat="false" ht="14.25" hidden="false" customHeight="false" outlineLevel="0" collapsed="false">
      <c r="B81" s="16" t="s">
        <v>1039</v>
      </c>
      <c r="C81" s="16" t="s">
        <v>1039</v>
      </c>
      <c r="D81" s="113" t="s">
        <v>511</v>
      </c>
      <c r="E81" s="113" t="s">
        <v>512</v>
      </c>
      <c r="F81" s="53" t="s">
        <v>513</v>
      </c>
      <c r="G81" s="210"/>
      <c r="H81" s="618"/>
      <c r="I81" s="53" t="s">
        <v>1214</v>
      </c>
      <c r="J81" s="16" t="s">
        <v>1039</v>
      </c>
      <c r="K81" s="113" t="s">
        <v>511</v>
      </c>
      <c r="L81" s="113" t="s">
        <v>512</v>
      </c>
      <c r="M81" s="53" t="s">
        <v>513</v>
      </c>
      <c r="O81" s="16" t="s">
        <v>1039</v>
      </c>
      <c r="P81" s="113" t="s">
        <v>511</v>
      </c>
      <c r="Q81" s="113" t="s">
        <v>512</v>
      </c>
      <c r="R81" s="53" t="s">
        <v>513</v>
      </c>
    </row>
    <row r="82" customFormat="false" ht="15" hidden="false" customHeight="false" outlineLevel="0" collapsed="false">
      <c r="B82" s="21" t="s">
        <v>1040</v>
      </c>
      <c r="C82" s="21" t="s">
        <v>783</v>
      </c>
      <c r="D82" s="55" t="s">
        <v>784</v>
      </c>
      <c r="E82" s="55" t="s">
        <v>784</v>
      </c>
      <c r="F82" s="55" t="s">
        <v>167</v>
      </c>
      <c r="G82" s="210"/>
      <c r="H82" s="618"/>
      <c r="I82" s="464"/>
      <c r="J82" s="21" t="s">
        <v>783</v>
      </c>
      <c r="K82" s="55" t="s">
        <v>784</v>
      </c>
      <c r="L82" s="55" t="s">
        <v>784</v>
      </c>
      <c r="M82" s="55" t="s">
        <v>167</v>
      </c>
      <c r="O82" s="21" t="s">
        <v>783</v>
      </c>
      <c r="P82" s="55" t="s">
        <v>514</v>
      </c>
      <c r="Q82" s="55" t="s">
        <v>514</v>
      </c>
      <c r="R82" s="55" t="s">
        <v>166</v>
      </c>
    </row>
    <row r="83" customFormat="false" ht="12.75" hidden="false" customHeight="false" outlineLevel="0" collapsed="false">
      <c r="A83" s="10"/>
      <c r="B83" s="335" t="s">
        <v>187</v>
      </c>
      <c r="C83" s="335" t="s">
        <v>187</v>
      </c>
      <c r="D83" s="628" t="n">
        <v>0</v>
      </c>
      <c r="E83" s="539" t="s">
        <v>786</v>
      </c>
      <c r="F83" s="337" t="s">
        <v>554</v>
      </c>
      <c r="G83" s="133"/>
      <c r="H83" s="618"/>
      <c r="I83" s="467" t="n">
        <v>0</v>
      </c>
      <c r="J83" s="544" t="s">
        <v>187</v>
      </c>
      <c r="K83" s="469" t="n">
        <f aca="false">IF(D83="","",ROUND(D83+$I83*$J$9,3))</f>
        <v>0</v>
      </c>
      <c r="L83" s="469" t="n">
        <f aca="false">IF(E83="","",ROUND(E83,3))</f>
        <v>0</v>
      </c>
      <c r="M83" s="469" t="n">
        <f aca="false">IF(F83="","",ROUND(F83,3))</f>
        <v>41.09</v>
      </c>
      <c r="O83" s="544" t="s">
        <v>187</v>
      </c>
      <c r="P83" s="469" t="n">
        <f aca="false">IF(D83="","",ROUND((D83+$I83*$J$9)/4.184,3))</f>
        <v>0</v>
      </c>
      <c r="Q83" s="469" t="n">
        <f aca="false">IF(E83="","",ROUND(E83/4.184,3))</f>
        <v>0</v>
      </c>
      <c r="R83" s="469" t="n">
        <f aca="false">IF(F83="","",ROUND(F83/4.184,3))</f>
        <v>9.821</v>
      </c>
    </row>
    <row r="84" customFormat="false" ht="12.75" hidden="false" customHeight="false" outlineLevel="0" collapsed="false">
      <c r="A84" s="10"/>
      <c r="B84" s="342" t="s">
        <v>188</v>
      </c>
      <c r="C84" s="342" t="s">
        <v>188</v>
      </c>
      <c r="D84" s="620"/>
      <c r="E84" s="549"/>
      <c r="F84" s="292"/>
      <c r="G84" s="210"/>
      <c r="H84" s="618"/>
      <c r="I84" s="474" t="n">
        <v>0</v>
      </c>
      <c r="J84" s="550" t="s">
        <v>188</v>
      </c>
      <c r="K84" s="470" t="str">
        <f aca="false">IF(D84="","",ROUND(D84+$I84*$J$9,3))</f>
        <v/>
      </c>
      <c r="L84" s="470" t="str">
        <f aca="false">IF(E84="","",ROUND(E84,3))</f>
        <v/>
      </c>
      <c r="M84" s="470" t="str">
        <f aca="false">IF(F84="","",ROUND(F84,3))</f>
        <v/>
      </c>
      <c r="O84" s="550" t="s">
        <v>188</v>
      </c>
      <c r="P84" s="470" t="str">
        <f aca="false">IF(D84="","",ROUND((D84+$I84*$J$9)/4.184,3))</f>
        <v/>
      </c>
      <c r="Q84" s="470" t="str">
        <f aca="false">IF(E84="","",ROUND(E84/4.184,3))</f>
        <v/>
      </c>
      <c r="R84" s="470" t="str">
        <f aca="false">IF(F84="","",ROUND(F84/4.184,3))</f>
        <v/>
      </c>
    </row>
    <row r="85" customFormat="false" ht="12.75" hidden="false" customHeight="false" outlineLevel="0" collapsed="false">
      <c r="A85" s="10"/>
      <c r="B85" s="345" t="s">
        <v>1041</v>
      </c>
      <c r="C85" s="345" t="s">
        <v>1041</v>
      </c>
      <c r="D85" s="620"/>
      <c r="E85" s="549"/>
      <c r="F85" s="292"/>
      <c r="G85" s="210"/>
      <c r="H85" s="618"/>
      <c r="I85" s="474" t="n">
        <v>5</v>
      </c>
      <c r="J85" s="535" t="s">
        <v>1041</v>
      </c>
      <c r="K85" s="470" t="str">
        <f aca="false">IF(D85="","",ROUND(D85+$I85*$J$9,3))</f>
        <v/>
      </c>
      <c r="L85" s="470" t="str">
        <f aca="false">IF(E85="","",ROUND(E85,3))</f>
        <v/>
      </c>
      <c r="M85" s="470" t="str">
        <f aca="false">IF(F85="","",ROUND(F85,3))</f>
        <v/>
      </c>
      <c r="O85" s="535" t="s">
        <v>1041</v>
      </c>
      <c r="P85" s="470" t="str">
        <f aca="false">IF(D85="","",ROUND((D85+$I85*$J$9)/4.184,3))</f>
        <v/>
      </c>
      <c r="Q85" s="470" t="str">
        <f aca="false">IF(E85="","",ROUND(E85/4.184,3))</f>
        <v/>
      </c>
      <c r="R85" s="470" t="str">
        <f aca="false">IF(F85="","",ROUND(F85/4.184,3))</f>
        <v/>
      </c>
    </row>
    <row r="86" customFormat="false" ht="12.75" hidden="false" customHeight="false" outlineLevel="0" collapsed="false">
      <c r="A86" s="10"/>
      <c r="B86" s="342" t="s">
        <v>1042</v>
      </c>
      <c r="C86" s="345" t="s">
        <v>1043</v>
      </c>
      <c r="D86" s="620" t="n">
        <v>-856.321</v>
      </c>
      <c r="E86" s="549" t="s">
        <v>1044</v>
      </c>
      <c r="F86" s="292" t="s">
        <v>1045</v>
      </c>
      <c r="G86" s="210"/>
      <c r="H86" s="618"/>
      <c r="I86" s="474" t="n">
        <v>1</v>
      </c>
      <c r="J86" s="535" t="s">
        <v>1043</v>
      </c>
      <c r="K86" s="470" t="n">
        <f aca="false">IF(D86="","",ROUND(D86+$I86*$J$9,3))</f>
        <v>-856.288</v>
      </c>
      <c r="L86" s="470" t="n">
        <f aca="false">IF(E86="","",ROUND(E86,3))</f>
        <v>-910.7</v>
      </c>
      <c r="M86" s="470" t="n">
        <f aca="false">IF(F86="","",ROUND(F86,3))</f>
        <v>41.46</v>
      </c>
      <c r="N86" s="10"/>
      <c r="O86" s="535" t="s">
        <v>1043</v>
      </c>
      <c r="P86" s="470" t="n">
        <f aca="false">IF(D86="","",ROUND((D86+$I86*$J$9)/4.184,3))</f>
        <v>-204.658</v>
      </c>
      <c r="Q86" s="470" t="n">
        <f aca="false">IF(E86="","",ROUND(E86/4.184,3))</f>
        <v>-217.663</v>
      </c>
      <c r="R86" s="470" t="n">
        <f aca="false">IF(F86="","",ROUND(F86/4.184,3))</f>
        <v>9.909</v>
      </c>
    </row>
    <row r="87" customFormat="false" ht="12.75" hidden="false" customHeight="false" outlineLevel="0" collapsed="false">
      <c r="A87" s="10"/>
      <c r="B87" s="345" t="s">
        <v>1050</v>
      </c>
      <c r="C87" s="345" t="s">
        <v>1050</v>
      </c>
      <c r="D87" s="620" t="n">
        <v>-1194.375</v>
      </c>
      <c r="E87" s="549" t="s">
        <v>1051</v>
      </c>
      <c r="F87" s="292" t="s">
        <v>1053</v>
      </c>
      <c r="G87" s="210"/>
      <c r="H87" s="618"/>
      <c r="I87" s="474" t="n">
        <v>1.5</v>
      </c>
      <c r="J87" s="535" t="s">
        <v>1050</v>
      </c>
      <c r="K87" s="470" t="n">
        <f aca="false">IF(D87="","",ROUND(D87+$I87*$J$9,3))</f>
        <v>-1194.326</v>
      </c>
      <c r="L87" s="470" t="n">
        <f aca="false">IF(E87="","",ROUND(E87,3))</f>
        <v>-1273.5</v>
      </c>
      <c r="M87" s="470" t="n">
        <f aca="false">IF(F87="","",ROUND(F87,3))</f>
        <v>53.97</v>
      </c>
      <c r="N87" s="10"/>
      <c r="O87" s="535" t="s">
        <v>1050</v>
      </c>
      <c r="P87" s="470" t="n">
        <f aca="false">IF(D87="","",ROUND((D87+$I87*$J$9)/4.184,3))</f>
        <v>-285.451</v>
      </c>
      <c r="Q87" s="470" t="n">
        <f aca="false">IF(E87="","",ROUND(E87/4.184,3))</f>
        <v>-304.374</v>
      </c>
      <c r="R87" s="470" t="n">
        <f aca="false">IF(F87="","",ROUND(F87/4.184,3))</f>
        <v>12.899</v>
      </c>
    </row>
    <row r="88" customFormat="false" ht="12.75" hidden="false" customHeight="false" outlineLevel="0" collapsed="false">
      <c r="A88" s="10"/>
      <c r="B88" s="345" t="s">
        <v>1058</v>
      </c>
      <c r="C88" s="345" t="s">
        <v>1059</v>
      </c>
      <c r="D88" s="620"/>
      <c r="E88" s="549"/>
      <c r="F88" s="292"/>
      <c r="G88" s="210"/>
      <c r="H88" s="618"/>
      <c r="I88" s="474" t="n">
        <v>3</v>
      </c>
      <c r="J88" s="535" t="s">
        <v>1059</v>
      </c>
      <c r="K88" s="470" t="str">
        <f aca="false">IF(D88="","",ROUND(D88+$I88*$J$9,3))</f>
        <v/>
      </c>
      <c r="L88" s="470" t="str">
        <f aca="false">IF(E88="","",ROUND(E88,3))</f>
        <v/>
      </c>
      <c r="M88" s="470" t="str">
        <f aca="false">IF(F88="","",ROUND(F88,3))</f>
        <v/>
      </c>
      <c r="N88" s="10"/>
      <c r="O88" s="535" t="s">
        <v>1059</v>
      </c>
      <c r="P88" s="470" t="str">
        <f aca="false">IF(D88="","",ROUND((D88+$I88*$J$9)/4.184,3))</f>
        <v/>
      </c>
      <c r="Q88" s="470" t="str">
        <f aca="false">IF(E88="","",ROUND(E88/4.184,3))</f>
        <v/>
      </c>
      <c r="R88" s="470" t="str">
        <f aca="false">IF(F88="","",ROUND(F88/4.184,3))</f>
        <v/>
      </c>
    </row>
    <row r="89" customFormat="false" ht="12.75" hidden="false" customHeight="false" outlineLevel="0" collapsed="false">
      <c r="A89" s="10"/>
      <c r="B89" s="342" t="s">
        <v>1066</v>
      </c>
      <c r="C89" s="345" t="s">
        <v>1067</v>
      </c>
      <c r="D89" s="620" t="n">
        <v>-1582.309</v>
      </c>
      <c r="E89" s="549" t="s">
        <v>1068</v>
      </c>
      <c r="F89" s="292" t="s">
        <v>1069</v>
      </c>
      <c r="G89" s="210"/>
      <c r="H89" s="618"/>
      <c r="I89" s="474" t="n">
        <v>1.5</v>
      </c>
      <c r="J89" s="535" t="s">
        <v>1067</v>
      </c>
      <c r="K89" s="470" t="n">
        <f aca="false">IF(D89="","",ROUND(D89+$I89*$J$9,3))</f>
        <v>-1582.26</v>
      </c>
      <c r="L89" s="470" t="n">
        <f aca="false">IF(E89="","",ROUND(E89,3))</f>
        <v>-1675.7</v>
      </c>
      <c r="M89" s="470" t="n">
        <f aca="false">IF(F89="","",ROUND(F89,3))</f>
        <v>50.92</v>
      </c>
      <c r="N89" s="10"/>
      <c r="O89" s="535" t="s">
        <v>1067</v>
      </c>
      <c r="P89" s="470" t="n">
        <f aca="false">IF(D89="","",ROUND((D89+$I89*$J$9)/4.184,3))</f>
        <v>-378.169</v>
      </c>
      <c r="Q89" s="470" t="n">
        <f aca="false">IF(E89="","",ROUND(E89/4.184,3))</f>
        <v>-400.502</v>
      </c>
      <c r="R89" s="470" t="n">
        <f aca="false">IF(F89="","",ROUND(F89/4.184,3))</f>
        <v>12.17</v>
      </c>
    </row>
    <row r="90" customFormat="false" ht="12.75" hidden="false" customHeight="false" outlineLevel="0" collapsed="false">
      <c r="A90" s="10"/>
      <c r="B90" s="342" t="s">
        <v>1075</v>
      </c>
      <c r="C90" s="345" t="s">
        <v>1076</v>
      </c>
      <c r="D90" s="620"/>
      <c r="E90" s="549"/>
      <c r="F90" s="292"/>
      <c r="G90" s="210"/>
      <c r="H90" s="618"/>
      <c r="I90" s="474" t="n">
        <v>3</v>
      </c>
      <c r="J90" s="535" t="s">
        <v>1076</v>
      </c>
      <c r="K90" s="470" t="str">
        <f aca="false">IF(D90="","",ROUND(D90+$I90*$J$9,3))</f>
        <v/>
      </c>
      <c r="L90" s="470" t="str">
        <f aca="false">IF(E90="","",ROUND(E90,3))</f>
        <v/>
      </c>
      <c r="M90" s="470" t="str">
        <f aca="false">IF(F90="","",ROUND(F90,3))</f>
        <v/>
      </c>
      <c r="N90" s="10"/>
      <c r="O90" s="535" t="s">
        <v>1076</v>
      </c>
      <c r="P90" s="470" t="str">
        <f aca="false">IF(D90="","",ROUND((D90+$I90*$J$9)/4.184,3))</f>
        <v/>
      </c>
      <c r="Q90" s="470" t="str">
        <f aca="false">IF(E90="","",ROUND(E90/4.184,3))</f>
        <v/>
      </c>
      <c r="R90" s="470" t="str">
        <f aca="false">IF(F90="","",ROUND(F90/4.184,3))</f>
        <v/>
      </c>
    </row>
    <row r="91" customFormat="false" ht="12.75" hidden="false" customHeight="false" outlineLevel="0" collapsed="false">
      <c r="A91" s="10"/>
      <c r="B91" s="342" t="s">
        <v>1080</v>
      </c>
      <c r="C91" s="345" t="s">
        <v>1080</v>
      </c>
      <c r="D91" s="620"/>
      <c r="E91" s="549"/>
      <c r="F91" s="292"/>
      <c r="G91" s="210"/>
      <c r="H91" s="618"/>
      <c r="I91" s="474" t="n">
        <v>10.5</v>
      </c>
      <c r="J91" s="535" t="s">
        <v>1080</v>
      </c>
      <c r="K91" s="470" t="str">
        <f aca="false">IF(D91="","",ROUND(D91+$I91*$J$9,3))</f>
        <v/>
      </c>
      <c r="L91" s="470" t="str">
        <f aca="false">IF(E91="","",ROUND(E91,3))</f>
        <v/>
      </c>
      <c r="M91" s="470" t="str">
        <f aca="false">IF(F91="","",ROUND(F91,3))</f>
        <v/>
      </c>
      <c r="N91" s="133"/>
      <c r="O91" s="535" t="s">
        <v>1080</v>
      </c>
      <c r="P91" s="470" t="str">
        <f aca="false">IF(D91="","",ROUND((D91+$I91*$J$9)/4.184,3))</f>
        <v/>
      </c>
      <c r="Q91" s="470" t="str">
        <f aca="false">IF(E91="","",ROUND(E91/4.184,3))</f>
        <v/>
      </c>
      <c r="R91" s="470" t="str">
        <f aca="false">IF(F91="","",ROUND(F91/4.184,3))</f>
        <v/>
      </c>
    </row>
    <row r="92" customFormat="false" ht="12.75" hidden="false" customHeight="false" outlineLevel="0" collapsed="false">
      <c r="A92" s="10"/>
      <c r="B92" s="342" t="s">
        <v>1084</v>
      </c>
      <c r="C92" s="345" t="s">
        <v>1085</v>
      </c>
      <c r="D92" s="620"/>
      <c r="E92" s="549"/>
      <c r="F92" s="292"/>
      <c r="G92" s="210"/>
      <c r="H92" s="618"/>
      <c r="I92" s="474" t="n">
        <v>2.5</v>
      </c>
      <c r="J92" s="535" t="s">
        <v>1085</v>
      </c>
      <c r="K92" s="470" t="str">
        <f aca="false">IF(D92="","",ROUND(D92+$I92*$J$9,3))</f>
        <v/>
      </c>
      <c r="L92" s="470" t="str">
        <f aca="false">IF(E92="","",ROUND(E92,3))</f>
        <v/>
      </c>
      <c r="M92" s="470" t="str">
        <f aca="false">IF(F92="","",ROUND(F92,3))</f>
        <v/>
      </c>
      <c r="N92" s="133"/>
      <c r="O92" s="535" t="s">
        <v>1085</v>
      </c>
      <c r="P92" s="470" t="str">
        <f aca="false">IF(D92="","",ROUND((D92+$I92*$J$9)/4.184,3))</f>
        <v/>
      </c>
      <c r="Q92" s="470" t="str">
        <f aca="false">IF(E92="","",ROUND(E92/4.184,3))</f>
        <v/>
      </c>
      <c r="R92" s="470" t="str">
        <f aca="false">IF(F92="","",ROUND(F92/4.184,3))</f>
        <v/>
      </c>
    </row>
    <row r="93" customFormat="false" ht="12.75" hidden="false" customHeight="false" outlineLevel="0" collapsed="false">
      <c r="A93" s="10"/>
      <c r="B93" s="353" t="s">
        <v>1086</v>
      </c>
      <c r="C93" s="354" t="s">
        <v>1087</v>
      </c>
      <c r="D93" s="623"/>
      <c r="E93" s="557"/>
      <c r="F93" s="301"/>
      <c r="G93" s="210"/>
      <c r="H93" s="618"/>
      <c r="I93" s="558" t="n">
        <v>1.5</v>
      </c>
      <c r="J93" s="534" t="s">
        <v>1087</v>
      </c>
      <c r="K93" s="470" t="str">
        <f aca="false">IF(D93="","",ROUND(D93+$I93*$J$9,3))</f>
        <v/>
      </c>
      <c r="L93" s="470" t="str">
        <f aca="false">IF(E93="","",ROUND(E93,3))</f>
        <v/>
      </c>
      <c r="M93" s="470" t="str">
        <f aca="false">IF(F93="","",ROUND(F93,3))</f>
        <v/>
      </c>
      <c r="N93" s="133"/>
      <c r="O93" s="534" t="s">
        <v>1087</v>
      </c>
      <c r="P93" s="470" t="str">
        <f aca="false">IF(D93="","",ROUND((D93+$I93*$J$9)/4.184,3))</f>
        <v/>
      </c>
      <c r="Q93" s="470" t="str">
        <f aca="false">IF(E93="","",ROUND(E93/4.184,3))</f>
        <v/>
      </c>
      <c r="R93" s="470" t="str">
        <f aca="false">IF(F93="","",ROUND(F93/4.184,3))</f>
        <v/>
      </c>
    </row>
    <row r="94" customFormat="false" ht="12.75" hidden="false" customHeight="false" outlineLevel="0" collapsed="false">
      <c r="A94" s="10"/>
      <c r="B94" s="353" t="s">
        <v>1093</v>
      </c>
      <c r="C94" s="354" t="s">
        <v>1094</v>
      </c>
      <c r="D94" s="623"/>
      <c r="E94" s="557"/>
      <c r="F94" s="301"/>
      <c r="G94" s="210"/>
      <c r="H94" s="618"/>
      <c r="I94" s="558" t="n">
        <v>2</v>
      </c>
      <c r="J94" s="534" t="s">
        <v>1094</v>
      </c>
      <c r="K94" s="470" t="str">
        <f aca="false">IF(D94="","",ROUND(D94+$I94*$J$9,3))</f>
        <v/>
      </c>
      <c r="L94" s="470" t="str">
        <f aca="false">IF(E94="","",ROUND(E94,3))</f>
        <v/>
      </c>
      <c r="M94" s="470" t="str">
        <f aca="false">IF(F94="","",ROUND(F94,3))</f>
        <v/>
      </c>
      <c r="N94" s="133"/>
      <c r="O94" s="534" t="s">
        <v>1094</v>
      </c>
      <c r="P94" s="470" t="str">
        <f aca="false">IF(D94="","",ROUND((D94+$I94*$J$9)/4.184,3))</f>
        <v/>
      </c>
      <c r="Q94" s="470" t="str">
        <f aca="false">IF(E94="","",ROUND(E94/4.184,3))</f>
        <v/>
      </c>
      <c r="R94" s="470" t="str">
        <f aca="false">IF(F94="","",ROUND(F94/4.184,3))</f>
        <v/>
      </c>
    </row>
    <row r="95" customFormat="false" ht="12.75" hidden="false" customHeight="false" outlineLevel="0" collapsed="false">
      <c r="A95" s="10"/>
      <c r="B95" s="353" t="s">
        <v>1100</v>
      </c>
      <c r="C95" s="354" t="s">
        <v>1101</v>
      </c>
      <c r="D95" s="623"/>
      <c r="E95" s="557"/>
      <c r="F95" s="301"/>
      <c r="G95" s="210"/>
      <c r="H95" s="618"/>
      <c r="I95" s="558" t="n">
        <v>2</v>
      </c>
      <c r="J95" s="534" t="s">
        <v>1101</v>
      </c>
      <c r="K95" s="470" t="str">
        <f aca="false">IF(D95="","",ROUND(D95+$I95*$J$9,3))</f>
        <v/>
      </c>
      <c r="L95" s="470" t="str">
        <f aca="false">IF(E95="","",ROUND(E95,3))</f>
        <v/>
      </c>
      <c r="M95" s="470" t="str">
        <f aca="false">IF(F95="","",ROUND(F95,3))</f>
        <v/>
      </c>
      <c r="N95" s="133"/>
      <c r="O95" s="534" t="s">
        <v>1101</v>
      </c>
      <c r="P95" s="470" t="str">
        <f aca="false">IF(D95="","",ROUND((D95+$I95*$J$9)/4.184,3))</f>
        <v/>
      </c>
      <c r="Q95" s="470" t="str">
        <f aca="false">IF(E95="","",ROUND(E95/4.184,3))</f>
        <v/>
      </c>
      <c r="R95" s="470" t="str">
        <f aca="false">IF(F95="","",ROUND(F95/4.184,3))</f>
        <v/>
      </c>
    </row>
    <row r="96" customFormat="false" ht="12.75" hidden="false" customHeight="false" outlineLevel="0" collapsed="false">
      <c r="A96" s="10"/>
      <c r="B96" s="353" t="s">
        <v>1107</v>
      </c>
      <c r="C96" s="354" t="s">
        <v>1108</v>
      </c>
      <c r="D96" s="623" t="n">
        <v>-569.226</v>
      </c>
      <c r="E96" s="557" t="s">
        <v>2077</v>
      </c>
      <c r="F96" s="301" t="s">
        <v>1110</v>
      </c>
      <c r="G96" s="133"/>
      <c r="H96" s="618"/>
      <c r="I96" s="558" t="n">
        <v>0.5</v>
      </c>
      <c r="J96" s="534" t="s">
        <v>1108</v>
      </c>
      <c r="K96" s="470" t="n">
        <f aca="false">IF(D96="","",ROUND(D96+$I96*$J$9,3))</f>
        <v>-569.21</v>
      </c>
      <c r="L96" s="470" t="n">
        <f aca="false">IF(E96="","",ROUND(E96,3))</f>
        <v>-601.5</v>
      </c>
      <c r="M96" s="470" t="n">
        <f aca="false">IF(F96="","",ROUND(F96,3))</f>
        <v>26.95</v>
      </c>
      <c r="N96" s="133"/>
      <c r="O96" s="534" t="s">
        <v>1108</v>
      </c>
      <c r="P96" s="470" t="n">
        <f aca="false">IF(D96="","",ROUND((D96+$I96*$J$9)/4.184,3))</f>
        <v>-136.044</v>
      </c>
      <c r="Q96" s="470" t="n">
        <f aca="false">IF(E96="","",ROUND(E96/4.184,3))</f>
        <v>-143.762</v>
      </c>
      <c r="R96" s="470" t="n">
        <f aca="false">IF(F96="","",ROUND(F96/4.184,3))</f>
        <v>6.441</v>
      </c>
    </row>
    <row r="97" customFormat="false" ht="12.75" hidden="false" customHeight="false" outlineLevel="0" collapsed="false">
      <c r="A97" s="10"/>
      <c r="B97" s="353" t="s">
        <v>1114</v>
      </c>
      <c r="C97" s="354" t="s">
        <v>1115</v>
      </c>
      <c r="D97" s="623"/>
      <c r="E97" s="557"/>
      <c r="F97" s="301"/>
      <c r="G97" s="210"/>
      <c r="H97" s="618"/>
      <c r="I97" s="558" t="n">
        <v>2</v>
      </c>
      <c r="J97" s="534" t="s">
        <v>1115</v>
      </c>
      <c r="K97" s="470" t="str">
        <f aca="false">IF(D97="","",ROUND(D97+$I97*$J$9,3))</f>
        <v/>
      </c>
      <c r="L97" s="470" t="str">
        <f aca="false">IF(E97="","",ROUND(E97,3))</f>
        <v/>
      </c>
      <c r="M97" s="470" t="str">
        <f aca="false">IF(F97="","",ROUND(F97,3))</f>
        <v/>
      </c>
      <c r="N97" s="133"/>
      <c r="O97" s="534" t="s">
        <v>1115</v>
      </c>
      <c r="P97" s="470" t="str">
        <f aca="false">IF(D97="","",ROUND((D97+$I97*$J$9)/4.184,3))</f>
        <v/>
      </c>
      <c r="Q97" s="470" t="str">
        <f aca="false">IF(E97="","",ROUND(E97/4.184,3))</f>
        <v/>
      </c>
      <c r="R97" s="470" t="str">
        <f aca="false">IF(F97="","",ROUND(F97/4.184,3))</f>
        <v/>
      </c>
    </row>
    <row r="98" customFormat="false" ht="12.75" hidden="false" customHeight="false" outlineLevel="0" collapsed="false">
      <c r="A98" s="10"/>
      <c r="B98" s="353" t="s">
        <v>1119</v>
      </c>
      <c r="C98" s="354" t="s">
        <v>1120</v>
      </c>
      <c r="D98" s="623"/>
      <c r="E98" s="557"/>
      <c r="F98" s="301"/>
      <c r="G98" s="210"/>
      <c r="H98" s="618"/>
      <c r="I98" s="558" t="n">
        <v>1.5</v>
      </c>
      <c r="J98" s="534" t="s">
        <v>1120</v>
      </c>
      <c r="K98" s="470" t="str">
        <f aca="false">IF(D98="","",ROUND(D98+$I98*$J$9,3))</f>
        <v/>
      </c>
      <c r="L98" s="470" t="str">
        <f aca="false">IF(E98="","",ROUND(E98,3))</f>
        <v/>
      </c>
      <c r="M98" s="470" t="str">
        <f aca="false">IF(F98="","",ROUND(F98,3))</f>
        <v/>
      </c>
      <c r="N98" s="133"/>
      <c r="O98" s="534" t="s">
        <v>1120</v>
      </c>
      <c r="P98" s="470" t="str">
        <f aca="false">IF(D98="","",ROUND((D98+$I98*$J$9)/4.184,3))</f>
        <v/>
      </c>
      <c r="Q98" s="470" t="str">
        <f aca="false">IF(E98="","",ROUND(E98/4.184,3))</f>
        <v/>
      </c>
      <c r="R98" s="470" t="str">
        <f aca="false">IF(F98="","",ROUND(F98/4.184,3))</f>
        <v/>
      </c>
    </row>
    <row r="99" customFormat="false" ht="12.75" hidden="false" customHeight="false" outlineLevel="0" collapsed="false">
      <c r="A99" s="10"/>
      <c r="B99" s="353" t="s">
        <v>1121</v>
      </c>
      <c r="C99" s="354" t="s">
        <v>1122</v>
      </c>
      <c r="D99" s="623"/>
      <c r="E99" s="557"/>
      <c r="F99" s="301"/>
      <c r="G99" s="210"/>
      <c r="H99" s="618"/>
      <c r="I99" s="558" t="n">
        <v>2</v>
      </c>
      <c r="J99" s="534" t="s">
        <v>1122</v>
      </c>
      <c r="K99" s="470" t="str">
        <f aca="false">IF(D99="","",ROUND(D99+$I99*$J$9,3))</f>
        <v/>
      </c>
      <c r="L99" s="470" t="str">
        <f aca="false">IF(E99="","",ROUND(E99,3))</f>
        <v/>
      </c>
      <c r="M99" s="470" t="str">
        <f aca="false">IF(F99="","",ROUND(F99,3))</f>
        <v/>
      </c>
      <c r="N99" s="133"/>
      <c r="O99" s="534" t="s">
        <v>1122</v>
      </c>
      <c r="P99" s="470" t="str">
        <f aca="false">IF(D99="","",ROUND((D99+$I99*$J$9)/4.184,3))</f>
        <v/>
      </c>
      <c r="Q99" s="470" t="str">
        <f aca="false">IF(E99="","",ROUND(E99/4.184,3))</f>
        <v/>
      </c>
      <c r="R99" s="470" t="str">
        <f aca="false">IF(F99="","",ROUND(F99/4.184,3))</f>
        <v/>
      </c>
    </row>
    <row r="100" customFormat="false" ht="12.75" hidden="false" customHeight="false" outlineLevel="0" collapsed="false">
      <c r="A100" s="10"/>
      <c r="B100" s="353" t="s">
        <v>1123</v>
      </c>
      <c r="C100" s="354" t="s">
        <v>1124</v>
      </c>
      <c r="D100" s="623" t="n">
        <v>-603.481</v>
      </c>
      <c r="E100" s="557" t="s">
        <v>1427</v>
      </c>
      <c r="F100" s="301" t="s">
        <v>1127</v>
      </c>
      <c r="G100" s="133"/>
      <c r="H100" s="618"/>
      <c r="I100" s="558" t="n">
        <v>0.5</v>
      </c>
      <c r="J100" s="534" t="s">
        <v>1124</v>
      </c>
      <c r="K100" s="470" t="n">
        <f aca="false">IF(D100="","",ROUND(D100+$I100*$J$9,3))</f>
        <v>-603.465</v>
      </c>
      <c r="L100" s="470" t="n">
        <f aca="false">IF(E100="","",ROUND(E100,3))</f>
        <v>-635.09</v>
      </c>
      <c r="M100" s="470" t="n">
        <f aca="false">IF(F100="","",ROUND(F100,3))</f>
        <v>38.1</v>
      </c>
      <c r="N100" s="133"/>
      <c r="O100" s="534" t="s">
        <v>1124</v>
      </c>
      <c r="P100" s="470" t="n">
        <f aca="false">IF(D100="","",ROUND((D100+$I100*$J$9)/4.184,3))</f>
        <v>-144.232</v>
      </c>
      <c r="Q100" s="470" t="n">
        <f aca="false">IF(E100="","",ROUND(E100/4.184,3))</f>
        <v>-151.79</v>
      </c>
      <c r="R100" s="470" t="n">
        <f aca="false">IF(F100="","",ROUND(F100/4.184,3))</f>
        <v>9.106</v>
      </c>
    </row>
    <row r="101" customFormat="false" ht="12.75" hidden="false" customHeight="false" outlineLevel="0" collapsed="false">
      <c r="A101" s="10"/>
      <c r="B101" s="353" t="s">
        <v>1134</v>
      </c>
      <c r="C101" s="354" t="s">
        <v>1135</v>
      </c>
      <c r="D101" s="623"/>
      <c r="E101" s="557"/>
      <c r="F101" s="301"/>
      <c r="G101" s="210"/>
      <c r="H101" s="618"/>
      <c r="I101" s="558" t="n">
        <v>2</v>
      </c>
      <c r="J101" s="534" t="s">
        <v>1135</v>
      </c>
      <c r="K101" s="470" t="str">
        <f aca="false">IF(D101="","",ROUND(D101+$I101*$J$9,3))</f>
        <v/>
      </c>
      <c r="L101" s="470" t="str">
        <f aca="false">IF(E101="","",ROUND(E101,3))</f>
        <v/>
      </c>
      <c r="M101" s="470" t="str">
        <f aca="false">IF(F101="","",ROUND(F101,3))</f>
        <v/>
      </c>
      <c r="N101" s="133"/>
      <c r="O101" s="534" t="s">
        <v>1135</v>
      </c>
      <c r="P101" s="470" t="str">
        <f aca="false">IF(D101="","",ROUND((D101+$I101*$J$9)/4.184,3))</f>
        <v/>
      </c>
      <c r="Q101" s="470" t="str">
        <f aca="false">IF(E101="","",ROUND(E101/4.184,3))</f>
        <v/>
      </c>
      <c r="R101" s="470" t="str">
        <f aca="false">IF(F101="","",ROUND(F101/4.184,3))</f>
        <v/>
      </c>
    </row>
    <row r="102" customFormat="false" ht="12.75" hidden="false" customHeight="false" outlineLevel="0" collapsed="false">
      <c r="A102" s="10"/>
      <c r="B102" s="353" t="s">
        <v>1139</v>
      </c>
      <c r="C102" s="354" t="s">
        <v>1140</v>
      </c>
      <c r="D102" s="623"/>
      <c r="E102" s="557"/>
      <c r="F102" s="301"/>
      <c r="G102" s="210"/>
      <c r="H102" s="618"/>
      <c r="I102" s="558" t="n">
        <v>1.5</v>
      </c>
      <c r="J102" s="534" t="s">
        <v>1140</v>
      </c>
      <c r="K102" s="470" t="str">
        <f aca="false">IF(D102="","",ROUND(D102+$I102*$J$9,3))</f>
        <v/>
      </c>
      <c r="L102" s="470" t="str">
        <f aca="false">IF(E102="","",ROUND(E102,3))</f>
        <v/>
      </c>
      <c r="M102" s="470" t="str">
        <f aca="false">IF(F102="","",ROUND(F102,3))</f>
        <v/>
      </c>
      <c r="N102" s="133"/>
      <c r="O102" s="534" t="s">
        <v>1140</v>
      </c>
      <c r="P102" s="470" t="str">
        <f aca="false">IF(D102="","",ROUND((D102+$I102*$J$9)/4.184,3))</f>
        <v/>
      </c>
      <c r="Q102" s="470" t="str">
        <f aca="false">IF(E102="","",ROUND(E102/4.184,3))</f>
        <v/>
      </c>
      <c r="R102" s="470" t="str">
        <f aca="false">IF(F102="","",ROUND(F102/4.184,3))</f>
        <v/>
      </c>
    </row>
    <row r="103" customFormat="false" ht="12.75" hidden="false" customHeight="false" outlineLevel="0" collapsed="false">
      <c r="A103" s="10"/>
      <c r="B103" s="353" t="s">
        <v>1144</v>
      </c>
      <c r="C103" s="354" t="s">
        <v>1145</v>
      </c>
      <c r="D103" s="623"/>
      <c r="E103" s="557"/>
      <c r="F103" s="301"/>
      <c r="G103" s="210"/>
      <c r="H103" s="618"/>
      <c r="I103" s="558" t="n">
        <v>1.5</v>
      </c>
      <c r="J103" s="534" t="s">
        <v>1145</v>
      </c>
      <c r="K103" s="470" t="str">
        <f aca="false">IF(D103="","",ROUND(D103+$I103*$J$9,3))</f>
        <v/>
      </c>
      <c r="L103" s="470" t="str">
        <f aca="false">IF(E103="","",ROUND(E103,3))</f>
        <v/>
      </c>
      <c r="M103" s="470" t="str">
        <f aca="false">IF(F103="","",ROUND(F103,3))</f>
        <v/>
      </c>
      <c r="N103" s="133"/>
      <c r="O103" s="534" t="s">
        <v>1145</v>
      </c>
      <c r="P103" s="470" t="str">
        <f aca="false">IF(D103="","",ROUND((D103+$I103*$J$9)/4.184,3))</f>
        <v/>
      </c>
      <c r="Q103" s="470" t="str">
        <f aca="false">IF(E103="","",ROUND(E103/4.184,3))</f>
        <v/>
      </c>
      <c r="R103" s="470" t="str">
        <f aca="false">IF(F103="","",ROUND(F103/4.184,3))</f>
        <v/>
      </c>
    </row>
    <row r="104" customFormat="false" ht="12.75" hidden="false" customHeight="false" outlineLevel="0" collapsed="false">
      <c r="A104" s="10"/>
      <c r="B104" s="354" t="s">
        <v>1146</v>
      </c>
      <c r="C104" s="354" t="s">
        <v>1146</v>
      </c>
      <c r="D104" s="623"/>
      <c r="E104" s="557"/>
      <c r="F104" s="301"/>
      <c r="G104" s="210"/>
      <c r="H104" s="618"/>
      <c r="I104" s="558" t="n">
        <v>0.5</v>
      </c>
      <c r="J104" s="534" t="s">
        <v>1146</v>
      </c>
      <c r="K104" s="470" t="str">
        <f aca="false">IF(D104="","",ROUND(D104+$I104*$J$9,3))</f>
        <v/>
      </c>
      <c r="L104" s="470" t="str">
        <f aca="false">IF(E104="","",ROUND(E104,3))</f>
        <v/>
      </c>
      <c r="M104" s="470" t="str">
        <f aca="false">IF(F104="","",ROUND(F104,3))</f>
        <v/>
      </c>
      <c r="N104" s="133"/>
      <c r="O104" s="534" t="s">
        <v>1146</v>
      </c>
      <c r="P104" s="470" t="str">
        <f aca="false">IF(D104="","",ROUND((D104+$I104*$J$9)/4.184,3))</f>
        <v/>
      </c>
      <c r="Q104" s="470" t="str">
        <f aca="false">IF(E104="","",ROUND(E104/4.184,3))</f>
        <v/>
      </c>
      <c r="R104" s="470" t="str">
        <f aca="false">IF(F104="","",ROUND(F104/4.184,3))</f>
        <v/>
      </c>
    </row>
    <row r="105" customFormat="false" ht="12.75" hidden="false" customHeight="false" outlineLevel="0" collapsed="false">
      <c r="A105" s="10"/>
      <c r="B105" s="353" t="s">
        <v>1147</v>
      </c>
      <c r="C105" s="354" t="s">
        <v>1148</v>
      </c>
      <c r="D105" s="623"/>
      <c r="E105" s="557"/>
      <c r="F105" s="301"/>
      <c r="G105" s="210"/>
      <c r="H105" s="619"/>
      <c r="I105" s="558" t="n">
        <v>0.5</v>
      </c>
      <c r="J105" s="534" t="s">
        <v>1148</v>
      </c>
      <c r="K105" s="470" t="str">
        <f aca="false">IF(D105="","",ROUND(D105+$I105*$J$9,3))</f>
        <v/>
      </c>
      <c r="L105" s="470" t="str">
        <f aca="false">IF(E105="","",ROUND(E105,3))</f>
        <v/>
      </c>
      <c r="M105" s="470" t="str">
        <f aca="false">IF(F105="","",ROUND(F105,3))</f>
        <v/>
      </c>
      <c r="N105" s="133"/>
      <c r="O105" s="534" t="s">
        <v>1148</v>
      </c>
      <c r="P105" s="470" t="str">
        <f aca="false">IF(D105="","",ROUND((D105+$I105*$J$9)/4.184,3))</f>
        <v/>
      </c>
      <c r="Q105" s="470" t="str">
        <f aca="false">IF(E105="","",ROUND(E105/4.184,3))</f>
        <v/>
      </c>
      <c r="R105" s="470" t="str">
        <f aca="false">IF(F105="","",ROUND(F105/4.184,3))</f>
        <v/>
      </c>
    </row>
    <row r="106" customFormat="false" ht="12.75" hidden="false" customHeight="false" outlineLevel="0" collapsed="false">
      <c r="A106" s="10"/>
      <c r="B106" s="354" t="s">
        <v>1154</v>
      </c>
      <c r="C106" s="354" t="s">
        <v>1154</v>
      </c>
      <c r="D106" s="620"/>
      <c r="E106" s="557"/>
      <c r="F106" s="292"/>
      <c r="G106" s="210"/>
      <c r="H106" s="618"/>
      <c r="I106" s="558" t="n">
        <v>0.5</v>
      </c>
      <c r="J106" s="534" t="s">
        <v>1154</v>
      </c>
      <c r="K106" s="470" t="str">
        <f aca="false">IF(D106="","",ROUND(D106+$I106*$J$9,3))</f>
        <v/>
      </c>
      <c r="L106" s="470" t="str">
        <f aca="false">IF(E106="","",ROUND(E106,3))</f>
        <v/>
      </c>
      <c r="M106" s="470" t="str">
        <f aca="false">IF(F106="","",ROUND(F106,3))</f>
        <v/>
      </c>
      <c r="N106" s="629"/>
      <c r="O106" s="630" t="s">
        <v>1154</v>
      </c>
      <c r="P106" s="470" t="str">
        <f aca="false">IF(D106="","",ROUND((D106+$I106*$J$9)/4.184,3))</f>
        <v/>
      </c>
      <c r="Q106" s="470" t="str">
        <f aca="false">IF(E106="","",ROUND(E106/4.184,3))</f>
        <v/>
      </c>
      <c r="R106" s="470" t="str">
        <f aca="false">IF(F106="","",ROUND(F106/4.184,3))</f>
        <v/>
      </c>
    </row>
    <row r="107" customFormat="false" ht="13.5" hidden="false" customHeight="false" outlineLevel="0" collapsed="false">
      <c r="A107" s="10"/>
      <c r="B107" s="374" t="s">
        <v>1155</v>
      </c>
      <c r="C107" s="375" t="s">
        <v>1156</v>
      </c>
      <c r="D107" s="624"/>
      <c r="E107" s="564"/>
      <c r="F107" s="307"/>
      <c r="G107" s="210"/>
      <c r="H107" s="618"/>
      <c r="I107" s="565" t="n">
        <v>0.5</v>
      </c>
      <c r="J107" s="538" t="s">
        <v>1156</v>
      </c>
      <c r="K107" s="500" t="str">
        <f aca="false">IF(D107="","",ROUND(D107+$I107*$J$9,3))</f>
        <v/>
      </c>
      <c r="L107" s="500" t="str">
        <f aca="false">IF(E107="","",ROUND(E107,3))</f>
        <v/>
      </c>
      <c r="M107" s="500" t="str">
        <f aca="false">IF(F107="","",ROUND(F107,3))</f>
        <v/>
      </c>
      <c r="N107" s="10"/>
      <c r="O107" s="538" t="s">
        <v>1156</v>
      </c>
      <c r="P107" s="500" t="str">
        <f aca="false">IF(D107="","",ROUND((D107+$I107*$J$9)/4.184,3))</f>
        <v/>
      </c>
      <c r="Q107" s="500" t="str">
        <f aca="false">IF(E107="","",ROUND(E107/4.184,3))</f>
        <v/>
      </c>
      <c r="R107" s="500" t="str">
        <f aca="false">IF(F107="","",ROUND(F107/4.184,3))</f>
        <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2.xml><?xml version="1.0" encoding="utf-8"?>
<worksheet xmlns="http://schemas.openxmlformats.org/spreadsheetml/2006/main" xmlns:r="http://schemas.openxmlformats.org/officeDocument/2006/relationships">
  <sheetPr filterMode="false">
    <pageSetUpPr fitToPage="false"/>
  </sheetPr>
  <dimension ref="A1:BQ10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4" activeCellId="0" sqref="B16:B122 E16:F122"/>
    </sheetView>
  </sheetViews>
  <sheetFormatPr defaultRowHeight="12.75" zeroHeight="false" outlineLevelRow="0" outlineLevelCol="0"/>
  <cols>
    <col collapsed="false" customWidth="true" hidden="false" outlineLevel="0" max="1" min="1" style="0" width="13.14"/>
    <col collapsed="false" customWidth="true" hidden="false" outlineLevel="0" max="9" min="2" style="0" width="11.42"/>
    <col collapsed="false" customWidth="true" hidden="false" outlineLevel="0" max="10" min="10" style="44" width="11.42"/>
    <col collapsed="false" customWidth="true" hidden="false" outlineLevel="0" max="11" min="11" style="73" width="11.42"/>
    <col collapsed="false" customWidth="true" hidden="false" outlineLevel="0" max="15" min="12" style="73" width="6.15"/>
    <col collapsed="false" customWidth="true" hidden="false" outlineLevel="0" max="37" min="16" style="0" width="6.15"/>
    <col collapsed="false" customWidth="true" hidden="false" outlineLevel="0" max="43" min="38" style="0" width="11.42"/>
    <col collapsed="false" customWidth="true" hidden="false" outlineLevel="0" max="69" min="44" style="0" width="6.15"/>
    <col collapsed="false" customWidth="true" hidden="false" outlineLevel="0" max="1025" min="70" style="0" width="11.42"/>
  </cols>
  <sheetData>
    <row r="1" customFormat="false" ht="12.75" hidden="false" customHeight="false" outlineLevel="0" collapsed="false">
      <c r="A1" s="9" t="str">
        <f aca="true">MID(CELL("filename",$A$1),   FIND("\[",CELL("filename",$A$1))+2,   FIND("]",CELL("filename",$A$1),FIND("\[",CELL("filename",$A$1))+2)-FIND("\[",CELL("filename",$A$1))-2)</f>
        <v>TDProperties_Rev0_v69.xlsx</v>
      </c>
    </row>
    <row r="2" customFormat="false" ht="12.75" hidden="false" customHeight="false" outlineLevel="0" collapsed="false">
      <c r="A2" s="0" t="str">
        <f aca="true">MID(CELL("filename",A1),FIND("]",CELL("filename",A1))+1,256)</f>
        <v>AGS Species C7877 w Gibbs</v>
      </c>
    </row>
    <row r="3" customFormat="false" ht="12.75" hidden="false" customHeight="false" outlineLevel="0" collapsed="false">
      <c r="A3" s="44"/>
    </row>
    <row r="4" customFormat="false" ht="12.75" hidden="false" customHeight="false" outlineLevel="0" collapsed="false">
      <c r="A4" s="281" t="s">
        <v>2078</v>
      </c>
    </row>
    <row r="5" customFormat="false" ht="12.75" hidden="false" customHeight="false" outlineLevel="0" collapsed="false">
      <c r="A5" s="10" t="s">
        <v>150</v>
      </c>
    </row>
    <row r="6" customFormat="false" ht="12.75" hidden="false" customHeight="false" outlineLevel="0" collapsed="false">
      <c r="A6" s="10" t="s">
        <v>775</v>
      </c>
    </row>
    <row r="7" customFormat="false" ht="12.75" hidden="false" customHeight="false" outlineLevel="0" collapsed="false">
      <c r="A7" s="10"/>
    </row>
    <row r="8" customFormat="false" ht="13.5" hidden="false" customHeight="false" outlineLevel="0" collapsed="false">
      <c r="A8" s="44"/>
      <c r="G8" s="73"/>
      <c r="H8" s="73"/>
      <c r="I8" s="73"/>
      <c r="J8" s="73"/>
    </row>
    <row r="9" customFormat="false" ht="12.75" hidden="false" customHeight="false" outlineLevel="0" collapsed="false">
      <c r="E9" s="51" t="s">
        <v>531</v>
      </c>
      <c r="G9" s="73"/>
      <c r="H9" s="73"/>
      <c r="I9" s="73"/>
      <c r="J9" s="73"/>
      <c r="K9" s="52"/>
    </row>
    <row r="10" customFormat="false" ht="12.75" hidden="false" customHeight="false" outlineLevel="0" collapsed="false">
      <c r="E10" s="54" t="n">
        <v>1978</v>
      </c>
      <c r="F10" s="10"/>
      <c r="K10" s="52"/>
    </row>
    <row r="11" customFormat="false" ht="13.5" hidden="false" customHeight="false" outlineLevel="0" collapsed="false">
      <c r="E11" s="266" t="s">
        <v>2079</v>
      </c>
      <c r="AQ11" s="392" t="s">
        <v>1185</v>
      </c>
      <c r="AR11" s="73"/>
      <c r="AS11" s="73"/>
      <c r="AT11" s="73"/>
      <c r="AU11" s="73"/>
    </row>
    <row r="12" customFormat="false" ht="13.5" hidden="false" customHeight="false" outlineLevel="0" collapsed="false">
      <c r="B12" s="10"/>
      <c r="C12" s="10"/>
      <c r="AQ12" s="393" t="s">
        <v>1186</v>
      </c>
      <c r="AR12" s="394" t="s">
        <v>32</v>
      </c>
      <c r="AS12" s="395" t="s">
        <v>40</v>
      </c>
      <c r="AT12" s="396" t="s">
        <v>41</v>
      </c>
      <c r="AU12" s="396" t="s">
        <v>46</v>
      </c>
      <c r="AV12" s="395" t="s">
        <v>48</v>
      </c>
      <c r="AW12" s="395" t="s">
        <v>49</v>
      </c>
      <c r="AX12" s="396" t="s">
        <v>54</v>
      </c>
      <c r="AY12" s="396" t="s">
        <v>59</v>
      </c>
      <c r="AZ12" s="396" t="s">
        <v>66</v>
      </c>
      <c r="BA12" s="396" t="s">
        <v>68</v>
      </c>
      <c r="BB12" s="396" t="s">
        <v>75</v>
      </c>
      <c r="BC12" s="396" t="s">
        <v>82</v>
      </c>
      <c r="BD12" s="396" t="s">
        <v>86</v>
      </c>
      <c r="BE12" s="396" t="s">
        <v>89</v>
      </c>
      <c r="BF12" s="395" t="s">
        <v>93</v>
      </c>
      <c r="BG12" s="396" t="s">
        <v>97</v>
      </c>
      <c r="BH12" s="396" t="s">
        <v>99</v>
      </c>
      <c r="BI12" s="395" t="s">
        <v>103</v>
      </c>
      <c r="BJ12" s="396" t="s">
        <v>107</v>
      </c>
      <c r="BK12" s="395" t="s">
        <v>110</v>
      </c>
      <c r="BL12" s="396" t="s">
        <v>119</v>
      </c>
      <c r="BM12" s="396" t="s">
        <v>120</v>
      </c>
      <c r="BN12" s="396" t="s">
        <v>125</v>
      </c>
      <c r="BO12" s="395" t="s">
        <v>129</v>
      </c>
      <c r="BP12" s="396" t="s">
        <v>132</v>
      </c>
      <c r="BQ12" s="397" t="s">
        <v>1187</v>
      </c>
    </row>
    <row r="13" customFormat="false" ht="13.5" hidden="false" customHeight="false" outlineLevel="0" collapsed="false">
      <c r="C13" s="9" t="s">
        <v>711</v>
      </c>
      <c r="E13" s="9" t="s">
        <v>1188</v>
      </c>
      <c r="AQ13" s="398" t="s">
        <v>1189</v>
      </c>
      <c r="AR13" s="399" t="n">
        <v>28.3</v>
      </c>
      <c r="AS13" s="400" t="n">
        <v>5.9</v>
      </c>
      <c r="AT13" s="400" t="n">
        <v>0</v>
      </c>
      <c r="AU13" s="400" t="n">
        <v>152.1</v>
      </c>
      <c r="AV13" s="401" t="n">
        <v>5.74</v>
      </c>
      <c r="AW13" s="401" t="n">
        <v>41.6</v>
      </c>
      <c r="AX13" s="400" t="n">
        <v>222.965</v>
      </c>
      <c r="AY13" s="401" t="n">
        <v>85.23</v>
      </c>
      <c r="AZ13" s="400" t="n">
        <v>202.685</v>
      </c>
      <c r="BA13" s="401" t="n">
        <v>0</v>
      </c>
      <c r="BB13" s="400" t="s">
        <v>541</v>
      </c>
      <c r="BC13" s="400" t="n">
        <v>116.139</v>
      </c>
      <c r="BD13" s="401" t="n">
        <v>64.68</v>
      </c>
      <c r="BE13" s="401" t="n">
        <v>29.12</v>
      </c>
      <c r="BF13" s="401" t="n">
        <v>32.68</v>
      </c>
      <c r="BG13" s="400" t="n">
        <v>191.502</v>
      </c>
      <c r="BH13" s="400" t="n">
        <v>51.3</v>
      </c>
      <c r="BI13" s="401" t="n">
        <v>0</v>
      </c>
      <c r="BJ13" s="400" t="s">
        <v>2050</v>
      </c>
      <c r="BK13" s="401" t="n">
        <v>41.09</v>
      </c>
      <c r="BL13" s="401" t="n">
        <v>0</v>
      </c>
      <c r="BM13" s="401" t="n">
        <v>76.78</v>
      </c>
      <c r="BN13" s="401" t="n">
        <v>32.054</v>
      </c>
      <c r="BO13" s="401" t="n">
        <v>18.81</v>
      </c>
      <c r="BP13" s="402" t="n">
        <v>0</v>
      </c>
      <c r="BQ13" s="403" t="n">
        <f aca="false">-0.5*BB13</f>
        <v>-65.285</v>
      </c>
    </row>
    <row r="14" customFormat="false" ht="12.75" hidden="false" customHeight="false" outlineLevel="0" collapsed="false">
      <c r="C14" s="9" t="s">
        <v>156</v>
      </c>
      <c r="E14" s="282" t="s">
        <v>1190</v>
      </c>
      <c r="AQ14" s="404" t="s">
        <v>1191</v>
      </c>
      <c r="AR14" s="405" t="n">
        <v>0.1</v>
      </c>
      <c r="AS14" s="406" t="n">
        <v>0.08</v>
      </c>
      <c r="AT14" s="406" t="n">
        <v>0</v>
      </c>
      <c r="AU14" s="406" t="n">
        <v>0.04</v>
      </c>
      <c r="AV14" s="406" t="n">
        <v>0.12</v>
      </c>
      <c r="AW14" s="406" t="n">
        <v>0.4</v>
      </c>
      <c r="AX14" s="406" t="n">
        <v>0.04</v>
      </c>
      <c r="AY14" s="406" t="n">
        <v>0.4</v>
      </c>
      <c r="AZ14" s="406" t="n">
        <v>0.04</v>
      </c>
      <c r="BA14" s="406" t="n">
        <v>0</v>
      </c>
      <c r="BB14" s="406" t="s">
        <v>2055</v>
      </c>
      <c r="BC14" s="406" t="n">
        <v>0.08</v>
      </c>
      <c r="BD14" s="406" t="n">
        <v>0.2</v>
      </c>
      <c r="BE14" s="406" t="n">
        <v>0.2</v>
      </c>
      <c r="BF14" s="406" t="n">
        <v>0.1</v>
      </c>
      <c r="BG14" s="406" t="n">
        <v>0.025</v>
      </c>
      <c r="BH14" s="406" t="n">
        <v>0.2</v>
      </c>
      <c r="BI14" s="406" t="n">
        <v>0</v>
      </c>
      <c r="BJ14" s="406" t="s">
        <v>2055</v>
      </c>
      <c r="BK14" s="406" t="n">
        <v>0.25</v>
      </c>
      <c r="BL14" s="406" t="n">
        <v>0</v>
      </c>
      <c r="BM14" s="406" t="n">
        <v>0.3</v>
      </c>
      <c r="BN14" s="406" t="n">
        <v>0.05</v>
      </c>
      <c r="BO14" s="406" t="n">
        <v>0.08</v>
      </c>
      <c r="BP14" s="407" t="n">
        <v>0</v>
      </c>
      <c r="BQ14" s="403" t="n">
        <f aca="false">0.5*BB14</f>
        <v>0.0165</v>
      </c>
    </row>
    <row r="15" customFormat="false" ht="13.5" hidden="false" customHeight="false" outlineLevel="0" collapsed="false">
      <c r="B15" s="9"/>
      <c r="C15" s="9"/>
      <c r="AN15" s="191"/>
      <c r="AQ15" s="408" t="s">
        <v>1192</v>
      </c>
      <c r="AR15" s="409" t="n">
        <f aca="false">(0.5*AR14)^2</f>
        <v>0.0025</v>
      </c>
      <c r="AS15" s="410" t="n">
        <f aca="false">(0.5*AS14)^2</f>
        <v>0.0016</v>
      </c>
      <c r="AT15" s="410" t="n">
        <f aca="false">(0.5*AT14)^2</f>
        <v>0</v>
      </c>
      <c r="AU15" s="410" t="n">
        <f aca="false">(0.5*AU14)^2</f>
        <v>0.0004</v>
      </c>
      <c r="AV15" s="410" t="n">
        <f aca="false">(0.5*AV14)^2</f>
        <v>0.0036</v>
      </c>
      <c r="AW15" s="410" t="n">
        <f aca="false">(0.5*AW14)^2</f>
        <v>0.04</v>
      </c>
      <c r="AX15" s="410" t="n">
        <f aca="false">(0.5*AX14)^2</f>
        <v>0.0004</v>
      </c>
      <c r="AY15" s="410" t="n">
        <f aca="false">(0.5*AY14)^2</f>
        <v>0.04</v>
      </c>
      <c r="AZ15" s="410" t="n">
        <f aca="false">(0.5*AZ14)^2</f>
        <v>0.0004</v>
      </c>
      <c r="BA15" s="410" t="n">
        <f aca="false">(0.5*BA14)^2</f>
        <v>0</v>
      </c>
      <c r="BB15" s="410" t="n">
        <f aca="false">(0.5*BB14)^2</f>
        <v>0.00027225</v>
      </c>
      <c r="BC15" s="410" t="n">
        <f aca="false">(0.5*BC14)^2</f>
        <v>0.0016</v>
      </c>
      <c r="BD15" s="410" t="n">
        <f aca="false">(0.5*BD14)^2</f>
        <v>0.01</v>
      </c>
      <c r="BE15" s="410" t="n">
        <f aca="false">(0.5*BE14)^2</f>
        <v>0.01</v>
      </c>
      <c r="BF15" s="410" t="n">
        <f aca="false">(0.5*BF14)^2</f>
        <v>0.0025</v>
      </c>
      <c r="BG15" s="410" t="n">
        <f aca="false">(0.5*BG14)^2</f>
        <v>0.00015625</v>
      </c>
      <c r="BH15" s="410" t="n">
        <f aca="false">(0.5*BH14)^2</f>
        <v>0.01</v>
      </c>
      <c r="BI15" s="410" t="n">
        <f aca="false">(0.5*BI14)^2</f>
        <v>0</v>
      </c>
      <c r="BJ15" s="410" t="n">
        <f aca="false">(0.5*BJ14)^2</f>
        <v>0.00027225</v>
      </c>
      <c r="BK15" s="410" t="n">
        <f aca="false">(0.5*BK14)^2</f>
        <v>0.015625</v>
      </c>
      <c r="BL15" s="410" t="n">
        <f aca="false">(0.5*BL14)^2</f>
        <v>0</v>
      </c>
      <c r="BM15" s="410" t="n">
        <f aca="false">(0.5*BM14)^2</f>
        <v>0.0225</v>
      </c>
      <c r="BN15" s="410" t="n">
        <f aca="false">(0.5*BN14)^2</f>
        <v>0.000625</v>
      </c>
      <c r="BO15" s="410" t="n">
        <f aca="false">(0.5*BO14)^2</f>
        <v>0.0016</v>
      </c>
      <c r="BP15" s="410" t="n">
        <f aca="false">(0.5*BP14)^2</f>
        <v>0</v>
      </c>
      <c r="BQ15" s="410" t="n">
        <f aca="false">(0.5*BQ14)^2</f>
        <v>6.80625E-005</v>
      </c>
    </row>
    <row r="16" customFormat="false" ht="15" hidden="false" customHeight="false" outlineLevel="0" collapsed="false">
      <c r="A16" s="10"/>
      <c r="B16" s="10"/>
      <c r="C16" s="15"/>
      <c r="D16" s="283" t="s">
        <v>779</v>
      </c>
      <c r="E16" s="284"/>
      <c r="F16" s="283" t="s">
        <v>780</v>
      </c>
      <c r="G16" s="284"/>
      <c r="H16" s="283" t="s">
        <v>781</v>
      </c>
      <c r="I16" s="284"/>
    </row>
    <row r="17" customFormat="false" ht="13.5" hidden="false" customHeight="false" outlineLevel="0" collapsed="false">
      <c r="A17" s="10"/>
      <c r="B17" s="10"/>
      <c r="C17" s="16"/>
      <c r="D17" s="50"/>
      <c r="E17" s="50" t="s">
        <v>725</v>
      </c>
      <c r="F17" s="50"/>
      <c r="G17" s="50" t="s">
        <v>725</v>
      </c>
      <c r="H17" s="50"/>
      <c r="I17" s="50" t="s">
        <v>725</v>
      </c>
      <c r="AQ17" s="411" t="s">
        <v>1185</v>
      </c>
    </row>
    <row r="18" customFormat="false" ht="13.5" hidden="false" customHeight="false" outlineLevel="0" collapsed="false">
      <c r="C18" s="16" t="s">
        <v>782</v>
      </c>
      <c r="D18" s="53" t="s">
        <v>726</v>
      </c>
      <c r="E18" s="53" t="s">
        <v>727</v>
      </c>
      <c r="F18" s="53" t="s">
        <v>726</v>
      </c>
      <c r="G18" s="53" t="s">
        <v>727</v>
      </c>
      <c r="H18" s="53" t="s">
        <v>726</v>
      </c>
      <c r="I18" s="53" t="s">
        <v>727</v>
      </c>
      <c r="K18" s="11"/>
      <c r="L18" s="412" t="s">
        <v>1193</v>
      </c>
      <c r="M18" s="413"/>
      <c r="N18" s="413"/>
      <c r="O18" s="413"/>
      <c r="P18" s="414"/>
      <c r="Q18" s="414"/>
      <c r="R18" s="414"/>
      <c r="S18" s="414"/>
      <c r="T18" s="414"/>
      <c r="U18" s="414"/>
      <c r="V18" s="414"/>
      <c r="W18" s="414"/>
      <c r="X18" s="414"/>
      <c r="Y18" s="414"/>
      <c r="Z18" s="414"/>
      <c r="AA18" s="414"/>
      <c r="AB18" s="414"/>
      <c r="AC18" s="414"/>
      <c r="AD18" s="414"/>
      <c r="AE18" s="414"/>
      <c r="AF18" s="414"/>
      <c r="AG18" s="414"/>
      <c r="AH18" s="414"/>
      <c r="AI18" s="414"/>
      <c r="AJ18" s="414"/>
      <c r="AK18" s="279"/>
      <c r="AM18" s="9" t="s">
        <v>1194</v>
      </c>
      <c r="AN18" s="9"/>
      <c r="AO18" s="9"/>
      <c r="AQ18" s="11"/>
      <c r="AR18" s="412"/>
      <c r="AS18" s="413"/>
      <c r="AT18" s="413"/>
      <c r="AU18" s="413"/>
      <c r="AV18" s="414"/>
      <c r="AW18" s="414"/>
      <c r="AX18" s="414" t="s">
        <v>1195</v>
      </c>
      <c r="AY18" s="414"/>
      <c r="AZ18" s="414"/>
      <c r="BA18" s="414"/>
      <c r="BB18" s="414"/>
      <c r="BC18" s="414"/>
      <c r="BD18" s="414"/>
      <c r="BE18" s="414"/>
      <c r="BF18" s="414"/>
      <c r="BG18" s="414" t="s">
        <v>1196</v>
      </c>
      <c r="BH18" s="414"/>
      <c r="BI18" s="414"/>
      <c r="BJ18" s="414"/>
      <c r="BK18" s="414"/>
      <c r="BL18" s="414"/>
      <c r="BM18" s="414"/>
      <c r="BN18" s="414"/>
      <c r="BO18" s="414"/>
      <c r="BP18" s="414"/>
      <c r="BQ18" s="279"/>
    </row>
    <row r="19" customFormat="false" ht="15" hidden="false" customHeight="false" outlineLevel="0" collapsed="false">
      <c r="C19" s="21" t="s">
        <v>783</v>
      </c>
      <c r="D19" s="55" t="s">
        <v>784</v>
      </c>
      <c r="E19" s="55" t="s">
        <v>784</v>
      </c>
      <c r="F19" s="55" t="s">
        <v>784</v>
      </c>
      <c r="G19" s="55" t="s">
        <v>784</v>
      </c>
      <c r="H19" s="55" t="s">
        <v>167</v>
      </c>
      <c r="I19" s="55" t="s">
        <v>167</v>
      </c>
      <c r="K19" s="415" t="s">
        <v>783</v>
      </c>
      <c r="L19" s="416" t="s">
        <v>32</v>
      </c>
      <c r="M19" s="417" t="s">
        <v>40</v>
      </c>
      <c r="N19" s="418" t="s">
        <v>41</v>
      </c>
      <c r="O19" s="418" t="s">
        <v>46</v>
      </c>
      <c r="P19" s="417" t="s">
        <v>48</v>
      </c>
      <c r="Q19" s="417" t="s">
        <v>49</v>
      </c>
      <c r="R19" s="418" t="s">
        <v>54</v>
      </c>
      <c r="S19" s="418" t="s">
        <v>59</v>
      </c>
      <c r="T19" s="418" t="s">
        <v>66</v>
      </c>
      <c r="U19" s="418" t="s">
        <v>68</v>
      </c>
      <c r="V19" s="418" t="s">
        <v>75</v>
      </c>
      <c r="W19" s="418" t="s">
        <v>82</v>
      </c>
      <c r="X19" s="418" t="s">
        <v>86</v>
      </c>
      <c r="Y19" s="418" t="s">
        <v>89</v>
      </c>
      <c r="Z19" s="417" t="s">
        <v>93</v>
      </c>
      <c r="AA19" s="418" t="s">
        <v>97</v>
      </c>
      <c r="AB19" s="418" t="s">
        <v>99</v>
      </c>
      <c r="AC19" s="417" t="s">
        <v>103</v>
      </c>
      <c r="AD19" s="418" t="s">
        <v>107</v>
      </c>
      <c r="AE19" s="417" t="s">
        <v>110</v>
      </c>
      <c r="AF19" s="418" t="s">
        <v>119</v>
      </c>
      <c r="AG19" s="418" t="s">
        <v>120</v>
      </c>
      <c r="AH19" s="418" t="s">
        <v>125</v>
      </c>
      <c r="AI19" s="417" t="s">
        <v>129</v>
      </c>
      <c r="AJ19" s="418" t="s">
        <v>132</v>
      </c>
      <c r="AK19" s="419" t="s">
        <v>1187</v>
      </c>
      <c r="AM19" s="9" t="s">
        <v>156</v>
      </c>
      <c r="AN19" s="10"/>
      <c r="AO19" s="10"/>
      <c r="AQ19" s="415" t="s">
        <v>783</v>
      </c>
      <c r="AR19" s="420" t="s">
        <v>32</v>
      </c>
      <c r="AS19" s="421" t="s">
        <v>40</v>
      </c>
      <c r="AT19" s="422" t="s">
        <v>41</v>
      </c>
      <c r="AU19" s="422" t="s">
        <v>46</v>
      </c>
      <c r="AV19" s="421" t="s">
        <v>48</v>
      </c>
      <c r="AW19" s="421" t="s">
        <v>49</v>
      </c>
      <c r="AX19" s="422" t="s">
        <v>54</v>
      </c>
      <c r="AY19" s="422" t="s">
        <v>59</v>
      </c>
      <c r="AZ19" s="422" t="s">
        <v>66</v>
      </c>
      <c r="BA19" s="422" t="s">
        <v>68</v>
      </c>
      <c r="BB19" s="422" t="s">
        <v>75</v>
      </c>
      <c r="BC19" s="422" t="s">
        <v>82</v>
      </c>
      <c r="BD19" s="422" t="s">
        <v>86</v>
      </c>
      <c r="BE19" s="422" t="s">
        <v>89</v>
      </c>
      <c r="BF19" s="421" t="s">
        <v>93</v>
      </c>
      <c r="BG19" s="422" t="s">
        <v>97</v>
      </c>
      <c r="BH19" s="422" t="s">
        <v>99</v>
      </c>
      <c r="BI19" s="421" t="s">
        <v>103</v>
      </c>
      <c r="BJ19" s="422" t="s">
        <v>107</v>
      </c>
      <c r="BK19" s="421" t="s">
        <v>110</v>
      </c>
      <c r="BL19" s="422" t="s">
        <v>119</v>
      </c>
      <c r="BM19" s="422" t="s">
        <v>120</v>
      </c>
      <c r="BN19" s="422" t="s">
        <v>125</v>
      </c>
      <c r="BO19" s="421" t="s">
        <v>129</v>
      </c>
      <c r="BP19" s="422" t="s">
        <v>132</v>
      </c>
      <c r="BQ19" s="423" t="s">
        <v>1187</v>
      </c>
    </row>
    <row r="20" customFormat="false" ht="13.5" hidden="false" customHeight="false" outlineLevel="0" collapsed="false">
      <c r="A20" s="45"/>
      <c r="B20" s="44"/>
      <c r="C20" s="424" t="s">
        <v>785</v>
      </c>
      <c r="D20" s="285" t="n">
        <f aca="false">IF(F20="","",IF(H20="","",ROUND(F20-0.001*298.15*(H20-SUMPRODUCT(L20:AK20*AR$13:BQ$13)),3)))</f>
        <v>0</v>
      </c>
      <c r="E20" s="131" t="n">
        <f aca="false">IF(G20="","",IF(I20="","",ROUND(2*SQRT((0.5*G20)^2+(0.001*298.15)^2*((0.5*I20)^2+SUMPRODUCT(AR20:BQ20*AR$15:BQ$15))),3)))</f>
        <v>0</v>
      </c>
      <c r="F20" s="286" t="s">
        <v>786</v>
      </c>
      <c r="G20" s="287" t="s">
        <v>786</v>
      </c>
      <c r="H20" s="286" t="s">
        <v>786</v>
      </c>
      <c r="I20" s="337" t="s">
        <v>786</v>
      </c>
      <c r="J20" s="10"/>
      <c r="K20" s="425" t="s">
        <v>785</v>
      </c>
      <c r="L20" s="426"/>
      <c r="M20" s="427"/>
      <c r="N20" s="427"/>
      <c r="O20" s="427"/>
      <c r="P20" s="428"/>
      <c r="Q20" s="428"/>
      <c r="R20" s="428"/>
      <c r="S20" s="428"/>
      <c r="T20" s="428"/>
      <c r="U20" s="428"/>
      <c r="V20" s="428" t="n">
        <v>0.5</v>
      </c>
      <c r="W20" s="428"/>
      <c r="X20" s="428"/>
      <c r="Y20" s="428"/>
      <c r="Z20" s="428"/>
      <c r="AA20" s="428"/>
      <c r="AB20" s="428"/>
      <c r="AC20" s="428"/>
      <c r="AD20" s="428"/>
      <c r="AE20" s="428"/>
      <c r="AF20" s="428"/>
      <c r="AG20" s="428"/>
      <c r="AH20" s="428"/>
      <c r="AI20" s="429"/>
      <c r="AJ20" s="428"/>
      <c r="AK20" s="430" t="n">
        <v>1</v>
      </c>
      <c r="AM20" s="73"/>
      <c r="AN20" s="73"/>
      <c r="AO20" s="73"/>
      <c r="AQ20" s="425" t="s">
        <v>785</v>
      </c>
      <c r="AR20" s="431" t="n">
        <f aca="false">L20^2</f>
        <v>0</v>
      </c>
      <c r="AS20" s="432" t="n">
        <f aca="false">M20^2</f>
        <v>0</v>
      </c>
      <c r="AT20" s="432" t="n">
        <f aca="false">N20^2</f>
        <v>0</v>
      </c>
      <c r="AU20" s="432" t="n">
        <f aca="false">O20^2</f>
        <v>0</v>
      </c>
      <c r="AV20" s="432" t="n">
        <f aca="false">P20^2</f>
        <v>0</v>
      </c>
      <c r="AW20" s="432" t="n">
        <f aca="false">Q20^2</f>
        <v>0</v>
      </c>
      <c r="AX20" s="432" t="n">
        <f aca="false">R20^2</f>
        <v>0</v>
      </c>
      <c r="AY20" s="432" t="n">
        <f aca="false">S20^2</f>
        <v>0</v>
      </c>
      <c r="AZ20" s="432" t="n">
        <f aca="false">T20^2</f>
        <v>0</v>
      </c>
      <c r="BA20" s="432" t="n">
        <f aca="false">U20^2</f>
        <v>0</v>
      </c>
      <c r="BB20" s="432" t="n">
        <f aca="false">V20^2</f>
        <v>0.25</v>
      </c>
      <c r="BC20" s="432" t="n">
        <f aca="false">W20^2</f>
        <v>0</v>
      </c>
      <c r="BD20" s="432" t="n">
        <f aca="false">X20^2</f>
        <v>0</v>
      </c>
      <c r="BE20" s="432" t="n">
        <f aca="false">Y20^2</f>
        <v>0</v>
      </c>
      <c r="BF20" s="432" t="n">
        <f aca="false">Z20^2</f>
        <v>0</v>
      </c>
      <c r="BG20" s="432" t="n">
        <f aca="false">AA20^2</f>
        <v>0</v>
      </c>
      <c r="BH20" s="432" t="n">
        <f aca="false">AB20^2</f>
        <v>0</v>
      </c>
      <c r="BI20" s="432" t="n">
        <f aca="false">AC20^2</f>
        <v>0</v>
      </c>
      <c r="BJ20" s="432" t="n">
        <f aca="false">AD20^2</f>
        <v>0</v>
      </c>
      <c r="BK20" s="432" t="n">
        <f aca="false">AE20^2</f>
        <v>0</v>
      </c>
      <c r="BL20" s="432" t="n">
        <f aca="false">AF20^2</f>
        <v>0</v>
      </c>
      <c r="BM20" s="432" t="n">
        <f aca="false">AG20^2</f>
        <v>0</v>
      </c>
      <c r="BN20" s="432" t="n">
        <f aca="false">AH20^2</f>
        <v>0</v>
      </c>
      <c r="BO20" s="432" t="n">
        <f aca="false">AI20^2</f>
        <v>0</v>
      </c>
      <c r="BP20" s="432" t="n">
        <f aca="false">AJ20^2</f>
        <v>0</v>
      </c>
      <c r="BQ20" s="433" t="n">
        <f aca="false">-SIGN(AK20)*AK20^2</f>
        <v>-1</v>
      </c>
    </row>
    <row r="21" customFormat="false" ht="12.75" hidden="false" customHeight="false" outlineLevel="0" collapsed="false">
      <c r="A21" s="45"/>
      <c r="B21" s="44"/>
      <c r="C21" s="161" t="s">
        <v>787</v>
      </c>
      <c r="D21" s="290" t="n">
        <f aca="false">IF(F21="","",IF(H21="","",ROUND(F21-0.001*298.15*(H21-SUMPRODUCT(L21:AK21*AR$13:BQ$13)),3)))</f>
        <v>-157.336</v>
      </c>
      <c r="E21" s="137" t="n">
        <f aca="false">IF(G21="","",IF(I21="","",ROUND(2*SQRT((0.5*G21)^2+(0.001*298.15)^2*((0.5*I21)^2+SUMPRODUCT(AR21:BQ21*AR$15:BQ$15))),3)))</f>
        <v>0.075</v>
      </c>
      <c r="F21" s="291" t="s">
        <v>1505</v>
      </c>
      <c r="G21" s="292" t="s">
        <v>2056</v>
      </c>
      <c r="H21" s="291" t="s">
        <v>1506</v>
      </c>
      <c r="I21" s="292" t="s">
        <v>728</v>
      </c>
      <c r="J21" s="10"/>
      <c r="K21" s="342" t="s">
        <v>787</v>
      </c>
      <c r="L21" s="434"/>
      <c r="M21" s="435"/>
      <c r="N21" s="435"/>
      <c r="O21" s="435"/>
      <c r="P21" s="436"/>
      <c r="Q21" s="436"/>
      <c r="R21" s="436"/>
      <c r="S21" s="436"/>
      <c r="T21" s="436"/>
      <c r="U21" s="436"/>
      <c r="V21" s="436" t="n">
        <v>0.5</v>
      </c>
      <c r="W21" s="436"/>
      <c r="X21" s="436"/>
      <c r="Y21" s="436"/>
      <c r="Z21" s="436"/>
      <c r="AA21" s="436"/>
      <c r="AB21" s="436"/>
      <c r="AC21" s="436"/>
      <c r="AD21" s="436" t="n">
        <v>0.5</v>
      </c>
      <c r="AE21" s="436"/>
      <c r="AF21" s="436"/>
      <c r="AG21" s="436"/>
      <c r="AH21" s="436"/>
      <c r="AI21" s="437"/>
      <c r="AJ21" s="436"/>
      <c r="AK21" s="438" t="n">
        <v>-1</v>
      </c>
      <c r="AM21" s="11"/>
      <c r="AN21" s="167"/>
      <c r="AO21" s="167"/>
      <c r="AQ21" s="342" t="s">
        <v>787</v>
      </c>
      <c r="AR21" s="439" t="n">
        <f aca="false">L21^2</f>
        <v>0</v>
      </c>
      <c r="AS21" s="440" t="n">
        <f aca="false">M21^2</f>
        <v>0</v>
      </c>
      <c r="AT21" s="440" t="n">
        <f aca="false">N21^2</f>
        <v>0</v>
      </c>
      <c r="AU21" s="440" t="n">
        <f aca="false">O21^2</f>
        <v>0</v>
      </c>
      <c r="AV21" s="440" t="n">
        <f aca="false">P21^2</f>
        <v>0</v>
      </c>
      <c r="AW21" s="440" t="n">
        <f aca="false">Q21^2</f>
        <v>0</v>
      </c>
      <c r="AX21" s="440" t="n">
        <f aca="false">R21^2</f>
        <v>0</v>
      </c>
      <c r="AY21" s="440" t="n">
        <f aca="false">S21^2</f>
        <v>0</v>
      </c>
      <c r="AZ21" s="440" t="n">
        <f aca="false">T21^2</f>
        <v>0</v>
      </c>
      <c r="BA21" s="440" t="n">
        <f aca="false">U21^2</f>
        <v>0</v>
      </c>
      <c r="BB21" s="440" t="n">
        <f aca="false">V21^2</f>
        <v>0.25</v>
      </c>
      <c r="BC21" s="440" t="n">
        <f aca="false">W21^2</f>
        <v>0</v>
      </c>
      <c r="BD21" s="440" t="n">
        <f aca="false">X21^2</f>
        <v>0</v>
      </c>
      <c r="BE21" s="440" t="n">
        <f aca="false">Y21^2</f>
        <v>0</v>
      </c>
      <c r="BF21" s="440" t="n">
        <f aca="false">Z21^2</f>
        <v>0</v>
      </c>
      <c r="BG21" s="440" t="n">
        <f aca="false">AA21^2</f>
        <v>0</v>
      </c>
      <c r="BH21" s="440" t="n">
        <f aca="false">AB21^2</f>
        <v>0</v>
      </c>
      <c r="BI21" s="440" t="n">
        <f aca="false">AC21^2</f>
        <v>0</v>
      </c>
      <c r="BJ21" s="440" t="n">
        <f aca="false">AD21^2</f>
        <v>0.25</v>
      </c>
      <c r="BK21" s="440" t="n">
        <f aca="false">AE21^2</f>
        <v>0</v>
      </c>
      <c r="BL21" s="440" t="n">
        <f aca="false">AF21^2</f>
        <v>0</v>
      </c>
      <c r="BM21" s="440" t="n">
        <f aca="false">AG21^2</f>
        <v>0</v>
      </c>
      <c r="BN21" s="440" t="n">
        <f aca="false">AH21^2</f>
        <v>0</v>
      </c>
      <c r="BO21" s="440" t="n">
        <f aca="false">AI21^2</f>
        <v>0</v>
      </c>
      <c r="BP21" s="440" t="n">
        <f aca="false">AJ21^2</f>
        <v>0</v>
      </c>
      <c r="BQ21" s="441" t="n">
        <f aca="false">-SIGN(AK21)*AK21^2</f>
        <v>1</v>
      </c>
    </row>
    <row r="22" customFormat="false" ht="12.75" hidden="false" customHeight="false" outlineLevel="0" collapsed="false">
      <c r="A22" s="45"/>
      <c r="B22" s="44"/>
      <c r="C22" s="161" t="s">
        <v>794</v>
      </c>
      <c r="D22" s="290" t="n">
        <f aca="false">IF(F22="","",IF(H22="","",ROUND(F22-0.001*298.15*(H22-SUMPRODUCT(L22:AK22*AR$13:BQ$13)),3)))</f>
        <v>-237.19</v>
      </c>
      <c r="E22" s="137" t="n">
        <f aca="false">IF(G22="","",IF(I22="","",ROUND(2*SQRT((0.5*G22)^2+(0.001*298.15)^2*((0.5*I22)^2+SUMPRODUCT(AR22:BQ22*AR$15:BQ$15))),3)))</f>
        <v>0.05</v>
      </c>
      <c r="F22" s="291" t="s">
        <v>795</v>
      </c>
      <c r="G22" s="292" t="s">
        <v>2057</v>
      </c>
      <c r="H22" s="291" t="s">
        <v>800</v>
      </c>
      <c r="I22" s="292" t="s">
        <v>737</v>
      </c>
      <c r="J22" s="10"/>
      <c r="K22" s="342" t="s">
        <v>794</v>
      </c>
      <c r="L22" s="434"/>
      <c r="M22" s="435"/>
      <c r="N22" s="435"/>
      <c r="O22" s="435"/>
      <c r="P22" s="436"/>
      <c r="Q22" s="436"/>
      <c r="R22" s="436"/>
      <c r="S22" s="436"/>
      <c r="T22" s="436"/>
      <c r="U22" s="436"/>
      <c r="V22" s="436" t="n">
        <v>1</v>
      </c>
      <c r="W22" s="436"/>
      <c r="X22" s="436"/>
      <c r="Y22" s="436"/>
      <c r="Z22" s="436"/>
      <c r="AA22" s="436"/>
      <c r="AB22" s="436"/>
      <c r="AC22" s="436"/>
      <c r="AD22" s="436" t="n">
        <v>0.5</v>
      </c>
      <c r="AE22" s="436"/>
      <c r="AF22" s="436"/>
      <c r="AG22" s="436"/>
      <c r="AH22" s="436"/>
      <c r="AI22" s="437"/>
      <c r="AJ22" s="436"/>
      <c r="AK22" s="438"/>
      <c r="AM22" s="16" t="s">
        <v>20</v>
      </c>
      <c r="AN22" s="127"/>
      <c r="AO22" s="168" t="s">
        <v>725</v>
      </c>
      <c r="AQ22" s="342" t="s">
        <v>794</v>
      </c>
      <c r="AR22" s="439" t="n">
        <f aca="false">L22^2</f>
        <v>0</v>
      </c>
      <c r="AS22" s="440" t="n">
        <f aca="false">M22^2</f>
        <v>0</v>
      </c>
      <c r="AT22" s="440" t="n">
        <f aca="false">N22^2</f>
        <v>0</v>
      </c>
      <c r="AU22" s="440" t="n">
        <f aca="false">O22^2</f>
        <v>0</v>
      </c>
      <c r="AV22" s="440" t="n">
        <f aca="false">P22^2</f>
        <v>0</v>
      </c>
      <c r="AW22" s="440" t="n">
        <f aca="false">Q22^2</f>
        <v>0</v>
      </c>
      <c r="AX22" s="440" t="n">
        <f aca="false">R22^2</f>
        <v>0</v>
      </c>
      <c r="AY22" s="440" t="n">
        <f aca="false">S22^2</f>
        <v>0</v>
      </c>
      <c r="AZ22" s="440" t="n">
        <f aca="false">T22^2</f>
        <v>0</v>
      </c>
      <c r="BA22" s="440" t="n">
        <f aca="false">U22^2</f>
        <v>0</v>
      </c>
      <c r="BB22" s="440" t="n">
        <f aca="false">V22^2</f>
        <v>1</v>
      </c>
      <c r="BC22" s="440" t="n">
        <f aca="false">W22^2</f>
        <v>0</v>
      </c>
      <c r="BD22" s="440" t="n">
        <f aca="false">X22^2</f>
        <v>0</v>
      </c>
      <c r="BE22" s="440" t="n">
        <f aca="false">Y22^2</f>
        <v>0</v>
      </c>
      <c r="BF22" s="440" t="n">
        <f aca="false">Z22^2</f>
        <v>0</v>
      </c>
      <c r="BG22" s="440" t="n">
        <f aca="false">AA22^2</f>
        <v>0</v>
      </c>
      <c r="BH22" s="440" t="n">
        <f aca="false">AB22^2</f>
        <v>0</v>
      </c>
      <c r="BI22" s="440" t="n">
        <f aca="false">AC22^2</f>
        <v>0</v>
      </c>
      <c r="BJ22" s="440" t="n">
        <f aca="false">AD22^2</f>
        <v>0.25</v>
      </c>
      <c r="BK22" s="440" t="n">
        <f aca="false">AE22^2</f>
        <v>0</v>
      </c>
      <c r="BL22" s="440" t="n">
        <f aca="false">AF22^2</f>
        <v>0</v>
      </c>
      <c r="BM22" s="440" t="n">
        <f aca="false">AG22^2</f>
        <v>0</v>
      </c>
      <c r="BN22" s="440" t="n">
        <f aca="false">AH22^2</f>
        <v>0</v>
      </c>
      <c r="BO22" s="440" t="n">
        <f aca="false">AI22^2</f>
        <v>0</v>
      </c>
      <c r="BP22" s="440" t="n">
        <f aca="false">AJ22^2</f>
        <v>0</v>
      </c>
      <c r="BQ22" s="441" t="n">
        <f aca="false">-SIGN(AK22)*AK22^2</f>
        <v>-0</v>
      </c>
    </row>
    <row r="23" customFormat="false" ht="12.75" hidden="false" customHeight="false" outlineLevel="0" collapsed="false">
      <c r="A23" s="45"/>
      <c r="B23" s="44"/>
      <c r="C23" s="161" t="s">
        <v>802</v>
      </c>
      <c r="D23" s="290" t="n">
        <f aca="false">IF(F23="","",IF(H23="","",ROUND(F23-0.001*298.15*(H23-SUMPRODUCT(L23:AK23*AR$13:BQ$13)),3)))</f>
        <v>-281.74</v>
      </c>
      <c r="E23" s="137" t="n">
        <f aca="false">IF(G23="","",IF(I23="","",ROUND(2*SQRT((0.5*G23)^2+(0.001*298.15)^2*((0.5*I23)^2+SUMPRODUCT(AR23:BQ23*AR$15:BQ$15))),3)))</f>
        <v>0.67</v>
      </c>
      <c r="F23" s="291" t="s">
        <v>803</v>
      </c>
      <c r="G23" s="292" t="s">
        <v>804</v>
      </c>
      <c r="H23" s="291" t="s">
        <v>1519</v>
      </c>
      <c r="I23" s="292" t="s">
        <v>2058</v>
      </c>
      <c r="J23" s="10"/>
      <c r="K23" s="342" t="s">
        <v>802</v>
      </c>
      <c r="L23" s="434"/>
      <c r="M23" s="435"/>
      <c r="N23" s="435"/>
      <c r="O23" s="435"/>
      <c r="P23" s="436"/>
      <c r="Q23" s="436"/>
      <c r="R23" s="436"/>
      <c r="S23" s="436"/>
      <c r="T23" s="436" t="n">
        <v>0.5</v>
      </c>
      <c r="U23" s="436"/>
      <c r="V23" s="436"/>
      <c r="W23" s="436"/>
      <c r="X23" s="436"/>
      <c r="Y23" s="436"/>
      <c r="Z23" s="436"/>
      <c r="AA23" s="436"/>
      <c r="AB23" s="436"/>
      <c r="AC23" s="436"/>
      <c r="AD23" s="436"/>
      <c r="AE23" s="436"/>
      <c r="AF23" s="436"/>
      <c r="AG23" s="436"/>
      <c r="AH23" s="436"/>
      <c r="AI23" s="437"/>
      <c r="AJ23" s="436"/>
      <c r="AK23" s="438" t="n">
        <v>-1</v>
      </c>
      <c r="AM23" s="16" t="s">
        <v>17</v>
      </c>
      <c r="AN23" s="168" t="s">
        <v>726</v>
      </c>
      <c r="AO23" s="168" t="s">
        <v>727</v>
      </c>
      <c r="AQ23" s="342" t="s">
        <v>802</v>
      </c>
      <c r="AR23" s="439" t="n">
        <f aca="false">L23^2</f>
        <v>0</v>
      </c>
      <c r="AS23" s="440" t="n">
        <f aca="false">M23^2</f>
        <v>0</v>
      </c>
      <c r="AT23" s="440" t="n">
        <f aca="false">N23^2</f>
        <v>0</v>
      </c>
      <c r="AU23" s="440" t="n">
        <f aca="false">O23^2</f>
        <v>0</v>
      </c>
      <c r="AV23" s="440" t="n">
        <f aca="false">P23^2</f>
        <v>0</v>
      </c>
      <c r="AW23" s="440" t="n">
        <f aca="false">Q23^2</f>
        <v>0</v>
      </c>
      <c r="AX23" s="440" t="n">
        <f aca="false">R23^2</f>
        <v>0</v>
      </c>
      <c r="AY23" s="440" t="n">
        <f aca="false">S23^2</f>
        <v>0</v>
      </c>
      <c r="AZ23" s="440" t="n">
        <f aca="false">T23^2</f>
        <v>0.25</v>
      </c>
      <c r="BA23" s="440" t="n">
        <f aca="false">U23^2</f>
        <v>0</v>
      </c>
      <c r="BB23" s="440" t="n">
        <f aca="false">V23^2</f>
        <v>0</v>
      </c>
      <c r="BC23" s="440" t="n">
        <f aca="false">W23^2</f>
        <v>0</v>
      </c>
      <c r="BD23" s="440" t="n">
        <f aca="false">X23^2</f>
        <v>0</v>
      </c>
      <c r="BE23" s="440" t="n">
        <f aca="false">Y23^2</f>
        <v>0</v>
      </c>
      <c r="BF23" s="440" t="n">
        <f aca="false">Z23^2</f>
        <v>0</v>
      </c>
      <c r="BG23" s="440" t="n">
        <f aca="false">AA23^2</f>
        <v>0</v>
      </c>
      <c r="BH23" s="440" t="n">
        <f aca="false">AB23^2</f>
        <v>0</v>
      </c>
      <c r="BI23" s="440" t="n">
        <f aca="false">AC23^2</f>
        <v>0</v>
      </c>
      <c r="BJ23" s="440" t="n">
        <f aca="false">AD23^2</f>
        <v>0</v>
      </c>
      <c r="BK23" s="440" t="n">
        <f aca="false">AE23^2</f>
        <v>0</v>
      </c>
      <c r="BL23" s="440" t="n">
        <f aca="false">AF23^2</f>
        <v>0</v>
      </c>
      <c r="BM23" s="440" t="n">
        <f aca="false">AG23^2</f>
        <v>0</v>
      </c>
      <c r="BN23" s="440" t="n">
        <f aca="false">AH23^2</f>
        <v>0</v>
      </c>
      <c r="BO23" s="440" t="n">
        <f aca="false">AI23^2</f>
        <v>0</v>
      </c>
      <c r="BP23" s="440" t="n">
        <f aca="false">AJ23^2</f>
        <v>0</v>
      </c>
      <c r="BQ23" s="441" t="n">
        <f aca="false">-SIGN(AK23)*AK23^2</f>
        <v>1</v>
      </c>
    </row>
    <row r="24" customFormat="false" ht="13.5" hidden="false" customHeight="false" outlineLevel="0" collapsed="false">
      <c r="A24" s="45"/>
      <c r="B24" s="44"/>
      <c r="C24" s="161" t="s">
        <v>812</v>
      </c>
      <c r="D24" s="290" t="n">
        <f aca="false">IF(F24="","",IF(H24="","",ROUND(F24-0.001*298.15*(H24-SUMPRODUCT(L24:AK24*AR$13:BQ$13)),3)))</f>
        <v>-131.291</v>
      </c>
      <c r="E24" s="137" t="n">
        <f aca="false">IF(G24="","",IF(I24="","",ROUND(2*SQRT((0.5*G24)^2+(0.001*298.15)^2*((0.5*I24)^2+SUMPRODUCT(AR24:BQ24*AR$15:BQ$15))),3)))</f>
        <v>0.1</v>
      </c>
      <c r="F24" s="291" t="s">
        <v>813</v>
      </c>
      <c r="G24" s="292" t="s">
        <v>2059</v>
      </c>
      <c r="H24" s="291" t="s">
        <v>1524</v>
      </c>
      <c r="I24" s="292" t="s">
        <v>2060</v>
      </c>
      <c r="J24" s="10"/>
      <c r="K24" s="342" t="s">
        <v>812</v>
      </c>
      <c r="L24" s="434"/>
      <c r="M24" s="435"/>
      <c r="N24" s="435"/>
      <c r="O24" s="435"/>
      <c r="P24" s="436"/>
      <c r="Q24" s="436"/>
      <c r="R24" s="436" t="n">
        <v>0.5</v>
      </c>
      <c r="S24" s="436"/>
      <c r="T24" s="436"/>
      <c r="U24" s="436"/>
      <c r="V24" s="436"/>
      <c r="W24" s="436"/>
      <c r="X24" s="436"/>
      <c r="Y24" s="436"/>
      <c r="Z24" s="436"/>
      <c r="AA24" s="436"/>
      <c r="AB24" s="436"/>
      <c r="AC24" s="436"/>
      <c r="AD24" s="436"/>
      <c r="AE24" s="436"/>
      <c r="AF24" s="436"/>
      <c r="AG24" s="436"/>
      <c r="AH24" s="436"/>
      <c r="AI24" s="437"/>
      <c r="AJ24" s="436"/>
      <c r="AK24" s="438" t="n">
        <v>-1</v>
      </c>
      <c r="AM24" s="21" t="s">
        <v>29</v>
      </c>
      <c r="AN24" s="442" t="s">
        <v>710</v>
      </c>
      <c r="AO24" s="442" t="s">
        <v>710</v>
      </c>
      <c r="AQ24" s="342" t="s">
        <v>812</v>
      </c>
      <c r="AR24" s="439" t="n">
        <f aca="false">L24^2</f>
        <v>0</v>
      </c>
      <c r="AS24" s="440" t="n">
        <f aca="false">M24^2</f>
        <v>0</v>
      </c>
      <c r="AT24" s="440" t="n">
        <f aca="false">N24^2</f>
        <v>0</v>
      </c>
      <c r="AU24" s="440" t="n">
        <f aca="false">O24^2</f>
        <v>0</v>
      </c>
      <c r="AV24" s="440" t="n">
        <f aca="false">P24^2</f>
        <v>0</v>
      </c>
      <c r="AW24" s="440" t="n">
        <f aca="false">Q24^2</f>
        <v>0</v>
      </c>
      <c r="AX24" s="440" t="n">
        <f aca="false">R24^2</f>
        <v>0.25</v>
      </c>
      <c r="AY24" s="440" t="n">
        <f aca="false">S24^2</f>
        <v>0</v>
      </c>
      <c r="AZ24" s="440" t="n">
        <f aca="false">T24^2</f>
        <v>0</v>
      </c>
      <c r="BA24" s="440" t="n">
        <f aca="false">U24^2</f>
        <v>0</v>
      </c>
      <c r="BB24" s="440" t="n">
        <f aca="false">V24^2</f>
        <v>0</v>
      </c>
      <c r="BC24" s="440" t="n">
        <f aca="false">W24^2</f>
        <v>0</v>
      </c>
      <c r="BD24" s="440" t="n">
        <f aca="false">X24^2</f>
        <v>0</v>
      </c>
      <c r="BE24" s="440" t="n">
        <f aca="false">Y24^2</f>
        <v>0</v>
      </c>
      <c r="BF24" s="440" t="n">
        <f aca="false">Z24^2</f>
        <v>0</v>
      </c>
      <c r="BG24" s="440" t="n">
        <f aca="false">AA24^2</f>
        <v>0</v>
      </c>
      <c r="BH24" s="440" t="n">
        <f aca="false">AB24^2</f>
        <v>0</v>
      </c>
      <c r="BI24" s="440" t="n">
        <f aca="false">AC24^2</f>
        <v>0</v>
      </c>
      <c r="BJ24" s="440" t="n">
        <f aca="false">AD24^2</f>
        <v>0</v>
      </c>
      <c r="BK24" s="440" t="n">
        <f aca="false">AE24^2</f>
        <v>0</v>
      </c>
      <c r="BL24" s="440" t="n">
        <f aca="false">AF24^2</f>
        <v>0</v>
      </c>
      <c r="BM24" s="440" t="n">
        <f aca="false">AG24^2</f>
        <v>0</v>
      </c>
      <c r="BN24" s="440" t="n">
        <f aca="false">AH24^2</f>
        <v>0</v>
      </c>
      <c r="BO24" s="440" t="n">
        <f aca="false">AI24^2</f>
        <v>0</v>
      </c>
      <c r="BP24" s="440" t="n">
        <f aca="false">AJ24^2</f>
        <v>0</v>
      </c>
      <c r="BQ24" s="441" t="n">
        <f aca="false">-SIGN(AK24)*AK24^2</f>
        <v>1</v>
      </c>
    </row>
    <row r="25" customFormat="false" ht="12.75" hidden="false" customHeight="false" outlineLevel="0" collapsed="false">
      <c r="A25" s="45"/>
      <c r="B25" s="44"/>
      <c r="C25" s="161" t="s">
        <v>818</v>
      </c>
      <c r="D25" s="290" t="n">
        <f aca="false">IF(F25="","",IF(H25="","",ROUND(F25-0.001*298.15*(H25-SUMPRODUCT(L25:AK25*AR$13:BQ$13)),3)))</f>
        <v>-104.06</v>
      </c>
      <c r="E25" s="137" t="n">
        <f aca="false">IF(G25="","",IF(I25="","",ROUND(2*SQRT((0.5*G25)^2+(0.001*298.15)^2*((0.5*I25)^2+SUMPRODUCT(AR25:BQ25*AR$15:BQ$15))),3)))</f>
        <v>0.162</v>
      </c>
      <c r="F25" s="291" t="s">
        <v>2047</v>
      </c>
      <c r="G25" s="292" t="s">
        <v>744</v>
      </c>
      <c r="H25" s="291" t="s">
        <v>1530</v>
      </c>
      <c r="I25" s="292" t="s">
        <v>728</v>
      </c>
      <c r="J25" s="10"/>
      <c r="K25" s="342" t="s">
        <v>818</v>
      </c>
      <c r="L25" s="434"/>
      <c r="M25" s="435"/>
      <c r="N25" s="435"/>
      <c r="O25" s="435" t="n">
        <v>0.5</v>
      </c>
      <c r="P25" s="436"/>
      <c r="Q25" s="436"/>
      <c r="R25" s="436"/>
      <c r="S25" s="436"/>
      <c r="T25" s="436"/>
      <c r="U25" s="436"/>
      <c r="V25" s="436"/>
      <c r="W25" s="436"/>
      <c r="X25" s="436"/>
      <c r="Y25" s="436"/>
      <c r="Z25" s="436"/>
      <c r="AA25" s="436"/>
      <c r="AB25" s="436"/>
      <c r="AC25" s="436"/>
      <c r="AD25" s="436"/>
      <c r="AE25" s="436"/>
      <c r="AF25" s="436"/>
      <c r="AG25" s="436"/>
      <c r="AH25" s="436"/>
      <c r="AI25" s="437"/>
      <c r="AJ25" s="436"/>
      <c r="AK25" s="438" t="n">
        <v>-1</v>
      </c>
      <c r="AM25" s="31" t="s">
        <v>32</v>
      </c>
      <c r="AN25" s="443" t="n">
        <v>28.3</v>
      </c>
      <c r="AO25" s="443" t="n">
        <v>0.1</v>
      </c>
      <c r="AP25" s="10"/>
      <c r="AQ25" s="342" t="s">
        <v>818</v>
      </c>
      <c r="AR25" s="439" t="n">
        <f aca="false">L25^2</f>
        <v>0</v>
      </c>
      <c r="AS25" s="440" t="n">
        <f aca="false">M25^2</f>
        <v>0</v>
      </c>
      <c r="AT25" s="440" t="n">
        <f aca="false">N25^2</f>
        <v>0</v>
      </c>
      <c r="AU25" s="440" t="n">
        <f aca="false">O25^2</f>
        <v>0.25</v>
      </c>
      <c r="AV25" s="440" t="n">
        <f aca="false">P25^2</f>
        <v>0</v>
      </c>
      <c r="AW25" s="440" t="n">
        <f aca="false">Q25^2</f>
        <v>0</v>
      </c>
      <c r="AX25" s="440" t="n">
        <f aca="false">R25^2</f>
        <v>0</v>
      </c>
      <c r="AY25" s="440" t="n">
        <f aca="false">S25^2</f>
        <v>0</v>
      </c>
      <c r="AZ25" s="440" t="n">
        <f aca="false">T25^2</f>
        <v>0</v>
      </c>
      <c r="BA25" s="440" t="n">
        <f aca="false">U25^2</f>
        <v>0</v>
      </c>
      <c r="BB25" s="440" t="n">
        <f aca="false">V25^2</f>
        <v>0</v>
      </c>
      <c r="BC25" s="440" t="n">
        <f aca="false">W25^2</f>
        <v>0</v>
      </c>
      <c r="BD25" s="440" t="n">
        <f aca="false">X25^2</f>
        <v>0</v>
      </c>
      <c r="BE25" s="440" t="n">
        <f aca="false">Y25^2</f>
        <v>0</v>
      </c>
      <c r="BF25" s="440" t="n">
        <f aca="false">Z25^2</f>
        <v>0</v>
      </c>
      <c r="BG25" s="440" t="n">
        <f aca="false">AA25^2</f>
        <v>0</v>
      </c>
      <c r="BH25" s="440" t="n">
        <f aca="false">AB25^2</f>
        <v>0</v>
      </c>
      <c r="BI25" s="440" t="n">
        <f aca="false">AC25^2</f>
        <v>0</v>
      </c>
      <c r="BJ25" s="440" t="n">
        <f aca="false">AD25^2</f>
        <v>0</v>
      </c>
      <c r="BK25" s="440" t="n">
        <f aca="false">AE25^2</f>
        <v>0</v>
      </c>
      <c r="BL25" s="440" t="n">
        <f aca="false">AF25^2</f>
        <v>0</v>
      </c>
      <c r="BM25" s="440" t="n">
        <f aca="false">AG25^2</f>
        <v>0</v>
      </c>
      <c r="BN25" s="440" t="n">
        <f aca="false">AH25^2</f>
        <v>0</v>
      </c>
      <c r="BO25" s="440" t="n">
        <f aca="false">AI25^2</f>
        <v>0</v>
      </c>
      <c r="BP25" s="440" t="n">
        <f aca="false">AJ25^2</f>
        <v>0</v>
      </c>
      <c r="BQ25" s="441" t="n">
        <f aca="false">-SIGN(AK25)*AK25^2</f>
        <v>1</v>
      </c>
    </row>
    <row r="26" customFormat="false" ht="12.75" hidden="false" customHeight="false" outlineLevel="0" collapsed="false">
      <c r="A26" s="45"/>
      <c r="B26" s="44"/>
      <c r="C26" s="161" t="s">
        <v>825</v>
      </c>
      <c r="D26" s="290" t="n">
        <f aca="false">IF(F26="","",IF(H26="","",ROUND(F26-0.001*298.15*(H26-SUMPRODUCT(L26:AK26*AR$13:BQ$13)),3)))</f>
        <v>-51.934</v>
      </c>
      <c r="E26" s="137" t="n">
        <f aca="false">IF(G26="","",IF(I26="","",ROUND(2*SQRT((0.5*G26)^2+(0.001*298.15)^2*((0.5*I26)^2+SUMPRODUCT(AR26:BQ26*AR$15:BQ$15))),3)))</f>
        <v>0.842</v>
      </c>
      <c r="F26" s="291" t="s">
        <v>1567</v>
      </c>
      <c r="G26" s="292" t="s">
        <v>2061</v>
      </c>
      <c r="H26" s="291" t="s">
        <v>1536</v>
      </c>
      <c r="I26" s="292" t="s">
        <v>728</v>
      </c>
      <c r="J26" s="10"/>
      <c r="K26" s="342" t="s">
        <v>825</v>
      </c>
      <c r="L26" s="434"/>
      <c r="M26" s="435"/>
      <c r="N26" s="435"/>
      <c r="O26" s="435"/>
      <c r="P26" s="436"/>
      <c r="Q26" s="436"/>
      <c r="R26" s="436"/>
      <c r="S26" s="436"/>
      <c r="T26" s="436"/>
      <c r="U26" s="436"/>
      <c r="V26" s="436"/>
      <c r="W26" s="436" t="n">
        <v>0.5</v>
      </c>
      <c r="X26" s="436"/>
      <c r="Y26" s="436"/>
      <c r="Z26" s="436"/>
      <c r="AA26" s="436"/>
      <c r="AB26" s="436"/>
      <c r="AC26" s="436"/>
      <c r="AD26" s="436"/>
      <c r="AE26" s="436"/>
      <c r="AF26" s="436"/>
      <c r="AG26" s="436"/>
      <c r="AH26" s="436"/>
      <c r="AI26" s="437"/>
      <c r="AJ26" s="436"/>
      <c r="AK26" s="438" t="n">
        <v>-1</v>
      </c>
      <c r="AM26" s="31" t="s">
        <v>40</v>
      </c>
      <c r="AN26" s="443" t="n">
        <v>5.9</v>
      </c>
      <c r="AO26" s="443" t="n">
        <v>0.08</v>
      </c>
      <c r="AP26" s="10"/>
      <c r="AQ26" s="342" t="s">
        <v>825</v>
      </c>
      <c r="AR26" s="439" t="n">
        <f aca="false">L26^2</f>
        <v>0</v>
      </c>
      <c r="AS26" s="440" t="n">
        <f aca="false">M26^2</f>
        <v>0</v>
      </c>
      <c r="AT26" s="440" t="n">
        <f aca="false">N26^2</f>
        <v>0</v>
      </c>
      <c r="AU26" s="440" t="n">
        <f aca="false">O26^2</f>
        <v>0</v>
      </c>
      <c r="AV26" s="440" t="n">
        <f aca="false">P26^2</f>
        <v>0</v>
      </c>
      <c r="AW26" s="440" t="n">
        <f aca="false">Q26^2</f>
        <v>0</v>
      </c>
      <c r="AX26" s="440" t="n">
        <f aca="false">R26^2</f>
        <v>0</v>
      </c>
      <c r="AY26" s="440" t="n">
        <f aca="false">S26^2</f>
        <v>0</v>
      </c>
      <c r="AZ26" s="440" t="n">
        <f aca="false">T26^2</f>
        <v>0</v>
      </c>
      <c r="BA26" s="440" t="n">
        <f aca="false">U26^2</f>
        <v>0</v>
      </c>
      <c r="BB26" s="440" t="n">
        <f aca="false">V26^2</f>
        <v>0</v>
      </c>
      <c r="BC26" s="440" t="n">
        <f aca="false">W26^2</f>
        <v>0.25</v>
      </c>
      <c r="BD26" s="440" t="n">
        <f aca="false">X26^2</f>
        <v>0</v>
      </c>
      <c r="BE26" s="440" t="n">
        <f aca="false">Y26^2</f>
        <v>0</v>
      </c>
      <c r="BF26" s="440" t="n">
        <f aca="false">Z26^2</f>
        <v>0</v>
      </c>
      <c r="BG26" s="440" t="n">
        <f aca="false">AA26^2</f>
        <v>0</v>
      </c>
      <c r="BH26" s="440" t="n">
        <f aca="false">AB26^2</f>
        <v>0</v>
      </c>
      <c r="BI26" s="440" t="n">
        <f aca="false">AC26^2</f>
        <v>0</v>
      </c>
      <c r="BJ26" s="440" t="n">
        <f aca="false">AD26^2</f>
        <v>0</v>
      </c>
      <c r="BK26" s="440" t="n">
        <f aca="false">AE26^2</f>
        <v>0</v>
      </c>
      <c r="BL26" s="440" t="n">
        <f aca="false">AF26^2</f>
        <v>0</v>
      </c>
      <c r="BM26" s="440" t="n">
        <f aca="false">AG26^2</f>
        <v>0</v>
      </c>
      <c r="BN26" s="440" t="n">
        <f aca="false">AH26^2</f>
        <v>0</v>
      </c>
      <c r="BO26" s="440" t="n">
        <f aca="false">AI26^2</f>
        <v>0</v>
      </c>
      <c r="BP26" s="440" t="n">
        <f aca="false">AJ26^2</f>
        <v>0</v>
      </c>
      <c r="BQ26" s="441" t="n">
        <f aca="false">-SIGN(AK26)*AK26^2</f>
        <v>1</v>
      </c>
    </row>
    <row r="27" customFormat="false" ht="12.75" hidden="false" customHeight="false" outlineLevel="0" collapsed="false">
      <c r="A27" s="45"/>
      <c r="B27" s="44"/>
      <c r="C27" s="161" t="s">
        <v>833</v>
      </c>
      <c r="D27" s="290" t="n">
        <f aca="false">IF(F27="","",IF(H27="","",ROUND(F27-0.001*298.15*(H27-SUMPRODUCT(L27:AK27*AR$13:BQ$13)),3)))</f>
        <v>-744.464</v>
      </c>
      <c r="E27" s="137" t="n">
        <f aca="false">IF(G27="","",IF(I27="","",ROUND(2*SQRT((0.5*G27)^2+(0.001*298.15)^2*((0.5*I27)^2+SUMPRODUCT(AR27:BQ27*AR$15:BQ$15))),3)))</f>
        <v>0.428</v>
      </c>
      <c r="F27" s="291" t="s">
        <v>2073</v>
      </c>
      <c r="G27" s="292" t="s">
        <v>742</v>
      </c>
      <c r="H27" s="291" t="s">
        <v>2074</v>
      </c>
      <c r="I27" s="292" t="s">
        <v>1014</v>
      </c>
      <c r="J27" s="133"/>
      <c r="K27" s="342" t="s">
        <v>833</v>
      </c>
      <c r="L27" s="434"/>
      <c r="M27" s="435"/>
      <c r="N27" s="435"/>
      <c r="O27" s="435"/>
      <c r="P27" s="436"/>
      <c r="Q27" s="436"/>
      <c r="R27" s="436"/>
      <c r="S27" s="436"/>
      <c r="T27" s="436"/>
      <c r="U27" s="436"/>
      <c r="V27" s="436"/>
      <c r="W27" s="436"/>
      <c r="X27" s="436"/>
      <c r="Y27" s="436"/>
      <c r="Z27" s="436"/>
      <c r="AA27" s="436"/>
      <c r="AB27" s="436"/>
      <c r="AC27" s="436"/>
      <c r="AD27" s="436" t="n">
        <v>2</v>
      </c>
      <c r="AE27" s="436"/>
      <c r="AF27" s="436"/>
      <c r="AG27" s="436"/>
      <c r="AH27" s="436" t="n">
        <v>1</v>
      </c>
      <c r="AI27" s="437"/>
      <c r="AJ27" s="436"/>
      <c r="AK27" s="438" t="n">
        <v>-2</v>
      </c>
      <c r="AM27" s="38" t="s">
        <v>41</v>
      </c>
      <c r="AN27" s="443"/>
      <c r="AO27" s="443"/>
      <c r="AQ27" s="342" t="s">
        <v>833</v>
      </c>
      <c r="AR27" s="439" t="n">
        <f aca="false">L27^2</f>
        <v>0</v>
      </c>
      <c r="AS27" s="440" t="n">
        <f aca="false">M27^2</f>
        <v>0</v>
      </c>
      <c r="AT27" s="440" t="n">
        <f aca="false">N27^2</f>
        <v>0</v>
      </c>
      <c r="AU27" s="440" t="n">
        <f aca="false">O27^2</f>
        <v>0</v>
      </c>
      <c r="AV27" s="440" t="n">
        <f aca="false">P27^2</f>
        <v>0</v>
      </c>
      <c r="AW27" s="440" t="n">
        <f aca="false">Q27^2</f>
        <v>0</v>
      </c>
      <c r="AX27" s="440" t="n">
        <f aca="false">R27^2</f>
        <v>0</v>
      </c>
      <c r="AY27" s="440" t="n">
        <f aca="false">S27^2</f>
        <v>0</v>
      </c>
      <c r="AZ27" s="440" t="n">
        <f aca="false">T27^2</f>
        <v>0</v>
      </c>
      <c r="BA27" s="440" t="n">
        <f aca="false">U27^2</f>
        <v>0</v>
      </c>
      <c r="BB27" s="440" t="n">
        <f aca="false">V27^2</f>
        <v>0</v>
      </c>
      <c r="BC27" s="440" t="n">
        <f aca="false">W27^2</f>
        <v>0</v>
      </c>
      <c r="BD27" s="440" t="n">
        <f aca="false">X27^2</f>
        <v>0</v>
      </c>
      <c r="BE27" s="440" t="n">
        <f aca="false">Y27^2</f>
        <v>0</v>
      </c>
      <c r="BF27" s="440" t="n">
        <f aca="false">Z27^2</f>
        <v>0</v>
      </c>
      <c r="BG27" s="440" t="n">
        <f aca="false">AA27^2</f>
        <v>0</v>
      </c>
      <c r="BH27" s="440" t="n">
        <f aca="false">AB27^2</f>
        <v>0</v>
      </c>
      <c r="BI27" s="440" t="n">
        <f aca="false">AC27^2</f>
        <v>0</v>
      </c>
      <c r="BJ27" s="440" t="n">
        <f aca="false">AD27^2</f>
        <v>4</v>
      </c>
      <c r="BK27" s="440" t="n">
        <f aca="false">AE27^2</f>
        <v>0</v>
      </c>
      <c r="BL27" s="440" t="n">
        <f aca="false">AF27^2</f>
        <v>0</v>
      </c>
      <c r="BM27" s="440" t="n">
        <f aca="false">AG27^2</f>
        <v>0</v>
      </c>
      <c r="BN27" s="440" t="n">
        <f aca="false">AH27^2</f>
        <v>1</v>
      </c>
      <c r="BO27" s="440" t="n">
        <f aca="false">AI27^2</f>
        <v>0</v>
      </c>
      <c r="BP27" s="440" t="n">
        <f aca="false">AJ27^2</f>
        <v>0</v>
      </c>
      <c r="BQ27" s="441" t="n">
        <f aca="false">-SIGN(AK27)*AK27^2</f>
        <v>4</v>
      </c>
    </row>
    <row r="28" customFormat="false" ht="12.75" hidden="false" customHeight="false" outlineLevel="0" collapsed="false">
      <c r="A28" s="45"/>
      <c r="B28" s="44"/>
      <c r="C28" s="161" t="s">
        <v>840</v>
      </c>
      <c r="D28" s="290" t="str">
        <f aca="false">IF(F28="","",IF(H28="","",ROUND(F28-0.001*298.15*(H28-SUMPRODUCT(L28:AK28*AR$13:BQ$13)),3)))</f>
        <v/>
      </c>
      <c r="E28" s="137" t="str">
        <f aca="false">IF(G28="","",IF(I28="","",ROUND(2*SQRT((0.5*G28)^2+(0.001*298.15)^2*((0.5*I28)^2+SUMPRODUCT(AR28:BQ28*AR$15:BQ$15))),3)))</f>
        <v/>
      </c>
      <c r="F28" s="291"/>
      <c r="G28" s="292"/>
      <c r="H28" s="291"/>
      <c r="I28" s="292"/>
      <c r="J28" s="10"/>
      <c r="K28" s="342" t="s">
        <v>840</v>
      </c>
      <c r="L28" s="434"/>
      <c r="M28" s="435"/>
      <c r="N28" s="435"/>
      <c r="O28" s="435"/>
      <c r="P28" s="436"/>
      <c r="Q28" s="436"/>
      <c r="R28" s="436"/>
      <c r="S28" s="436"/>
      <c r="T28" s="436"/>
      <c r="U28" s="436"/>
      <c r="V28" s="436" t="n">
        <v>0.5</v>
      </c>
      <c r="W28" s="436"/>
      <c r="X28" s="436"/>
      <c r="Y28" s="436"/>
      <c r="Z28" s="436"/>
      <c r="AA28" s="436"/>
      <c r="AB28" s="436"/>
      <c r="AC28" s="436"/>
      <c r="AD28" s="436"/>
      <c r="AE28" s="436"/>
      <c r="AF28" s="436"/>
      <c r="AG28" s="436"/>
      <c r="AH28" s="436" t="n">
        <v>1</v>
      </c>
      <c r="AI28" s="437"/>
      <c r="AJ28" s="436"/>
      <c r="AK28" s="438" t="n">
        <v>-1</v>
      </c>
      <c r="AM28" s="38" t="s">
        <v>46</v>
      </c>
      <c r="AN28" s="443" t="n">
        <v>152.1</v>
      </c>
      <c r="AO28" s="443" t="n">
        <v>0.04</v>
      </c>
      <c r="AP28" s="10"/>
      <c r="AQ28" s="342" t="s">
        <v>840</v>
      </c>
      <c r="AR28" s="439" t="n">
        <f aca="false">L28^2</f>
        <v>0</v>
      </c>
      <c r="AS28" s="440" t="n">
        <f aca="false">M28^2</f>
        <v>0</v>
      </c>
      <c r="AT28" s="440" t="n">
        <f aca="false">N28^2</f>
        <v>0</v>
      </c>
      <c r="AU28" s="440" t="n">
        <f aca="false">O28^2</f>
        <v>0</v>
      </c>
      <c r="AV28" s="440" t="n">
        <f aca="false">P28^2</f>
        <v>0</v>
      </c>
      <c r="AW28" s="440" t="n">
        <f aca="false">Q28^2</f>
        <v>0</v>
      </c>
      <c r="AX28" s="440" t="n">
        <f aca="false">R28^2</f>
        <v>0</v>
      </c>
      <c r="AY28" s="440" t="n">
        <f aca="false">S28^2</f>
        <v>0</v>
      </c>
      <c r="AZ28" s="440" t="n">
        <f aca="false">T28^2</f>
        <v>0</v>
      </c>
      <c r="BA28" s="440" t="n">
        <f aca="false">U28^2</f>
        <v>0</v>
      </c>
      <c r="BB28" s="440" t="n">
        <f aca="false">V28^2</f>
        <v>0.25</v>
      </c>
      <c r="BC28" s="440" t="n">
        <f aca="false">W28^2</f>
        <v>0</v>
      </c>
      <c r="BD28" s="440" t="n">
        <f aca="false">X28^2</f>
        <v>0</v>
      </c>
      <c r="BE28" s="440" t="n">
        <f aca="false">Y28^2</f>
        <v>0</v>
      </c>
      <c r="BF28" s="440" t="n">
        <f aca="false">Z28^2</f>
        <v>0</v>
      </c>
      <c r="BG28" s="440" t="n">
        <f aca="false">AA28^2</f>
        <v>0</v>
      </c>
      <c r="BH28" s="440" t="n">
        <f aca="false">AB28^2</f>
        <v>0</v>
      </c>
      <c r="BI28" s="440" t="n">
        <f aca="false">AC28^2</f>
        <v>0</v>
      </c>
      <c r="BJ28" s="440" t="n">
        <f aca="false">AD28^2</f>
        <v>0</v>
      </c>
      <c r="BK28" s="440" t="n">
        <f aca="false">AE28^2</f>
        <v>0</v>
      </c>
      <c r="BL28" s="440" t="n">
        <f aca="false">AF28^2</f>
        <v>0</v>
      </c>
      <c r="BM28" s="440" t="n">
        <f aca="false">AG28^2</f>
        <v>0</v>
      </c>
      <c r="BN28" s="440" t="n">
        <f aca="false">AH28^2</f>
        <v>1</v>
      </c>
      <c r="BO28" s="440" t="n">
        <f aca="false">AI28^2</f>
        <v>0</v>
      </c>
      <c r="BP28" s="440" t="n">
        <f aca="false">AJ28^2</f>
        <v>0</v>
      </c>
      <c r="BQ28" s="441" t="n">
        <f aca="false">-SIGN(AK28)*AK28^2</f>
        <v>1</v>
      </c>
    </row>
    <row r="29" customFormat="false" ht="12.75" hidden="false" customHeight="false" outlineLevel="0" collapsed="false">
      <c r="A29" s="45"/>
      <c r="B29" s="45"/>
      <c r="C29" s="161" t="s">
        <v>851</v>
      </c>
      <c r="D29" s="290" t="str">
        <f aca="false">IF(F29="","",IF(H29="","",ROUND(F29-0.001*298.15*(H29-SUMPRODUCT(L29:AK29*AR$13:BQ$13)),3)))</f>
        <v/>
      </c>
      <c r="E29" s="137" t="str">
        <f aca="false">IF(G29="","",IF(I29="","",ROUND(2*SQRT((0.5*G29)^2+(0.001*298.15)^2*((0.5*I29)^2+SUMPRODUCT(AR29:BQ29*AR$15:BQ$15))),3)))</f>
        <v/>
      </c>
      <c r="F29" s="291"/>
      <c r="G29" s="292"/>
      <c r="H29" s="291" t="s">
        <v>1554</v>
      </c>
      <c r="I29" s="292" t="s">
        <v>2062</v>
      </c>
      <c r="J29" s="10"/>
      <c r="K29" s="342" t="s">
        <v>851</v>
      </c>
      <c r="L29" s="434"/>
      <c r="M29" s="435"/>
      <c r="N29" s="435"/>
      <c r="O29" s="435"/>
      <c r="P29" s="436"/>
      <c r="Q29" s="436"/>
      <c r="R29" s="436"/>
      <c r="S29" s="436"/>
      <c r="T29" s="436"/>
      <c r="U29" s="436"/>
      <c r="V29" s="436"/>
      <c r="W29" s="436"/>
      <c r="X29" s="436"/>
      <c r="Y29" s="436"/>
      <c r="Z29" s="436"/>
      <c r="AA29" s="436" t="n">
        <v>0.5</v>
      </c>
      <c r="AB29" s="436"/>
      <c r="AC29" s="436"/>
      <c r="AD29" s="436" t="n">
        <v>1.5</v>
      </c>
      <c r="AE29" s="436"/>
      <c r="AF29" s="436"/>
      <c r="AG29" s="436"/>
      <c r="AH29" s="436"/>
      <c r="AI29" s="437"/>
      <c r="AJ29" s="436"/>
      <c r="AK29" s="438" t="n">
        <v>-1</v>
      </c>
      <c r="AM29" s="31" t="s">
        <v>48</v>
      </c>
      <c r="AN29" s="444" t="n">
        <v>5.74</v>
      </c>
      <c r="AO29" s="443" t="n">
        <v>0.12</v>
      </c>
      <c r="AP29" s="10"/>
      <c r="AQ29" s="342" t="s">
        <v>851</v>
      </c>
      <c r="AR29" s="439" t="n">
        <f aca="false">L29^2</f>
        <v>0</v>
      </c>
      <c r="AS29" s="440" t="n">
        <f aca="false">M29^2</f>
        <v>0</v>
      </c>
      <c r="AT29" s="440" t="n">
        <f aca="false">N29^2</f>
        <v>0</v>
      </c>
      <c r="AU29" s="440" t="n">
        <f aca="false">O29^2</f>
        <v>0</v>
      </c>
      <c r="AV29" s="440" t="n">
        <f aca="false">P29^2</f>
        <v>0</v>
      </c>
      <c r="AW29" s="440" t="n">
        <f aca="false">Q29^2</f>
        <v>0</v>
      </c>
      <c r="AX29" s="440" t="n">
        <f aca="false">R29^2</f>
        <v>0</v>
      </c>
      <c r="AY29" s="440" t="n">
        <f aca="false">S29^2</f>
        <v>0</v>
      </c>
      <c r="AZ29" s="440" t="n">
        <f aca="false">T29^2</f>
        <v>0</v>
      </c>
      <c r="BA29" s="440" t="n">
        <f aca="false">U29^2</f>
        <v>0</v>
      </c>
      <c r="BB29" s="440" t="n">
        <f aca="false">V29^2</f>
        <v>0</v>
      </c>
      <c r="BC29" s="440" t="n">
        <f aca="false">W29^2</f>
        <v>0</v>
      </c>
      <c r="BD29" s="440" t="n">
        <f aca="false">X29^2</f>
        <v>0</v>
      </c>
      <c r="BE29" s="440" t="n">
        <f aca="false">Y29^2</f>
        <v>0</v>
      </c>
      <c r="BF29" s="440" t="n">
        <f aca="false">Z29^2</f>
        <v>0</v>
      </c>
      <c r="BG29" s="440" t="n">
        <f aca="false">AA29^2</f>
        <v>0.25</v>
      </c>
      <c r="BH29" s="440" t="n">
        <f aca="false">AB29^2</f>
        <v>0</v>
      </c>
      <c r="BI29" s="440" t="n">
        <f aca="false">AC29^2</f>
        <v>0</v>
      </c>
      <c r="BJ29" s="440" t="n">
        <f aca="false">AD29^2</f>
        <v>2.25</v>
      </c>
      <c r="BK29" s="440" t="n">
        <f aca="false">AE29^2</f>
        <v>0</v>
      </c>
      <c r="BL29" s="440" t="n">
        <f aca="false">AF29^2</f>
        <v>0</v>
      </c>
      <c r="BM29" s="440" t="n">
        <f aca="false">AG29^2</f>
        <v>0</v>
      </c>
      <c r="BN29" s="440" t="n">
        <f aca="false">AH29^2</f>
        <v>0</v>
      </c>
      <c r="BO29" s="440" t="n">
        <f aca="false">AI29^2</f>
        <v>0</v>
      </c>
      <c r="BP29" s="440" t="n">
        <f aca="false">AJ29^2</f>
        <v>0</v>
      </c>
      <c r="BQ29" s="441" t="n">
        <f aca="false">-SIGN(AK29)*AK29^2</f>
        <v>1</v>
      </c>
    </row>
    <row r="30" customFormat="false" ht="12.75" hidden="false" customHeight="false" outlineLevel="0" collapsed="false">
      <c r="A30" s="45"/>
      <c r="B30" s="44"/>
      <c r="C30" s="161" t="s">
        <v>858</v>
      </c>
      <c r="D30" s="290" t="str">
        <f aca="false">IF(F30="","",IF(H30="","",ROUND(F30-0.001*298.15*(H30-SUMPRODUCT(L30:AK30*AR$13:BQ$13)),3)))</f>
        <v/>
      </c>
      <c r="E30" s="137" t="str">
        <f aca="false">IF(G30="","",IF(I30="","",ROUND(2*SQRT((0.5*G30)^2+(0.001*298.15)^2*((0.5*I30)^2+SUMPRODUCT(AR30:BQ30*AR$15:BQ$15))),3)))</f>
        <v/>
      </c>
      <c r="F30" s="291"/>
      <c r="G30" s="292"/>
      <c r="H30" s="291"/>
      <c r="I30" s="292"/>
      <c r="J30" s="10"/>
      <c r="K30" s="342" t="s">
        <v>858</v>
      </c>
      <c r="L30" s="434"/>
      <c r="M30" s="435"/>
      <c r="N30" s="435"/>
      <c r="O30" s="435"/>
      <c r="P30" s="436"/>
      <c r="Q30" s="436"/>
      <c r="R30" s="436"/>
      <c r="S30" s="436"/>
      <c r="T30" s="436"/>
      <c r="U30" s="436"/>
      <c r="V30" s="436" t="n">
        <v>1.5</v>
      </c>
      <c r="W30" s="436"/>
      <c r="X30" s="436"/>
      <c r="Y30" s="436"/>
      <c r="Z30" s="436"/>
      <c r="AA30" s="436" t="n">
        <v>0.5</v>
      </c>
      <c r="AB30" s="436"/>
      <c r="AC30" s="436"/>
      <c r="AD30" s="436"/>
      <c r="AE30" s="436"/>
      <c r="AF30" s="436"/>
      <c r="AG30" s="436"/>
      <c r="AH30" s="436"/>
      <c r="AI30" s="437"/>
      <c r="AJ30" s="436"/>
      <c r="AK30" s="438"/>
      <c r="AM30" s="31" t="s">
        <v>49</v>
      </c>
      <c r="AN30" s="444" t="n">
        <v>41.6</v>
      </c>
      <c r="AO30" s="443" t="n">
        <v>0.4</v>
      </c>
      <c r="AP30" s="10"/>
      <c r="AQ30" s="342" t="s">
        <v>858</v>
      </c>
      <c r="AR30" s="439" t="n">
        <f aca="false">L30^2</f>
        <v>0</v>
      </c>
      <c r="AS30" s="440" t="n">
        <f aca="false">M30^2</f>
        <v>0</v>
      </c>
      <c r="AT30" s="440" t="n">
        <f aca="false">N30^2</f>
        <v>0</v>
      </c>
      <c r="AU30" s="440" t="n">
        <f aca="false">O30^2</f>
        <v>0</v>
      </c>
      <c r="AV30" s="440" t="n">
        <f aca="false">P30^2</f>
        <v>0</v>
      </c>
      <c r="AW30" s="440" t="n">
        <f aca="false">Q30^2</f>
        <v>0</v>
      </c>
      <c r="AX30" s="440" t="n">
        <f aca="false">R30^2</f>
        <v>0</v>
      </c>
      <c r="AY30" s="440" t="n">
        <f aca="false">S30^2</f>
        <v>0</v>
      </c>
      <c r="AZ30" s="440" t="n">
        <f aca="false">T30^2</f>
        <v>0</v>
      </c>
      <c r="BA30" s="440" t="n">
        <f aca="false">U30^2</f>
        <v>0</v>
      </c>
      <c r="BB30" s="440" t="n">
        <f aca="false">V30^2</f>
        <v>2.25</v>
      </c>
      <c r="BC30" s="440" t="n">
        <f aca="false">W30^2</f>
        <v>0</v>
      </c>
      <c r="BD30" s="440" t="n">
        <f aca="false">X30^2</f>
        <v>0</v>
      </c>
      <c r="BE30" s="440" t="n">
        <f aca="false">Y30^2</f>
        <v>0</v>
      </c>
      <c r="BF30" s="440" t="n">
        <f aca="false">Z30^2</f>
        <v>0</v>
      </c>
      <c r="BG30" s="440" t="n">
        <f aca="false">AA30^2</f>
        <v>0.25</v>
      </c>
      <c r="BH30" s="440" t="n">
        <f aca="false">AB30^2</f>
        <v>0</v>
      </c>
      <c r="BI30" s="440" t="n">
        <f aca="false">AC30^2</f>
        <v>0</v>
      </c>
      <c r="BJ30" s="440" t="n">
        <f aca="false">AD30^2</f>
        <v>0</v>
      </c>
      <c r="BK30" s="440" t="n">
        <f aca="false">AE30^2</f>
        <v>0</v>
      </c>
      <c r="BL30" s="440" t="n">
        <f aca="false">AF30^2</f>
        <v>0</v>
      </c>
      <c r="BM30" s="440" t="n">
        <f aca="false">AG30^2</f>
        <v>0</v>
      </c>
      <c r="BN30" s="440" t="n">
        <f aca="false">AH30^2</f>
        <v>0</v>
      </c>
      <c r="BO30" s="440" t="n">
        <f aca="false">AI30^2</f>
        <v>0</v>
      </c>
      <c r="BP30" s="440" t="n">
        <f aca="false">AJ30^2</f>
        <v>0</v>
      </c>
      <c r="BQ30" s="441" t="n">
        <f aca="false">-SIGN(AK30)*AK30^2</f>
        <v>-0</v>
      </c>
    </row>
    <row r="31" customFormat="false" ht="12.75" hidden="false" customHeight="false" outlineLevel="0" collapsed="false">
      <c r="A31" s="45"/>
      <c r="B31" s="44"/>
      <c r="C31" s="161" t="s">
        <v>865</v>
      </c>
      <c r="D31" s="290" t="n">
        <f aca="false">IF(F31="","",IF(H31="","",ROUND(F31-0.001*298.15*(H31-SUMPRODUCT(L31:AK31*AR$13:BQ$13)),3)))</f>
        <v>-79.463</v>
      </c>
      <c r="E31" s="137" t="n">
        <f aca="false">IF(G31="","",IF(I31="","",ROUND(2*SQRT((0.5*G31)^2+(0.001*298.15)^2*((0.5*I31)^2+SUMPRODUCT(AR31:BQ31*AR$15:BQ$15))),3)))</f>
        <v>0.336</v>
      </c>
      <c r="F31" s="291" t="s">
        <v>866</v>
      </c>
      <c r="G31" s="292" t="s">
        <v>761</v>
      </c>
      <c r="H31" s="291" t="s">
        <v>867</v>
      </c>
      <c r="I31" s="292" t="s">
        <v>2063</v>
      </c>
      <c r="J31" s="10"/>
      <c r="K31" s="342" t="s">
        <v>865</v>
      </c>
      <c r="L31" s="434"/>
      <c r="M31" s="435"/>
      <c r="N31" s="435"/>
      <c r="O31" s="435"/>
      <c r="P31" s="436"/>
      <c r="Q31" s="436"/>
      <c r="R31" s="436"/>
      <c r="S31" s="436"/>
      <c r="T31" s="436"/>
      <c r="U31" s="436"/>
      <c r="V31" s="436" t="n">
        <v>2</v>
      </c>
      <c r="W31" s="436"/>
      <c r="X31" s="436"/>
      <c r="Y31" s="436"/>
      <c r="Z31" s="436"/>
      <c r="AA31" s="436" t="n">
        <v>0.5</v>
      </c>
      <c r="AB31" s="436"/>
      <c r="AC31" s="436"/>
      <c r="AD31" s="436"/>
      <c r="AE31" s="436"/>
      <c r="AF31" s="436"/>
      <c r="AG31" s="436"/>
      <c r="AH31" s="436"/>
      <c r="AI31" s="437"/>
      <c r="AJ31" s="436"/>
      <c r="AK31" s="438" t="n">
        <v>1</v>
      </c>
      <c r="AM31" s="38" t="s">
        <v>54</v>
      </c>
      <c r="AN31" s="443" t="n">
        <v>222.965</v>
      </c>
      <c r="AO31" s="443" t="n">
        <v>0.04</v>
      </c>
      <c r="AP31" s="10"/>
      <c r="AQ31" s="342" t="s">
        <v>865</v>
      </c>
      <c r="AR31" s="439" t="n">
        <f aca="false">L31^2</f>
        <v>0</v>
      </c>
      <c r="AS31" s="440" t="n">
        <f aca="false">M31^2</f>
        <v>0</v>
      </c>
      <c r="AT31" s="440" t="n">
        <f aca="false">N31^2</f>
        <v>0</v>
      </c>
      <c r="AU31" s="440" t="n">
        <f aca="false">O31^2</f>
        <v>0</v>
      </c>
      <c r="AV31" s="440" t="n">
        <f aca="false">P31^2</f>
        <v>0</v>
      </c>
      <c r="AW31" s="440" t="n">
        <f aca="false">Q31^2</f>
        <v>0</v>
      </c>
      <c r="AX31" s="440" t="n">
        <f aca="false">R31^2</f>
        <v>0</v>
      </c>
      <c r="AY31" s="440" t="n">
        <f aca="false">S31^2</f>
        <v>0</v>
      </c>
      <c r="AZ31" s="440" t="n">
        <f aca="false">T31^2</f>
        <v>0</v>
      </c>
      <c r="BA31" s="440" t="n">
        <f aca="false">U31^2</f>
        <v>0</v>
      </c>
      <c r="BB31" s="440" t="n">
        <f aca="false">V31^2</f>
        <v>4</v>
      </c>
      <c r="BC31" s="440" t="n">
        <f aca="false">W31^2</f>
        <v>0</v>
      </c>
      <c r="BD31" s="440" t="n">
        <f aca="false">X31^2</f>
        <v>0</v>
      </c>
      <c r="BE31" s="440" t="n">
        <f aca="false">Y31^2</f>
        <v>0</v>
      </c>
      <c r="BF31" s="440" t="n">
        <f aca="false">Z31^2</f>
        <v>0</v>
      </c>
      <c r="BG31" s="440" t="n">
        <f aca="false">AA31^2</f>
        <v>0.25</v>
      </c>
      <c r="BH31" s="440" t="n">
        <f aca="false">AB31^2</f>
        <v>0</v>
      </c>
      <c r="BI31" s="440" t="n">
        <f aca="false">AC31^2</f>
        <v>0</v>
      </c>
      <c r="BJ31" s="440" t="n">
        <f aca="false">AD31^2</f>
        <v>0</v>
      </c>
      <c r="BK31" s="440" t="n">
        <f aca="false">AE31^2</f>
        <v>0</v>
      </c>
      <c r="BL31" s="440" t="n">
        <f aca="false">AF31^2</f>
        <v>0</v>
      </c>
      <c r="BM31" s="440" t="n">
        <f aca="false">AG31^2</f>
        <v>0</v>
      </c>
      <c r="BN31" s="440" t="n">
        <f aca="false">AH31^2</f>
        <v>0</v>
      </c>
      <c r="BO31" s="440" t="n">
        <f aca="false">AI31^2</f>
        <v>0</v>
      </c>
      <c r="BP31" s="440" t="n">
        <f aca="false">AJ31^2</f>
        <v>0</v>
      </c>
      <c r="BQ31" s="441" t="n">
        <f aca="false">-SIGN(AK31)*AK31^2</f>
        <v>-1</v>
      </c>
    </row>
    <row r="32" customFormat="false" ht="12.75" hidden="false" customHeight="false" outlineLevel="0" collapsed="false">
      <c r="A32" s="45"/>
      <c r="B32" s="45"/>
      <c r="C32" s="161" t="s">
        <v>872</v>
      </c>
      <c r="D32" s="290" t="str">
        <f aca="false">IF(F32="","",IF(H32="","",ROUND(F32-0.001*298.15*(H32-SUMPRODUCT(L32:AK32*AR$13:BQ$13)),3)))</f>
        <v/>
      </c>
      <c r="E32" s="137" t="str">
        <f aca="false">IF(G32="","",IF(I32="","",ROUND(2*SQRT((0.5*G32)^2+(0.001*298.15)^2*((0.5*I32)^2+SUMPRODUCT(AR32:BQ32*AR$15:BQ$15))),3)))</f>
        <v/>
      </c>
      <c r="F32" s="291"/>
      <c r="G32" s="292"/>
      <c r="H32" s="291"/>
      <c r="I32" s="292"/>
      <c r="K32" s="342" t="s">
        <v>872</v>
      </c>
      <c r="L32" s="434"/>
      <c r="M32" s="435"/>
      <c r="N32" s="435"/>
      <c r="O32" s="435"/>
      <c r="P32" s="436"/>
      <c r="Q32" s="436"/>
      <c r="R32" s="436"/>
      <c r="S32" s="436"/>
      <c r="T32" s="436"/>
      <c r="U32" s="436"/>
      <c r="V32" s="436" t="n">
        <v>0.5</v>
      </c>
      <c r="W32" s="436"/>
      <c r="X32" s="436"/>
      <c r="Y32" s="436"/>
      <c r="Z32" s="436"/>
      <c r="AA32" s="436"/>
      <c r="AB32" s="436"/>
      <c r="AC32" s="436"/>
      <c r="AD32" s="436" t="n">
        <v>2</v>
      </c>
      <c r="AE32" s="436" t="n">
        <v>1</v>
      </c>
      <c r="AF32" s="436"/>
      <c r="AG32" s="436"/>
      <c r="AH32" s="436"/>
      <c r="AI32" s="437"/>
      <c r="AJ32" s="436"/>
      <c r="AK32" s="438" t="n">
        <v>-2</v>
      </c>
      <c r="AM32" s="38" t="s">
        <v>59</v>
      </c>
      <c r="AN32" s="444" t="n">
        <v>85.23</v>
      </c>
      <c r="AO32" s="443" t="n">
        <v>0.4</v>
      </c>
      <c r="AP32" s="10"/>
      <c r="AQ32" s="342" t="s">
        <v>872</v>
      </c>
      <c r="AR32" s="439" t="n">
        <f aca="false">L32^2</f>
        <v>0</v>
      </c>
      <c r="AS32" s="440" t="n">
        <f aca="false">M32^2</f>
        <v>0</v>
      </c>
      <c r="AT32" s="440" t="n">
        <f aca="false">N32^2</f>
        <v>0</v>
      </c>
      <c r="AU32" s="440" t="n">
        <f aca="false">O32^2</f>
        <v>0</v>
      </c>
      <c r="AV32" s="440" t="n">
        <f aca="false">P32^2</f>
        <v>0</v>
      </c>
      <c r="AW32" s="440" t="n">
        <f aca="false">Q32^2</f>
        <v>0</v>
      </c>
      <c r="AX32" s="440" t="n">
        <f aca="false">R32^2</f>
        <v>0</v>
      </c>
      <c r="AY32" s="440" t="n">
        <f aca="false">S32^2</f>
        <v>0</v>
      </c>
      <c r="AZ32" s="440" t="n">
        <f aca="false">T32^2</f>
        <v>0</v>
      </c>
      <c r="BA32" s="440" t="n">
        <f aca="false">U32^2</f>
        <v>0</v>
      </c>
      <c r="BB32" s="440" t="n">
        <f aca="false">V32^2</f>
        <v>0.25</v>
      </c>
      <c r="BC32" s="440" t="n">
        <f aca="false">W32^2</f>
        <v>0</v>
      </c>
      <c r="BD32" s="440" t="n">
        <f aca="false">X32^2</f>
        <v>0</v>
      </c>
      <c r="BE32" s="440" t="n">
        <f aca="false">Y32^2</f>
        <v>0</v>
      </c>
      <c r="BF32" s="440" t="n">
        <f aca="false">Z32^2</f>
        <v>0</v>
      </c>
      <c r="BG32" s="440" t="n">
        <f aca="false">AA32^2</f>
        <v>0</v>
      </c>
      <c r="BH32" s="440" t="n">
        <f aca="false">AB32^2</f>
        <v>0</v>
      </c>
      <c r="BI32" s="440" t="n">
        <f aca="false">AC32^2</f>
        <v>0</v>
      </c>
      <c r="BJ32" s="440" t="n">
        <f aca="false">AD32^2</f>
        <v>4</v>
      </c>
      <c r="BK32" s="440" t="n">
        <f aca="false">AE32^2</f>
        <v>1</v>
      </c>
      <c r="BL32" s="440" t="n">
        <f aca="false">AF32^2</f>
        <v>0</v>
      </c>
      <c r="BM32" s="440" t="n">
        <f aca="false">AG32^2</f>
        <v>0</v>
      </c>
      <c r="BN32" s="440" t="n">
        <f aca="false">AH32^2</f>
        <v>0</v>
      </c>
      <c r="BO32" s="440" t="n">
        <f aca="false">AI32^2</f>
        <v>0</v>
      </c>
      <c r="BP32" s="440" t="n">
        <f aca="false">AJ32^2</f>
        <v>0</v>
      </c>
      <c r="BQ32" s="441" t="n">
        <f aca="false">-SIGN(AK32)*AK32^2</f>
        <v>4</v>
      </c>
    </row>
    <row r="33" customFormat="false" ht="12.75" hidden="false" customHeight="false" outlineLevel="0" collapsed="false">
      <c r="A33" s="45"/>
      <c r="B33" s="44"/>
      <c r="C33" s="161" t="s">
        <v>879</v>
      </c>
      <c r="D33" s="290" t="str">
        <f aca="false">IF(F33="","",IF(H33="","",ROUND(F33-0.001*298.15*(H33-SUMPRODUCT(L33:AK33*AR$13:BQ$13)),3)))</f>
        <v/>
      </c>
      <c r="E33" s="137" t="str">
        <f aca="false">IF(G33="","",IF(I33="","",ROUND(2*SQRT((0.5*G33)^2+(0.001*298.15)^2*((0.5*I33)^2+SUMPRODUCT(AR33:BQ33*AR$15:BQ$15))),3)))</f>
        <v/>
      </c>
      <c r="F33" s="291"/>
      <c r="G33" s="292"/>
      <c r="H33" s="291"/>
      <c r="I33" s="292"/>
      <c r="J33" s="10"/>
      <c r="K33" s="342" t="s">
        <v>879</v>
      </c>
      <c r="L33" s="434"/>
      <c r="M33" s="435"/>
      <c r="N33" s="435"/>
      <c r="O33" s="435"/>
      <c r="P33" s="436"/>
      <c r="Q33" s="436"/>
      <c r="R33" s="436"/>
      <c r="S33" s="436"/>
      <c r="T33" s="436"/>
      <c r="U33" s="436"/>
      <c r="V33" s="436" t="n">
        <v>1</v>
      </c>
      <c r="W33" s="436"/>
      <c r="X33" s="436"/>
      <c r="Y33" s="436"/>
      <c r="Z33" s="436"/>
      <c r="AA33" s="436"/>
      <c r="AB33" s="436"/>
      <c r="AC33" s="436"/>
      <c r="AD33" s="436" t="n">
        <v>2</v>
      </c>
      <c r="AE33" s="436" t="n">
        <v>1</v>
      </c>
      <c r="AF33" s="436"/>
      <c r="AG33" s="436"/>
      <c r="AH33" s="436"/>
      <c r="AI33" s="437"/>
      <c r="AJ33" s="436"/>
      <c r="AK33" s="438" t="n">
        <v>-1</v>
      </c>
      <c r="AM33" s="38" t="s">
        <v>66</v>
      </c>
      <c r="AN33" s="443" t="n">
        <v>202.685</v>
      </c>
      <c r="AO33" s="443" t="n">
        <v>0.04</v>
      </c>
      <c r="AP33" s="10"/>
      <c r="AQ33" s="342" t="s">
        <v>879</v>
      </c>
      <c r="AR33" s="439" t="n">
        <f aca="false">L33^2</f>
        <v>0</v>
      </c>
      <c r="AS33" s="440" t="n">
        <f aca="false">M33^2</f>
        <v>0</v>
      </c>
      <c r="AT33" s="440" t="n">
        <f aca="false">N33^2</f>
        <v>0</v>
      </c>
      <c r="AU33" s="440" t="n">
        <f aca="false">O33^2</f>
        <v>0</v>
      </c>
      <c r="AV33" s="440" t="n">
        <f aca="false">P33^2</f>
        <v>0</v>
      </c>
      <c r="AW33" s="440" t="n">
        <f aca="false">Q33^2</f>
        <v>0</v>
      </c>
      <c r="AX33" s="440" t="n">
        <f aca="false">R33^2</f>
        <v>0</v>
      </c>
      <c r="AY33" s="440" t="n">
        <f aca="false">S33^2</f>
        <v>0</v>
      </c>
      <c r="AZ33" s="440" t="n">
        <f aca="false">T33^2</f>
        <v>0</v>
      </c>
      <c r="BA33" s="440" t="n">
        <f aca="false">U33^2</f>
        <v>0</v>
      </c>
      <c r="BB33" s="440" t="n">
        <f aca="false">V33^2</f>
        <v>1</v>
      </c>
      <c r="BC33" s="440" t="n">
        <f aca="false">W33^2</f>
        <v>0</v>
      </c>
      <c r="BD33" s="440" t="n">
        <f aca="false">X33^2</f>
        <v>0</v>
      </c>
      <c r="BE33" s="440" t="n">
        <f aca="false">Y33^2</f>
        <v>0</v>
      </c>
      <c r="BF33" s="440" t="n">
        <f aca="false">Z33^2</f>
        <v>0</v>
      </c>
      <c r="BG33" s="440" t="n">
        <f aca="false">AA33^2</f>
        <v>0</v>
      </c>
      <c r="BH33" s="440" t="n">
        <f aca="false">AB33^2</f>
        <v>0</v>
      </c>
      <c r="BI33" s="440" t="n">
        <f aca="false">AC33^2</f>
        <v>0</v>
      </c>
      <c r="BJ33" s="440" t="n">
        <f aca="false">AD33^2</f>
        <v>4</v>
      </c>
      <c r="BK33" s="440" t="n">
        <f aca="false">AE33^2</f>
        <v>1</v>
      </c>
      <c r="BL33" s="440" t="n">
        <f aca="false">AF33^2</f>
        <v>0</v>
      </c>
      <c r="BM33" s="440" t="n">
        <f aca="false">AG33^2</f>
        <v>0</v>
      </c>
      <c r="BN33" s="440" t="n">
        <f aca="false">AH33^2</f>
        <v>0</v>
      </c>
      <c r="BO33" s="440" t="n">
        <f aca="false">AI33^2</f>
        <v>0</v>
      </c>
      <c r="BP33" s="440" t="n">
        <f aca="false">AJ33^2</f>
        <v>0</v>
      </c>
      <c r="BQ33" s="441" t="n">
        <f aca="false">-SIGN(AK33)*AK33^2</f>
        <v>1</v>
      </c>
    </row>
    <row r="34" customFormat="false" ht="12.75" hidden="false" customHeight="false" outlineLevel="0" collapsed="false">
      <c r="A34" s="45"/>
      <c r="B34" s="44"/>
      <c r="C34" s="161" t="s">
        <v>885</v>
      </c>
      <c r="D34" s="290" t="str">
        <f aca="false">IF(F34="","",IF(H34="","",ROUND(F34-0.001*298.15*(H34-SUMPRODUCT(L34:AK34*AR$13:BQ$13)),3)))</f>
        <v/>
      </c>
      <c r="E34" s="137" t="str">
        <f aca="false">IF(G34="","",IF(I34="","",ROUND(2*SQRT((0.5*G34)^2+(0.001*298.15)^2*((0.5*I34)^2+SUMPRODUCT(AR34:BQ34*AR$15:BQ$15))),3)))</f>
        <v/>
      </c>
      <c r="F34" s="291"/>
      <c r="G34" s="292"/>
      <c r="H34" s="291"/>
      <c r="I34" s="292"/>
      <c r="J34" s="10"/>
      <c r="K34" s="342" t="s">
        <v>885</v>
      </c>
      <c r="L34" s="434"/>
      <c r="M34" s="435"/>
      <c r="N34" s="435"/>
      <c r="O34" s="435"/>
      <c r="P34" s="436" t="n">
        <v>1</v>
      </c>
      <c r="Q34" s="436"/>
      <c r="R34" s="436"/>
      <c r="S34" s="436"/>
      <c r="T34" s="436"/>
      <c r="U34" s="436"/>
      <c r="V34" s="436"/>
      <c r="W34" s="436"/>
      <c r="X34" s="436"/>
      <c r="Y34" s="436"/>
      <c r="Z34" s="436"/>
      <c r="AA34" s="436"/>
      <c r="AB34" s="436"/>
      <c r="AC34" s="436"/>
      <c r="AD34" s="436" t="n">
        <v>1</v>
      </c>
      <c r="AE34" s="436"/>
      <c r="AF34" s="436"/>
      <c r="AG34" s="436"/>
      <c r="AH34" s="436"/>
      <c r="AI34" s="437"/>
      <c r="AJ34" s="436"/>
      <c r="AK34" s="438"/>
      <c r="AM34" s="38" t="s">
        <v>68</v>
      </c>
      <c r="AN34" s="444"/>
      <c r="AO34" s="443"/>
      <c r="AQ34" s="342" t="s">
        <v>885</v>
      </c>
      <c r="AR34" s="439" t="n">
        <f aca="false">L34^2</f>
        <v>0</v>
      </c>
      <c r="AS34" s="440" t="n">
        <f aca="false">M34^2</f>
        <v>0</v>
      </c>
      <c r="AT34" s="440" t="n">
        <f aca="false">N34^2</f>
        <v>0</v>
      </c>
      <c r="AU34" s="440" t="n">
        <f aca="false">O34^2</f>
        <v>0</v>
      </c>
      <c r="AV34" s="440" t="n">
        <f aca="false">P34^2</f>
        <v>1</v>
      </c>
      <c r="AW34" s="440" t="n">
        <f aca="false">Q34^2</f>
        <v>0</v>
      </c>
      <c r="AX34" s="440" t="n">
        <f aca="false">R34^2</f>
        <v>0</v>
      </c>
      <c r="AY34" s="440" t="n">
        <f aca="false">S34^2</f>
        <v>0</v>
      </c>
      <c r="AZ34" s="440" t="n">
        <f aca="false">T34^2</f>
        <v>0</v>
      </c>
      <c r="BA34" s="440" t="n">
        <f aca="false">U34^2</f>
        <v>0</v>
      </c>
      <c r="BB34" s="440" t="n">
        <f aca="false">V34^2</f>
        <v>0</v>
      </c>
      <c r="BC34" s="440" t="n">
        <f aca="false">W34^2</f>
        <v>0</v>
      </c>
      <c r="BD34" s="440" t="n">
        <f aca="false">X34^2</f>
        <v>0</v>
      </c>
      <c r="BE34" s="440" t="n">
        <f aca="false">Y34^2</f>
        <v>0</v>
      </c>
      <c r="BF34" s="440" t="n">
        <f aca="false">Z34^2</f>
        <v>0</v>
      </c>
      <c r="BG34" s="440" t="n">
        <f aca="false">AA34^2</f>
        <v>0</v>
      </c>
      <c r="BH34" s="440" t="n">
        <f aca="false">AB34^2</f>
        <v>0</v>
      </c>
      <c r="BI34" s="440" t="n">
        <f aca="false">AC34^2</f>
        <v>0</v>
      </c>
      <c r="BJ34" s="440" t="n">
        <f aca="false">AD34^2</f>
        <v>1</v>
      </c>
      <c r="BK34" s="440" t="n">
        <f aca="false">AE34^2</f>
        <v>0</v>
      </c>
      <c r="BL34" s="440" t="n">
        <f aca="false">AF34^2</f>
        <v>0</v>
      </c>
      <c r="BM34" s="440" t="n">
        <f aca="false">AG34^2</f>
        <v>0</v>
      </c>
      <c r="BN34" s="440" t="n">
        <f aca="false">AH34^2</f>
        <v>0</v>
      </c>
      <c r="BO34" s="440" t="n">
        <f aca="false">AI34^2</f>
        <v>0</v>
      </c>
      <c r="BP34" s="440" t="n">
        <f aca="false">AJ34^2</f>
        <v>0</v>
      </c>
      <c r="BQ34" s="441" t="n">
        <f aca="false">-SIGN(AK34)*AK34^2</f>
        <v>-0</v>
      </c>
    </row>
    <row r="35" customFormat="false" ht="12.75" hidden="false" customHeight="false" outlineLevel="0" collapsed="false">
      <c r="A35" s="45"/>
      <c r="B35" s="45"/>
      <c r="C35" s="161" t="s">
        <v>893</v>
      </c>
      <c r="D35" s="290" t="str">
        <f aca="false">IF(F35="","",IF(H35="","",ROUND(F35-0.001*298.15*(H35-SUMPRODUCT(L35:AK35*AR$13:BQ$13)),3)))</f>
        <v/>
      </c>
      <c r="E35" s="137" t="str">
        <f aca="false">IF(G35="","",IF(I35="","",ROUND(2*SQRT((0.5*G35)^2+(0.001*298.15)^2*((0.5*I35)^2+SUMPRODUCT(AR35:BQ35*AR$15:BQ$15))),3)))</f>
        <v/>
      </c>
      <c r="F35" s="291"/>
      <c r="G35" s="292"/>
      <c r="H35" s="291"/>
      <c r="I35" s="292"/>
      <c r="J35" s="10"/>
      <c r="K35" s="342" t="s">
        <v>893</v>
      </c>
      <c r="L35" s="434"/>
      <c r="M35" s="435"/>
      <c r="N35" s="435"/>
      <c r="O35" s="435"/>
      <c r="P35" s="436" t="n">
        <v>1</v>
      </c>
      <c r="Q35" s="436"/>
      <c r="R35" s="436"/>
      <c r="S35" s="436"/>
      <c r="T35" s="436"/>
      <c r="U35" s="436"/>
      <c r="V35" s="436"/>
      <c r="W35" s="436"/>
      <c r="X35" s="436"/>
      <c r="Y35" s="436"/>
      <c r="Z35" s="436"/>
      <c r="AA35" s="436"/>
      <c r="AB35" s="436"/>
      <c r="AC35" s="436"/>
      <c r="AD35" s="436" t="n">
        <v>1.5</v>
      </c>
      <c r="AE35" s="436"/>
      <c r="AF35" s="436"/>
      <c r="AG35" s="436"/>
      <c r="AH35" s="436"/>
      <c r="AI35" s="437"/>
      <c r="AJ35" s="436"/>
      <c r="AK35" s="438" t="n">
        <v>-2</v>
      </c>
      <c r="AM35" s="38" t="s">
        <v>75</v>
      </c>
      <c r="AN35" s="443" t="s">
        <v>541</v>
      </c>
      <c r="AO35" s="443" t="s">
        <v>2055</v>
      </c>
      <c r="AP35" s="631"/>
      <c r="AQ35" s="342" t="s">
        <v>893</v>
      </c>
      <c r="AR35" s="439" t="n">
        <f aca="false">L35^2</f>
        <v>0</v>
      </c>
      <c r="AS35" s="440" t="n">
        <f aca="false">M35^2</f>
        <v>0</v>
      </c>
      <c r="AT35" s="440" t="n">
        <f aca="false">N35^2</f>
        <v>0</v>
      </c>
      <c r="AU35" s="440" t="n">
        <f aca="false">O35^2</f>
        <v>0</v>
      </c>
      <c r="AV35" s="440" t="n">
        <f aca="false">P35^2</f>
        <v>1</v>
      </c>
      <c r="AW35" s="440" t="n">
        <f aca="false">Q35^2</f>
        <v>0</v>
      </c>
      <c r="AX35" s="440" t="n">
        <f aca="false">R35^2</f>
        <v>0</v>
      </c>
      <c r="AY35" s="440" t="n">
        <f aca="false">S35^2</f>
        <v>0</v>
      </c>
      <c r="AZ35" s="440" t="n">
        <f aca="false">T35^2</f>
        <v>0</v>
      </c>
      <c r="BA35" s="440" t="n">
        <f aca="false">U35^2</f>
        <v>0</v>
      </c>
      <c r="BB35" s="440" t="n">
        <f aca="false">V35^2</f>
        <v>0</v>
      </c>
      <c r="BC35" s="440" t="n">
        <f aca="false">W35^2</f>
        <v>0</v>
      </c>
      <c r="BD35" s="440" t="n">
        <f aca="false">X35^2</f>
        <v>0</v>
      </c>
      <c r="BE35" s="440" t="n">
        <f aca="false">Y35^2</f>
        <v>0</v>
      </c>
      <c r="BF35" s="440" t="n">
        <f aca="false">Z35^2</f>
        <v>0</v>
      </c>
      <c r="BG35" s="440" t="n">
        <f aca="false">AA35^2</f>
        <v>0</v>
      </c>
      <c r="BH35" s="440" t="n">
        <f aca="false">AB35^2</f>
        <v>0</v>
      </c>
      <c r="BI35" s="440" t="n">
        <f aca="false">AC35^2</f>
        <v>0</v>
      </c>
      <c r="BJ35" s="440" t="n">
        <f aca="false">AD35^2</f>
        <v>2.25</v>
      </c>
      <c r="BK35" s="440" t="n">
        <f aca="false">AE35^2</f>
        <v>0</v>
      </c>
      <c r="BL35" s="440" t="n">
        <f aca="false">AF35^2</f>
        <v>0</v>
      </c>
      <c r="BM35" s="440" t="n">
        <f aca="false">AG35^2</f>
        <v>0</v>
      </c>
      <c r="BN35" s="440" t="n">
        <f aca="false">AH35^2</f>
        <v>0</v>
      </c>
      <c r="BO35" s="440" t="n">
        <f aca="false">AI35^2</f>
        <v>0</v>
      </c>
      <c r="BP35" s="440" t="n">
        <f aca="false">AJ35^2</f>
        <v>0</v>
      </c>
      <c r="BQ35" s="441" t="n">
        <f aca="false">-SIGN(AK35)*AK35^2</f>
        <v>4</v>
      </c>
    </row>
    <row r="36" customFormat="false" ht="12.75" hidden="false" customHeight="false" outlineLevel="0" collapsed="false">
      <c r="A36" s="45"/>
      <c r="B36" s="45"/>
      <c r="C36" s="161" t="s">
        <v>902</v>
      </c>
      <c r="D36" s="290" t="str">
        <f aca="false">IF(F36="","",IF(H36="","",ROUND(F36-0.001*298.15*(H36-SUMPRODUCT(L36:AK36*AR$13:BQ$13)),3)))</f>
        <v/>
      </c>
      <c r="E36" s="137" t="str">
        <f aca="false">IF(G36="","",IF(I36="","",ROUND(2*SQRT((0.5*G36)^2+(0.001*298.15)^2*((0.5*I36)^2+SUMPRODUCT(AR36:BQ36*AR$15:BQ$15))),3)))</f>
        <v/>
      </c>
      <c r="F36" s="291"/>
      <c r="G36" s="292"/>
      <c r="H36" s="291"/>
      <c r="I36" s="292"/>
      <c r="J36" s="10"/>
      <c r="K36" s="342" t="s">
        <v>902</v>
      </c>
      <c r="L36" s="434"/>
      <c r="M36" s="435"/>
      <c r="N36" s="435"/>
      <c r="O36" s="435"/>
      <c r="P36" s="436" t="n">
        <v>1</v>
      </c>
      <c r="Q36" s="436"/>
      <c r="R36" s="436"/>
      <c r="S36" s="436"/>
      <c r="T36" s="436"/>
      <c r="U36" s="436"/>
      <c r="V36" s="436" t="n">
        <v>0.5</v>
      </c>
      <c r="W36" s="436"/>
      <c r="X36" s="436"/>
      <c r="Y36" s="436"/>
      <c r="Z36" s="436"/>
      <c r="AA36" s="436"/>
      <c r="AB36" s="436"/>
      <c r="AC36" s="436"/>
      <c r="AD36" s="436" t="n">
        <v>1.5</v>
      </c>
      <c r="AE36" s="436"/>
      <c r="AF36" s="436"/>
      <c r="AG36" s="436"/>
      <c r="AH36" s="436"/>
      <c r="AI36" s="437"/>
      <c r="AJ36" s="436"/>
      <c r="AK36" s="438" t="n">
        <v>-1</v>
      </c>
      <c r="AM36" s="38" t="s">
        <v>82</v>
      </c>
      <c r="AN36" s="443" t="n">
        <v>116.139</v>
      </c>
      <c r="AO36" s="443" t="n">
        <v>0.08</v>
      </c>
      <c r="AP36" s="631"/>
      <c r="AQ36" s="342" t="s">
        <v>902</v>
      </c>
      <c r="AR36" s="439" t="n">
        <f aca="false">L36^2</f>
        <v>0</v>
      </c>
      <c r="AS36" s="440" t="n">
        <f aca="false">M36^2</f>
        <v>0</v>
      </c>
      <c r="AT36" s="440" t="n">
        <f aca="false">N36^2</f>
        <v>0</v>
      </c>
      <c r="AU36" s="440" t="n">
        <f aca="false">O36^2</f>
        <v>0</v>
      </c>
      <c r="AV36" s="440" t="n">
        <f aca="false">P36^2</f>
        <v>1</v>
      </c>
      <c r="AW36" s="440" t="n">
        <f aca="false">Q36^2</f>
        <v>0</v>
      </c>
      <c r="AX36" s="440" t="n">
        <f aca="false">R36^2</f>
        <v>0</v>
      </c>
      <c r="AY36" s="440" t="n">
        <f aca="false">S36^2</f>
        <v>0</v>
      </c>
      <c r="AZ36" s="440" t="n">
        <f aca="false">T36^2</f>
        <v>0</v>
      </c>
      <c r="BA36" s="440" t="n">
        <f aca="false">U36^2</f>
        <v>0</v>
      </c>
      <c r="BB36" s="440" t="n">
        <f aca="false">V36^2</f>
        <v>0.25</v>
      </c>
      <c r="BC36" s="440" t="n">
        <f aca="false">W36^2</f>
        <v>0</v>
      </c>
      <c r="BD36" s="440" t="n">
        <f aca="false">X36^2</f>
        <v>0</v>
      </c>
      <c r="BE36" s="440" t="n">
        <f aca="false">Y36^2</f>
        <v>0</v>
      </c>
      <c r="BF36" s="440" t="n">
        <f aca="false">Z36^2</f>
        <v>0</v>
      </c>
      <c r="BG36" s="440" t="n">
        <f aca="false">AA36^2</f>
        <v>0</v>
      </c>
      <c r="BH36" s="440" t="n">
        <f aca="false">AB36^2</f>
        <v>0</v>
      </c>
      <c r="BI36" s="440" t="n">
        <f aca="false">AC36^2</f>
        <v>0</v>
      </c>
      <c r="BJ36" s="440" t="n">
        <f aca="false">AD36^2</f>
        <v>2.25</v>
      </c>
      <c r="BK36" s="440" t="n">
        <f aca="false">AE36^2</f>
        <v>0</v>
      </c>
      <c r="BL36" s="440" t="n">
        <f aca="false">AF36^2</f>
        <v>0</v>
      </c>
      <c r="BM36" s="440" t="n">
        <f aca="false">AG36^2</f>
        <v>0</v>
      </c>
      <c r="BN36" s="440" t="n">
        <f aca="false">AH36^2</f>
        <v>0</v>
      </c>
      <c r="BO36" s="440" t="n">
        <f aca="false">AI36^2</f>
        <v>0</v>
      </c>
      <c r="BP36" s="440" t="n">
        <f aca="false">AJ36^2</f>
        <v>0</v>
      </c>
      <c r="BQ36" s="441" t="n">
        <f aca="false">-SIGN(AK36)*AK36^2</f>
        <v>1</v>
      </c>
    </row>
    <row r="37" customFormat="false" ht="12.75" hidden="false" customHeight="false" outlineLevel="0" collapsed="false">
      <c r="A37" s="45"/>
      <c r="B37" s="45"/>
      <c r="C37" s="161" t="s">
        <v>909</v>
      </c>
      <c r="D37" s="290" t="str">
        <f aca="false">IF(F37="","",IF(H37="","",ROUND(F37-0.001*298.15*(H37-SUMPRODUCT(L37:AK37*AR$13:BQ$13)),3)))</f>
        <v/>
      </c>
      <c r="E37" s="137" t="str">
        <f aca="false">IF(G37="","",IF(I37="","",ROUND(2*SQRT((0.5*G37)^2+(0.001*298.15)^2*((0.5*I37)^2+SUMPRODUCT(AR37:BQ37*AR$15:BQ$15))),3)))</f>
        <v/>
      </c>
      <c r="F37" s="291"/>
      <c r="G37" s="292"/>
      <c r="H37" s="291"/>
      <c r="I37" s="292"/>
      <c r="J37" s="10"/>
      <c r="K37" s="342" t="s">
        <v>909</v>
      </c>
      <c r="L37" s="434"/>
      <c r="M37" s="435"/>
      <c r="N37" s="435"/>
      <c r="O37" s="435"/>
      <c r="P37" s="436"/>
      <c r="Q37" s="436"/>
      <c r="R37" s="436"/>
      <c r="S37" s="436"/>
      <c r="T37" s="436"/>
      <c r="U37" s="436"/>
      <c r="V37" s="436" t="n">
        <v>2</v>
      </c>
      <c r="W37" s="436"/>
      <c r="X37" s="436"/>
      <c r="Y37" s="436"/>
      <c r="Z37" s="436"/>
      <c r="AA37" s="436"/>
      <c r="AB37" s="436"/>
      <c r="AC37" s="436"/>
      <c r="AD37" s="436" t="n">
        <v>2</v>
      </c>
      <c r="AE37" s="436"/>
      <c r="AF37" s="436"/>
      <c r="AG37" s="436"/>
      <c r="AH37" s="436"/>
      <c r="AI37" s="437" t="n">
        <v>1</v>
      </c>
      <c r="AJ37" s="436"/>
      <c r="AK37" s="438"/>
      <c r="AM37" s="38" t="s">
        <v>86</v>
      </c>
      <c r="AN37" s="444" t="n">
        <v>64.68</v>
      </c>
      <c r="AO37" s="443" t="n">
        <v>0.2</v>
      </c>
      <c r="AP37" s="631"/>
      <c r="AQ37" s="342" t="s">
        <v>909</v>
      </c>
      <c r="AR37" s="439" t="n">
        <f aca="false">L37^2</f>
        <v>0</v>
      </c>
      <c r="AS37" s="440" t="n">
        <f aca="false">M37^2</f>
        <v>0</v>
      </c>
      <c r="AT37" s="440" t="n">
        <f aca="false">N37^2</f>
        <v>0</v>
      </c>
      <c r="AU37" s="440" t="n">
        <f aca="false">O37^2</f>
        <v>0</v>
      </c>
      <c r="AV37" s="440" t="n">
        <f aca="false">P37^2</f>
        <v>0</v>
      </c>
      <c r="AW37" s="440" t="n">
        <f aca="false">Q37^2</f>
        <v>0</v>
      </c>
      <c r="AX37" s="440" t="n">
        <f aca="false">R37^2</f>
        <v>0</v>
      </c>
      <c r="AY37" s="440" t="n">
        <f aca="false">S37^2</f>
        <v>0</v>
      </c>
      <c r="AZ37" s="440" t="n">
        <f aca="false">T37^2</f>
        <v>0</v>
      </c>
      <c r="BA37" s="440" t="n">
        <f aca="false">U37^2</f>
        <v>0</v>
      </c>
      <c r="BB37" s="440" t="n">
        <f aca="false">V37^2</f>
        <v>4</v>
      </c>
      <c r="BC37" s="440" t="n">
        <f aca="false">W37^2</f>
        <v>0</v>
      </c>
      <c r="BD37" s="440" t="n">
        <f aca="false">X37^2</f>
        <v>0</v>
      </c>
      <c r="BE37" s="440" t="n">
        <f aca="false">Y37^2</f>
        <v>0</v>
      </c>
      <c r="BF37" s="440" t="n">
        <f aca="false">Z37^2</f>
        <v>0</v>
      </c>
      <c r="BG37" s="440" t="n">
        <f aca="false">AA37^2</f>
        <v>0</v>
      </c>
      <c r="BH37" s="440" t="n">
        <f aca="false">AB37^2</f>
        <v>0</v>
      </c>
      <c r="BI37" s="440" t="n">
        <f aca="false">AC37^2</f>
        <v>0</v>
      </c>
      <c r="BJ37" s="440" t="n">
        <f aca="false">AD37^2</f>
        <v>4</v>
      </c>
      <c r="BK37" s="440" t="n">
        <f aca="false">AE37^2</f>
        <v>0</v>
      </c>
      <c r="BL37" s="440" t="n">
        <f aca="false">AF37^2</f>
        <v>0</v>
      </c>
      <c r="BM37" s="440" t="n">
        <f aca="false">AG37^2</f>
        <v>0</v>
      </c>
      <c r="BN37" s="440" t="n">
        <f aca="false">AH37^2</f>
        <v>0</v>
      </c>
      <c r="BO37" s="440" t="n">
        <f aca="false">AI37^2</f>
        <v>1</v>
      </c>
      <c r="BP37" s="440" t="n">
        <f aca="false">AJ37^2</f>
        <v>0</v>
      </c>
      <c r="BQ37" s="441" t="n">
        <f aca="false">-SIGN(AK37)*AK37^2</f>
        <v>-0</v>
      </c>
    </row>
    <row r="38" customFormat="false" ht="12.75" hidden="false" customHeight="false" outlineLevel="0" collapsed="false">
      <c r="A38" s="45"/>
      <c r="B38" s="45"/>
      <c r="C38" s="161" t="s">
        <v>916</v>
      </c>
      <c r="D38" s="290" t="str">
        <f aca="false">IF(F38="","",IF(H38="","",ROUND(F38-0.001*298.15*(H38-SUMPRODUCT(L38:AK38*AR$13:BQ$13)),3)))</f>
        <v/>
      </c>
      <c r="E38" s="137" t="str">
        <f aca="false">IF(G38="","",IF(I38="","",ROUND(2*SQRT((0.5*G38)^2+(0.001*298.15)^2*((0.5*I38)^2+SUMPRODUCT(AR38:BQ38*AR$15:BQ$15))),3)))</f>
        <v/>
      </c>
      <c r="F38" s="291"/>
      <c r="G38" s="292"/>
      <c r="H38" s="291"/>
      <c r="I38" s="292"/>
      <c r="J38" s="10"/>
      <c r="K38" s="342" t="s">
        <v>916</v>
      </c>
      <c r="L38" s="434"/>
      <c r="M38" s="435" t="n">
        <v>1</v>
      </c>
      <c r="N38" s="435"/>
      <c r="O38" s="435"/>
      <c r="P38" s="436"/>
      <c r="Q38" s="436"/>
      <c r="R38" s="436"/>
      <c r="S38" s="436"/>
      <c r="T38" s="436"/>
      <c r="U38" s="436"/>
      <c r="V38" s="436" t="n">
        <v>1.5</v>
      </c>
      <c r="W38" s="436"/>
      <c r="X38" s="436"/>
      <c r="Y38" s="436"/>
      <c r="Z38" s="436"/>
      <c r="AA38" s="436"/>
      <c r="AB38" s="436"/>
      <c r="AC38" s="436"/>
      <c r="AD38" s="436" t="n">
        <v>1.5</v>
      </c>
      <c r="AE38" s="436"/>
      <c r="AF38" s="436"/>
      <c r="AG38" s="436"/>
      <c r="AH38" s="436"/>
      <c r="AI38" s="437"/>
      <c r="AJ38" s="436"/>
      <c r="AK38" s="438"/>
      <c r="AM38" s="38" t="s">
        <v>89</v>
      </c>
      <c r="AN38" s="444" t="n">
        <v>29.12</v>
      </c>
      <c r="AO38" s="443" t="n">
        <v>0.2</v>
      </c>
      <c r="AP38" s="631"/>
      <c r="AQ38" s="342" t="s">
        <v>916</v>
      </c>
      <c r="AR38" s="439" t="n">
        <f aca="false">L38^2</f>
        <v>0</v>
      </c>
      <c r="AS38" s="440" t="n">
        <f aca="false">M38^2</f>
        <v>1</v>
      </c>
      <c r="AT38" s="440" t="n">
        <f aca="false">N38^2</f>
        <v>0</v>
      </c>
      <c r="AU38" s="440" t="n">
        <f aca="false">O38^2</f>
        <v>0</v>
      </c>
      <c r="AV38" s="440" t="n">
        <f aca="false">P38^2</f>
        <v>0</v>
      </c>
      <c r="AW38" s="440" t="n">
        <f aca="false">Q38^2</f>
        <v>0</v>
      </c>
      <c r="AX38" s="440" t="n">
        <f aca="false">R38^2</f>
        <v>0</v>
      </c>
      <c r="AY38" s="440" t="n">
        <f aca="false">S38^2</f>
        <v>0</v>
      </c>
      <c r="AZ38" s="440" t="n">
        <f aca="false">T38^2</f>
        <v>0</v>
      </c>
      <c r="BA38" s="440" t="n">
        <f aca="false">U38^2</f>
        <v>0</v>
      </c>
      <c r="BB38" s="440" t="n">
        <f aca="false">V38^2</f>
        <v>2.25</v>
      </c>
      <c r="BC38" s="440" t="n">
        <f aca="false">W38^2</f>
        <v>0</v>
      </c>
      <c r="BD38" s="440" t="n">
        <f aca="false">X38^2</f>
        <v>0</v>
      </c>
      <c r="BE38" s="440" t="n">
        <f aca="false">Y38^2</f>
        <v>0</v>
      </c>
      <c r="BF38" s="440" t="n">
        <f aca="false">Z38^2</f>
        <v>0</v>
      </c>
      <c r="BG38" s="440" t="n">
        <f aca="false">AA38^2</f>
        <v>0</v>
      </c>
      <c r="BH38" s="440" t="n">
        <f aca="false">AB38^2</f>
        <v>0</v>
      </c>
      <c r="BI38" s="440" t="n">
        <f aca="false">AC38^2</f>
        <v>0</v>
      </c>
      <c r="BJ38" s="440" t="n">
        <f aca="false">AD38^2</f>
        <v>2.25</v>
      </c>
      <c r="BK38" s="440" t="n">
        <f aca="false">AE38^2</f>
        <v>0</v>
      </c>
      <c r="BL38" s="440" t="n">
        <f aca="false">AF38^2</f>
        <v>0</v>
      </c>
      <c r="BM38" s="440" t="n">
        <f aca="false">AG38^2</f>
        <v>0</v>
      </c>
      <c r="BN38" s="440" t="n">
        <f aca="false">AH38^2</f>
        <v>0</v>
      </c>
      <c r="BO38" s="440" t="n">
        <f aca="false">AI38^2</f>
        <v>0</v>
      </c>
      <c r="BP38" s="440" t="n">
        <f aca="false">AJ38^2</f>
        <v>0</v>
      </c>
      <c r="BQ38" s="441" t="n">
        <f aca="false">-SIGN(AK38)*AK38^2</f>
        <v>-0</v>
      </c>
    </row>
    <row r="39" customFormat="false" ht="12.75" hidden="false" customHeight="false" outlineLevel="0" collapsed="false">
      <c r="A39" s="45"/>
      <c r="B39" s="45"/>
      <c r="C39" s="161" t="s">
        <v>923</v>
      </c>
      <c r="D39" s="290" t="str">
        <f aca="false">IF(F39="","",IF(H39="","",ROUND(F39-0.001*298.15*(H39-SUMPRODUCT(L39:AK39*AR$13:BQ$13)),3)))</f>
        <v/>
      </c>
      <c r="E39" s="137" t="str">
        <f aca="false">IF(G39="","",IF(I39="","",ROUND(2*SQRT((0.5*G39)^2+(0.001*298.15)^2*((0.5*I39)^2+SUMPRODUCT(AR39:BQ39*AR$15:BQ$15))),3)))</f>
        <v/>
      </c>
      <c r="F39" s="295"/>
      <c r="G39" s="297"/>
      <c r="H39" s="295"/>
      <c r="I39" s="297"/>
      <c r="J39" s="10"/>
      <c r="K39" s="161" t="s">
        <v>923</v>
      </c>
      <c r="L39" s="445"/>
      <c r="M39" s="446" t="n">
        <v>1</v>
      </c>
      <c r="N39" s="446"/>
      <c r="O39" s="446"/>
      <c r="P39" s="436"/>
      <c r="Q39" s="436"/>
      <c r="R39" s="436"/>
      <c r="S39" s="436"/>
      <c r="T39" s="436"/>
      <c r="U39" s="436"/>
      <c r="V39" s="436" t="n">
        <v>2</v>
      </c>
      <c r="W39" s="436"/>
      <c r="X39" s="436"/>
      <c r="Y39" s="436"/>
      <c r="Z39" s="436"/>
      <c r="AA39" s="436"/>
      <c r="AB39" s="436"/>
      <c r="AC39" s="436"/>
      <c r="AD39" s="436" t="n">
        <v>2</v>
      </c>
      <c r="AE39" s="436"/>
      <c r="AF39" s="436"/>
      <c r="AG39" s="436"/>
      <c r="AH39" s="436"/>
      <c r="AI39" s="437"/>
      <c r="AJ39" s="436"/>
      <c r="AK39" s="438" t="n">
        <v>-1</v>
      </c>
      <c r="AM39" s="31" t="s">
        <v>93</v>
      </c>
      <c r="AN39" s="444" t="n">
        <v>32.68</v>
      </c>
      <c r="AO39" s="443" t="n">
        <v>0.1</v>
      </c>
      <c r="AP39" s="10" t="s">
        <v>2080</v>
      </c>
      <c r="AQ39" s="161" t="s">
        <v>923</v>
      </c>
      <c r="AR39" s="439" t="n">
        <f aca="false">L39^2</f>
        <v>0</v>
      </c>
      <c r="AS39" s="440" t="n">
        <f aca="false">M39^2</f>
        <v>1</v>
      </c>
      <c r="AT39" s="440" t="n">
        <f aca="false">N39^2</f>
        <v>0</v>
      </c>
      <c r="AU39" s="440" t="n">
        <f aca="false">O39^2</f>
        <v>0</v>
      </c>
      <c r="AV39" s="440" t="n">
        <f aca="false">P39^2</f>
        <v>0</v>
      </c>
      <c r="AW39" s="440" t="n">
        <f aca="false">Q39^2</f>
        <v>0</v>
      </c>
      <c r="AX39" s="440" t="n">
        <f aca="false">R39^2</f>
        <v>0</v>
      </c>
      <c r="AY39" s="440" t="n">
        <f aca="false">S39^2</f>
        <v>0</v>
      </c>
      <c r="AZ39" s="440" t="n">
        <f aca="false">T39^2</f>
        <v>0</v>
      </c>
      <c r="BA39" s="440" t="n">
        <f aca="false">U39^2</f>
        <v>0</v>
      </c>
      <c r="BB39" s="440" t="n">
        <f aca="false">V39^2</f>
        <v>4</v>
      </c>
      <c r="BC39" s="440" t="n">
        <f aca="false">W39^2</f>
        <v>0</v>
      </c>
      <c r="BD39" s="440" t="n">
        <f aca="false">X39^2</f>
        <v>0</v>
      </c>
      <c r="BE39" s="440" t="n">
        <f aca="false">Y39^2</f>
        <v>0</v>
      </c>
      <c r="BF39" s="440" t="n">
        <f aca="false">Z39^2</f>
        <v>0</v>
      </c>
      <c r="BG39" s="440" t="n">
        <f aca="false">AA39^2</f>
        <v>0</v>
      </c>
      <c r="BH39" s="440" t="n">
        <f aca="false">AB39^2</f>
        <v>0</v>
      </c>
      <c r="BI39" s="440" t="n">
        <f aca="false">AC39^2</f>
        <v>0</v>
      </c>
      <c r="BJ39" s="440" t="n">
        <f aca="false">AD39^2</f>
        <v>4</v>
      </c>
      <c r="BK39" s="440" t="n">
        <f aca="false">AE39^2</f>
        <v>0</v>
      </c>
      <c r="BL39" s="440" t="n">
        <f aca="false">AF39^2</f>
        <v>0</v>
      </c>
      <c r="BM39" s="440" t="n">
        <f aca="false">AG39^2</f>
        <v>0</v>
      </c>
      <c r="BN39" s="440" t="n">
        <f aca="false">AH39^2</f>
        <v>0</v>
      </c>
      <c r="BO39" s="440" t="n">
        <f aca="false">AI39^2</f>
        <v>0</v>
      </c>
      <c r="BP39" s="440" t="n">
        <f aca="false">AJ39^2</f>
        <v>0</v>
      </c>
      <c r="BQ39" s="441" t="n">
        <f aca="false">-SIGN(AK39)*AK39^2</f>
        <v>1</v>
      </c>
    </row>
    <row r="40" customFormat="false" ht="12.75" hidden="false" customHeight="false" outlineLevel="0" collapsed="false">
      <c r="A40" s="45"/>
      <c r="B40" s="44"/>
      <c r="C40" s="161" t="s">
        <v>924</v>
      </c>
      <c r="D40" s="290" t="str">
        <f aca="false">IF(F40="","",IF(H40="","",ROUND(F40-0.001*298.15*(H40-SUMPRODUCT(L40:AK40*AR$13:BQ$13)),3)))</f>
        <v/>
      </c>
      <c r="E40" s="137" t="str">
        <f aca="false">IF(G40="","",IF(I40="","",ROUND(2*SQRT((0.5*G40)^2+(0.001*298.15)^2*((0.5*I40)^2+SUMPRODUCT(AR40:BQ40*AR$15:BQ$15))),3)))</f>
        <v/>
      </c>
      <c r="F40" s="291"/>
      <c r="G40" s="292"/>
      <c r="H40" s="291"/>
      <c r="I40" s="292"/>
      <c r="J40" s="10"/>
      <c r="K40" s="342" t="s">
        <v>924</v>
      </c>
      <c r="L40" s="434" t="n">
        <v>1</v>
      </c>
      <c r="M40" s="435"/>
      <c r="N40" s="435"/>
      <c r="O40" s="435"/>
      <c r="P40" s="436"/>
      <c r="Q40" s="436"/>
      <c r="R40" s="436"/>
      <c r="S40" s="436"/>
      <c r="T40" s="436"/>
      <c r="U40" s="436"/>
      <c r="V40" s="436"/>
      <c r="W40" s="436"/>
      <c r="X40" s="436"/>
      <c r="Y40" s="436"/>
      <c r="Z40" s="436"/>
      <c r="AA40" s="436"/>
      <c r="AB40" s="436"/>
      <c r="AC40" s="436"/>
      <c r="AD40" s="436"/>
      <c r="AE40" s="436"/>
      <c r="AF40" s="436"/>
      <c r="AG40" s="436"/>
      <c r="AH40" s="436"/>
      <c r="AI40" s="437"/>
      <c r="AJ40" s="436"/>
      <c r="AK40" s="438" t="n">
        <v>3</v>
      </c>
      <c r="AM40" s="38" t="s">
        <v>97</v>
      </c>
      <c r="AN40" s="443" t="n">
        <v>191.502</v>
      </c>
      <c r="AO40" s="443" t="n">
        <v>0.025</v>
      </c>
      <c r="AQ40" s="342" t="s">
        <v>924</v>
      </c>
      <c r="AR40" s="439" t="n">
        <f aca="false">L40^2</f>
        <v>1</v>
      </c>
      <c r="AS40" s="440" t="n">
        <f aca="false">M40^2</f>
        <v>0</v>
      </c>
      <c r="AT40" s="440" t="n">
        <f aca="false">N40^2</f>
        <v>0</v>
      </c>
      <c r="AU40" s="440" t="n">
        <f aca="false">O40^2</f>
        <v>0</v>
      </c>
      <c r="AV40" s="440" t="n">
        <f aca="false">P40^2</f>
        <v>0</v>
      </c>
      <c r="AW40" s="440" t="n">
        <f aca="false">Q40^2</f>
        <v>0</v>
      </c>
      <c r="AX40" s="440" t="n">
        <f aca="false">R40^2</f>
        <v>0</v>
      </c>
      <c r="AY40" s="440" t="n">
        <f aca="false">S40^2</f>
        <v>0</v>
      </c>
      <c r="AZ40" s="440" t="n">
        <f aca="false">T40^2</f>
        <v>0</v>
      </c>
      <c r="BA40" s="440" t="n">
        <f aca="false">U40^2</f>
        <v>0</v>
      </c>
      <c r="BB40" s="440" t="n">
        <f aca="false">V40^2</f>
        <v>0</v>
      </c>
      <c r="BC40" s="440" t="n">
        <f aca="false">W40^2</f>
        <v>0</v>
      </c>
      <c r="BD40" s="440" t="n">
        <f aca="false">X40^2</f>
        <v>0</v>
      </c>
      <c r="BE40" s="440" t="n">
        <f aca="false">Y40^2</f>
        <v>0</v>
      </c>
      <c r="BF40" s="440" t="n">
        <f aca="false">Z40^2</f>
        <v>0</v>
      </c>
      <c r="BG40" s="440" t="n">
        <f aca="false">AA40^2</f>
        <v>0</v>
      </c>
      <c r="BH40" s="440" t="n">
        <f aca="false">AB40^2</f>
        <v>0</v>
      </c>
      <c r="BI40" s="440" t="n">
        <f aca="false">AC40^2</f>
        <v>0</v>
      </c>
      <c r="BJ40" s="440" t="n">
        <f aca="false">AD40^2</f>
        <v>0</v>
      </c>
      <c r="BK40" s="440" t="n">
        <f aca="false">AE40^2</f>
        <v>0</v>
      </c>
      <c r="BL40" s="440" t="n">
        <f aca="false">AF40^2</f>
        <v>0</v>
      </c>
      <c r="BM40" s="440" t="n">
        <f aca="false">AG40^2</f>
        <v>0</v>
      </c>
      <c r="BN40" s="440" t="n">
        <f aca="false">AH40^2</f>
        <v>0</v>
      </c>
      <c r="BO40" s="440" t="n">
        <f aca="false">AI40^2</f>
        <v>0</v>
      </c>
      <c r="BP40" s="440" t="n">
        <f aca="false">AJ40^2</f>
        <v>0</v>
      </c>
      <c r="BQ40" s="441" t="n">
        <f aca="false">-SIGN(AK40)*AK40^2</f>
        <v>-9</v>
      </c>
    </row>
    <row r="41" customFormat="false" ht="12.75" hidden="false" customHeight="false" outlineLevel="0" collapsed="false">
      <c r="A41" s="45"/>
      <c r="B41" s="45"/>
      <c r="C41" s="161" t="s">
        <v>933</v>
      </c>
      <c r="D41" s="290" t="str">
        <f aca="false">IF(F41="","",IF(H41="","",ROUND(F41-0.001*298.15*(H41-SUMPRODUCT(L41:AK41*AR$13:BQ$13)),3)))</f>
        <v/>
      </c>
      <c r="E41" s="137" t="str">
        <f aca="false">IF(G41="","",IF(I41="","",ROUND(2*SQRT((0.5*G41)^2+(0.001*298.15)^2*((0.5*I41)^2+SUMPRODUCT(AR41:BQ41*AR$15:BQ$15))),3)))</f>
        <v/>
      </c>
      <c r="F41" s="295"/>
      <c r="G41" s="297"/>
      <c r="H41" s="295"/>
      <c r="I41" s="297"/>
      <c r="J41" s="10"/>
      <c r="K41" s="342" t="s">
        <v>933</v>
      </c>
      <c r="L41" s="445" t="n">
        <v>1</v>
      </c>
      <c r="M41" s="446"/>
      <c r="N41" s="446"/>
      <c r="O41" s="446"/>
      <c r="P41" s="436"/>
      <c r="Q41" s="436"/>
      <c r="R41" s="436"/>
      <c r="S41" s="436"/>
      <c r="T41" s="436"/>
      <c r="U41" s="436"/>
      <c r="V41" s="436"/>
      <c r="W41" s="436"/>
      <c r="X41" s="436"/>
      <c r="Y41" s="436"/>
      <c r="Z41" s="436"/>
      <c r="AA41" s="436"/>
      <c r="AB41" s="436"/>
      <c r="AC41" s="436"/>
      <c r="AD41" s="436" t="n">
        <v>2</v>
      </c>
      <c r="AE41" s="436"/>
      <c r="AF41" s="436"/>
      <c r="AG41" s="436"/>
      <c r="AH41" s="436"/>
      <c r="AI41" s="437"/>
      <c r="AJ41" s="436"/>
      <c r="AK41" s="438" t="n">
        <v>-1</v>
      </c>
      <c r="AM41" s="38" t="s">
        <v>99</v>
      </c>
      <c r="AN41" s="443" t="n">
        <v>51.3</v>
      </c>
      <c r="AO41" s="443" t="n">
        <v>0.2</v>
      </c>
      <c r="AQ41" s="342" t="s">
        <v>933</v>
      </c>
      <c r="AR41" s="439" t="n">
        <f aca="false">L41^2</f>
        <v>1</v>
      </c>
      <c r="AS41" s="440" t="n">
        <f aca="false">M41^2</f>
        <v>0</v>
      </c>
      <c r="AT41" s="440" t="n">
        <f aca="false">N41^2</f>
        <v>0</v>
      </c>
      <c r="AU41" s="440" t="n">
        <f aca="false">O41^2</f>
        <v>0</v>
      </c>
      <c r="AV41" s="440" t="n">
        <f aca="false">P41^2</f>
        <v>0</v>
      </c>
      <c r="AW41" s="440" t="n">
        <f aca="false">Q41^2</f>
        <v>0</v>
      </c>
      <c r="AX41" s="440" t="n">
        <f aca="false">R41^2</f>
        <v>0</v>
      </c>
      <c r="AY41" s="440" t="n">
        <f aca="false">S41^2</f>
        <v>0</v>
      </c>
      <c r="AZ41" s="440" t="n">
        <f aca="false">T41^2</f>
        <v>0</v>
      </c>
      <c r="BA41" s="440" t="n">
        <f aca="false">U41^2</f>
        <v>0</v>
      </c>
      <c r="BB41" s="440" t="n">
        <f aca="false">V41^2</f>
        <v>0</v>
      </c>
      <c r="BC41" s="440" t="n">
        <f aca="false">W41^2</f>
        <v>0</v>
      </c>
      <c r="BD41" s="440" t="n">
        <f aca="false">X41^2</f>
        <v>0</v>
      </c>
      <c r="BE41" s="440" t="n">
        <f aca="false">Y41^2</f>
        <v>0</v>
      </c>
      <c r="BF41" s="440" t="n">
        <f aca="false">Z41^2</f>
        <v>0</v>
      </c>
      <c r="BG41" s="440" t="n">
        <f aca="false">AA41^2</f>
        <v>0</v>
      </c>
      <c r="BH41" s="440" t="n">
        <f aca="false">AB41^2</f>
        <v>0</v>
      </c>
      <c r="BI41" s="440" t="n">
        <f aca="false">AC41^2</f>
        <v>0</v>
      </c>
      <c r="BJ41" s="440" t="n">
        <f aca="false">AD41^2</f>
        <v>4</v>
      </c>
      <c r="BK41" s="440" t="n">
        <f aca="false">AE41^2</f>
        <v>0</v>
      </c>
      <c r="BL41" s="440" t="n">
        <f aca="false">AF41^2</f>
        <v>0</v>
      </c>
      <c r="BM41" s="440" t="n">
        <f aca="false">AG41^2</f>
        <v>0</v>
      </c>
      <c r="BN41" s="440" t="n">
        <f aca="false">AH41^2</f>
        <v>0</v>
      </c>
      <c r="BO41" s="440" t="n">
        <f aca="false">AI41^2</f>
        <v>0</v>
      </c>
      <c r="BP41" s="440" t="n">
        <f aca="false">AJ41^2</f>
        <v>0</v>
      </c>
      <c r="BQ41" s="441" t="n">
        <f aca="false">-SIGN(AK41)*AK41^2</f>
        <v>1</v>
      </c>
    </row>
    <row r="42" customFormat="false" ht="12.75" hidden="false" customHeight="false" outlineLevel="0" collapsed="false">
      <c r="A42" s="45"/>
      <c r="B42" s="44"/>
      <c r="C42" s="38" t="s">
        <v>934</v>
      </c>
      <c r="D42" s="290" t="str">
        <f aca="false">IF(F42="","",IF(H42="","",ROUND(F42-0.001*298.15*(H42-SUMPRODUCT(L42:AK42*AR$13:BQ$13)),3)))</f>
        <v/>
      </c>
      <c r="E42" s="137" t="str">
        <f aca="false">IF(G42="","",IF(I42="","",ROUND(2*SQRT((0.5*G42)^2+(0.001*298.15)^2*((0.5*I42)^2+SUMPRODUCT(AR42:BQ42*AR$15:BQ$15))),3)))</f>
        <v/>
      </c>
      <c r="F42" s="291"/>
      <c r="G42" s="292"/>
      <c r="H42" s="291"/>
      <c r="I42" s="292"/>
      <c r="J42" s="10"/>
      <c r="K42" s="140" t="s">
        <v>934</v>
      </c>
      <c r="L42" s="434"/>
      <c r="M42" s="435"/>
      <c r="N42" s="435"/>
      <c r="O42" s="435"/>
      <c r="P42" s="436"/>
      <c r="Q42" s="436"/>
      <c r="R42" s="436"/>
      <c r="S42" s="436"/>
      <c r="T42" s="436"/>
      <c r="U42" s="436"/>
      <c r="V42" s="436"/>
      <c r="W42" s="436"/>
      <c r="X42" s="436"/>
      <c r="Y42" s="436"/>
      <c r="Z42" s="436"/>
      <c r="AA42" s="436"/>
      <c r="AB42" s="436"/>
      <c r="AC42" s="436" t="n">
        <v>1</v>
      </c>
      <c r="AD42" s="436"/>
      <c r="AE42" s="436"/>
      <c r="AF42" s="436"/>
      <c r="AG42" s="436"/>
      <c r="AH42" s="436"/>
      <c r="AI42" s="437"/>
      <c r="AJ42" s="436"/>
      <c r="AK42" s="438" t="n">
        <v>2</v>
      </c>
      <c r="AM42" s="31" t="s">
        <v>103</v>
      </c>
      <c r="AN42" s="444"/>
      <c r="AO42" s="443"/>
      <c r="AQ42" s="140" t="s">
        <v>934</v>
      </c>
      <c r="AR42" s="439" t="n">
        <f aca="false">L42^2</f>
        <v>0</v>
      </c>
      <c r="AS42" s="440" t="n">
        <f aca="false">M42^2</f>
        <v>0</v>
      </c>
      <c r="AT42" s="440" t="n">
        <f aca="false">N42^2</f>
        <v>0</v>
      </c>
      <c r="AU42" s="440" t="n">
        <f aca="false">O42^2</f>
        <v>0</v>
      </c>
      <c r="AV42" s="440" t="n">
        <f aca="false">P42^2</f>
        <v>0</v>
      </c>
      <c r="AW42" s="440" t="n">
        <f aca="false">Q42^2</f>
        <v>0</v>
      </c>
      <c r="AX42" s="440" t="n">
        <f aca="false">R42^2</f>
        <v>0</v>
      </c>
      <c r="AY42" s="440" t="n">
        <f aca="false">S42^2</f>
        <v>0</v>
      </c>
      <c r="AZ42" s="440" t="n">
        <f aca="false">T42^2</f>
        <v>0</v>
      </c>
      <c r="BA42" s="440" t="n">
        <f aca="false">U42^2</f>
        <v>0</v>
      </c>
      <c r="BB42" s="440" t="n">
        <f aca="false">V42^2</f>
        <v>0</v>
      </c>
      <c r="BC42" s="440" t="n">
        <f aca="false">W42^2</f>
        <v>0</v>
      </c>
      <c r="BD42" s="440" t="n">
        <f aca="false">X42^2</f>
        <v>0</v>
      </c>
      <c r="BE42" s="440" t="n">
        <f aca="false">Y42^2</f>
        <v>0</v>
      </c>
      <c r="BF42" s="440" t="n">
        <f aca="false">Z42^2</f>
        <v>0</v>
      </c>
      <c r="BG42" s="440" t="n">
        <f aca="false">AA42^2</f>
        <v>0</v>
      </c>
      <c r="BH42" s="440" t="n">
        <f aca="false">AB42^2</f>
        <v>0</v>
      </c>
      <c r="BI42" s="440" t="n">
        <f aca="false">AC42^2</f>
        <v>1</v>
      </c>
      <c r="BJ42" s="440" t="n">
        <f aca="false">AD42^2</f>
        <v>0</v>
      </c>
      <c r="BK42" s="440" t="n">
        <f aca="false">AE42^2</f>
        <v>0</v>
      </c>
      <c r="BL42" s="440" t="n">
        <f aca="false">AF42^2</f>
        <v>0</v>
      </c>
      <c r="BM42" s="440" t="n">
        <f aca="false">AG42^2</f>
        <v>0</v>
      </c>
      <c r="BN42" s="440" t="n">
        <f aca="false">AH42^2</f>
        <v>0</v>
      </c>
      <c r="BO42" s="440" t="n">
        <f aca="false">AI42^2</f>
        <v>0</v>
      </c>
      <c r="BP42" s="440" t="n">
        <f aca="false">AJ42^2</f>
        <v>0</v>
      </c>
      <c r="BQ42" s="441" t="n">
        <f aca="false">-SIGN(AK42)*AK42^2</f>
        <v>-4</v>
      </c>
    </row>
    <row r="43" customFormat="false" ht="12.75" hidden="false" customHeight="false" outlineLevel="0" collapsed="false">
      <c r="A43" s="45"/>
      <c r="B43" s="45"/>
      <c r="C43" s="161" t="s">
        <v>941</v>
      </c>
      <c r="D43" s="290" t="str">
        <f aca="false">IF(F43="","",IF(H43="","",ROUND(F43-0.001*298.15*(H43-SUMPRODUCT(L43:AK43*AR$13:BQ$13)),3)))</f>
        <v/>
      </c>
      <c r="E43" s="137" t="str">
        <f aca="false">IF(G43="","",IF(I43="","",ROUND(2*SQRT((0.5*G43)^2+(0.001*298.15)^2*((0.5*I43)^2+SUMPRODUCT(AR43:BQ43*AR$15:BQ$15))),3)))</f>
        <v/>
      </c>
      <c r="F43" s="291"/>
      <c r="G43" s="292"/>
      <c r="H43" s="291"/>
      <c r="I43" s="292"/>
      <c r="J43" s="10"/>
      <c r="K43" s="342" t="s">
        <v>941</v>
      </c>
      <c r="L43" s="434"/>
      <c r="M43" s="435"/>
      <c r="N43" s="435"/>
      <c r="O43" s="435"/>
      <c r="P43" s="436"/>
      <c r="Q43" s="436"/>
      <c r="R43" s="436"/>
      <c r="S43" s="436"/>
      <c r="T43" s="436"/>
      <c r="U43" s="436" t="n">
        <v>1</v>
      </c>
      <c r="V43" s="436"/>
      <c r="W43" s="436"/>
      <c r="X43" s="436"/>
      <c r="Y43" s="436"/>
      <c r="Z43" s="436"/>
      <c r="AA43" s="436"/>
      <c r="AB43" s="436"/>
      <c r="AC43" s="436"/>
      <c r="AD43" s="436"/>
      <c r="AE43" s="436"/>
      <c r="AF43" s="436"/>
      <c r="AG43" s="436"/>
      <c r="AH43" s="436"/>
      <c r="AI43" s="437"/>
      <c r="AJ43" s="436"/>
      <c r="AK43" s="438" t="n">
        <v>2</v>
      </c>
      <c r="AM43" s="38" t="s">
        <v>107</v>
      </c>
      <c r="AN43" s="443" t="s">
        <v>2050</v>
      </c>
      <c r="AO43" s="443" t="s">
        <v>2055</v>
      </c>
      <c r="AP43" s="631"/>
      <c r="AQ43" s="342" t="s">
        <v>941</v>
      </c>
      <c r="AR43" s="439" t="n">
        <f aca="false">L43^2</f>
        <v>0</v>
      </c>
      <c r="AS43" s="440" t="n">
        <f aca="false">M43^2</f>
        <v>0</v>
      </c>
      <c r="AT43" s="440" t="n">
        <f aca="false">N43^2</f>
        <v>0</v>
      </c>
      <c r="AU43" s="440" t="n">
        <f aca="false">O43^2</f>
        <v>0</v>
      </c>
      <c r="AV43" s="440" t="n">
        <f aca="false">P43^2</f>
        <v>0</v>
      </c>
      <c r="AW43" s="440" t="n">
        <f aca="false">Q43^2</f>
        <v>0</v>
      </c>
      <c r="AX43" s="440" t="n">
        <f aca="false">R43^2</f>
        <v>0</v>
      </c>
      <c r="AY43" s="440" t="n">
        <f aca="false">S43^2</f>
        <v>0</v>
      </c>
      <c r="AZ43" s="440" t="n">
        <f aca="false">T43^2</f>
        <v>0</v>
      </c>
      <c r="BA43" s="440" t="n">
        <f aca="false">U43^2</f>
        <v>1</v>
      </c>
      <c r="BB43" s="440" t="n">
        <f aca="false">V43^2</f>
        <v>0</v>
      </c>
      <c r="BC43" s="440" t="n">
        <f aca="false">W43^2</f>
        <v>0</v>
      </c>
      <c r="BD43" s="440" t="n">
        <f aca="false">X43^2</f>
        <v>0</v>
      </c>
      <c r="BE43" s="440" t="n">
        <f aca="false">Y43^2</f>
        <v>0</v>
      </c>
      <c r="BF43" s="440" t="n">
        <f aca="false">Z43^2</f>
        <v>0</v>
      </c>
      <c r="BG43" s="440" t="n">
        <f aca="false">AA43^2</f>
        <v>0</v>
      </c>
      <c r="BH43" s="440" t="n">
        <f aca="false">AB43^2</f>
        <v>0</v>
      </c>
      <c r="BI43" s="440" t="n">
        <f aca="false">AC43^2</f>
        <v>0</v>
      </c>
      <c r="BJ43" s="440" t="n">
        <f aca="false">AD43^2</f>
        <v>0</v>
      </c>
      <c r="BK43" s="440" t="n">
        <f aca="false">AE43^2</f>
        <v>0</v>
      </c>
      <c r="BL43" s="440" t="n">
        <f aca="false">AF43^2</f>
        <v>0</v>
      </c>
      <c r="BM43" s="440" t="n">
        <f aca="false">AG43^2</f>
        <v>0</v>
      </c>
      <c r="BN43" s="440" t="n">
        <f aca="false">AH43^2</f>
        <v>0</v>
      </c>
      <c r="BO43" s="440" t="n">
        <f aca="false">AI43^2</f>
        <v>0</v>
      </c>
      <c r="BP43" s="440" t="n">
        <f aca="false">AJ43^2</f>
        <v>0</v>
      </c>
      <c r="BQ43" s="441" t="n">
        <f aca="false">-SIGN(AK43)*AK43^2</f>
        <v>-4</v>
      </c>
    </row>
    <row r="44" customFormat="false" ht="12.75" hidden="false" customHeight="false" outlineLevel="0" collapsed="false">
      <c r="A44" s="45"/>
      <c r="B44" s="45"/>
      <c r="C44" s="161" t="s">
        <v>948</v>
      </c>
      <c r="D44" s="290" t="str">
        <f aca="false">IF(F44="","",IF(H44="","",ROUND(F44-0.001*298.15*(H44-SUMPRODUCT(L44:AK44*AR$13:BQ$13)),3)))</f>
        <v/>
      </c>
      <c r="E44" s="137" t="str">
        <f aca="false">IF(G44="","",IF(I44="","",ROUND(2*SQRT((0.5*G44)^2+(0.001*298.15)^2*((0.5*I44)^2+SUMPRODUCT(AR44:BQ44*AR$15:BQ$15))),3)))</f>
        <v/>
      </c>
      <c r="F44" s="291"/>
      <c r="G44" s="292"/>
      <c r="H44" s="291"/>
      <c r="I44" s="292"/>
      <c r="J44" s="10"/>
      <c r="K44" s="342" t="s">
        <v>948</v>
      </c>
      <c r="L44" s="434"/>
      <c r="M44" s="435"/>
      <c r="N44" s="435"/>
      <c r="O44" s="435"/>
      <c r="P44" s="436"/>
      <c r="Q44" s="436"/>
      <c r="R44" s="436"/>
      <c r="S44" s="436"/>
      <c r="T44" s="436"/>
      <c r="U44" s="436" t="n">
        <v>1</v>
      </c>
      <c r="V44" s="436"/>
      <c r="W44" s="436"/>
      <c r="X44" s="436"/>
      <c r="Y44" s="436"/>
      <c r="Z44" s="436"/>
      <c r="AA44" s="436"/>
      <c r="AB44" s="436"/>
      <c r="AC44" s="436"/>
      <c r="AD44" s="436"/>
      <c r="AE44" s="436"/>
      <c r="AF44" s="436"/>
      <c r="AG44" s="436"/>
      <c r="AH44" s="436"/>
      <c r="AI44" s="437"/>
      <c r="AJ44" s="436"/>
      <c r="AK44" s="438" t="n">
        <v>3</v>
      </c>
      <c r="AM44" s="31" t="s">
        <v>110</v>
      </c>
      <c r="AN44" s="444" t="n">
        <v>41.09</v>
      </c>
      <c r="AO44" s="443" t="n">
        <v>0.25</v>
      </c>
      <c r="AP44" s="10" t="s">
        <v>2080</v>
      </c>
      <c r="AQ44" s="342" t="s">
        <v>948</v>
      </c>
      <c r="AR44" s="439" t="n">
        <f aca="false">L44^2</f>
        <v>0</v>
      </c>
      <c r="AS44" s="440" t="n">
        <f aca="false">M44^2</f>
        <v>0</v>
      </c>
      <c r="AT44" s="440" t="n">
        <f aca="false">N44^2</f>
        <v>0</v>
      </c>
      <c r="AU44" s="440" t="n">
        <f aca="false">O44^2</f>
        <v>0</v>
      </c>
      <c r="AV44" s="440" t="n">
        <f aca="false">P44^2</f>
        <v>0</v>
      </c>
      <c r="AW44" s="440" t="n">
        <f aca="false">Q44^2</f>
        <v>0</v>
      </c>
      <c r="AX44" s="440" t="n">
        <f aca="false">R44^2</f>
        <v>0</v>
      </c>
      <c r="AY44" s="440" t="n">
        <f aca="false">S44^2</f>
        <v>0</v>
      </c>
      <c r="AZ44" s="440" t="n">
        <f aca="false">T44^2</f>
        <v>0</v>
      </c>
      <c r="BA44" s="440" t="n">
        <f aca="false">U44^2</f>
        <v>1</v>
      </c>
      <c r="BB44" s="440" t="n">
        <f aca="false">V44^2</f>
        <v>0</v>
      </c>
      <c r="BC44" s="440" t="n">
        <f aca="false">W44^2</f>
        <v>0</v>
      </c>
      <c r="BD44" s="440" t="n">
        <f aca="false">X44^2</f>
        <v>0</v>
      </c>
      <c r="BE44" s="440" t="n">
        <f aca="false">Y44^2</f>
        <v>0</v>
      </c>
      <c r="BF44" s="440" t="n">
        <f aca="false">Z44^2</f>
        <v>0</v>
      </c>
      <c r="BG44" s="440" t="n">
        <f aca="false">AA44^2</f>
        <v>0</v>
      </c>
      <c r="BH44" s="440" t="n">
        <f aca="false">AB44^2</f>
        <v>0</v>
      </c>
      <c r="BI44" s="440" t="n">
        <f aca="false">AC44^2</f>
        <v>0</v>
      </c>
      <c r="BJ44" s="440" t="n">
        <f aca="false">AD44^2</f>
        <v>0</v>
      </c>
      <c r="BK44" s="440" t="n">
        <f aca="false">AE44^2</f>
        <v>0</v>
      </c>
      <c r="BL44" s="440" t="n">
        <f aca="false">AF44^2</f>
        <v>0</v>
      </c>
      <c r="BM44" s="440" t="n">
        <f aca="false">AG44^2</f>
        <v>0</v>
      </c>
      <c r="BN44" s="440" t="n">
        <f aca="false">AH44^2</f>
        <v>0</v>
      </c>
      <c r="BO44" s="440" t="n">
        <f aca="false">AI44^2</f>
        <v>0</v>
      </c>
      <c r="BP44" s="440" t="n">
        <f aca="false">AJ44^2</f>
        <v>0</v>
      </c>
      <c r="BQ44" s="441" t="n">
        <f aca="false">-SIGN(AK44)*AK44^2</f>
        <v>-9</v>
      </c>
    </row>
    <row r="45" customFormat="false" ht="12.75" hidden="false" customHeight="false" outlineLevel="0" collapsed="false">
      <c r="A45" s="45"/>
      <c r="B45" s="45"/>
      <c r="C45" s="161" t="s">
        <v>954</v>
      </c>
      <c r="D45" s="290" t="str">
        <f aca="false">IF(F45="","",IF(H45="","",ROUND(F45-0.001*298.15*(H45-SUMPRODUCT(L45:AK45*AR$13:BQ$13)),3)))</f>
        <v/>
      </c>
      <c r="E45" s="137" t="str">
        <f aca="false">IF(G45="","",IF(I45="","",ROUND(2*SQRT((0.5*G45)^2+(0.001*298.15)^2*((0.5*I45)^2+SUMPRODUCT(AR45:BQ45*AR$15:BQ$15))),3)))</f>
        <v/>
      </c>
      <c r="F45" s="291"/>
      <c r="G45" s="292"/>
      <c r="H45" s="291"/>
      <c r="I45" s="292"/>
      <c r="J45" s="10"/>
      <c r="K45" s="342" t="s">
        <v>954</v>
      </c>
      <c r="L45" s="434"/>
      <c r="M45" s="435"/>
      <c r="N45" s="435"/>
      <c r="O45" s="435"/>
      <c r="P45" s="436"/>
      <c r="Q45" s="436"/>
      <c r="R45" s="436"/>
      <c r="S45" s="436"/>
      <c r="T45" s="436"/>
      <c r="U45" s="436"/>
      <c r="V45" s="436"/>
      <c r="W45" s="436"/>
      <c r="X45" s="436"/>
      <c r="Y45" s="436"/>
      <c r="Z45" s="436" t="n">
        <v>1</v>
      </c>
      <c r="AA45" s="436"/>
      <c r="AB45" s="436"/>
      <c r="AC45" s="436"/>
      <c r="AD45" s="436"/>
      <c r="AE45" s="436"/>
      <c r="AF45" s="436"/>
      <c r="AG45" s="436"/>
      <c r="AH45" s="436"/>
      <c r="AI45" s="437"/>
      <c r="AJ45" s="436"/>
      <c r="AK45" s="438" t="n">
        <v>2</v>
      </c>
      <c r="AM45" s="38" t="s">
        <v>119</v>
      </c>
      <c r="AN45" s="444"/>
      <c r="AO45" s="443"/>
      <c r="AQ45" s="342" t="s">
        <v>954</v>
      </c>
      <c r="AR45" s="439" t="n">
        <f aca="false">L45^2</f>
        <v>0</v>
      </c>
      <c r="AS45" s="440" t="n">
        <f aca="false">M45^2</f>
        <v>0</v>
      </c>
      <c r="AT45" s="440" t="n">
        <f aca="false">N45^2</f>
        <v>0</v>
      </c>
      <c r="AU45" s="440" t="n">
        <f aca="false">O45^2</f>
        <v>0</v>
      </c>
      <c r="AV45" s="440" t="n">
        <f aca="false">P45^2</f>
        <v>0</v>
      </c>
      <c r="AW45" s="440" t="n">
        <f aca="false">Q45^2</f>
        <v>0</v>
      </c>
      <c r="AX45" s="440" t="n">
        <f aca="false">R45^2</f>
        <v>0</v>
      </c>
      <c r="AY45" s="440" t="n">
        <f aca="false">S45^2</f>
        <v>0</v>
      </c>
      <c r="AZ45" s="440" t="n">
        <f aca="false">T45^2</f>
        <v>0</v>
      </c>
      <c r="BA45" s="440" t="n">
        <f aca="false">U45^2</f>
        <v>0</v>
      </c>
      <c r="BB45" s="440" t="n">
        <f aca="false">V45^2</f>
        <v>0</v>
      </c>
      <c r="BC45" s="440" t="n">
        <f aca="false">W45^2</f>
        <v>0</v>
      </c>
      <c r="BD45" s="440" t="n">
        <f aca="false">X45^2</f>
        <v>0</v>
      </c>
      <c r="BE45" s="440" t="n">
        <f aca="false">Y45^2</f>
        <v>0</v>
      </c>
      <c r="BF45" s="440" t="n">
        <f aca="false">Z45^2</f>
        <v>1</v>
      </c>
      <c r="BG45" s="440" t="n">
        <f aca="false">AA45^2</f>
        <v>0</v>
      </c>
      <c r="BH45" s="440" t="n">
        <f aca="false">AB45^2</f>
        <v>0</v>
      </c>
      <c r="BI45" s="440" t="n">
        <f aca="false">AC45^2</f>
        <v>0</v>
      </c>
      <c r="BJ45" s="440" t="n">
        <f aca="false">AD45^2</f>
        <v>0</v>
      </c>
      <c r="BK45" s="440" t="n">
        <f aca="false">AE45^2</f>
        <v>0</v>
      </c>
      <c r="BL45" s="440" t="n">
        <f aca="false">AF45^2</f>
        <v>0</v>
      </c>
      <c r="BM45" s="440" t="n">
        <f aca="false">AG45^2</f>
        <v>0</v>
      </c>
      <c r="BN45" s="440" t="n">
        <f aca="false">AH45^2</f>
        <v>0</v>
      </c>
      <c r="BO45" s="440" t="n">
        <f aca="false">AI45^2</f>
        <v>0</v>
      </c>
      <c r="BP45" s="440" t="n">
        <f aca="false">AJ45^2</f>
        <v>0</v>
      </c>
      <c r="BQ45" s="441" t="n">
        <f aca="false">-SIGN(AK45)*AK45^2</f>
        <v>-4</v>
      </c>
    </row>
    <row r="46" customFormat="false" ht="12.75" hidden="false" customHeight="false" outlineLevel="0" collapsed="false">
      <c r="A46" s="45"/>
      <c r="B46" s="44"/>
      <c r="C46" s="161" t="s">
        <v>963</v>
      </c>
      <c r="D46" s="290" t="n">
        <f aca="false">IF(F46="","",IF(H46="","",ROUND(F46-0.001*298.15*(H46-SUMPRODUCT(L46:AK46*AR$13:BQ$13)),3)))</f>
        <v>-552.811</v>
      </c>
      <c r="E46" s="137" t="n">
        <f aca="false">IF(G46="","",IF(I46="","",ROUND(2*SQRT((0.5*G46)^2+(0.001*298.15)^2*((0.5*I46)^2+SUMPRODUCT(AR46:BQ46*AR$15:BQ$15))),3)))</f>
        <v>0.818</v>
      </c>
      <c r="F46" s="291" t="s">
        <v>2075</v>
      </c>
      <c r="G46" s="292" t="s">
        <v>2081</v>
      </c>
      <c r="H46" s="291" t="s">
        <v>2076</v>
      </c>
      <c r="I46" s="292" t="s">
        <v>1128</v>
      </c>
      <c r="J46" s="10"/>
      <c r="K46" s="342" t="s">
        <v>963</v>
      </c>
      <c r="L46" s="434"/>
      <c r="M46" s="435"/>
      <c r="N46" s="435"/>
      <c r="O46" s="435"/>
      <c r="P46" s="436"/>
      <c r="Q46" s="436" t="n">
        <v>1</v>
      </c>
      <c r="R46" s="436"/>
      <c r="S46" s="436"/>
      <c r="T46" s="436"/>
      <c r="U46" s="436"/>
      <c r="V46" s="436"/>
      <c r="W46" s="436"/>
      <c r="X46" s="436"/>
      <c r="Y46" s="436"/>
      <c r="Z46" s="436"/>
      <c r="AA46" s="436"/>
      <c r="AB46" s="436"/>
      <c r="AC46" s="436"/>
      <c r="AD46" s="436"/>
      <c r="AE46" s="436"/>
      <c r="AF46" s="436"/>
      <c r="AG46" s="436"/>
      <c r="AH46" s="436"/>
      <c r="AI46" s="437"/>
      <c r="AJ46" s="436"/>
      <c r="AK46" s="438" t="n">
        <v>2</v>
      </c>
      <c r="AM46" s="38" t="s">
        <v>120</v>
      </c>
      <c r="AN46" s="444" t="n">
        <v>76.78</v>
      </c>
      <c r="AO46" s="443" t="n">
        <v>0.3</v>
      </c>
      <c r="AQ46" s="342" t="s">
        <v>963</v>
      </c>
      <c r="AR46" s="439" t="n">
        <f aca="false">L46^2</f>
        <v>0</v>
      </c>
      <c r="AS46" s="440" t="n">
        <f aca="false">M46^2</f>
        <v>0</v>
      </c>
      <c r="AT46" s="440" t="n">
        <f aca="false">N46^2</f>
        <v>0</v>
      </c>
      <c r="AU46" s="440" t="n">
        <f aca="false">O46^2</f>
        <v>0</v>
      </c>
      <c r="AV46" s="440" t="n">
        <f aca="false">P46^2</f>
        <v>0</v>
      </c>
      <c r="AW46" s="440" t="n">
        <f aca="false">Q46^2</f>
        <v>1</v>
      </c>
      <c r="AX46" s="440" t="n">
        <f aca="false">R46^2</f>
        <v>0</v>
      </c>
      <c r="AY46" s="440" t="n">
        <f aca="false">S46^2</f>
        <v>0</v>
      </c>
      <c r="AZ46" s="440" t="n">
        <f aca="false">T46^2</f>
        <v>0</v>
      </c>
      <c r="BA46" s="440" t="n">
        <f aca="false">U46^2</f>
        <v>0</v>
      </c>
      <c r="BB46" s="440" t="n">
        <f aca="false">V46^2</f>
        <v>0</v>
      </c>
      <c r="BC46" s="440" t="n">
        <f aca="false">W46^2</f>
        <v>0</v>
      </c>
      <c r="BD46" s="440" t="n">
        <f aca="false">X46^2</f>
        <v>0</v>
      </c>
      <c r="BE46" s="440" t="n">
        <f aca="false">Y46^2</f>
        <v>0</v>
      </c>
      <c r="BF46" s="440" t="n">
        <f aca="false">Z46^2</f>
        <v>0</v>
      </c>
      <c r="BG46" s="440" t="n">
        <f aca="false">AA46^2</f>
        <v>0</v>
      </c>
      <c r="BH46" s="440" t="n">
        <f aca="false">AB46^2</f>
        <v>0</v>
      </c>
      <c r="BI46" s="440" t="n">
        <f aca="false">AC46^2</f>
        <v>0</v>
      </c>
      <c r="BJ46" s="440" t="n">
        <f aca="false">AD46^2</f>
        <v>0</v>
      </c>
      <c r="BK46" s="440" t="n">
        <f aca="false">AE46^2</f>
        <v>0</v>
      </c>
      <c r="BL46" s="440" t="n">
        <f aca="false">AF46^2</f>
        <v>0</v>
      </c>
      <c r="BM46" s="440" t="n">
        <f aca="false">AG46^2</f>
        <v>0</v>
      </c>
      <c r="BN46" s="440" t="n">
        <f aca="false">AH46^2</f>
        <v>0</v>
      </c>
      <c r="BO46" s="440" t="n">
        <f aca="false">AI46^2</f>
        <v>0</v>
      </c>
      <c r="BP46" s="440" t="n">
        <f aca="false">AJ46^2</f>
        <v>0</v>
      </c>
      <c r="BQ46" s="441" t="n">
        <f aca="false">-SIGN(AK46)*AK46^2</f>
        <v>-4</v>
      </c>
    </row>
    <row r="47" customFormat="false" ht="12.75" hidden="false" customHeight="false" outlineLevel="0" collapsed="false">
      <c r="A47" s="45"/>
      <c r="B47" s="44"/>
      <c r="C47" s="161" t="s">
        <v>970</v>
      </c>
      <c r="D47" s="290" t="str">
        <f aca="false">IF(F47="","",IF(H47="","",ROUND(F47-0.001*298.15*(H47-SUMPRODUCT(L47:AK47*AR$13:BQ$13)),3)))</f>
        <v/>
      </c>
      <c r="E47" s="137" t="str">
        <f aca="false">IF(G47="","",IF(I47="","",ROUND(2*SQRT((0.5*G47)^2+(0.001*298.15)^2*((0.5*I47)^2+SUMPRODUCT(AR47:BQ47*AR$15:BQ$15))),3)))</f>
        <v/>
      </c>
      <c r="F47" s="291"/>
      <c r="G47" s="292"/>
      <c r="H47" s="291"/>
      <c r="I47" s="292"/>
      <c r="J47" s="10"/>
      <c r="K47" s="342" t="s">
        <v>970</v>
      </c>
      <c r="L47" s="434"/>
      <c r="M47" s="435"/>
      <c r="N47" s="435"/>
      <c r="O47" s="435"/>
      <c r="P47" s="436"/>
      <c r="Q47" s="436"/>
      <c r="R47" s="436"/>
      <c r="S47" s="436"/>
      <c r="T47" s="436"/>
      <c r="U47" s="436"/>
      <c r="V47" s="436"/>
      <c r="W47" s="436"/>
      <c r="X47" s="436"/>
      <c r="Y47" s="436"/>
      <c r="Z47" s="436"/>
      <c r="AA47" s="436"/>
      <c r="AB47" s="436"/>
      <c r="AC47" s="436"/>
      <c r="AD47" s="436"/>
      <c r="AE47" s="436"/>
      <c r="AF47" s="436"/>
      <c r="AG47" s="436"/>
      <c r="AH47" s="436"/>
      <c r="AI47" s="437"/>
      <c r="AJ47" s="436" t="n">
        <v>1</v>
      </c>
      <c r="AK47" s="438" t="n">
        <v>2</v>
      </c>
      <c r="AM47" s="38" t="s">
        <v>125</v>
      </c>
      <c r="AN47" s="444" t="n">
        <v>32.054</v>
      </c>
      <c r="AO47" s="443" t="n">
        <v>0.05</v>
      </c>
      <c r="AP47" s="10" t="s">
        <v>2080</v>
      </c>
      <c r="AQ47" s="342" t="s">
        <v>970</v>
      </c>
      <c r="AR47" s="439" t="n">
        <f aca="false">L47^2</f>
        <v>0</v>
      </c>
      <c r="AS47" s="440" t="n">
        <f aca="false">M47^2</f>
        <v>0</v>
      </c>
      <c r="AT47" s="440" t="n">
        <f aca="false">N47^2</f>
        <v>0</v>
      </c>
      <c r="AU47" s="440" t="n">
        <f aca="false">O47^2</f>
        <v>0</v>
      </c>
      <c r="AV47" s="440" t="n">
        <f aca="false">P47^2</f>
        <v>0</v>
      </c>
      <c r="AW47" s="440" t="n">
        <f aca="false">Q47^2</f>
        <v>0</v>
      </c>
      <c r="AX47" s="440" t="n">
        <f aca="false">R47^2</f>
        <v>0</v>
      </c>
      <c r="AY47" s="440" t="n">
        <f aca="false">S47^2</f>
        <v>0</v>
      </c>
      <c r="AZ47" s="440" t="n">
        <f aca="false">T47^2</f>
        <v>0</v>
      </c>
      <c r="BA47" s="440" t="n">
        <f aca="false">U47^2</f>
        <v>0</v>
      </c>
      <c r="BB47" s="440" t="n">
        <f aca="false">V47^2</f>
        <v>0</v>
      </c>
      <c r="BC47" s="440" t="n">
        <f aca="false">W47^2</f>
        <v>0</v>
      </c>
      <c r="BD47" s="440" t="n">
        <f aca="false">X47^2</f>
        <v>0</v>
      </c>
      <c r="BE47" s="440" t="n">
        <f aca="false">Y47^2</f>
        <v>0</v>
      </c>
      <c r="BF47" s="440" t="n">
        <f aca="false">Z47^2</f>
        <v>0</v>
      </c>
      <c r="BG47" s="440" t="n">
        <f aca="false">AA47^2</f>
        <v>0</v>
      </c>
      <c r="BH47" s="440" t="n">
        <f aca="false">AB47^2</f>
        <v>0</v>
      </c>
      <c r="BI47" s="440" t="n">
        <f aca="false">AC47^2</f>
        <v>0</v>
      </c>
      <c r="BJ47" s="440" t="n">
        <f aca="false">AD47^2</f>
        <v>0</v>
      </c>
      <c r="BK47" s="440" t="n">
        <f aca="false">AE47^2</f>
        <v>0</v>
      </c>
      <c r="BL47" s="440" t="n">
        <f aca="false">AF47^2</f>
        <v>0</v>
      </c>
      <c r="BM47" s="440" t="n">
        <f aca="false">AG47^2</f>
        <v>0</v>
      </c>
      <c r="BN47" s="440" t="n">
        <f aca="false">AH47^2</f>
        <v>0</v>
      </c>
      <c r="BO47" s="440" t="n">
        <f aca="false">AI47^2</f>
        <v>0</v>
      </c>
      <c r="BP47" s="440" t="n">
        <f aca="false">AJ47^2</f>
        <v>1</v>
      </c>
      <c r="BQ47" s="441" t="n">
        <f aca="false">-SIGN(AK47)*AK47^2</f>
        <v>-4</v>
      </c>
    </row>
    <row r="48" customFormat="false" ht="12.75" hidden="false" customHeight="false" outlineLevel="0" collapsed="false">
      <c r="A48" s="45"/>
      <c r="B48" s="45"/>
      <c r="C48" s="161" t="s">
        <v>975</v>
      </c>
      <c r="D48" s="290" t="str">
        <f aca="false">IF(F48="","",IF(H48="","",ROUND(F48-0.001*298.15*(H48-SUMPRODUCT(L48:AK48*AR$13:BQ$13)),3)))</f>
        <v/>
      </c>
      <c r="E48" s="137" t="str">
        <f aca="false">IF(G48="","",IF(I48="","",ROUND(2*SQRT((0.5*G48)^2+(0.001*298.15)^2*((0.5*I48)^2+SUMPRODUCT(AR48:BQ48*AR$15:BQ$15))),3)))</f>
        <v/>
      </c>
      <c r="F48" s="291"/>
      <c r="G48" s="292"/>
      <c r="H48" s="291"/>
      <c r="I48" s="292"/>
      <c r="J48" s="10"/>
      <c r="K48" s="342" t="s">
        <v>975</v>
      </c>
      <c r="L48" s="434"/>
      <c r="M48" s="435" t="n">
        <v>1</v>
      </c>
      <c r="N48" s="435"/>
      <c r="O48" s="435"/>
      <c r="P48" s="436"/>
      <c r="Q48" s="436"/>
      <c r="R48" s="436"/>
      <c r="S48" s="436"/>
      <c r="T48" s="436"/>
      <c r="U48" s="436"/>
      <c r="V48" s="436"/>
      <c r="W48" s="436"/>
      <c r="X48" s="436"/>
      <c r="Y48" s="436"/>
      <c r="Z48" s="436"/>
      <c r="AA48" s="436"/>
      <c r="AB48" s="436"/>
      <c r="AC48" s="436"/>
      <c r="AD48" s="436"/>
      <c r="AE48" s="436"/>
      <c r="AF48" s="436"/>
      <c r="AG48" s="436"/>
      <c r="AH48" s="436"/>
      <c r="AI48" s="437"/>
      <c r="AJ48" s="436"/>
      <c r="AK48" s="438" t="n">
        <v>2</v>
      </c>
      <c r="AM48" s="31" t="s">
        <v>129</v>
      </c>
      <c r="AN48" s="444" t="n">
        <v>18.81</v>
      </c>
      <c r="AO48" s="443" t="n">
        <v>0.08</v>
      </c>
      <c r="AQ48" s="342" t="s">
        <v>975</v>
      </c>
      <c r="AR48" s="439" t="n">
        <f aca="false">L48^2</f>
        <v>0</v>
      </c>
      <c r="AS48" s="440" t="n">
        <f aca="false">M48^2</f>
        <v>1</v>
      </c>
      <c r="AT48" s="440" t="n">
        <f aca="false">N48^2</f>
        <v>0</v>
      </c>
      <c r="AU48" s="440" t="n">
        <f aca="false">O48^2</f>
        <v>0</v>
      </c>
      <c r="AV48" s="440" t="n">
        <f aca="false">P48^2</f>
        <v>0</v>
      </c>
      <c r="AW48" s="440" t="n">
        <f aca="false">Q48^2</f>
        <v>0</v>
      </c>
      <c r="AX48" s="440" t="n">
        <f aca="false">R48^2</f>
        <v>0</v>
      </c>
      <c r="AY48" s="440" t="n">
        <f aca="false">S48^2</f>
        <v>0</v>
      </c>
      <c r="AZ48" s="440" t="n">
        <f aca="false">T48^2</f>
        <v>0</v>
      </c>
      <c r="BA48" s="440" t="n">
        <f aca="false">U48^2</f>
        <v>0</v>
      </c>
      <c r="BB48" s="440" t="n">
        <f aca="false">V48^2</f>
        <v>0</v>
      </c>
      <c r="BC48" s="440" t="n">
        <f aca="false">W48^2</f>
        <v>0</v>
      </c>
      <c r="BD48" s="440" t="n">
        <f aca="false">X48^2</f>
        <v>0</v>
      </c>
      <c r="BE48" s="440" t="n">
        <f aca="false">Y48^2</f>
        <v>0</v>
      </c>
      <c r="BF48" s="440" t="n">
        <f aca="false">Z48^2</f>
        <v>0</v>
      </c>
      <c r="BG48" s="440" t="n">
        <f aca="false">AA48^2</f>
        <v>0</v>
      </c>
      <c r="BH48" s="440" t="n">
        <f aca="false">AB48^2</f>
        <v>0</v>
      </c>
      <c r="BI48" s="440" t="n">
        <f aca="false">AC48^2</f>
        <v>0</v>
      </c>
      <c r="BJ48" s="440" t="n">
        <f aca="false">AD48^2</f>
        <v>0</v>
      </c>
      <c r="BK48" s="440" t="n">
        <f aca="false">AE48^2</f>
        <v>0</v>
      </c>
      <c r="BL48" s="440" t="n">
        <f aca="false">AF48^2</f>
        <v>0</v>
      </c>
      <c r="BM48" s="440" t="n">
        <f aca="false">AG48^2</f>
        <v>0</v>
      </c>
      <c r="BN48" s="440" t="n">
        <f aca="false">AH48^2</f>
        <v>0</v>
      </c>
      <c r="BO48" s="440" t="n">
        <f aca="false">AI48^2</f>
        <v>0</v>
      </c>
      <c r="BP48" s="440" t="n">
        <f aca="false">AJ48^2</f>
        <v>0</v>
      </c>
      <c r="BQ48" s="441" t="n">
        <f aca="false">-SIGN(AK48)*AK48^2</f>
        <v>-4</v>
      </c>
    </row>
    <row r="49" customFormat="false" ht="12.75" hidden="false" customHeight="false" outlineLevel="0" collapsed="false">
      <c r="A49" s="45"/>
      <c r="B49" s="45"/>
      <c r="C49" s="161" t="s">
        <v>981</v>
      </c>
      <c r="D49" s="290" t="str">
        <f aca="false">IF(F49="","",IF(H49="","",ROUND(F49-0.001*298.15*(H49-SUMPRODUCT(L49:AK49*AR$13:BQ$13)),3)))</f>
        <v/>
      </c>
      <c r="E49" s="137" t="str">
        <f aca="false">IF(G49="","",IF(I49="","",ROUND(2*SQRT((0.5*G49)^2+(0.001*298.15)^2*((0.5*I49)^2+SUMPRODUCT(AR49:BQ49*AR$15:BQ$15))),3)))</f>
        <v/>
      </c>
      <c r="F49" s="295"/>
      <c r="G49" s="297"/>
      <c r="H49" s="295"/>
      <c r="I49" s="297"/>
      <c r="J49" s="10"/>
      <c r="K49" s="342" t="s">
        <v>981</v>
      </c>
      <c r="L49" s="445"/>
      <c r="M49" s="446"/>
      <c r="N49" s="446"/>
      <c r="O49" s="446"/>
      <c r="P49" s="436"/>
      <c r="Q49" s="436"/>
      <c r="R49" s="436"/>
      <c r="S49" s="436"/>
      <c r="T49" s="436"/>
      <c r="U49" s="436"/>
      <c r="V49" s="436"/>
      <c r="W49" s="436"/>
      <c r="X49" s="436"/>
      <c r="Y49" s="436"/>
      <c r="Z49" s="436"/>
      <c r="AA49" s="436"/>
      <c r="AB49" s="436"/>
      <c r="AC49" s="436"/>
      <c r="AD49" s="436"/>
      <c r="AE49" s="436"/>
      <c r="AF49" s="436" t="n">
        <v>1</v>
      </c>
      <c r="AG49" s="436"/>
      <c r="AH49" s="436"/>
      <c r="AI49" s="437"/>
      <c r="AJ49" s="436"/>
      <c r="AK49" s="438" t="n">
        <v>2</v>
      </c>
      <c r="AM49" s="38" t="s">
        <v>132</v>
      </c>
      <c r="AN49" s="444"/>
      <c r="AO49" s="443"/>
      <c r="AQ49" s="342" t="s">
        <v>981</v>
      </c>
      <c r="AR49" s="439" t="n">
        <f aca="false">L49^2</f>
        <v>0</v>
      </c>
      <c r="AS49" s="440" t="n">
        <f aca="false">M49^2</f>
        <v>0</v>
      </c>
      <c r="AT49" s="440" t="n">
        <f aca="false">N49^2</f>
        <v>0</v>
      </c>
      <c r="AU49" s="440" t="n">
        <f aca="false">O49^2</f>
        <v>0</v>
      </c>
      <c r="AV49" s="440" t="n">
        <f aca="false">P49^2</f>
        <v>0</v>
      </c>
      <c r="AW49" s="440" t="n">
        <f aca="false">Q49^2</f>
        <v>0</v>
      </c>
      <c r="AX49" s="440" t="n">
        <f aca="false">R49^2</f>
        <v>0</v>
      </c>
      <c r="AY49" s="440" t="n">
        <f aca="false">S49^2</f>
        <v>0</v>
      </c>
      <c r="AZ49" s="440" t="n">
        <f aca="false">T49^2</f>
        <v>0</v>
      </c>
      <c r="BA49" s="440" t="n">
        <f aca="false">U49^2</f>
        <v>0</v>
      </c>
      <c r="BB49" s="440" t="n">
        <f aca="false">V49^2</f>
        <v>0</v>
      </c>
      <c r="BC49" s="440" t="n">
        <f aca="false">W49^2</f>
        <v>0</v>
      </c>
      <c r="BD49" s="440" t="n">
        <f aca="false">X49^2</f>
        <v>0</v>
      </c>
      <c r="BE49" s="440" t="n">
        <f aca="false">Y49^2</f>
        <v>0</v>
      </c>
      <c r="BF49" s="440" t="n">
        <f aca="false">Z49^2</f>
        <v>0</v>
      </c>
      <c r="BG49" s="440" t="n">
        <f aca="false">AA49^2</f>
        <v>0</v>
      </c>
      <c r="BH49" s="440" t="n">
        <f aca="false">AB49^2</f>
        <v>0</v>
      </c>
      <c r="BI49" s="440" t="n">
        <f aca="false">AC49^2</f>
        <v>0</v>
      </c>
      <c r="BJ49" s="440" t="n">
        <f aca="false">AD49^2</f>
        <v>0</v>
      </c>
      <c r="BK49" s="440" t="n">
        <f aca="false">AE49^2</f>
        <v>0</v>
      </c>
      <c r="BL49" s="440" t="n">
        <f aca="false">AF49^2</f>
        <v>1</v>
      </c>
      <c r="BM49" s="440" t="n">
        <f aca="false">AG49^2</f>
        <v>0</v>
      </c>
      <c r="BN49" s="440" t="n">
        <f aca="false">AH49^2</f>
        <v>0</v>
      </c>
      <c r="BO49" s="440" t="n">
        <f aca="false">AI49^2</f>
        <v>0</v>
      </c>
      <c r="BP49" s="440" t="n">
        <f aca="false">AJ49^2</f>
        <v>0</v>
      </c>
      <c r="BQ49" s="441" t="n">
        <f aca="false">-SIGN(AK49)*AK49^2</f>
        <v>-4</v>
      </c>
    </row>
    <row r="50" customFormat="false" ht="12.75" hidden="false" customHeight="false" outlineLevel="0" collapsed="false">
      <c r="A50" s="45"/>
      <c r="B50" s="44"/>
      <c r="C50" s="161" t="s">
        <v>982</v>
      </c>
      <c r="D50" s="290" t="n">
        <f aca="false">IF(F50="","",IF(H50="","",ROUND(F50-0.001*298.15*(H50-SUMPRODUCT(L50:AK50*AR$13:BQ$13)),3)))</f>
        <v>-292.607</v>
      </c>
      <c r="E50" s="137" t="n">
        <f aca="false">IF(G50="","",IF(I50="","",ROUND(2*SQRT((0.5*G50)^2+(0.001*298.15)^2*((0.5*I50)^2+SUMPRODUCT(AR50:BQ50*AR$15:BQ$15))),3)))</f>
        <v>0.15</v>
      </c>
      <c r="F50" s="291" t="s">
        <v>1630</v>
      </c>
      <c r="G50" s="292" t="s">
        <v>2064</v>
      </c>
      <c r="H50" s="291" t="s">
        <v>1631</v>
      </c>
      <c r="I50" s="292" t="s">
        <v>2065</v>
      </c>
      <c r="J50" s="10"/>
      <c r="K50" s="342" t="s">
        <v>982</v>
      </c>
      <c r="L50" s="434"/>
      <c r="M50" s="435"/>
      <c r="N50" s="435"/>
      <c r="O50" s="435"/>
      <c r="P50" s="436"/>
      <c r="Q50" s="436"/>
      <c r="R50" s="436"/>
      <c r="S50" s="436"/>
      <c r="T50" s="436"/>
      <c r="U50" s="436"/>
      <c r="V50" s="436"/>
      <c r="W50" s="436"/>
      <c r="X50" s="436"/>
      <c r="Y50" s="436" t="n">
        <v>1</v>
      </c>
      <c r="Z50" s="436"/>
      <c r="AA50" s="436"/>
      <c r="AB50" s="436"/>
      <c r="AC50" s="436"/>
      <c r="AD50" s="436"/>
      <c r="AE50" s="436"/>
      <c r="AF50" s="436"/>
      <c r="AG50" s="436"/>
      <c r="AH50" s="436"/>
      <c r="AI50" s="437"/>
      <c r="AJ50" s="436"/>
      <c r="AK50" s="438" t="n">
        <v>1</v>
      </c>
      <c r="AQ50" s="342" t="s">
        <v>982</v>
      </c>
      <c r="AR50" s="439" t="n">
        <f aca="false">L50^2</f>
        <v>0</v>
      </c>
      <c r="AS50" s="440" t="n">
        <f aca="false">M50^2</f>
        <v>0</v>
      </c>
      <c r="AT50" s="440" t="n">
        <f aca="false">N50^2</f>
        <v>0</v>
      </c>
      <c r="AU50" s="440" t="n">
        <f aca="false">O50^2</f>
        <v>0</v>
      </c>
      <c r="AV50" s="440" t="n">
        <f aca="false">P50^2</f>
        <v>0</v>
      </c>
      <c r="AW50" s="440" t="n">
        <f aca="false">Q50^2</f>
        <v>0</v>
      </c>
      <c r="AX50" s="440" t="n">
        <f aca="false">R50^2</f>
        <v>0</v>
      </c>
      <c r="AY50" s="440" t="n">
        <f aca="false">S50^2</f>
        <v>0</v>
      </c>
      <c r="AZ50" s="440" t="n">
        <f aca="false">T50^2</f>
        <v>0</v>
      </c>
      <c r="BA50" s="440" t="n">
        <f aca="false">U50^2</f>
        <v>0</v>
      </c>
      <c r="BB50" s="440" t="n">
        <f aca="false">V50^2</f>
        <v>0</v>
      </c>
      <c r="BC50" s="440" t="n">
        <f aca="false">W50^2</f>
        <v>0</v>
      </c>
      <c r="BD50" s="440" t="n">
        <f aca="false">X50^2</f>
        <v>0</v>
      </c>
      <c r="BE50" s="440" t="n">
        <f aca="false">Y50^2</f>
        <v>1</v>
      </c>
      <c r="BF50" s="440" t="n">
        <f aca="false">Z50^2</f>
        <v>0</v>
      </c>
      <c r="BG50" s="440" t="n">
        <f aca="false">AA50^2</f>
        <v>0</v>
      </c>
      <c r="BH50" s="440" t="n">
        <f aca="false">AB50^2</f>
        <v>0</v>
      </c>
      <c r="BI50" s="440" t="n">
        <f aca="false">AC50^2</f>
        <v>0</v>
      </c>
      <c r="BJ50" s="440" t="n">
        <f aca="false">AD50^2</f>
        <v>0</v>
      </c>
      <c r="BK50" s="440" t="n">
        <f aca="false">AE50^2</f>
        <v>0</v>
      </c>
      <c r="BL50" s="440" t="n">
        <f aca="false">AF50^2</f>
        <v>0</v>
      </c>
      <c r="BM50" s="440" t="n">
        <f aca="false">AG50^2</f>
        <v>0</v>
      </c>
      <c r="BN50" s="440" t="n">
        <f aca="false">AH50^2</f>
        <v>0</v>
      </c>
      <c r="BO50" s="440" t="n">
        <f aca="false">AI50^2</f>
        <v>0</v>
      </c>
      <c r="BP50" s="440" t="n">
        <f aca="false">AJ50^2</f>
        <v>0</v>
      </c>
      <c r="BQ50" s="441" t="n">
        <f aca="false">-SIGN(AK50)*AK50^2</f>
        <v>-1</v>
      </c>
    </row>
    <row r="51" customFormat="false" ht="12.75" hidden="false" customHeight="false" outlineLevel="0" collapsed="false">
      <c r="A51" s="45"/>
      <c r="B51" s="44"/>
      <c r="C51" s="161" t="s">
        <v>989</v>
      </c>
      <c r="D51" s="290" t="n">
        <f aca="false">IF(F51="","",IF(H51="","",ROUND(F51-0.001*298.15*(H51-SUMPRODUCT(L51:AK51*AR$13:BQ$13)),3)))</f>
        <v>-261.885</v>
      </c>
      <c r="E51" s="137" t="n">
        <f aca="false">IF(G51="","",IF(I51="","",ROUND(2*SQRT((0.5*G51)^2+(0.001*298.15)^2*((0.5*I51)^2+SUMPRODUCT(AR51:BQ51*AR$15:BQ$15))),3)))</f>
        <v>0.106</v>
      </c>
      <c r="F51" s="291" t="s">
        <v>1636</v>
      </c>
      <c r="G51" s="292" t="s">
        <v>2066</v>
      </c>
      <c r="H51" s="291" t="s">
        <v>1637</v>
      </c>
      <c r="I51" s="292" t="s">
        <v>728</v>
      </c>
      <c r="K51" s="342" t="s">
        <v>989</v>
      </c>
      <c r="L51" s="434"/>
      <c r="M51" s="435"/>
      <c r="N51" s="435"/>
      <c r="O51" s="435"/>
      <c r="P51" s="436"/>
      <c r="Q51" s="436"/>
      <c r="R51" s="436"/>
      <c r="S51" s="436"/>
      <c r="T51" s="436"/>
      <c r="U51" s="436"/>
      <c r="V51" s="436"/>
      <c r="W51" s="436"/>
      <c r="X51" s="436"/>
      <c r="Y51" s="436"/>
      <c r="Z51" s="436"/>
      <c r="AA51" s="436"/>
      <c r="AB51" s="436" t="n">
        <v>1</v>
      </c>
      <c r="AC51" s="436"/>
      <c r="AD51" s="436"/>
      <c r="AE51" s="436"/>
      <c r="AF51" s="436"/>
      <c r="AG51" s="436"/>
      <c r="AH51" s="436"/>
      <c r="AI51" s="437"/>
      <c r="AJ51" s="436"/>
      <c r="AK51" s="438" t="n">
        <v>1</v>
      </c>
      <c r="AQ51" s="342" t="s">
        <v>989</v>
      </c>
      <c r="AR51" s="439" t="n">
        <f aca="false">L51^2</f>
        <v>0</v>
      </c>
      <c r="AS51" s="440" t="n">
        <f aca="false">M51^2</f>
        <v>0</v>
      </c>
      <c r="AT51" s="440" t="n">
        <f aca="false">N51^2</f>
        <v>0</v>
      </c>
      <c r="AU51" s="440" t="n">
        <f aca="false">O51^2</f>
        <v>0</v>
      </c>
      <c r="AV51" s="440" t="n">
        <f aca="false">P51^2</f>
        <v>0</v>
      </c>
      <c r="AW51" s="440" t="n">
        <f aca="false">Q51^2</f>
        <v>0</v>
      </c>
      <c r="AX51" s="440" t="n">
        <f aca="false">R51^2</f>
        <v>0</v>
      </c>
      <c r="AY51" s="440" t="n">
        <f aca="false">S51^2</f>
        <v>0</v>
      </c>
      <c r="AZ51" s="440" t="n">
        <f aca="false">T51^2</f>
        <v>0</v>
      </c>
      <c r="BA51" s="440" t="n">
        <f aca="false">U51^2</f>
        <v>0</v>
      </c>
      <c r="BB51" s="440" t="n">
        <f aca="false">V51^2</f>
        <v>0</v>
      </c>
      <c r="BC51" s="440" t="n">
        <f aca="false">W51^2</f>
        <v>0</v>
      </c>
      <c r="BD51" s="440" t="n">
        <f aca="false">X51^2</f>
        <v>0</v>
      </c>
      <c r="BE51" s="440" t="n">
        <f aca="false">Y51^2</f>
        <v>0</v>
      </c>
      <c r="BF51" s="440" t="n">
        <f aca="false">Z51^2</f>
        <v>0</v>
      </c>
      <c r="BG51" s="440" t="n">
        <f aca="false">AA51^2</f>
        <v>0</v>
      </c>
      <c r="BH51" s="440" t="n">
        <f aca="false">AB51^2</f>
        <v>1</v>
      </c>
      <c r="BI51" s="440" t="n">
        <f aca="false">AC51^2</f>
        <v>0</v>
      </c>
      <c r="BJ51" s="440" t="n">
        <f aca="false">AD51^2</f>
        <v>0</v>
      </c>
      <c r="BK51" s="440" t="n">
        <f aca="false">AE51^2</f>
        <v>0</v>
      </c>
      <c r="BL51" s="440" t="n">
        <f aca="false">AF51^2</f>
        <v>0</v>
      </c>
      <c r="BM51" s="440" t="n">
        <f aca="false">AG51^2</f>
        <v>0</v>
      </c>
      <c r="BN51" s="440" t="n">
        <f aca="false">AH51^2</f>
        <v>0</v>
      </c>
      <c r="BO51" s="440" t="n">
        <f aca="false">AI51^2</f>
        <v>0</v>
      </c>
      <c r="BP51" s="440" t="n">
        <f aca="false">AJ51^2</f>
        <v>0</v>
      </c>
      <c r="BQ51" s="441" t="n">
        <f aca="false">-SIGN(AK51)*AK51^2</f>
        <v>-1</v>
      </c>
    </row>
    <row r="52" customFormat="false" ht="12.75" hidden="false" customHeight="false" outlineLevel="0" collapsed="false">
      <c r="A52" s="45"/>
      <c r="B52" s="44"/>
      <c r="C52" s="299" t="s">
        <v>998</v>
      </c>
      <c r="D52" s="290" t="n">
        <f aca="false">IF(F52="","",IF(H52="","",ROUND(F52-0.001*298.15*(H52-SUMPRODUCT(L52:AK52*AR$13:BQ$13)),3)))</f>
        <v>-282.475</v>
      </c>
      <c r="E52" s="137" t="n">
        <f aca="false">IF(G52="","",IF(I52="","",ROUND(2*SQRT((0.5*G52)^2+(0.001*298.15)^2*((0.5*I52)^2+SUMPRODUCT(AR52:BQ52*AR$15:BQ$15))),3)))</f>
        <v>0.138</v>
      </c>
      <c r="F52" s="300" t="s">
        <v>2048</v>
      </c>
      <c r="G52" s="301" t="s">
        <v>730</v>
      </c>
      <c r="H52" s="300" t="s">
        <v>1643</v>
      </c>
      <c r="I52" s="301" t="s">
        <v>761</v>
      </c>
      <c r="K52" s="353" t="s">
        <v>998</v>
      </c>
      <c r="L52" s="434"/>
      <c r="M52" s="435"/>
      <c r="N52" s="435"/>
      <c r="O52" s="435"/>
      <c r="P52" s="436"/>
      <c r="Q52" s="436"/>
      <c r="R52" s="436"/>
      <c r="S52" s="436"/>
      <c r="T52" s="436"/>
      <c r="U52" s="436"/>
      <c r="V52" s="436"/>
      <c r="W52" s="436"/>
      <c r="X52" s="436" t="n">
        <v>1</v>
      </c>
      <c r="Y52" s="436"/>
      <c r="Z52" s="436"/>
      <c r="AA52" s="436"/>
      <c r="AB52" s="436"/>
      <c r="AC52" s="436"/>
      <c r="AD52" s="436"/>
      <c r="AE52" s="436"/>
      <c r="AF52" s="436"/>
      <c r="AG52" s="436"/>
      <c r="AH52" s="436"/>
      <c r="AI52" s="437"/>
      <c r="AJ52" s="436"/>
      <c r="AK52" s="438" t="n">
        <v>1</v>
      </c>
      <c r="AQ52" s="353" t="s">
        <v>998</v>
      </c>
      <c r="AR52" s="439" t="n">
        <f aca="false">L52^2</f>
        <v>0</v>
      </c>
      <c r="AS52" s="440" t="n">
        <f aca="false">M52^2</f>
        <v>0</v>
      </c>
      <c r="AT52" s="440" t="n">
        <f aca="false">N52^2</f>
        <v>0</v>
      </c>
      <c r="AU52" s="440" t="n">
        <f aca="false">O52^2</f>
        <v>0</v>
      </c>
      <c r="AV52" s="440" t="n">
        <f aca="false">P52^2</f>
        <v>0</v>
      </c>
      <c r="AW52" s="440" t="n">
        <f aca="false">Q52^2</f>
        <v>0</v>
      </c>
      <c r="AX52" s="440" t="n">
        <f aca="false">R52^2</f>
        <v>0</v>
      </c>
      <c r="AY52" s="440" t="n">
        <f aca="false">S52^2</f>
        <v>0</v>
      </c>
      <c r="AZ52" s="440" t="n">
        <f aca="false">T52^2</f>
        <v>0</v>
      </c>
      <c r="BA52" s="440" t="n">
        <f aca="false">U52^2</f>
        <v>0</v>
      </c>
      <c r="BB52" s="440" t="n">
        <f aca="false">V52^2</f>
        <v>0</v>
      </c>
      <c r="BC52" s="440" t="n">
        <f aca="false">W52^2</f>
        <v>0</v>
      </c>
      <c r="BD52" s="440" t="n">
        <f aca="false">X52^2</f>
        <v>1</v>
      </c>
      <c r="BE52" s="440" t="n">
        <f aca="false">Y52^2</f>
        <v>0</v>
      </c>
      <c r="BF52" s="440" t="n">
        <f aca="false">Z52^2</f>
        <v>0</v>
      </c>
      <c r="BG52" s="440" t="n">
        <f aca="false">AA52^2</f>
        <v>0</v>
      </c>
      <c r="BH52" s="440" t="n">
        <f aca="false">AB52^2</f>
        <v>0</v>
      </c>
      <c r="BI52" s="440" t="n">
        <f aca="false">AC52^2</f>
        <v>0</v>
      </c>
      <c r="BJ52" s="440" t="n">
        <f aca="false">AD52^2</f>
        <v>0</v>
      </c>
      <c r="BK52" s="440" t="n">
        <f aca="false">AE52^2</f>
        <v>0</v>
      </c>
      <c r="BL52" s="440" t="n">
        <f aca="false">AF52^2</f>
        <v>0</v>
      </c>
      <c r="BM52" s="440" t="n">
        <f aca="false">AG52^2</f>
        <v>0</v>
      </c>
      <c r="BN52" s="440" t="n">
        <f aca="false">AH52^2</f>
        <v>0</v>
      </c>
      <c r="BO52" s="440" t="n">
        <f aca="false">AI52^2</f>
        <v>0</v>
      </c>
      <c r="BP52" s="440" t="n">
        <f aca="false">AJ52^2</f>
        <v>0</v>
      </c>
      <c r="BQ52" s="441" t="n">
        <f aca="false">-SIGN(AK52)*AK52^2</f>
        <v>-1</v>
      </c>
    </row>
    <row r="53" customFormat="false" ht="12.75" hidden="false" customHeight="false" outlineLevel="0" collapsed="false">
      <c r="A53" s="45"/>
      <c r="B53" s="44"/>
      <c r="C53" s="299" t="s">
        <v>1005</v>
      </c>
      <c r="D53" s="290" t="n">
        <f aca="false">IF(F53="","",IF(H53="","",ROUND(F53-0.001*298.15*(H53-SUMPRODUCT(L53:AK53*AR$13:BQ$13)),3)))</f>
        <v>-283.608</v>
      </c>
      <c r="E53" s="137" t="n">
        <f aca="false">IF(G53="","",IF(I53="","",ROUND(2*SQRT((0.5*G53)^2+(0.001*298.15)^2*((0.5*I53)^2+SUMPRODUCT(AR53:BQ53*AR$15:BQ$15))),3)))</f>
        <v>0.198</v>
      </c>
      <c r="F53" s="291" t="s">
        <v>1006</v>
      </c>
      <c r="G53" s="292" t="s">
        <v>1033</v>
      </c>
      <c r="H53" s="291" t="s">
        <v>1647</v>
      </c>
      <c r="I53" s="292" t="s">
        <v>742</v>
      </c>
      <c r="K53" s="353" t="s">
        <v>1005</v>
      </c>
      <c r="L53" s="434"/>
      <c r="M53" s="435"/>
      <c r="N53" s="435"/>
      <c r="O53" s="435"/>
      <c r="P53" s="436"/>
      <c r="Q53" s="436"/>
      <c r="R53" s="436"/>
      <c r="S53" s="436"/>
      <c r="T53" s="436"/>
      <c r="U53" s="436"/>
      <c r="V53" s="436"/>
      <c r="W53" s="436"/>
      <c r="X53" s="436"/>
      <c r="Y53" s="436"/>
      <c r="Z53" s="436"/>
      <c r="AA53" s="436"/>
      <c r="AB53" s="436"/>
      <c r="AC53" s="436"/>
      <c r="AD53" s="436"/>
      <c r="AE53" s="436"/>
      <c r="AF53" s="436"/>
      <c r="AG53" s="436" t="n">
        <v>1</v>
      </c>
      <c r="AH53" s="436"/>
      <c r="AI53" s="437"/>
      <c r="AJ53" s="436"/>
      <c r="AK53" s="438" t="n">
        <v>1</v>
      </c>
      <c r="AQ53" s="353" t="s">
        <v>1005</v>
      </c>
      <c r="AR53" s="439" t="n">
        <f aca="false">L53^2</f>
        <v>0</v>
      </c>
      <c r="AS53" s="440" t="n">
        <f aca="false">M53^2</f>
        <v>0</v>
      </c>
      <c r="AT53" s="440" t="n">
        <f aca="false">N53^2</f>
        <v>0</v>
      </c>
      <c r="AU53" s="440" t="n">
        <f aca="false">O53^2</f>
        <v>0</v>
      </c>
      <c r="AV53" s="440" t="n">
        <f aca="false">P53^2</f>
        <v>0</v>
      </c>
      <c r="AW53" s="440" t="n">
        <f aca="false">Q53^2</f>
        <v>0</v>
      </c>
      <c r="AX53" s="440" t="n">
        <f aca="false">R53^2</f>
        <v>0</v>
      </c>
      <c r="AY53" s="440" t="n">
        <f aca="false">S53^2</f>
        <v>0</v>
      </c>
      <c r="AZ53" s="440" t="n">
        <f aca="false">T53^2</f>
        <v>0</v>
      </c>
      <c r="BA53" s="440" t="n">
        <f aca="false">U53^2</f>
        <v>0</v>
      </c>
      <c r="BB53" s="440" t="n">
        <f aca="false">V53^2</f>
        <v>0</v>
      </c>
      <c r="BC53" s="440" t="n">
        <f aca="false">W53^2</f>
        <v>0</v>
      </c>
      <c r="BD53" s="440" t="n">
        <f aca="false">X53^2</f>
        <v>0</v>
      </c>
      <c r="BE53" s="440" t="n">
        <f aca="false">Y53^2</f>
        <v>0</v>
      </c>
      <c r="BF53" s="440" t="n">
        <f aca="false">Z53^2</f>
        <v>0</v>
      </c>
      <c r="BG53" s="440" t="n">
        <f aca="false">AA53^2</f>
        <v>0</v>
      </c>
      <c r="BH53" s="440" t="n">
        <f aca="false">AB53^2</f>
        <v>0</v>
      </c>
      <c r="BI53" s="440" t="n">
        <f aca="false">AC53^2</f>
        <v>0</v>
      </c>
      <c r="BJ53" s="440" t="n">
        <f aca="false">AD53^2</f>
        <v>0</v>
      </c>
      <c r="BK53" s="440" t="n">
        <f aca="false">AE53^2</f>
        <v>0</v>
      </c>
      <c r="BL53" s="440" t="n">
        <f aca="false">AF53^2</f>
        <v>0</v>
      </c>
      <c r="BM53" s="440" t="n">
        <f aca="false">AG53^2</f>
        <v>1</v>
      </c>
      <c r="BN53" s="440" t="n">
        <f aca="false">AH53^2</f>
        <v>0</v>
      </c>
      <c r="BO53" s="440" t="n">
        <f aca="false">AI53^2</f>
        <v>0</v>
      </c>
      <c r="BP53" s="440" t="n">
        <f aca="false">AJ53^2</f>
        <v>0</v>
      </c>
      <c r="BQ53" s="441" t="n">
        <f aca="false">-SIGN(AK53)*AK53^2</f>
        <v>-1</v>
      </c>
    </row>
    <row r="54" customFormat="false" ht="13.5" hidden="false" customHeight="false" outlineLevel="0" collapsed="false">
      <c r="A54" s="45"/>
      <c r="B54" s="44"/>
      <c r="C54" s="304" t="s">
        <v>1012</v>
      </c>
      <c r="D54" s="305" t="n">
        <f aca="false">IF(F54="","",IF(H54="","",ROUND(F54-0.001*298.15*(H54-SUMPRODUCT(L54:AK54*AR$13:BQ$13)),3)))</f>
        <v>-291.7</v>
      </c>
      <c r="E54" s="145" t="n">
        <f aca="false">IF(G54="","",IF(I54="","",ROUND(2*SQRT((0.5*G54)^2+(0.001*298.15)^2*((0.5*I54)^2+SUMPRODUCT(AR54:BQ54*AR$15:BQ$15))),3)))</f>
        <v>0.213</v>
      </c>
      <c r="F54" s="306" t="s">
        <v>2049</v>
      </c>
      <c r="G54" s="307" t="s">
        <v>1033</v>
      </c>
      <c r="H54" s="306" t="s">
        <v>1650</v>
      </c>
      <c r="I54" s="307" t="s">
        <v>742</v>
      </c>
      <c r="K54" s="374" t="s">
        <v>1012</v>
      </c>
      <c r="L54" s="447"/>
      <c r="M54" s="448"/>
      <c r="N54" s="448"/>
      <c r="O54" s="448"/>
      <c r="P54" s="449"/>
      <c r="Q54" s="449"/>
      <c r="R54" s="449"/>
      <c r="S54" s="449" t="n">
        <v>1</v>
      </c>
      <c r="T54" s="449"/>
      <c r="U54" s="449"/>
      <c r="V54" s="449"/>
      <c r="W54" s="449"/>
      <c r="X54" s="449"/>
      <c r="Y54" s="449"/>
      <c r="Z54" s="449"/>
      <c r="AA54" s="449"/>
      <c r="AB54" s="449"/>
      <c r="AC54" s="449"/>
      <c r="AD54" s="449"/>
      <c r="AE54" s="449"/>
      <c r="AF54" s="449"/>
      <c r="AG54" s="449"/>
      <c r="AH54" s="449"/>
      <c r="AI54" s="450"/>
      <c r="AJ54" s="449"/>
      <c r="AK54" s="451" t="n">
        <v>1</v>
      </c>
      <c r="AQ54" s="374" t="s">
        <v>1012</v>
      </c>
      <c r="AR54" s="452" t="n">
        <f aca="false">L54^2</f>
        <v>0</v>
      </c>
      <c r="AS54" s="453" t="n">
        <f aca="false">M54^2</f>
        <v>0</v>
      </c>
      <c r="AT54" s="453" t="n">
        <f aca="false">N54^2</f>
        <v>0</v>
      </c>
      <c r="AU54" s="453" t="n">
        <f aca="false">O54^2</f>
        <v>0</v>
      </c>
      <c r="AV54" s="453" t="n">
        <f aca="false">P54^2</f>
        <v>0</v>
      </c>
      <c r="AW54" s="453" t="n">
        <f aca="false">Q54^2</f>
        <v>0</v>
      </c>
      <c r="AX54" s="453" t="n">
        <f aca="false">R54^2</f>
        <v>0</v>
      </c>
      <c r="AY54" s="453" t="n">
        <f aca="false">S54^2</f>
        <v>1</v>
      </c>
      <c r="AZ54" s="453" t="n">
        <f aca="false">T54^2</f>
        <v>0</v>
      </c>
      <c r="BA54" s="453" t="n">
        <f aca="false">U54^2</f>
        <v>0</v>
      </c>
      <c r="BB54" s="453" t="n">
        <f aca="false">V54^2</f>
        <v>0</v>
      </c>
      <c r="BC54" s="453" t="n">
        <f aca="false">W54^2</f>
        <v>0</v>
      </c>
      <c r="BD54" s="453" t="n">
        <f aca="false">X54^2</f>
        <v>0</v>
      </c>
      <c r="BE54" s="453" t="n">
        <f aca="false">Y54^2</f>
        <v>0</v>
      </c>
      <c r="BF54" s="453" t="n">
        <f aca="false">Z54^2</f>
        <v>0</v>
      </c>
      <c r="BG54" s="453" t="n">
        <f aca="false">AA54^2</f>
        <v>0</v>
      </c>
      <c r="BH54" s="453" t="n">
        <f aca="false">AB54^2</f>
        <v>0</v>
      </c>
      <c r="BI54" s="453" t="n">
        <f aca="false">AC54^2</f>
        <v>0</v>
      </c>
      <c r="BJ54" s="453" t="n">
        <f aca="false">AD54^2</f>
        <v>0</v>
      </c>
      <c r="BK54" s="453" t="n">
        <f aca="false">AE54^2</f>
        <v>0</v>
      </c>
      <c r="BL54" s="453" t="n">
        <f aca="false">AF54^2</f>
        <v>0</v>
      </c>
      <c r="BM54" s="453" t="n">
        <f aca="false">AG54^2</f>
        <v>0</v>
      </c>
      <c r="BN54" s="453" t="n">
        <f aca="false">AH54^2</f>
        <v>0</v>
      </c>
      <c r="BO54" s="453" t="n">
        <f aca="false">AI54^2</f>
        <v>0</v>
      </c>
      <c r="BP54" s="453" t="n">
        <f aca="false">AJ54^2</f>
        <v>0</v>
      </c>
      <c r="BQ54" s="454" t="n">
        <f aca="false">-SIGN(AK54)*AK54^2</f>
        <v>-1</v>
      </c>
    </row>
    <row r="55" customFormat="false" ht="12.75" hidden="false" customHeight="false" outlineLevel="0" collapsed="false">
      <c r="C55" s="273"/>
      <c r="D55" s="273"/>
      <c r="E55" s="273"/>
      <c r="F55" s="273"/>
      <c r="G55" s="273"/>
      <c r="H55" s="273"/>
      <c r="I55" s="273"/>
      <c r="K55" s="66"/>
      <c r="L55" s="66"/>
      <c r="M55" s="66"/>
      <c r="N55" s="66"/>
      <c r="O55" s="66"/>
      <c r="AQ55" s="66"/>
      <c r="AR55" s="66"/>
      <c r="AS55" s="66"/>
      <c r="AT55" s="66"/>
      <c r="AU55" s="66"/>
    </row>
    <row r="56" customFormat="false" ht="12.75" hidden="false" customHeight="false" outlineLevel="0" collapsed="false">
      <c r="B56" s="455"/>
      <c r="C56" s="273"/>
      <c r="D56" s="273"/>
      <c r="E56" s="273"/>
      <c r="F56" s="273"/>
      <c r="G56" s="273"/>
      <c r="H56" s="273"/>
      <c r="I56" s="273"/>
      <c r="J56" s="10" t="s">
        <v>2082</v>
      </c>
      <c r="K56" s="66"/>
      <c r="L56" s="66"/>
      <c r="M56" s="66"/>
      <c r="N56" s="66"/>
      <c r="O56" s="66"/>
      <c r="AQ56" s="66"/>
      <c r="AR56" s="66"/>
      <c r="AS56" s="66"/>
      <c r="AT56" s="66"/>
      <c r="AU56" s="66"/>
    </row>
    <row r="57" customFormat="false" ht="13.5" hidden="false" customHeight="false" outlineLevel="0" collapsed="false">
      <c r="B57" s="455"/>
      <c r="C57" s="273"/>
      <c r="D57" s="273"/>
      <c r="E57" s="273"/>
      <c r="F57" s="273"/>
      <c r="G57" s="273"/>
      <c r="H57" s="273"/>
      <c r="I57" s="273"/>
      <c r="K57" s="66"/>
      <c r="L57" s="66"/>
      <c r="M57" s="66"/>
      <c r="N57" s="66"/>
      <c r="O57" s="66"/>
      <c r="AQ57" s="66"/>
      <c r="AR57" s="66"/>
      <c r="AS57" s="66"/>
      <c r="AT57" s="66"/>
      <c r="AU57" s="66"/>
    </row>
    <row r="58" customFormat="false" ht="15" hidden="false" customHeight="false" outlineLevel="0" collapsed="false">
      <c r="C58" s="15"/>
      <c r="D58" s="283" t="s">
        <v>779</v>
      </c>
      <c r="E58" s="284"/>
      <c r="F58" s="283" t="s">
        <v>780</v>
      </c>
      <c r="G58" s="284"/>
      <c r="H58" s="283" t="s">
        <v>781</v>
      </c>
      <c r="I58" s="284"/>
      <c r="K58" s="282"/>
      <c r="L58" s="282"/>
      <c r="M58" s="282"/>
      <c r="N58" s="282"/>
      <c r="O58" s="282"/>
      <c r="AQ58" s="282"/>
      <c r="AR58" s="282"/>
      <c r="AS58" s="282"/>
      <c r="AT58" s="282"/>
      <c r="AU58" s="282"/>
    </row>
    <row r="59" customFormat="false" ht="13.5" hidden="false" customHeight="false" outlineLevel="0" collapsed="false">
      <c r="C59" s="16" t="s">
        <v>1020</v>
      </c>
      <c r="D59" s="50"/>
      <c r="E59" s="50" t="s">
        <v>725</v>
      </c>
      <c r="F59" s="50"/>
      <c r="G59" s="50" t="s">
        <v>725</v>
      </c>
      <c r="H59" s="50"/>
      <c r="I59" s="50" t="s">
        <v>725</v>
      </c>
      <c r="K59" s="52"/>
      <c r="L59" s="52"/>
      <c r="M59" s="52"/>
      <c r="N59" s="52"/>
      <c r="O59" s="52"/>
      <c r="AQ59" s="52"/>
      <c r="AR59" s="52"/>
      <c r="AS59" s="52"/>
      <c r="AT59" s="52"/>
      <c r="AU59" s="52"/>
    </row>
    <row r="60" customFormat="false" ht="13.5" hidden="false" customHeight="false" outlineLevel="0" collapsed="false">
      <c r="C60" s="16" t="s">
        <v>782</v>
      </c>
      <c r="D60" s="53" t="s">
        <v>726</v>
      </c>
      <c r="E60" s="53" t="s">
        <v>727</v>
      </c>
      <c r="F60" s="53" t="s">
        <v>726</v>
      </c>
      <c r="G60" s="53" t="s">
        <v>727</v>
      </c>
      <c r="H60" s="53" t="s">
        <v>726</v>
      </c>
      <c r="I60" s="53" t="s">
        <v>727</v>
      </c>
      <c r="K60" s="11"/>
      <c r="L60" s="412" t="s">
        <v>1193</v>
      </c>
      <c r="M60" s="413"/>
      <c r="N60" s="413"/>
      <c r="O60" s="413"/>
      <c r="P60" s="414"/>
      <c r="Q60" s="414"/>
      <c r="R60" s="414"/>
      <c r="S60" s="414"/>
      <c r="T60" s="414"/>
      <c r="U60" s="414"/>
      <c r="V60" s="414"/>
      <c r="W60" s="414"/>
      <c r="X60" s="414"/>
      <c r="Y60" s="414"/>
      <c r="Z60" s="414"/>
      <c r="AA60" s="414"/>
      <c r="AB60" s="414"/>
      <c r="AC60" s="414"/>
      <c r="AD60" s="414"/>
      <c r="AE60" s="414"/>
      <c r="AF60" s="414"/>
      <c r="AG60" s="414"/>
      <c r="AH60" s="414"/>
      <c r="AI60" s="414"/>
      <c r="AJ60" s="414"/>
      <c r="AK60" s="279"/>
      <c r="AQ60" s="11"/>
      <c r="AR60" s="412" t="s">
        <v>1193</v>
      </c>
      <c r="AS60" s="413"/>
      <c r="AT60" s="413"/>
      <c r="AU60" s="413"/>
      <c r="AV60" s="414"/>
      <c r="AW60" s="414"/>
      <c r="AX60" s="414"/>
      <c r="AY60" s="414"/>
      <c r="AZ60" s="414"/>
      <c r="BA60" s="414"/>
      <c r="BB60" s="414"/>
      <c r="BC60" s="414"/>
      <c r="BD60" s="414"/>
      <c r="BE60" s="414"/>
      <c r="BF60" s="414"/>
      <c r="BG60" s="414"/>
      <c r="BH60" s="414"/>
      <c r="BI60" s="414"/>
      <c r="BJ60" s="414"/>
      <c r="BK60" s="414"/>
      <c r="BL60" s="414"/>
      <c r="BM60" s="414"/>
      <c r="BN60" s="414"/>
      <c r="BO60" s="414"/>
      <c r="BP60" s="414"/>
      <c r="BQ60" s="279"/>
    </row>
    <row r="61" customFormat="false" ht="15" hidden="false" customHeight="false" outlineLevel="0" collapsed="false">
      <c r="C61" s="21" t="s">
        <v>783</v>
      </c>
      <c r="D61" s="55" t="s">
        <v>784</v>
      </c>
      <c r="E61" s="55" t="s">
        <v>784</v>
      </c>
      <c r="F61" s="55" t="s">
        <v>784</v>
      </c>
      <c r="G61" s="55" t="s">
        <v>784</v>
      </c>
      <c r="H61" s="55" t="s">
        <v>167</v>
      </c>
      <c r="I61" s="55" t="s">
        <v>167</v>
      </c>
      <c r="K61" s="415" t="s">
        <v>783</v>
      </c>
      <c r="L61" s="416" t="s">
        <v>32</v>
      </c>
      <c r="M61" s="417" t="s">
        <v>40</v>
      </c>
      <c r="N61" s="418" t="s">
        <v>41</v>
      </c>
      <c r="O61" s="418" t="s">
        <v>46</v>
      </c>
      <c r="P61" s="417" t="s">
        <v>48</v>
      </c>
      <c r="Q61" s="417" t="s">
        <v>49</v>
      </c>
      <c r="R61" s="418" t="s">
        <v>54</v>
      </c>
      <c r="S61" s="418" t="s">
        <v>59</v>
      </c>
      <c r="T61" s="418" t="s">
        <v>66</v>
      </c>
      <c r="U61" s="418" t="s">
        <v>68</v>
      </c>
      <c r="V61" s="418" t="s">
        <v>75</v>
      </c>
      <c r="W61" s="418" t="s">
        <v>82</v>
      </c>
      <c r="X61" s="418" t="s">
        <v>86</v>
      </c>
      <c r="Y61" s="418" t="s">
        <v>89</v>
      </c>
      <c r="Z61" s="417" t="s">
        <v>93</v>
      </c>
      <c r="AA61" s="418" t="s">
        <v>97</v>
      </c>
      <c r="AB61" s="418" t="s">
        <v>99</v>
      </c>
      <c r="AC61" s="417" t="s">
        <v>103</v>
      </c>
      <c r="AD61" s="418" t="s">
        <v>107</v>
      </c>
      <c r="AE61" s="417" t="s">
        <v>110</v>
      </c>
      <c r="AF61" s="418" t="s">
        <v>119</v>
      </c>
      <c r="AG61" s="418" t="s">
        <v>120</v>
      </c>
      <c r="AH61" s="418" t="s">
        <v>125</v>
      </c>
      <c r="AI61" s="417" t="s">
        <v>129</v>
      </c>
      <c r="AJ61" s="418" t="s">
        <v>132</v>
      </c>
      <c r="AK61" s="419" t="s">
        <v>1187</v>
      </c>
      <c r="AQ61" s="415" t="s">
        <v>783</v>
      </c>
      <c r="AR61" s="416" t="s">
        <v>32</v>
      </c>
      <c r="AS61" s="417" t="s">
        <v>40</v>
      </c>
      <c r="AT61" s="418" t="s">
        <v>41</v>
      </c>
      <c r="AU61" s="418" t="s">
        <v>46</v>
      </c>
      <c r="AV61" s="417" t="s">
        <v>48</v>
      </c>
      <c r="AW61" s="417" t="s">
        <v>49</v>
      </c>
      <c r="AX61" s="418" t="s">
        <v>54</v>
      </c>
      <c r="AY61" s="418" t="s">
        <v>59</v>
      </c>
      <c r="AZ61" s="418" t="s">
        <v>66</v>
      </c>
      <c r="BA61" s="418" t="s">
        <v>68</v>
      </c>
      <c r="BB61" s="418" t="s">
        <v>75</v>
      </c>
      <c r="BC61" s="418" t="s">
        <v>82</v>
      </c>
      <c r="BD61" s="418" t="s">
        <v>86</v>
      </c>
      <c r="BE61" s="418" t="s">
        <v>89</v>
      </c>
      <c r="BF61" s="417" t="s">
        <v>93</v>
      </c>
      <c r="BG61" s="418" t="s">
        <v>97</v>
      </c>
      <c r="BH61" s="418" t="s">
        <v>99</v>
      </c>
      <c r="BI61" s="417" t="s">
        <v>103</v>
      </c>
      <c r="BJ61" s="418" t="s">
        <v>107</v>
      </c>
      <c r="BK61" s="417" t="s">
        <v>110</v>
      </c>
      <c r="BL61" s="418" t="s">
        <v>119</v>
      </c>
      <c r="BM61" s="418" t="s">
        <v>120</v>
      </c>
      <c r="BN61" s="418" t="s">
        <v>125</v>
      </c>
      <c r="BO61" s="417" t="s">
        <v>129</v>
      </c>
      <c r="BP61" s="418" t="s">
        <v>132</v>
      </c>
      <c r="BQ61" s="419" t="s">
        <v>1187</v>
      </c>
    </row>
    <row r="62" customFormat="false" ht="12.75" hidden="false" customHeight="false" outlineLevel="0" collapsed="false">
      <c r="C62" s="310" t="s">
        <v>1021</v>
      </c>
      <c r="D62" s="285" t="str">
        <f aca="false">IF(F62="","",IF(H62="","",ROUND(F62-0.001*298.15*(H62-SUMPRODUCT(L62:AK62*AR$13:BQ$13)),3)))</f>
        <v/>
      </c>
      <c r="E62" s="131" t="str">
        <f aca="false">IF(G62="","",IF(I62="","",ROUND(2*SQRT((0.5*G62)^2+(0.001*298.15)^2*((0.5*I62)^2+SUMPRODUCT(AR62:BQ62*AR$15:BQ$15))),3)))</f>
        <v/>
      </c>
      <c r="F62" s="311"/>
      <c r="G62" s="312"/>
      <c r="H62" s="311"/>
      <c r="I62" s="312"/>
      <c r="K62" s="310" t="s">
        <v>1021</v>
      </c>
      <c r="L62" s="426"/>
      <c r="M62" s="427"/>
      <c r="N62" s="427"/>
      <c r="O62" s="427"/>
      <c r="P62" s="428"/>
      <c r="Q62" s="428"/>
      <c r="R62" s="428"/>
      <c r="S62" s="428"/>
      <c r="T62" s="428"/>
      <c r="U62" s="428"/>
      <c r="V62" s="428"/>
      <c r="W62" s="428"/>
      <c r="X62" s="428"/>
      <c r="Y62" s="428"/>
      <c r="Z62" s="428"/>
      <c r="AA62" s="428"/>
      <c r="AB62" s="428"/>
      <c r="AC62" s="428"/>
      <c r="AD62" s="428" t="n">
        <v>1</v>
      </c>
      <c r="AE62" s="428"/>
      <c r="AF62" s="428"/>
      <c r="AG62" s="428"/>
      <c r="AH62" s="428"/>
      <c r="AI62" s="429" t="n">
        <v>1</v>
      </c>
      <c r="AJ62" s="428"/>
      <c r="AK62" s="430"/>
      <c r="AO62" s="10"/>
      <c r="AQ62" s="310" t="s">
        <v>1021</v>
      </c>
      <c r="AR62" s="431" t="n">
        <f aca="false">L62^2</f>
        <v>0</v>
      </c>
      <c r="AS62" s="432" t="n">
        <f aca="false">M62^2</f>
        <v>0</v>
      </c>
      <c r="AT62" s="432" t="n">
        <f aca="false">N62^2</f>
        <v>0</v>
      </c>
      <c r="AU62" s="432" t="n">
        <f aca="false">O62^2</f>
        <v>0</v>
      </c>
      <c r="AV62" s="432" t="n">
        <f aca="false">P62^2</f>
        <v>0</v>
      </c>
      <c r="AW62" s="432" t="n">
        <f aca="false">Q62^2</f>
        <v>0</v>
      </c>
      <c r="AX62" s="432" t="n">
        <f aca="false">R62^2</f>
        <v>0</v>
      </c>
      <c r="AY62" s="432" t="n">
        <f aca="false">S62^2</f>
        <v>0</v>
      </c>
      <c r="AZ62" s="432" t="n">
        <f aca="false">T62^2</f>
        <v>0</v>
      </c>
      <c r="BA62" s="432" t="n">
        <f aca="false">U62^2</f>
        <v>0</v>
      </c>
      <c r="BB62" s="432" t="n">
        <f aca="false">V62^2</f>
        <v>0</v>
      </c>
      <c r="BC62" s="432" t="n">
        <f aca="false">W62^2</f>
        <v>0</v>
      </c>
      <c r="BD62" s="432" t="n">
        <f aca="false">X62^2</f>
        <v>0</v>
      </c>
      <c r="BE62" s="432" t="n">
        <f aca="false">Y62^2</f>
        <v>0</v>
      </c>
      <c r="BF62" s="432" t="n">
        <f aca="false">Z62^2</f>
        <v>0</v>
      </c>
      <c r="BG62" s="432" t="n">
        <f aca="false">AA62^2</f>
        <v>0</v>
      </c>
      <c r="BH62" s="432" t="n">
        <f aca="false">AB62^2</f>
        <v>0</v>
      </c>
      <c r="BI62" s="432" t="n">
        <f aca="false">AC62^2</f>
        <v>0</v>
      </c>
      <c r="BJ62" s="432" t="n">
        <f aca="false">AD62^2</f>
        <v>1</v>
      </c>
      <c r="BK62" s="432" t="n">
        <f aca="false">AE62^2</f>
        <v>0</v>
      </c>
      <c r="BL62" s="432" t="n">
        <f aca="false">AF62^2</f>
        <v>0</v>
      </c>
      <c r="BM62" s="432" t="n">
        <f aca="false">AG62^2</f>
        <v>0</v>
      </c>
      <c r="BN62" s="432" t="n">
        <f aca="false">AH62^2</f>
        <v>0</v>
      </c>
      <c r="BO62" s="432" t="n">
        <f aca="false">AI62^2</f>
        <v>1</v>
      </c>
      <c r="BP62" s="432" t="n">
        <f aca="false">AJ62^2</f>
        <v>0</v>
      </c>
      <c r="BQ62" s="433" t="n">
        <f aca="false">-SIGN(AK62)*AK62^2</f>
        <v>0</v>
      </c>
    </row>
    <row r="63" customFormat="false" ht="12.75" hidden="false" customHeight="false" outlineLevel="0" collapsed="false">
      <c r="C63" s="313" t="s">
        <v>1022</v>
      </c>
      <c r="D63" s="290" t="str">
        <f aca="false">IF(F63="","",IF(H63="","",ROUND(F63-0.001*298.15*(H63-SUMPRODUCT(L63:AK63*AR$13:BQ$13)),3)))</f>
        <v/>
      </c>
      <c r="E63" s="137" t="str">
        <f aca="false">IF(G63="","",IF(I63="","",ROUND(2*SQRT((0.5*G63)^2+(0.001*298.15)^2*((0.5*I63)^2+SUMPRODUCT(AR63:BQ63*AR$15:BQ$15))),3)))</f>
        <v/>
      </c>
      <c r="F63" s="314"/>
      <c r="G63" s="315"/>
      <c r="H63" s="314"/>
      <c r="I63" s="315"/>
      <c r="K63" s="313" t="s">
        <v>1022</v>
      </c>
      <c r="L63" s="434"/>
      <c r="M63" s="435" t="n">
        <v>1</v>
      </c>
      <c r="N63" s="435"/>
      <c r="O63" s="435"/>
      <c r="P63" s="436"/>
      <c r="Q63" s="436"/>
      <c r="R63" s="436"/>
      <c r="S63" s="436"/>
      <c r="T63" s="436"/>
      <c r="U63" s="436"/>
      <c r="V63" s="436"/>
      <c r="W63" s="436"/>
      <c r="X63" s="436"/>
      <c r="Y63" s="436"/>
      <c r="Z63" s="436"/>
      <c r="AA63" s="436"/>
      <c r="AB63" s="436"/>
      <c r="AC63" s="436"/>
      <c r="AD63" s="436" t="n">
        <v>1</v>
      </c>
      <c r="AE63" s="436"/>
      <c r="AF63" s="436"/>
      <c r="AG63" s="436"/>
      <c r="AH63" s="436"/>
      <c r="AI63" s="437"/>
      <c r="AJ63" s="436"/>
      <c r="AK63" s="438" t="n">
        <v>-1</v>
      </c>
      <c r="AQ63" s="313" t="s">
        <v>1022</v>
      </c>
      <c r="AR63" s="439" t="n">
        <f aca="false">L63^2</f>
        <v>0</v>
      </c>
      <c r="AS63" s="440" t="n">
        <f aca="false">M63^2</f>
        <v>1</v>
      </c>
      <c r="AT63" s="440" t="n">
        <f aca="false">N63^2</f>
        <v>0</v>
      </c>
      <c r="AU63" s="440" t="n">
        <f aca="false">O63^2</f>
        <v>0</v>
      </c>
      <c r="AV63" s="440" t="n">
        <f aca="false">P63^2</f>
        <v>0</v>
      </c>
      <c r="AW63" s="440" t="n">
        <f aca="false">Q63^2</f>
        <v>0</v>
      </c>
      <c r="AX63" s="440" t="n">
        <f aca="false">R63^2</f>
        <v>0</v>
      </c>
      <c r="AY63" s="440" t="n">
        <f aca="false">S63^2</f>
        <v>0</v>
      </c>
      <c r="AZ63" s="440" t="n">
        <f aca="false">T63^2</f>
        <v>0</v>
      </c>
      <c r="BA63" s="440" t="n">
        <f aca="false">U63^2</f>
        <v>0</v>
      </c>
      <c r="BB63" s="440" t="n">
        <f aca="false">V63^2</f>
        <v>0</v>
      </c>
      <c r="BC63" s="440" t="n">
        <f aca="false">W63^2</f>
        <v>0</v>
      </c>
      <c r="BD63" s="440" t="n">
        <f aca="false">X63^2</f>
        <v>0</v>
      </c>
      <c r="BE63" s="440" t="n">
        <f aca="false">Y63^2</f>
        <v>0</v>
      </c>
      <c r="BF63" s="440" t="n">
        <f aca="false">Z63^2</f>
        <v>0</v>
      </c>
      <c r="BG63" s="440" t="n">
        <f aca="false">AA63^2</f>
        <v>0</v>
      </c>
      <c r="BH63" s="440" t="n">
        <f aca="false">AB63^2</f>
        <v>0</v>
      </c>
      <c r="BI63" s="440" t="n">
        <f aca="false">AC63^2</f>
        <v>0</v>
      </c>
      <c r="BJ63" s="440" t="n">
        <f aca="false">AD63^2</f>
        <v>1</v>
      </c>
      <c r="BK63" s="440" t="n">
        <f aca="false">AE63^2</f>
        <v>0</v>
      </c>
      <c r="BL63" s="440" t="n">
        <f aca="false">AF63^2</f>
        <v>0</v>
      </c>
      <c r="BM63" s="440" t="n">
        <f aca="false">AG63^2</f>
        <v>0</v>
      </c>
      <c r="BN63" s="440" t="n">
        <f aca="false">AH63^2</f>
        <v>0</v>
      </c>
      <c r="BO63" s="440" t="n">
        <f aca="false">AI63^2</f>
        <v>0</v>
      </c>
      <c r="BP63" s="440" t="n">
        <f aca="false">AJ63^2</f>
        <v>0</v>
      </c>
      <c r="BQ63" s="441" t="n">
        <f aca="false">-SIGN(AK63)*AK63^2</f>
        <v>1</v>
      </c>
    </row>
    <row r="64" customFormat="false" ht="13.5" hidden="false" customHeight="false" outlineLevel="0" collapsed="false">
      <c r="C64" s="317" t="s">
        <v>1023</v>
      </c>
      <c r="D64" s="305" t="str">
        <f aca="false">IF(F64="","",IF(H64="","",ROUND(F64-0.001*298.15*(H64-SUMPRODUCT(L64:AK64*AR$13:BQ$13)),3)))</f>
        <v/>
      </c>
      <c r="E64" s="145" t="str">
        <f aca="false">IF(G64="","",IF(I64="","",ROUND(2*SQRT((0.5*G64)^2+(0.001*298.15)^2*((0.5*I64)^2+SUMPRODUCT(AR64:BQ64*AR$15:BQ$15))),3)))</f>
        <v/>
      </c>
      <c r="F64" s="318"/>
      <c r="G64" s="319"/>
      <c r="H64" s="318"/>
      <c r="I64" s="319"/>
      <c r="K64" s="317" t="s">
        <v>1023</v>
      </c>
      <c r="L64" s="447" t="n">
        <v>1</v>
      </c>
      <c r="M64" s="448"/>
      <c r="N64" s="448"/>
      <c r="O64" s="448"/>
      <c r="P64" s="449"/>
      <c r="Q64" s="449"/>
      <c r="R64" s="449"/>
      <c r="S64" s="449"/>
      <c r="T64" s="449"/>
      <c r="U64" s="449"/>
      <c r="V64" s="449"/>
      <c r="W64" s="449"/>
      <c r="X64" s="449"/>
      <c r="Y64" s="449"/>
      <c r="Z64" s="449"/>
      <c r="AA64" s="449"/>
      <c r="AB64" s="449"/>
      <c r="AC64" s="449"/>
      <c r="AD64" s="449" t="n">
        <v>1</v>
      </c>
      <c r="AE64" s="449"/>
      <c r="AF64" s="449"/>
      <c r="AG64" s="449"/>
      <c r="AH64" s="449"/>
      <c r="AI64" s="450"/>
      <c r="AJ64" s="449"/>
      <c r="AK64" s="451" t="n">
        <v>-1</v>
      </c>
      <c r="AQ64" s="317" t="s">
        <v>1023</v>
      </c>
      <c r="AR64" s="452" t="n">
        <f aca="false">L64^2</f>
        <v>1</v>
      </c>
      <c r="AS64" s="453" t="n">
        <f aca="false">M64^2</f>
        <v>0</v>
      </c>
      <c r="AT64" s="453" t="n">
        <f aca="false">N64^2</f>
        <v>0</v>
      </c>
      <c r="AU64" s="453" t="n">
        <f aca="false">O64^2</f>
        <v>0</v>
      </c>
      <c r="AV64" s="453" t="n">
        <f aca="false">P64^2</f>
        <v>0</v>
      </c>
      <c r="AW64" s="453" t="n">
        <f aca="false">Q64^2</f>
        <v>0</v>
      </c>
      <c r="AX64" s="453" t="n">
        <f aca="false">R64^2</f>
        <v>0</v>
      </c>
      <c r="AY64" s="453" t="n">
        <f aca="false">S64^2</f>
        <v>0</v>
      </c>
      <c r="AZ64" s="453" t="n">
        <f aca="false">T64^2</f>
        <v>0</v>
      </c>
      <c r="BA64" s="453" t="n">
        <f aca="false">U64^2</f>
        <v>0</v>
      </c>
      <c r="BB64" s="453" t="n">
        <f aca="false">V64^2</f>
        <v>0</v>
      </c>
      <c r="BC64" s="453" t="n">
        <f aca="false">W64^2</f>
        <v>0</v>
      </c>
      <c r="BD64" s="453" t="n">
        <f aca="false">X64^2</f>
        <v>0</v>
      </c>
      <c r="BE64" s="453" t="n">
        <f aca="false">Y64^2</f>
        <v>0</v>
      </c>
      <c r="BF64" s="453" t="n">
        <f aca="false">Z64^2</f>
        <v>0</v>
      </c>
      <c r="BG64" s="453" t="n">
        <f aca="false">AA64^2</f>
        <v>0</v>
      </c>
      <c r="BH64" s="453" t="n">
        <f aca="false">AB64^2</f>
        <v>0</v>
      </c>
      <c r="BI64" s="453" t="n">
        <f aca="false">AC64^2</f>
        <v>0</v>
      </c>
      <c r="BJ64" s="453" t="n">
        <f aca="false">AD64^2</f>
        <v>1</v>
      </c>
      <c r="BK64" s="453" t="n">
        <f aca="false">AE64^2</f>
        <v>0</v>
      </c>
      <c r="BL64" s="453" t="n">
        <f aca="false">AF64^2</f>
        <v>0</v>
      </c>
      <c r="BM64" s="453" t="n">
        <f aca="false">AG64^2</f>
        <v>0</v>
      </c>
      <c r="BN64" s="453" t="n">
        <f aca="false">AH64^2</f>
        <v>0</v>
      </c>
      <c r="BO64" s="453" t="n">
        <f aca="false">AI64^2</f>
        <v>0</v>
      </c>
      <c r="BP64" s="453" t="n">
        <f aca="false">AJ64^2</f>
        <v>0</v>
      </c>
      <c r="BQ64" s="454" t="n">
        <f aca="false">-SIGN(AK64)*AK64^2</f>
        <v>1</v>
      </c>
    </row>
    <row r="65" customFormat="false" ht="12.75" hidden="false" customHeight="false" outlineLevel="0" collapsed="false">
      <c r="C65" s="192"/>
      <c r="D65" s="214"/>
      <c r="E65" s="214"/>
      <c r="F65" s="214"/>
      <c r="G65" s="214"/>
      <c r="H65" s="214"/>
      <c r="I65" s="214"/>
      <c r="K65" s="214"/>
      <c r="L65" s="214"/>
      <c r="M65" s="214"/>
      <c r="N65" s="214"/>
      <c r="O65" s="214"/>
      <c r="AQ65" s="214"/>
      <c r="AR65" s="214"/>
      <c r="AS65" s="214"/>
      <c r="AT65" s="214"/>
      <c r="AU65" s="214"/>
    </row>
    <row r="66" customFormat="false" ht="12.75" hidden="false" customHeight="false" outlineLevel="0" collapsed="false">
      <c r="C66" s="112"/>
      <c r="D66" s="66"/>
      <c r="E66" s="66"/>
      <c r="F66" s="66"/>
      <c r="G66" s="66"/>
      <c r="H66" s="66"/>
      <c r="I66" s="66"/>
      <c r="K66" s="66"/>
      <c r="L66" s="66"/>
      <c r="M66" s="66"/>
      <c r="N66" s="66"/>
      <c r="O66" s="66"/>
      <c r="AQ66" s="66"/>
      <c r="AR66" s="66"/>
      <c r="AS66" s="66"/>
      <c r="AT66" s="66"/>
      <c r="AU66" s="66"/>
    </row>
    <row r="67" customFormat="false" ht="13.5" hidden="false" customHeight="false" outlineLevel="0" collapsed="false">
      <c r="C67" s="112"/>
      <c r="D67" s="66"/>
      <c r="E67" s="66"/>
      <c r="F67" s="66"/>
      <c r="G67" s="66"/>
      <c r="H67" s="66"/>
      <c r="I67" s="66"/>
      <c r="K67" s="66"/>
      <c r="L67" s="66"/>
      <c r="M67" s="66"/>
      <c r="N67" s="66"/>
      <c r="O67" s="66"/>
      <c r="AQ67" s="66"/>
      <c r="AR67" s="66"/>
      <c r="AS67" s="66"/>
      <c r="AT67" s="66"/>
      <c r="AU67" s="66"/>
    </row>
    <row r="68" customFormat="false" ht="15" hidden="false" customHeight="false" outlineLevel="0" collapsed="false">
      <c r="C68" s="15"/>
      <c r="D68" s="283" t="s">
        <v>779</v>
      </c>
      <c r="E68" s="284"/>
      <c r="F68" s="283" t="s">
        <v>780</v>
      </c>
      <c r="G68" s="284"/>
      <c r="H68" s="283" t="s">
        <v>781</v>
      </c>
      <c r="I68" s="284"/>
      <c r="K68" s="282"/>
      <c r="L68" s="282"/>
      <c r="M68" s="282"/>
      <c r="N68" s="282"/>
      <c r="O68" s="282"/>
      <c r="AQ68" s="282"/>
      <c r="AR68" s="282"/>
      <c r="AS68" s="282"/>
      <c r="AT68" s="282"/>
      <c r="AU68" s="282"/>
    </row>
    <row r="69" customFormat="false" ht="13.5" hidden="false" customHeight="false" outlineLevel="0" collapsed="false">
      <c r="C69" s="16"/>
      <c r="D69" s="50"/>
      <c r="E69" s="50" t="s">
        <v>725</v>
      </c>
      <c r="F69" s="50"/>
      <c r="G69" s="50" t="s">
        <v>725</v>
      </c>
      <c r="H69" s="50"/>
      <c r="I69" s="50" t="s">
        <v>725</v>
      </c>
      <c r="K69" s="52"/>
      <c r="L69" s="52"/>
      <c r="M69" s="52"/>
      <c r="N69" s="52"/>
      <c r="O69" s="52"/>
      <c r="AQ69" s="52"/>
      <c r="AR69" s="52"/>
      <c r="AS69" s="52"/>
      <c r="AT69" s="52"/>
      <c r="AU69" s="52"/>
    </row>
    <row r="70" customFormat="false" ht="13.5" hidden="false" customHeight="false" outlineLevel="0" collapsed="false">
      <c r="C70" s="16" t="s">
        <v>1024</v>
      </c>
      <c r="D70" s="53" t="s">
        <v>726</v>
      </c>
      <c r="E70" s="53" t="s">
        <v>727</v>
      </c>
      <c r="F70" s="53" t="s">
        <v>726</v>
      </c>
      <c r="G70" s="53" t="s">
        <v>727</v>
      </c>
      <c r="H70" s="53" t="s">
        <v>726</v>
      </c>
      <c r="I70" s="53" t="s">
        <v>727</v>
      </c>
      <c r="K70" s="11"/>
      <c r="L70" s="412" t="s">
        <v>1193</v>
      </c>
      <c r="M70" s="413"/>
      <c r="N70" s="413"/>
      <c r="O70" s="413"/>
      <c r="P70" s="414"/>
      <c r="Q70" s="414"/>
      <c r="R70" s="414"/>
      <c r="S70" s="414"/>
      <c r="T70" s="414"/>
      <c r="U70" s="414"/>
      <c r="V70" s="414"/>
      <c r="W70" s="414"/>
      <c r="X70" s="414"/>
      <c r="Y70" s="414"/>
      <c r="Z70" s="414"/>
      <c r="AA70" s="414"/>
      <c r="AB70" s="414"/>
      <c r="AC70" s="414"/>
      <c r="AD70" s="414"/>
      <c r="AE70" s="414"/>
      <c r="AF70" s="414"/>
      <c r="AG70" s="414"/>
      <c r="AH70" s="414"/>
      <c r="AI70" s="414"/>
      <c r="AJ70" s="414"/>
      <c r="AK70" s="279"/>
      <c r="AQ70" s="11"/>
      <c r="AR70" s="412" t="s">
        <v>1193</v>
      </c>
      <c r="AS70" s="413"/>
      <c r="AT70" s="413"/>
      <c r="AU70" s="413"/>
      <c r="AV70" s="414"/>
      <c r="AW70" s="414"/>
      <c r="AX70" s="414"/>
      <c r="AY70" s="414"/>
      <c r="AZ70" s="414"/>
      <c r="BA70" s="414"/>
      <c r="BB70" s="414"/>
      <c r="BC70" s="414"/>
      <c r="BD70" s="414"/>
      <c r="BE70" s="414"/>
      <c r="BF70" s="414"/>
      <c r="BG70" s="414"/>
      <c r="BH70" s="414"/>
      <c r="BI70" s="414"/>
      <c r="BJ70" s="414"/>
      <c r="BK70" s="414"/>
      <c r="BL70" s="414"/>
      <c r="BM70" s="414"/>
      <c r="BN70" s="414"/>
      <c r="BO70" s="414"/>
      <c r="BP70" s="414"/>
      <c r="BQ70" s="279"/>
    </row>
    <row r="71" customFormat="false" ht="15" hidden="false" customHeight="false" outlineLevel="0" collapsed="false">
      <c r="C71" s="21" t="s">
        <v>783</v>
      </c>
      <c r="D71" s="55" t="s">
        <v>784</v>
      </c>
      <c r="E71" s="55" t="s">
        <v>784</v>
      </c>
      <c r="F71" s="55" t="s">
        <v>784</v>
      </c>
      <c r="G71" s="55" t="s">
        <v>784</v>
      </c>
      <c r="H71" s="55" t="s">
        <v>167</v>
      </c>
      <c r="I71" s="55" t="s">
        <v>167</v>
      </c>
      <c r="K71" s="415" t="s">
        <v>783</v>
      </c>
      <c r="L71" s="416" t="s">
        <v>32</v>
      </c>
      <c r="M71" s="417" t="s">
        <v>40</v>
      </c>
      <c r="N71" s="418" t="s">
        <v>41</v>
      </c>
      <c r="O71" s="418" t="s">
        <v>46</v>
      </c>
      <c r="P71" s="417" t="s">
        <v>48</v>
      </c>
      <c r="Q71" s="417" t="s">
        <v>49</v>
      </c>
      <c r="R71" s="418" t="s">
        <v>54</v>
      </c>
      <c r="S71" s="418" t="s">
        <v>59</v>
      </c>
      <c r="T71" s="418" t="s">
        <v>66</v>
      </c>
      <c r="U71" s="418" t="s">
        <v>68</v>
      </c>
      <c r="V71" s="418" t="s">
        <v>75</v>
      </c>
      <c r="W71" s="418" t="s">
        <v>82</v>
      </c>
      <c r="X71" s="418" t="s">
        <v>86</v>
      </c>
      <c r="Y71" s="418" t="s">
        <v>89</v>
      </c>
      <c r="Z71" s="417" t="s">
        <v>93</v>
      </c>
      <c r="AA71" s="418" t="s">
        <v>97</v>
      </c>
      <c r="AB71" s="418" t="s">
        <v>99</v>
      </c>
      <c r="AC71" s="417" t="s">
        <v>103</v>
      </c>
      <c r="AD71" s="418" t="s">
        <v>107</v>
      </c>
      <c r="AE71" s="417" t="s">
        <v>110</v>
      </c>
      <c r="AF71" s="418" t="s">
        <v>119</v>
      </c>
      <c r="AG71" s="418" t="s">
        <v>120</v>
      </c>
      <c r="AH71" s="418" t="s">
        <v>125</v>
      </c>
      <c r="AI71" s="417" t="s">
        <v>129</v>
      </c>
      <c r="AJ71" s="418" t="s">
        <v>132</v>
      </c>
      <c r="AK71" s="419" t="s">
        <v>1187</v>
      </c>
      <c r="AQ71" s="415" t="s">
        <v>783</v>
      </c>
      <c r="AR71" s="416" t="s">
        <v>32</v>
      </c>
      <c r="AS71" s="417" t="s">
        <v>40</v>
      </c>
      <c r="AT71" s="418" t="s">
        <v>41</v>
      </c>
      <c r="AU71" s="418" t="s">
        <v>46</v>
      </c>
      <c r="AV71" s="417" t="s">
        <v>48</v>
      </c>
      <c r="AW71" s="417" t="s">
        <v>49</v>
      </c>
      <c r="AX71" s="418" t="s">
        <v>54</v>
      </c>
      <c r="AY71" s="418" t="s">
        <v>59</v>
      </c>
      <c r="AZ71" s="418" t="s">
        <v>66</v>
      </c>
      <c r="BA71" s="418" t="s">
        <v>68</v>
      </c>
      <c r="BB71" s="418" t="s">
        <v>75</v>
      </c>
      <c r="BC71" s="418" t="s">
        <v>82</v>
      </c>
      <c r="BD71" s="418" t="s">
        <v>86</v>
      </c>
      <c r="BE71" s="418" t="s">
        <v>89</v>
      </c>
      <c r="BF71" s="417" t="s">
        <v>93</v>
      </c>
      <c r="BG71" s="418" t="s">
        <v>97</v>
      </c>
      <c r="BH71" s="418" t="s">
        <v>99</v>
      </c>
      <c r="BI71" s="417" t="s">
        <v>103</v>
      </c>
      <c r="BJ71" s="418" t="s">
        <v>107</v>
      </c>
      <c r="BK71" s="417" t="s">
        <v>110</v>
      </c>
      <c r="BL71" s="418" t="s">
        <v>119</v>
      </c>
      <c r="BM71" s="418" t="s">
        <v>120</v>
      </c>
      <c r="BN71" s="418" t="s">
        <v>125</v>
      </c>
      <c r="BO71" s="417" t="s">
        <v>129</v>
      </c>
      <c r="BP71" s="418" t="s">
        <v>132</v>
      </c>
      <c r="BQ71" s="419" t="s">
        <v>1187</v>
      </c>
    </row>
    <row r="72" customFormat="false" ht="12.75" hidden="false" customHeight="false" outlineLevel="0" collapsed="false">
      <c r="C72" s="456" t="s">
        <v>1025</v>
      </c>
      <c r="D72" s="285" t="n">
        <f aca="false">IF(F72="","",IF(H72="","",ROUND(F72-0.001*298.15*(H72-SUMPRODUCT(L72:AK72*AR$13:BQ$13)),3)))</f>
        <v>0</v>
      </c>
      <c r="E72" s="131" t="str">
        <f aca="false">IF(G72="","",IF(I72="","",ROUND(2*SQRT((0.5*G72)^2+(0.001*298.15)^2*((0.5*I72)^2+SUMPRODUCT(AR72:BQ72*AR$15:BQ$15))),3)))</f>
        <v/>
      </c>
      <c r="F72" s="322" t="s">
        <v>786</v>
      </c>
      <c r="G72" s="323"/>
      <c r="H72" s="322" t="s">
        <v>2050</v>
      </c>
      <c r="I72" s="323" t="s">
        <v>2055</v>
      </c>
      <c r="K72" s="425" t="s">
        <v>1025</v>
      </c>
      <c r="L72" s="426"/>
      <c r="M72" s="427"/>
      <c r="N72" s="427"/>
      <c r="O72" s="427"/>
      <c r="P72" s="428"/>
      <c r="Q72" s="428"/>
      <c r="R72" s="428"/>
      <c r="S72" s="428"/>
      <c r="T72" s="428"/>
      <c r="U72" s="428"/>
      <c r="V72" s="428"/>
      <c r="W72" s="428"/>
      <c r="X72" s="428"/>
      <c r="Y72" s="428"/>
      <c r="Z72" s="428"/>
      <c r="AA72" s="428"/>
      <c r="AB72" s="428"/>
      <c r="AC72" s="428"/>
      <c r="AD72" s="428" t="n">
        <v>1</v>
      </c>
      <c r="AE72" s="428"/>
      <c r="AF72" s="428"/>
      <c r="AG72" s="428"/>
      <c r="AH72" s="428"/>
      <c r="AI72" s="429"/>
      <c r="AJ72" s="428"/>
      <c r="AK72" s="430"/>
      <c r="AQ72" s="425" t="s">
        <v>1025</v>
      </c>
      <c r="AR72" s="431" t="n">
        <f aca="false">L72^2</f>
        <v>0</v>
      </c>
      <c r="AS72" s="432" t="n">
        <f aca="false">M72^2</f>
        <v>0</v>
      </c>
      <c r="AT72" s="432" t="n">
        <f aca="false">N72^2</f>
        <v>0</v>
      </c>
      <c r="AU72" s="432" t="n">
        <f aca="false">O72^2</f>
        <v>0</v>
      </c>
      <c r="AV72" s="432" t="n">
        <f aca="false">P72^2</f>
        <v>0</v>
      </c>
      <c r="AW72" s="432" t="n">
        <f aca="false">Q72^2</f>
        <v>0</v>
      </c>
      <c r="AX72" s="432" t="n">
        <f aca="false">R72^2</f>
        <v>0</v>
      </c>
      <c r="AY72" s="432" t="n">
        <f aca="false">S72^2</f>
        <v>0</v>
      </c>
      <c r="AZ72" s="432" t="n">
        <f aca="false">T72^2</f>
        <v>0</v>
      </c>
      <c r="BA72" s="432" t="n">
        <f aca="false">U72^2</f>
        <v>0</v>
      </c>
      <c r="BB72" s="432" t="n">
        <f aca="false">V72^2</f>
        <v>0</v>
      </c>
      <c r="BC72" s="432" t="n">
        <f aca="false">W72^2</f>
        <v>0</v>
      </c>
      <c r="BD72" s="432" t="n">
        <f aca="false">X72^2</f>
        <v>0</v>
      </c>
      <c r="BE72" s="432" t="n">
        <f aca="false">Y72^2</f>
        <v>0</v>
      </c>
      <c r="BF72" s="432" t="n">
        <f aca="false">Z72^2</f>
        <v>0</v>
      </c>
      <c r="BG72" s="432" t="n">
        <f aca="false">AA72^2</f>
        <v>0</v>
      </c>
      <c r="BH72" s="432" t="n">
        <f aca="false">AB72^2</f>
        <v>0</v>
      </c>
      <c r="BI72" s="432" t="n">
        <f aca="false">AC72^2</f>
        <v>0</v>
      </c>
      <c r="BJ72" s="432" t="n">
        <f aca="false">AD72^2</f>
        <v>1</v>
      </c>
      <c r="BK72" s="432" t="n">
        <f aca="false">AE72^2</f>
        <v>0</v>
      </c>
      <c r="BL72" s="432" t="n">
        <f aca="false">AF72^2</f>
        <v>0</v>
      </c>
      <c r="BM72" s="432" t="n">
        <f aca="false">AG72^2</f>
        <v>0</v>
      </c>
      <c r="BN72" s="432" t="n">
        <f aca="false">AH72^2</f>
        <v>0</v>
      </c>
      <c r="BO72" s="432" t="n">
        <f aca="false">AI72^2</f>
        <v>0</v>
      </c>
      <c r="BP72" s="432" t="n">
        <f aca="false">AJ72^2</f>
        <v>0</v>
      </c>
      <c r="BQ72" s="433" t="n">
        <f aca="false">-SIGN(AK72)*AK72^2</f>
        <v>0</v>
      </c>
    </row>
    <row r="73" customFormat="false" ht="12.75" hidden="false" customHeight="false" outlineLevel="0" collapsed="false">
      <c r="C73" s="354" t="s">
        <v>1026</v>
      </c>
      <c r="D73" s="290" t="n">
        <f aca="false">IF(F73="","",IF(H73="","",ROUND(F73-0.001*298.15*(H73-SUMPRODUCT(L73:AK73*AR$13:BQ$13)),3)))</f>
        <v>0</v>
      </c>
      <c r="E73" s="137" t="str">
        <f aca="false">IF(G73="","",IF(I73="","",ROUND(2*SQRT((0.5*G73)^2+(0.001*298.15)^2*((0.5*I73)^2+SUMPRODUCT(AR73:BQ73*AR$15:BQ$15))),3)))</f>
        <v/>
      </c>
      <c r="F73" s="300" t="s">
        <v>786</v>
      </c>
      <c r="G73" s="301"/>
      <c r="H73" s="300" t="s">
        <v>541</v>
      </c>
      <c r="I73" s="301" t="s">
        <v>2055</v>
      </c>
      <c r="K73" s="342" t="s">
        <v>1026</v>
      </c>
      <c r="L73" s="434"/>
      <c r="M73" s="435"/>
      <c r="N73" s="435"/>
      <c r="O73" s="435"/>
      <c r="P73" s="436"/>
      <c r="Q73" s="436"/>
      <c r="R73" s="436"/>
      <c r="S73" s="436"/>
      <c r="T73" s="436"/>
      <c r="U73" s="436"/>
      <c r="V73" s="436" t="n">
        <v>1</v>
      </c>
      <c r="W73" s="436"/>
      <c r="X73" s="436"/>
      <c r="Y73" s="436"/>
      <c r="Z73" s="436"/>
      <c r="AA73" s="436"/>
      <c r="AB73" s="436"/>
      <c r="AC73" s="436"/>
      <c r="AD73" s="436"/>
      <c r="AE73" s="436"/>
      <c r="AF73" s="436"/>
      <c r="AG73" s="436"/>
      <c r="AH73" s="436"/>
      <c r="AI73" s="437"/>
      <c r="AJ73" s="436"/>
      <c r="AK73" s="438"/>
      <c r="AQ73" s="342" t="s">
        <v>1026</v>
      </c>
      <c r="AR73" s="439" t="n">
        <f aca="false">L73^2</f>
        <v>0</v>
      </c>
      <c r="AS73" s="440" t="n">
        <f aca="false">M73^2</f>
        <v>0</v>
      </c>
      <c r="AT73" s="440" t="n">
        <f aca="false">N73^2</f>
        <v>0</v>
      </c>
      <c r="AU73" s="440" t="n">
        <f aca="false">O73^2</f>
        <v>0</v>
      </c>
      <c r="AV73" s="440" t="n">
        <f aca="false">P73^2</f>
        <v>0</v>
      </c>
      <c r="AW73" s="440" t="n">
        <f aca="false">Q73^2</f>
        <v>0</v>
      </c>
      <c r="AX73" s="440" t="n">
        <f aca="false">R73^2</f>
        <v>0</v>
      </c>
      <c r="AY73" s="440" t="n">
        <f aca="false">S73^2</f>
        <v>0</v>
      </c>
      <c r="AZ73" s="440" t="n">
        <f aca="false">T73^2</f>
        <v>0</v>
      </c>
      <c r="BA73" s="440" t="n">
        <f aca="false">U73^2</f>
        <v>0</v>
      </c>
      <c r="BB73" s="440" t="n">
        <f aca="false">V73^2</f>
        <v>1</v>
      </c>
      <c r="BC73" s="440" t="n">
        <f aca="false">W73^2</f>
        <v>0</v>
      </c>
      <c r="BD73" s="440" t="n">
        <f aca="false">X73^2</f>
        <v>0</v>
      </c>
      <c r="BE73" s="440" t="n">
        <f aca="false">Y73^2</f>
        <v>0</v>
      </c>
      <c r="BF73" s="440" t="n">
        <f aca="false">Z73^2</f>
        <v>0</v>
      </c>
      <c r="BG73" s="440" t="n">
        <f aca="false">AA73^2</f>
        <v>0</v>
      </c>
      <c r="BH73" s="440" t="n">
        <f aca="false">AB73^2</f>
        <v>0</v>
      </c>
      <c r="BI73" s="440" t="n">
        <f aca="false">AC73^2</f>
        <v>0</v>
      </c>
      <c r="BJ73" s="440" t="n">
        <f aca="false">AD73^2</f>
        <v>0</v>
      </c>
      <c r="BK73" s="440" t="n">
        <f aca="false">AE73^2</f>
        <v>0</v>
      </c>
      <c r="BL73" s="440" t="n">
        <f aca="false">AF73^2</f>
        <v>0</v>
      </c>
      <c r="BM73" s="440" t="n">
        <f aca="false">AG73^2</f>
        <v>0</v>
      </c>
      <c r="BN73" s="440" t="n">
        <f aca="false">AH73^2</f>
        <v>0</v>
      </c>
      <c r="BO73" s="440" t="n">
        <f aca="false">AI73^2</f>
        <v>0</v>
      </c>
      <c r="BP73" s="440" t="n">
        <f aca="false">AJ73^2</f>
        <v>0</v>
      </c>
      <c r="BQ73" s="441" t="n">
        <f aca="false">-SIGN(AK73)*AK73^2</f>
        <v>-0</v>
      </c>
    </row>
    <row r="74" customFormat="false" ht="12.75" hidden="false" customHeight="false" outlineLevel="0" collapsed="false">
      <c r="C74" s="345" t="s">
        <v>1027</v>
      </c>
      <c r="D74" s="290" t="n">
        <f aca="false">IF(F74="","",IF(H74="","",ROUND(F74-0.001*298.15*(H74-SUMPRODUCT(L74:AK74*AR$13:BQ$13)),3)))</f>
        <v>-228.587</v>
      </c>
      <c r="E74" s="137" t="n">
        <f aca="false">IF(G74="","",IF(I74="","",ROUND(2*SQRT((0.5*G74)^2+(0.001*298.15)^2*((0.5*I74)^2+SUMPRODUCT(AR74:BQ74*AR$15:BQ$15))),3)))</f>
        <v>0.045</v>
      </c>
      <c r="F74" s="291" t="s">
        <v>1669</v>
      </c>
      <c r="G74" s="292" t="s">
        <v>2057</v>
      </c>
      <c r="H74" s="291" t="s">
        <v>2051</v>
      </c>
      <c r="I74" s="292" t="s">
        <v>789</v>
      </c>
      <c r="K74" s="342" t="s">
        <v>1027</v>
      </c>
      <c r="L74" s="434"/>
      <c r="M74" s="435"/>
      <c r="N74" s="435"/>
      <c r="O74" s="435"/>
      <c r="P74" s="436"/>
      <c r="Q74" s="436"/>
      <c r="R74" s="436"/>
      <c r="S74" s="436"/>
      <c r="T74" s="436"/>
      <c r="U74" s="436"/>
      <c r="V74" s="436" t="n">
        <v>1</v>
      </c>
      <c r="W74" s="436"/>
      <c r="X74" s="436"/>
      <c r="Y74" s="436"/>
      <c r="Z74" s="436"/>
      <c r="AA74" s="436"/>
      <c r="AB74" s="436"/>
      <c r="AC74" s="436"/>
      <c r="AD74" s="436" t="n">
        <v>0.5</v>
      </c>
      <c r="AE74" s="436"/>
      <c r="AF74" s="436"/>
      <c r="AG74" s="436"/>
      <c r="AH74" s="436"/>
      <c r="AI74" s="437"/>
      <c r="AJ74" s="436"/>
      <c r="AK74" s="438"/>
      <c r="AQ74" s="342" t="s">
        <v>1027</v>
      </c>
      <c r="AR74" s="439" t="n">
        <f aca="false">L74^2</f>
        <v>0</v>
      </c>
      <c r="AS74" s="440" t="n">
        <f aca="false">M74^2</f>
        <v>0</v>
      </c>
      <c r="AT74" s="440" t="n">
        <f aca="false">N74^2</f>
        <v>0</v>
      </c>
      <c r="AU74" s="440" t="n">
        <f aca="false">O74^2</f>
        <v>0</v>
      </c>
      <c r="AV74" s="440" t="n">
        <f aca="false">P74^2</f>
        <v>0</v>
      </c>
      <c r="AW74" s="440" t="n">
        <f aca="false">Q74^2</f>
        <v>0</v>
      </c>
      <c r="AX74" s="440" t="n">
        <f aca="false">R74^2</f>
        <v>0</v>
      </c>
      <c r="AY74" s="440" t="n">
        <f aca="false">S74^2</f>
        <v>0</v>
      </c>
      <c r="AZ74" s="440" t="n">
        <f aca="false">T74^2</f>
        <v>0</v>
      </c>
      <c r="BA74" s="440" t="n">
        <f aca="false">U74^2</f>
        <v>0</v>
      </c>
      <c r="BB74" s="440" t="n">
        <f aca="false">V74^2</f>
        <v>1</v>
      </c>
      <c r="BC74" s="440" t="n">
        <f aca="false">W74^2</f>
        <v>0</v>
      </c>
      <c r="BD74" s="440" t="n">
        <f aca="false">X74^2</f>
        <v>0</v>
      </c>
      <c r="BE74" s="440" t="n">
        <f aca="false">Y74^2</f>
        <v>0</v>
      </c>
      <c r="BF74" s="440" t="n">
        <f aca="false">Z74^2</f>
        <v>0</v>
      </c>
      <c r="BG74" s="440" t="n">
        <f aca="false">AA74^2</f>
        <v>0</v>
      </c>
      <c r="BH74" s="440" t="n">
        <f aca="false">AB74^2</f>
        <v>0</v>
      </c>
      <c r="BI74" s="440" t="n">
        <f aca="false">AC74^2</f>
        <v>0</v>
      </c>
      <c r="BJ74" s="440" t="n">
        <f aca="false">AD74^2</f>
        <v>0.25</v>
      </c>
      <c r="BK74" s="440" t="n">
        <f aca="false">AE74^2</f>
        <v>0</v>
      </c>
      <c r="BL74" s="440" t="n">
        <f aca="false">AF74^2</f>
        <v>0</v>
      </c>
      <c r="BM74" s="440" t="n">
        <f aca="false">AG74^2</f>
        <v>0</v>
      </c>
      <c r="BN74" s="440" t="n">
        <f aca="false">AH74^2</f>
        <v>0</v>
      </c>
      <c r="BO74" s="440" t="n">
        <f aca="false">AI74^2</f>
        <v>0</v>
      </c>
      <c r="BP74" s="440" t="n">
        <f aca="false">AJ74^2</f>
        <v>0</v>
      </c>
      <c r="BQ74" s="441" t="n">
        <f aca="false">-SIGN(AK74)*AK74^2</f>
        <v>-0</v>
      </c>
    </row>
    <row r="75" customFormat="false" ht="13.5" hidden="false" customHeight="false" outlineLevel="0" collapsed="false">
      <c r="C75" s="375" t="s">
        <v>1031</v>
      </c>
      <c r="D75" s="305" t="n">
        <f aca="false">IF(F75="","",IF(H75="","",ROUND(F75-0.001*298.15*(H75-SUMPRODUCT(L75:AK75*AR$13:BQ$13)),3)))</f>
        <v>-394.375</v>
      </c>
      <c r="E75" s="145" t="n">
        <f aca="false">IF(G75="","",IF(I75="","",ROUND(2*SQRT((0.5*G75)^2+(0.001*298.15)^2*((0.5*I75)^2+SUMPRODUCT(AR75:BQ75*AR$15:BQ$15))),3)))</f>
        <v>0.136</v>
      </c>
      <c r="F75" s="306" t="s">
        <v>1032</v>
      </c>
      <c r="G75" s="307" t="s">
        <v>1033</v>
      </c>
      <c r="H75" s="306" t="s">
        <v>2052</v>
      </c>
      <c r="I75" s="307" t="s">
        <v>789</v>
      </c>
      <c r="K75" s="374" t="s">
        <v>1031</v>
      </c>
      <c r="L75" s="447"/>
      <c r="M75" s="448"/>
      <c r="N75" s="448"/>
      <c r="O75" s="448"/>
      <c r="P75" s="449" t="n">
        <v>1</v>
      </c>
      <c r="Q75" s="449"/>
      <c r="R75" s="449"/>
      <c r="S75" s="449"/>
      <c r="T75" s="449"/>
      <c r="U75" s="449"/>
      <c r="V75" s="449"/>
      <c r="W75" s="449"/>
      <c r="X75" s="449"/>
      <c r="Y75" s="449"/>
      <c r="Z75" s="449"/>
      <c r="AA75" s="449"/>
      <c r="AB75" s="449"/>
      <c r="AC75" s="449"/>
      <c r="AD75" s="449" t="n">
        <v>1</v>
      </c>
      <c r="AE75" s="449"/>
      <c r="AF75" s="449"/>
      <c r="AG75" s="449"/>
      <c r="AH75" s="449"/>
      <c r="AI75" s="450"/>
      <c r="AJ75" s="449"/>
      <c r="AK75" s="451"/>
      <c r="AQ75" s="374" t="s">
        <v>1031</v>
      </c>
      <c r="AR75" s="452" t="n">
        <f aca="false">L75^2</f>
        <v>0</v>
      </c>
      <c r="AS75" s="453" t="n">
        <f aca="false">M75^2</f>
        <v>0</v>
      </c>
      <c r="AT75" s="453" t="n">
        <f aca="false">N75^2</f>
        <v>0</v>
      </c>
      <c r="AU75" s="453" t="n">
        <f aca="false">O75^2</f>
        <v>0</v>
      </c>
      <c r="AV75" s="453" t="n">
        <f aca="false">P75^2</f>
        <v>1</v>
      </c>
      <c r="AW75" s="453" t="n">
        <f aca="false">Q75^2</f>
        <v>0</v>
      </c>
      <c r="AX75" s="453" t="n">
        <f aca="false">R75^2</f>
        <v>0</v>
      </c>
      <c r="AY75" s="453" t="n">
        <f aca="false">S75^2</f>
        <v>0</v>
      </c>
      <c r="AZ75" s="453" t="n">
        <f aca="false">T75^2</f>
        <v>0</v>
      </c>
      <c r="BA75" s="453" t="n">
        <f aca="false">U75^2</f>
        <v>0</v>
      </c>
      <c r="BB75" s="453" t="n">
        <f aca="false">V75^2</f>
        <v>0</v>
      </c>
      <c r="BC75" s="453" t="n">
        <f aca="false">W75^2</f>
        <v>0</v>
      </c>
      <c r="BD75" s="453" t="n">
        <f aca="false">X75^2</f>
        <v>0</v>
      </c>
      <c r="BE75" s="453" t="n">
        <f aca="false">Y75^2</f>
        <v>0</v>
      </c>
      <c r="BF75" s="453" t="n">
        <f aca="false">Z75^2</f>
        <v>0</v>
      </c>
      <c r="BG75" s="453" t="n">
        <f aca="false">AA75^2</f>
        <v>0</v>
      </c>
      <c r="BH75" s="453" t="n">
        <f aca="false">AB75^2</f>
        <v>0</v>
      </c>
      <c r="BI75" s="453" t="n">
        <f aca="false">AC75^2</f>
        <v>0</v>
      </c>
      <c r="BJ75" s="453" t="n">
        <f aca="false">AD75^2</f>
        <v>1</v>
      </c>
      <c r="BK75" s="453" t="n">
        <f aca="false">AE75^2</f>
        <v>0</v>
      </c>
      <c r="BL75" s="453" t="n">
        <f aca="false">AF75^2</f>
        <v>0</v>
      </c>
      <c r="BM75" s="453" t="n">
        <f aca="false">AG75^2</f>
        <v>0</v>
      </c>
      <c r="BN75" s="453" t="n">
        <f aca="false">AH75^2</f>
        <v>0</v>
      </c>
      <c r="BO75" s="453" t="n">
        <f aca="false">AI75^2</f>
        <v>0</v>
      </c>
      <c r="BP75" s="453" t="n">
        <f aca="false">AJ75^2</f>
        <v>0</v>
      </c>
      <c r="BQ75" s="454" t="n">
        <f aca="false">-SIGN(AK75)*AK75^2</f>
        <v>-0</v>
      </c>
    </row>
    <row r="76" customFormat="false" ht="12.75" hidden="false" customHeight="false" outlineLevel="0" collapsed="false">
      <c r="C76" s="112"/>
      <c r="D76" s="66"/>
      <c r="E76" s="66"/>
      <c r="F76" s="66"/>
      <c r="G76" s="66"/>
      <c r="H76" s="66"/>
      <c r="I76" s="66"/>
      <c r="K76" s="66"/>
      <c r="L76" s="66"/>
      <c r="M76" s="66"/>
      <c r="N76" s="66"/>
      <c r="O76" s="66"/>
      <c r="AQ76" s="66"/>
      <c r="AR76" s="66"/>
      <c r="AS76" s="66"/>
      <c r="AT76" s="66"/>
      <c r="AU76" s="66"/>
    </row>
    <row r="77" customFormat="false" ht="12.75" hidden="false" customHeight="false" outlineLevel="0" collapsed="false">
      <c r="C77" s="112"/>
      <c r="D77" s="66"/>
      <c r="E77" s="66"/>
      <c r="F77" s="66"/>
      <c r="G77" s="66"/>
      <c r="H77" s="66"/>
      <c r="I77" s="66"/>
      <c r="K77" s="66"/>
      <c r="L77" s="66"/>
      <c r="M77" s="66"/>
      <c r="N77" s="66"/>
      <c r="O77" s="66"/>
      <c r="AQ77" s="66"/>
      <c r="AR77" s="66"/>
      <c r="AS77" s="66"/>
      <c r="AT77" s="66"/>
      <c r="AU77" s="66"/>
    </row>
    <row r="78" customFormat="false" ht="14.25" hidden="false" customHeight="true" outlineLevel="0" collapsed="false">
      <c r="C78" s="112"/>
      <c r="D78" s="66"/>
      <c r="E78" s="66"/>
      <c r="F78" s="66"/>
      <c r="G78" s="66"/>
      <c r="H78" s="66"/>
      <c r="I78" s="66"/>
      <c r="K78" s="66"/>
      <c r="L78" s="66"/>
      <c r="M78" s="66"/>
      <c r="N78" s="66"/>
      <c r="O78" s="66"/>
      <c r="AQ78" s="66"/>
      <c r="AR78" s="66"/>
      <c r="AS78" s="66"/>
      <c r="AT78" s="66"/>
      <c r="AU78" s="66"/>
    </row>
    <row r="79" customFormat="false" ht="15" hidden="false" customHeight="false" outlineLevel="0" collapsed="false">
      <c r="B79" s="15"/>
      <c r="C79" s="15"/>
      <c r="D79" s="283" t="s">
        <v>779</v>
      </c>
      <c r="E79" s="284"/>
      <c r="F79" s="283" t="s">
        <v>780</v>
      </c>
      <c r="G79" s="284"/>
      <c r="H79" s="283" t="s">
        <v>781</v>
      </c>
      <c r="I79" s="284"/>
      <c r="K79" s="282"/>
      <c r="L79" s="282"/>
      <c r="M79" s="282"/>
      <c r="N79" s="282"/>
      <c r="O79" s="282"/>
      <c r="AQ79" s="282"/>
      <c r="AR79" s="282"/>
      <c r="AS79" s="282"/>
      <c r="AT79" s="282"/>
      <c r="AU79" s="282"/>
    </row>
    <row r="80" customFormat="false" ht="13.5" hidden="false" customHeight="false" outlineLevel="0" collapsed="false">
      <c r="B80" s="16"/>
      <c r="C80" s="16"/>
      <c r="D80" s="50"/>
      <c r="E80" s="50" t="s">
        <v>725</v>
      </c>
      <c r="F80" s="50"/>
      <c r="G80" s="50" t="s">
        <v>725</v>
      </c>
      <c r="H80" s="50"/>
      <c r="I80" s="50" t="s">
        <v>725</v>
      </c>
      <c r="K80" s="52"/>
      <c r="L80" s="52"/>
      <c r="M80" s="52"/>
      <c r="N80" s="52"/>
      <c r="O80" s="52"/>
      <c r="AQ80" s="52"/>
      <c r="AR80" s="52"/>
      <c r="AS80" s="52"/>
      <c r="AT80" s="52"/>
      <c r="AU80" s="52"/>
    </row>
    <row r="81" customFormat="false" ht="13.5" hidden="false" customHeight="false" outlineLevel="0" collapsed="false">
      <c r="B81" s="16" t="s">
        <v>1039</v>
      </c>
      <c r="C81" s="16" t="s">
        <v>1039</v>
      </c>
      <c r="D81" s="53" t="s">
        <v>726</v>
      </c>
      <c r="E81" s="53" t="s">
        <v>727</v>
      </c>
      <c r="F81" s="53" t="s">
        <v>726</v>
      </c>
      <c r="G81" s="53" t="s">
        <v>727</v>
      </c>
      <c r="H81" s="53" t="s">
        <v>726</v>
      </c>
      <c r="I81" s="53" t="s">
        <v>727</v>
      </c>
      <c r="K81" s="11"/>
      <c r="L81" s="412" t="s">
        <v>1193</v>
      </c>
      <c r="M81" s="413"/>
      <c r="N81" s="413"/>
      <c r="O81" s="413"/>
      <c r="P81" s="414"/>
      <c r="Q81" s="414"/>
      <c r="R81" s="414"/>
      <c r="S81" s="414"/>
      <c r="T81" s="414"/>
      <c r="U81" s="414"/>
      <c r="V81" s="414"/>
      <c r="W81" s="414"/>
      <c r="X81" s="414"/>
      <c r="Y81" s="414"/>
      <c r="Z81" s="414"/>
      <c r="AA81" s="414"/>
      <c r="AB81" s="414"/>
      <c r="AC81" s="414"/>
      <c r="AD81" s="414"/>
      <c r="AE81" s="414"/>
      <c r="AF81" s="414"/>
      <c r="AG81" s="414"/>
      <c r="AH81" s="414"/>
      <c r="AI81" s="414"/>
      <c r="AJ81" s="414"/>
      <c r="AK81" s="279"/>
      <c r="AQ81" s="11"/>
      <c r="AR81" s="412" t="s">
        <v>1193</v>
      </c>
      <c r="AS81" s="413"/>
      <c r="AT81" s="413"/>
      <c r="AU81" s="413"/>
      <c r="AV81" s="414"/>
      <c r="AW81" s="414"/>
      <c r="AX81" s="414"/>
      <c r="AY81" s="414"/>
      <c r="AZ81" s="414"/>
      <c r="BA81" s="414"/>
      <c r="BB81" s="414"/>
      <c r="BC81" s="414"/>
      <c r="BD81" s="414"/>
      <c r="BE81" s="414"/>
      <c r="BF81" s="414"/>
      <c r="BG81" s="414"/>
      <c r="BH81" s="414"/>
      <c r="BI81" s="414"/>
      <c r="BJ81" s="414"/>
      <c r="BK81" s="414"/>
      <c r="BL81" s="414"/>
      <c r="BM81" s="414"/>
      <c r="BN81" s="414"/>
      <c r="BO81" s="414"/>
      <c r="BP81" s="414"/>
      <c r="BQ81" s="279"/>
    </row>
    <row r="82" customFormat="false" ht="15" hidden="false" customHeight="false" outlineLevel="0" collapsed="false">
      <c r="B82" s="21" t="s">
        <v>1040</v>
      </c>
      <c r="C82" s="21" t="s">
        <v>783</v>
      </c>
      <c r="D82" s="55" t="s">
        <v>784</v>
      </c>
      <c r="E82" s="55" t="s">
        <v>784</v>
      </c>
      <c r="F82" s="55" t="s">
        <v>784</v>
      </c>
      <c r="G82" s="55" t="s">
        <v>784</v>
      </c>
      <c r="H82" s="55" t="s">
        <v>167</v>
      </c>
      <c r="I82" s="55" t="s">
        <v>167</v>
      </c>
      <c r="K82" s="415" t="s">
        <v>783</v>
      </c>
      <c r="L82" s="416" t="s">
        <v>32</v>
      </c>
      <c r="M82" s="417" t="s">
        <v>40</v>
      </c>
      <c r="N82" s="418" t="s">
        <v>41</v>
      </c>
      <c r="O82" s="418" t="s">
        <v>46</v>
      </c>
      <c r="P82" s="417" t="s">
        <v>48</v>
      </c>
      <c r="Q82" s="417" t="s">
        <v>49</v>
      </c>
      <c r="R82" s="418" t="s">
        <v>54</v>
      </c>
      <c r="S82" s="418" t="s">
        <v>59</v>
      </c>
      <c r="T82" s="418" t="s">
        <v>66</v>
      </c>
      <c r="U82" s="418" t="s">
        <v>68</v>
      </c>
      <c r="V82" s="418" t="s">
        <v>75</v>
      </c>
      <c r="W82" s="418" t="s">
        <v>82</v>
      </c>
      <c r="X82" s="418" t="s">
        <v>86</v>
      </c>
      <c r="Y82" s="418" t="s">
        <v>89</v>
      </c>
      <c r="Z82" s="417" t="s">
        <v>93</v>
      </c>
      <c r="AA82" s="418" t="s">
        <v>97</v>
      </c>
      <c r="AB82" s="418" t="s">
        <v>99</v>
      </c>
      <c r="AC82" s="417" t="s">
        <v>103</v>
      </c>
      <c r="AD82" s="418" t="s">
        <v>107</v>
      </c>
      <c r="AE82" s="417" t="s">
        <v>110</v>
      </c>
      <c r="AF82" s="418" t="s">
        <v>119</v>
      </c>
      <c r="AG82" s="418" t="s">
        <v>120</v>
      </c>
      <c r="AH82" s="418" t="s">
        <v>125</v>
      </c>
      <c r="AI82" s="417" t="s">
        <v>129</v>
      </c>
      <c r="AJ82" s="418" t="s">
        <v>132</v>
      </c>
      <c r="AK82" s="419" t="s">
        <v>1187</v>
      </c>
      <c r="AQ82" s="415" t="s">
        <v>783</v>
      </c>
      <c r="AR82" s="416" t="s">
        <v>32</v>
      </c>
      <c r="AS82" s="417" t="s">
        <v>40</v>
      </c>
      <c r="AT82" s="418" t="s">
        <v>41</v>
      </c>
      <c r="AU82" s="418" t="s">
        <v>46</v>
      </c>
      <c r="AV82" s="417" t="s">
        <v>48</v>
      </c>
      <c r="AW82" s="417" t="s">
        <v>49</v>
      </c>
      <c r="AX82" s="418" t="s">
        <v>54</v>
      </c>
      <c r="AY82" s="418" t="s">
        <v>59</v>
      </c>
      <c r="AZ82" s="418" t="s">
        <v>66</v>
      </c>
      <c r="BA82" s="418" t="s">
        <v>68</v>
      </c>
      <c r="BB82" s="418" t="s">
        <v>75</v>
      </c>
      <c r="BC82" s="418" t="s">
        <v>82</v>
      </c>
      <c r="BD82" s="418" t="s">
        <v>86</v>
      </c>
      <c r="BE82" s="418" t="s">
        <v>89</v>
      </c>
      <c r="BF82" s="417" t="s">
        <v>93</v>
      </c>
      <c r="BG82" s="418" t="s">
        <v>97</v>
      </c>
      <c r="BH82" s="418" t="s">
        <v>99</v>
      </c>
      <c r="BI82" s="417" t="s">
        <v>103</v>
      </c>
      <c r="BJ82" s="418" t="s">
        <v>107</v>
      </c>
      <c r="BK82" s="417" t="s">
        <v>110</v>
      </c>
      <c r="BL82" s="418" t="s">
        <v>119</v>
      </c>
      <c r="BM82" s="418" t="s">
        <v>120</v>
      </c>
      <c r="BN82" s="418" t="s">
        <v>125</v>
      </c>
      <c r="BO82" s="417" t="s">
        <v>129</v>
      </c>
      <c r="BP82" s="418" t="s">
        <v>132</v>
      </c>
      <c r="BQ82" s="419" t="s">
        <v>1187</v>
      </c>
    </row>
    <row r="83" customFormat="false" ht="12.75" hidden="false" customHeight="false" outlineLevel="0" collapsed="false">
      <c r="B83" s="335" t="s">
        <v>187</v>
      </c>
      <c r="C83" s="335" t="s">
        <v>187</v>
      </c>
      <c r="D83" s="285" t="n">
        <f aca="false">IF(F83="","",IF(H83="","",ROUND(F83-0.001*298.15*(H83-SUMPRODUCT(L83:AK83*AR$13:BQ$13)),3)))</f>
        <v>0</v>
      </c>
      <c r="E83" s="131" t="str">
        <f aca="false">IF(G83="","",IF(I83="","",ROUND(2*SQRT((0.5*G83)^2+(0.001*298.15)^2*((0.5*I83)^2+SUMPRODUCT(AR83:BQ83*AR$15:BQ$15))),3)))</f>
        <v/>
      </c>
      <c r="F83" s="336" t="s">
        <v>786</v>
      </c>
      <c r="G83" s="337"/>
      <c r="H83" s="336" t="s">
        <v>554</v>
      </c>
      <c r="I83" s="337" t="s">
        <v>761</v>
      </c>
      <c r="J83" s="133"/>
      <c r="K83" s="335" t="s">
        <v>187</v>
      </c>
      <c r="L83" s="426"/>
      <c r="M83" s="427"/>
      <c r="N83" s="427"/>
      <c r="O83" s="427"/>
      <c r="P83" s="428"/>
      <c r="Q83" s="428"/>
      <c r="R83" s="428"/>
      <c r="S83" s="428"/>
      <c r="T83" s="428"/>
      <c r="U83" s="428"/>
      <c r="V83" s="428"/>
      <c r="W83" s="428"/>
      <c r="X83" s="428"/>
      <c r="Y83" s="428"/>
      <c r="Z83" s="428"/>
      <c r="AA83" s="428"/>
      <c r="AB83" s="428"/>
      <c r="AC83" s="428"/>
      <c r="AD83" s="428"/>
      <c r="AE83" s="428" t="n">
        <v>1</v>
      </c>
      <c r="AF83" s="428"/>
      <c r="AG83" s="428"/>
      <c r="AH83" s="428"/>
      <c r="AI83" s="429"/>
      <c r="AJ83" s="428"/>
      <c r="AK83" s="430"/>
      <c r="AQ83" s="335" t="s">
        <v>187</v>
      </c>
      <c r="AR83" s="431" t="n">
        <f aca="false">L83^2</f>
        <v>0</v>
      </c>
      <c r="AS83" s="432" t="n">
        <f aca="false">M83^2</f>
        <v>0</v>
      </c>
      <c r="AT83" s="432" t="n">
        <f aca="false">N83^2</f>
        <v>0</v>
      </c>
      <c r="AU83" s="432" t="n">
        <f aca="false">O83^2</f>
        <v>0</v>
      </c>
      <c r="AV83" s="432" t="n">
        <f aca="false">P83^2</f>
        <v>0</v>
      </c>
      <c r="AW83" s="432" t="n">
        <f aca="false">Q83^2</f>
        <v>0</v>
      </c>
      <c r="AX83" s="432" t="n">
        <f aca="false">R83^2</f>
        <v>0</v>
      </c>
      <c r="AY83" s="432" t="n">
        <f aca="false">S83^2</f>
        <v>0</v>
      </c>
      <c r="AZ83" s="432" t="n">
        <f aca="false">T83^2</f>
        <v>0</v>
      </c>
      <c r="BA83" s="432" t="n">
        <f aca="false">U83^2</f>
        <v>0</v>
      </c>
      <c r="BB83" s="432" t="n">
        <f aca="false">V83^2</f>
        <v>0</v>
      </c>
      <c r="BC83" s="432" t="n">
        <f aca="false">W83^2</f>
        <v>0</v>
      </c>
      <c r="BD83" s="432" t="n">
        <f aca="false">X83^2</f>
        <v>0</v>
      </c>
      <c r="BE83" s="432" t="n">
        <f aca="false">Y83^2</f>
        <v>0</v>
      </c>
      <c r="BF83" s="432" t="n">
        <f aca="false">Z83^2</f>
        <v>0</v>
      </c>
      <c r="BG83" s="432" t="n">
        <f aca="false">AA83^2</f>
        <v>0</v>
      </c>
      <c r="BH83" s="432" t="n">
        <f aca="false">AB83^2</f>
        <v>0</v>
      </c>
      <c r="BI83" s="432" t="n">
        <f aca="false">AC83^2</f>
        <v>0</v>
      </c>
      <c r="BJ83" s="432" t="n">
        <f aca="false">AD83^2</f>
        <v>0</v>
      </c>
      <c r="BK83" s="432" t="n">
        <f aca="false">AE83^2</f>
        <v>1</v>
      </c>
      <c r="BL83" s="432" t="n">
        <f aca="false">AF83^2</f>
        <v>0</v>
      </c>
      <c r="BM83" s="432" t="n">
        <f aca="false">AG83^2</f>
        <v>0</v>
      </c>
      <c r="BN83" s="432" t="n">
        <f aca="false">AH83^2</f>
        <v>0</v>
      </c>
      <c r="BO83" s="432" t="n">
        <f aca="false">AI83^2</f>
        <v>0</v>
      </c>
      <c r="BP83" s="432" t="n">
        <f aca="false">AJ83^2</f>
        <v>0</v>
      </c>
      <c r="BQ83" s="433" t="n">
        <f aca="false">-SIGN(AK83)*AK83^2</f>
        <v>0</v>
      </c>
    </row>
    <row r="84" customFormat="false" ht="12.75" hidden="false" customHeight="false" outlineLevel="0" collapsed="false">
      <c r="B84" s="342" t="s">
        <v>188</v>
      </c>
      <c r="C84" s="342" t="s">
        <v>188</v>
      </c>
      <c r="D84" s="290" t="str">
        <f aca="false">IF(F84="","",IF(H84="","",ROUND(F84-0.001*298.15*(H84-SUMPRODUCT(L84:AK84*AR$13:BQ$13)),3)))</f>
        <v/>
      </c>
      <c r="E84" s="137" t="str">
        <f aca="false">IF(G84="","",IF(I84="","",ROUND(2*SQRT((0.5*G84)^2+(0.001*298.15)^2*((0.5*I84)^2+SUMPRODUCT(AR84:BQ84*AR$15:BQ$15))),3)))</f>
        <v/>
      </c>
      <c r="F84" s="291"/>
      <c r="G84" s="292"/>
      <c r="H84" s="295"/>
      <c r="I84" s="297"/>
      <c r="K84" s="342" t="s">
        <v>188</v>
      </c>
      <c r="L84" s="434"/>
      <c r="M84" s="435"/>
      <c r="N84" s="435"/>
      <c r="O84" s="435"/>
      <c r="P84" s="436"/>
      <c r="Q84" s="436"/>
      <c r="R84" s="436"/>
      <c r="S84" s="436"/>
      <c r="T84" s="436"/>
      <c r="U84" s="436"/>
      <c r="V84" s="436"/>
      <c r="W84" s="436"/>
      <c r="X84" s="436"/>
      <c r="Y84" s="436"/>
      <c r="Z84" s="436"/>
      <c r="AA84" s="436"/>
      <c r="AB84" s="436"/>
      <c r="AC84" s="436"/>
      <c r="AD84" s="436"/>
      <c r="AE84" s="436" t="n">
        <v>1</v>
      </c>
      <c r="AF84" s="436"/>
      <c r="AG84" s="436"/>
      <c r="AH84" s="436"/>
      <c r="AI84" s="437"/>
      <c r="AJ84" s="436"/>
      <c r="AK84" s="438"/>
      <c r="AQ84" s="342" t="s">
        <v>188</v>
      </c>
      <c r="AR84" s="439" t="n">
        <f aca="false">L84^2</f>
        <v>0</v>
      </c>
      <c r="AS84" s="440" t="n">
        <f aca="false">M84^2</f>
        <v>0</v>
      </c>
      <c r="AT84" s="440" t="n">
        <f aca="false">N84^2</f>
        <v>0</v>
      </c>
      <c r="AU84" s="440" t="n">
        <f aca="false">O84^2</f>
        <v>0</v>
      </c>
      <c r="AV84" s="440" t="n">
        <f aca="false">P84^2</f>
        <v>0</v>
      </c>
      <c r="AW84" s="440" t="n">
        <f aca="false">Q84^2</f>
        <v>0</v>
      </c>
      <c r="AX84" s="440" t="n">
        <f aca="false">R84^2</f>
        <v>0</v>
      </c>
      <c r="AY84" s="440" t="n">
        <f aca="false">S84^2</f>
        <v>0</v>
      </c>
      <c r="AZ84" s="440" t="n">
        <f aca="false">T84^2</f>
        <v>0</v>
      </c>
      <c r="BA84" s="440" t="n">
        <f aca="false">U84^2</f>
        <v>0</v>
      </c>
      <c r="BB84" s="440" t="n">
        <f aca="false">V84^2</f>
        <v>0</v>
      </c>
      <c r="BC84" s="440" t="n">
        <f aca="false">W84^2</f>
        <v>0</v>
      </c>
      <c r="BD84" s="440" t="n">
        <f aca="false">X84^2</f>
        <v>0</v>
      </c>
      <c r="BE84" s="440" t="n">
        <f aca="false">Y84^2</f>
        <v>0</v>
      </c>
      <c r="BF84" s="440" t="n">
        <f aca="false">Z84^2</f>
        <v>0</v>
      </c>
      <c r="BG84" s="440" t="n">
        <f aca="false">AA84^2</f>
        <v>0</v>
      </c>
      <c r="BH84" s="440" t="n">
        <f aca="false">AB84^2</f>
        <v>0</v>
      </c>
      <c r="BI84" s="440" t="n">
        <f aca="false">AC84^2</f>
        <v>0</v>
      </c>
      <c r="BJ84" s="440" t="n">
        <f aca="false">AD84^2</f>
        <v>0</v>
      </c>
      <c r="BK84" s="440" t="n">
        <f aca="false">AE84^2</f>
        <v>1</v>
      </c>
      <c r="BL84" s="440" t="n">
        <f aca="false">AF84^2</f>
        <v>0</v>
      </c>
      <c r="BM84" s="440" t="n">
        <f aca="false">AG84^2</f>
        <v>0</v>
      </c>
      <c r="BN84" s="440" t="n">
        <f aca="false">AH84^2</f>
        <v>0</v>
      </c>
      <c r="BO84" s="440" t="n">
        <f aca="false">AI84^2</f>
        <v>0</v>
      </c>
      <c r="BP84" s="440" t="n">
        <f aca="false">AJ84^2</f>
        <v>0</v>
      </c>
      <c r="BQ84" s="441" t="n">
        <f aca="false">-SIGN(AK84)*AK84^2</f>
        <v>-0</v>
      </c>
    </row>
    <row r="85" customFormat="false" ht="12.75" hidden="false" customHeight="false" outlineLevel="0" collapsed="false">
      <c r="B85" s="345" t="s">
        <v>1041</v>
      </c>
      <c r="C85" s="345" t="s">
        <v>1041</v>
      </c>
      <c r="D85" s="290" t="str">
        <f aca="false">IF(F85="","",IF(H85="","",ROUND(F85-0.001*298.15*(H85-SUMPRODUCT(L85:AK85*AR$13:BQ$13)),3)))</f>
        <v/>
      </c>
      <c r="E85" s="137" t="str">
        <f aca="false">IF(G85="","",IF(I85="","",ROUND(2*SQRT((0.5*G85)^2+(0.001*298.15)^2*((0.5*I85)^2+SUMPRODUCT(AR85:BQ85*AR$15:BQ$15))),3)))</f>
        <v/>
      </c>
      <c r="F85" s="291"/>
      <c r="G85" s="292"/>
      <c r="H85" s="291"/>
      <c r="I85" s="292"/>
      <c r="K85" s="342" t="s">
        <v>1041</v>
      </c>
      <c r="L85" s="434"/>
      <c r="M85" s="435"/>
      <c r="N85" s="435"/>
      <c r="O85" s="435"/>
      <c r="P85" s="436"/>
      <c r="Q85" s="436"/>
      <c r="R85" s="436"/>
      <c r="S85" s="436"/>
      <c r="T85" s="436"/>
      <c r="U85" s="436"/>
      <c r="V85" s="436"/>
      <c r="W85" s="436"/>
      <c r="X85" s="436"/>
      <c r="Y85" s="436"/>
      <c r="Z85" s="436"/>
      <c r="AA85" s="436"/>
      <c r="AB85" s="436"/>
      <c r="AC85" s="436"/>
      <c r="AD85" s="436" t="n">
        <v>5</v>
      </c>
      <c r="AE85" s="436" t="n">
        <v>4</v>
      </c>
      <c r="AF85" s="436"/>
      <c r="AG85" s="436"/>
      <c r="AH85" s="436"/>
      <c r="AI85" s="437"/>
      <c r="AJ85" s="436"/>
      <c r="AK85" s="438"/>
      <c r="AQ85" s="342" t="s">
        <v>1041</v>
      </c>
      <c r="AR85" s="439" t="n">
        <f aca="false">L85^2</f>
        <v>0</v>
      </c>
      <c r="AS85" s="440" t="n">
        <f aca="false">M85^2</f>
        <v>0</v>
      </c>
      <c r="AT85" s="440" t="n">
        <f aca="false">N85^2</f>
        <v>0</v>
      </c>
      <c r="AU85" s="440" t="n">
        <f aca="false">O85^2</f>
        <v>0</v>
      </c>
      <c r="AV85" s="440" t="n">
        <f aca="false">P85^2</f>
        <v>0</v>
      </c>
      <c r="AW85" s="440" t="n">
        <f aca="false">Q85^2</f>
        <v>0</v>
      </c>
      <c r="AX85" s="440" t="n">
        <f aca="false">R85^2</f>
        <v>0</v>
      </c>
      <c r="AY85" s="440" t="n">
        <f aca="false">S85^2</f>
        <v>0</v>
      </c>
      <c r="AZ85" s="440" t="n">
        <f aca="false">T85^2</f>
        <v>0</v>
      </c>
      <c r="BA85" s="440" t="n">
        <f aca="false">U85^2</f>
        <v>0</v>
      </c>
      <c r="BB85" s="440" t="n">
        <f aca="false">V85^2</f>
        <v>0</v>
      </c>
      <c r="BC85" s="440" t="n">
        <f aca="false">W85^2</f>
        <v>0</v>
      </c>
      <c r="BD85" s="440" t="n">
        <f aca="false">X85^2</f>
        <v>0</v>
      </c>
      <c r="BE85" s="440" t="n">
        <f aca="false">Y85^2</f>
        <v>0</v>
      </c>
      <c r="BF85" s="440" t="n">
        <f aca="false">Z85^2</f>
        <v>0</v>
      </c>
      <c r="BG85" s="440" t="n">
        <f aca="false">AA85^2</f>
        <v>0</v>
      </c>
      <c r="BH85" s="440" t="n">
        <f aca="false">AB85^2</f>
        <v>0</v>
      </c>
      <c r="BI85" s="440" t="n">
        <f aca="false">AC85^2</f>
        <v>0</v>
      </c>
      <c r="BJ85" s="440" t="n">
        <f aca="false">AD85^2</f>
        <v>25</v>
      </c>
      <c r="BK85" s="440" t="n">
        <f aca="false">AE85^2</f>
        <v>16</v>
      </c>
      <c r="BL85" s="440" t="n">
        <f aca="false">AF85^2</f>
        <v>0</v>
      </c>
      <c r="BM85" s="440" t="n">
        <f aca="false">AG85^2</f>
        <v>0</v>
      </c>
      <c r="BN85" s="440" t="n">
        <f aca="false">AH85^2</f>
        <v>0</v>
      </c>
      <c r="BO85" s="440" t="n">
        <f aca="false">AI85^2</f>
        <v>0</v>
      </c>
      <c r="BP85" s="440" t="n">
        <f aca="false">AJ85^2</f>
        <v>0</v>
      </c>
      <c r="BQ85" s="441" t="n">
        <f aca="false">-SIGN(AK85)*AK85^2</f>
        <v>-0</v>
      </c>
    </row>
    <row r="86" customFormat="false" ht="12.75" hidden="false" customHeight="false" outlineLevel="0" collapsed="false">
      <c r="A86" s="10"/>
      <c r="B86" s="342" t="s">
        <v>1042</v>
      </c>
      <c r="C86" s="345" t="s">
        <v>1043</v>
      </c>
      <c r="D86" s="290" t="n">
        <f aca="false">IF(F86="","",IF(H86="","",ROUND(F86-0.001*298.15*(H86-SUMPRODUCT(L86:AK86*AR$13:BQ$13)),3)))</f>
        <v>-856.321</v>
      </c>
      <c r="E86" s="137" t="n">
        <f aca="false">IF(G86="","",IF(I86="","",ROUND(2*SQRT((0.5*G86)^2+(0.001*298.15)^2*((0.5*I86)^2+SUMPRODUCT(AR86:BQ86*AR$15:BQ$15))),3)))</f>
        <v>1.002</v>
      </c>
      <c r="F86" s="291" t="s">
        <v>1044</v>
      </c>
      <c r="G86" s="292" t="s">
        <v>896</v>
      </c>
      <c r="H86" s="291" t="s">
        <v>1045</v>
      </c>
      <c r="I86" s="292" t="s">
        <v>728</v>
      </c>
      <c r="J86" s="10"/>
      <c r="K86" s="342" t="s">
        <v>1043</v>
      </c>
      <c r="L86" s="434"/>
      <c r="M86" s="435"/>
      <c r="N86" s="435"/>
      <c r="O86" s="435"/>
      <c r="P86" s="436"/>
      <c r="Q86" s="436"/>
      <c r="R86" s="436"/>
      <c r="S86" s="436"/>
      <c r="T86" s="436"/>
      <c r="U86" s="436"/>
      <c r="V86" s="436"/>
      <c r="W86" s="436"/>
      <c r="X86" s="436"/>
      <c r="Y86" s="436"/>
      <c r="Z86" s="436"/>
      <c r="AA86" s="436"/>
      <c r="AB86" s="436"/>
      <c r="AC86" s="436"/>
      <c r="AD86" s="436" t="n">
        <v>1</v>
      </c>
      <c r="AE86" s="436"/>
      <c r="AF86" s="436"/>
      <c r="AG86" s="436"/>
      <c r="AH86" s="436"/>
      <c r="AI86" s="437" t="n">
        <v>1</v>
      </c>
      <c r="AJ86" s="436"/>
      <c r="AK86" s="438"/>
      <c r="AQ86" s="342" t="s">
        <v>1043</v>
      </c>
      <c r="AR86" s="439" t="n">
        <f aca="false">L86^2</f>
        <v>0</v>
      </c>
      <c r="AS86" s="440" t="n">
        <f aca="false">M86^2</f>
        <v>0</v>
      </c>
      <c r="AT86" s="440" t="n">
        <f aca="false">N86^2</f>
        <v>0</v>
      </c>
      <c r="AU86" s="440" t="n">
        <f aca="false">O86^2</f>
        <v>0</v>
      </c>
      <c r="AV86" s="440" t="n">
        <f aca="false">P86^2</f>
        <v>0</v>
      </c>
      <c r="AW86" s="440" t="n">
        <f aca="false">Q86^2</f>
        <v>0</v>
      </c>
      <c r="AX86" s="440" t="n">
        <f aca="false">R86^2</f>
        <v>0</v>
      </c>
      <c r="AY86" s="440" t="n">
        <f aca="false">S86^2</f>
        <v>0</v>
      </c>
      <c r="AZ86" s="440" t="n">
        <f aca="false">T86^2</f>
        <v>0</v>
      </c>
      <c r="BA86" s="440" t="n">
        <f aca="false">U86^2</f>
        <v>0</v>
      </c>
      <c r="BB86" s="440" t="n">
        <f aca="false">V86^2</f>
        <v>0</v>
      </c>
      <c r="BC86" s="440" t="n">
        <f aca="false">W86^2</f>
        <v>0</v>
      </c>
      <c r="BD86" s="440" t="n">
        <f aca="false">X86^2</f>
        <v>0</v>
      </c>
      <c r="BE86" s="440" t="n">
        <f aca="false">Y86^2</f>
        <v>0</v>
      </c>
      <c r="BF86" s="440" t="n">
        <f aca="false">Z86^2</f>
        <v>0</v>
      </c>
      <c r="BG86" s="440" t="n">
        <f aca="false">AA86^2</f>
        <v>0</v>
      </c>
      <c r="BH86" s="440" t="n">
        <f aca="false">AB86^2</f>
        <v>0</v>
      </c>
      <c r="BI86" s="440" t="n">
        <f aca="false">AC86^2</f>
        <v>0</v>
      </c>
      <c r="BJ86" s="440" t="n">
        <f aca="false">AD86^2</f>
        <v>1</v>
      </c>
      <c r="BK86" s="440" t="n">
        <f aca="false">AE86^2</f>
        <v>0</v>
      </c>
      <c r="BL86" s="440" t="n">
        <f aca="false">AF86^2</f>
        <v>0</v>
      </c>
      <c r="BM86" s="440" t="n">
        <f aca="false">AG86^2</f>
        <v>0</v>
      </c>
      <c r="BN86" s="440" t="n">
        <f aca="false">AH86^2</f>
        <v>0</v>
      </c>
      <c r="BO86" s="440" t="n">
        <f aca="false">AI86^2</f>
        <v>1</v>
      </c>
      <c r="BP86" s="440" t="n">
        <f aca="false">AJ86^2</f>
        <v>0</v>
      </c>
      <c r="BQ86" s="441" t="n">
        <f aca="false">-SIGN(AK86)*AK86^2</f>
        <v>-0</v>
      </c>
    </row>
    <row r="87" customFormat="false" ht="12.75" hidden="false" customHeight="false" outlineLevel="0" collapsed="false">
      <c r="A87" s="10"/>
      <c r="B87" s="345" t="s">
        <v>1050</v>
      </c>
      <c r="C87" s="345" t="s">
        <v>1050</v>
      </c>
      <c r="D87" s="290" t="n">
        <f aca="false">IF(F87="","",IF(H87="","",ROUND(F87-0.001*298.15*(H87-SUMPRODUCT(L87:AK87*AR$13:BQ$13)),3)))</f>
        <v>-1194.375</v>
      </c>
      <c r="E87" s="137" t="n">
        <f aca="false">IF(G87="","",IF(I87="","",ROUND(2*SQRT((0.5*G87)^2+(0.001*298.15)^2*((0.5*I87)^2+SUMPRODUCT(AR87:BQ87*AR$15:BQ$15))),3)))</f>
        <v>1.404</v>
      </c>
      <c r="F87" s="291" t="s">
        <v>1051</v>
      </c>
      <c r="G87" s="292" t="s">
        <v>1052</v>
      </c>
      <c r="H87" s="291" t="s">
        <v>1053</v>
      </c>
      <c r="I87" s="292" t="s">
        <v>740</v>
      </c>
      <c r="J87" s="10"/>
      <c r="K87" s="342" t="s">
        <v>1050</v>
      </c>
      <c r="L87" s="434"/>
      <c r="M87" s="435" t="n">
        <v>2</v>
      </c>
      <c r="N87" s="435"/>
      <c r="O87" s="435"/>
      <c r="P87" s="436"/>
      <c r="Q87" s="436"/>
      <c r="R87" s="436"/>
      <c r="S87" s="436"/>
      <c r="T87" s="436"/>
      <c r="U87" s="436"/>
      <c r="V87" s="436"/>
      <c r="W87" s="436"/>
      <c r="X87" s="436"/>
      <c r="Y87" s="436"/>
      <c r="Z87" s="436"/>
      <c r="AA87" s="436"/>
      <c r="AB87" s="436"/>
      <c r="AC87" s="436"/>
      <c r="AD87" s="436" t="n">
        <v>1.5</v>
      </c>
      <c r="AE87" s="436"/>
      <c r="AF87" s="436"/>
      <c r="AG87" s="436"/>
      <c r="AH87" s="436"/>
      <c r="AI87" s="437"/>
      <c r="AJ87" s="436"/>
      <c r="AK87" s="438"/>
      <c r="AQ87" s="342" t="s">
        <v>1050</v>
      </c>
      <c r="AR87" s="439" t="n">
        <f aca="false">L87^2</f>
        <v>0</v>
      </c>
      <c r="AS87" s="440" t="n">
        <f aca="false">M87^2</f>
        <v>4</v>
      </c>
      <c r="AT87" s="440" t="n">
        <f aca="false">N87^2</f>
        <v>0</v>
      </c>
      <c r="AU87" s="440" t="n">
        <f aca="false">O87^2</f>
        <v>0</v>
      </c>
      <c r="AV87" s="440" t="n">
        <f aca="false">P87^2</f>
        <v>0</v>
      </c>
      <c r="AW87" s="440" t="n">
        <f aca="false">Q87^2</f>
        <v>0</v>
      </c>
      <c r="AX87" s="440" t="n">
        <f aca="false">R87^2</f>
        <v>0</v>
      </c>
      <c r="AY87" s="440" t="n">
        <f aca="false">S87^2</f>
        <v>0</v>
      </c>
      <c r="AZ87" s="440" t="n">
        <f aca="false">T87^2</f>
        <v>0</v>
      </c>
      <c r="BA87" s="440" t="n">
        <f aca="false">U87^2</f>
        <v>0</v>
      </c>
      <c r="BB87" s="440" t="n">
        <f aca="false">V87^2</f>
        <v>0</v>
      </c>
      <c r="BC87" s="440" t="n">
        <f aca="false">W87^2</f>
        <v>0</v>
      </c>
      <c r="BD87" s="440" t="n">
        <f aca="false">X87^2</f>
        <v>0</v>
      </c>
      <c r="BE87" s="440" t="n">
        <f aca="false">Y87^2</f>
        <v>0</v>
      </c>
      <c r="BF87" s="440" t="n">
        <f aca="false">Z87^2</f>
        <v>0</v>
      </c>
      <c r="BG87" s="440" t="n">
        <f aca="false">AA87^2</f>
        <v>0</v>
      </c>
      <c r="BH87" s="440" t="n">
        <f aca="false">AB87^2</f>
        <v>0</v>
      </c>
      <c r="BI87" s="440" t="n">
        <f aca="false">AC87^2</f>
        <v>0</v>
      </c>
      <c r="BJ87" s="440" t="n">
        <f aca="false">AD87^2</f>
        <v>2.25</v>
      </c>
      <c r="BK87" s="440" t="n">
        <f aca="false">AE87^2</f>
        <v>0</v>
      </c>
      <c r="BL87" s="440" t="n">
        <f aca="false">AF87^2</f>
        <v>0</v>
      </c>
      <c r="BM87" s="440" t="n">
        <f aca="false">AG87^2</f>
        <v>0</v>
      </c>
      <c r="BN87" s="440" t="n">
        <f aca="false">AH87^2</f>
        <v>0</v>
      </c>
      <c r="BO87" s="440" t="n">
        <f aca="false">AI87^2</f>
        <v>0</v>
      </c>
      <c r="BP87" s="440" t="n">
        <f aca="false">AJ87^2</f>
        <v>0</v>
      </c>
      <c r="BQ87" s="441" t="n">
        <f aca="false">-SIGN(AK87)*AK87^2</f>
        <v>-0</v>
      </c>
    </row>
    <row r="88" customFormat="false" ht="12.75" hidden="false" customHeight="false" outlineLevel="0" collapsed="false">
      <c r="A88" s="10"/>
      <c r="B88" s="345" t="s">
        <v>1058</v>
      </c>
      <c r="C88" s="345" t="s">
        <v>1059</v>
      </c>
      <c r="D88" s="290" t="str">
        <f aca="false">IF(F88="","",IF(H88="","",ROUND(F88-0.001*298.15*(H88-SUMPRODUCT(L88:AK88*AR$13:BQ$13)),3)))</f>
        <v/>
      </c>
      <c r="E88" s="137" t="str">
        <f aca="false">IF(G88="","",IF(I88="","",ROUND(2*SQRT((0.5*G88)^2+(0.001*298.15)^2*((0.5*I88)^2+SUMPRODUCT(AR88:BQ88*AR$15:BQ$15))),3)))</f>
        <v/>
      </c>
      <c r="F88" s="291"/>
      <c r="G88" s="292"/>
      <c r="H88" s="291"/>
      <c r="I88" s="292"/>
      <c r="J88" s="10"/>
      <c r="K88" s="342" t="s">
        <v>1059</v>
      </c>
      <c r="L88" s="434"/>
      <c r="M88" s="435" t="n">
        <v>1</v>
      </c>
      <c r="N88" s="435"/>
      <c r="O88" s="435"/>
      <c r="P88" s="436"/>
      <c r="Q88" s="436"/>
      <c r="R88" s="436"/>
      <c r="S88" s="436"/>
      <c r="T88" s="436"/>
      <c r="U88" s="436"/>
      <c r="V88" s="436" t="n">
        <v>1.5</v>
      </c>
      <c r="W88" s="436"/>
      <c r="X88" s="436"/>
      <c r="Y88" s="436"/>
      <c r="Z88" s="436"/>
      <c r="AA88" s="436"/>
      <c r="AB88" s="436"/>
      <c r="AC88" s="436"/>
      <c r="AD88" s="436" t="n">
        <v>1.5</v>
      </c>
      <c r="AE88" s="436"/>
      <c r="AF88" s="436"/>
      <c r="AG88" s="436"/>
      <c r="AH88" s="436"/>
      <c r="AI88" s="437"/>
      <c r="AJ88" s="436"/>
      <c r="AK88" s="438"/>
      <c r="AQ88" s="342" t="s">
        <v>1059</v>
      </c>
      <c r="AR88" s="439" t="n">
        <f aca="false">L88^2</f>
        <v>0</v>
      </c>
      <c r="AS88" s="440" t="n">
        <f aca="false">M88^2</f>
        <v>1</v>
      </c>
      <c r="AT88" s="440" t="n">
        <f aca="false">N88^2</f>
        <v>0</v>
      </c>
      <c r="AU88" s="440" t="n">
        <f aca="false">O88^2</f>
        <v>0</v>
      </c>
      <c r="AV88" s="440" t="n">
        <f aca="false">P88^2</f>
        <v>0</v>
      </c>
      <c r="AW88" s="440" t="n">
        <f aca="false">Q88^2</f>
        <v>0</v>
      </c>
      <c r="AX88" s="440" t="n">
        <f aca="false">R88^2</f>
        <v>0</v>
      </c>
      <c r="AY88" s="440" t="n">
        <f aca="false">S88^2</f>
        <v>0</v>
      </c>
      <c r="AZ88" s="440" t="n">
        <f aca="false">T88^2</f>
        <v>0</v>
      </c>
      <c r="BA88" s="440" t="n">
        <f aca="false">U88^2</f>
        <v>0</v>
      </c>
      <c r="BB88" s="440" t="n">
        <f aca="false">V88^2</f>
        <v>2.25</v>
      </c>
      <c r="BC88" s="440" t="n">
        <f aca="false">W88^2</f>
        <v>0</v>
      </c>
      <c r="BD88" s="440" t="n">
        <f aca="false">X88^2</f>
        <v>0</v>
      </c>
      <c r="BE88" s="440" t="n">
        <f aca="false">Y88^2</f>
        <v>0</v>
      </c>
      <c r="BF88" s="440" t="n">
        <f aca="false">Z88^2</f>
        <v>0</v>
      </c>
      <c r="BG88" s="440" t="n">
        <f aca="false">AA88^2</f>
        <v>0</v>
      </c>
      <c r="BH88" s="440" t="n">
        <f aca="false">AB88^2</f>
        <v>0</v>
      </c>
      <c r="BI88" s="440" t="n">
        <f aca="false">AC88^2</f>
        <v>0</v>
      </c>
      <c r="BJ88" s="440" t="n">
        <f aca="false">AD88^2</f>
        <v>2.25</v>
      </c>
      <c r="BK88" s="440" t="n">
        <f aca="false">AE88^2</f>
        <v>0</v>
      </c>
      <c r="BL88" s="440" t="n">
        <f aca="false">AF88^2</f>
        <v>0</v>
      </c>
      <c r="BM88" s="440" t="n">
        <f aca="false">AG88^2</f>
        <v>0</v>
      </c>
      <c r="BN88" s="440" t="n">
        <f aca="false">AH88^2</f>
        <v>0</v>
      </c>
      <c r="BO88" s="440" t="n">
        <f aca="false">AI88^2</f>
        <v>0</v>
      </c>
      <c r="BP88" s="440" t="n">
        <f aca="false">AJ88^2</f>
        <v>0</v>
      </c>
      <c r="BQ88" s="441" t="n">
        <f aca="false">-SIGN(AK88)*AK88^2</f>
        <v>-0</v>
      </c>
    </row>
    <row r="89" customFormat="false" ht="12.75" hidden="false" customHeight="false" outlineLevel="0" collapsed="false">
      <c r="B89" s="342" t="s">
        <v>1066</v>
      </c>
      <c r="C89" s="345" t="s">
        <v>1067</v>
      </c>
      <c r="D89" s="290" t="n">
        <f aca="false">IF(F89="","",IF(H89="","",ROUND(F89-0.001*298.15*(H89-SUMPRODUCT(L89:AK89*AR$13:BQ$13)),3)))</f>
        <v>-1582.309</v>
      </c>
      <c r="E89" s="137" t="n">
        <f aca="false">IF(G89="","",IF(I89="","",ROUND(2*SQRT((0.5*G89)^2+(0.001*298.15)^2*((0.5*I89)^2+SUMPRODUCT(AR89:BQ89*AR$15:BQ$15))),3)))</f>
        <v>1.302</v>
      </c>
      <c r="F89" s="291" t="s">
        <v>1068</v>
      </c>
      <c r="G89" s="292" t="s">
        <v>265</v>
      </c>
      <c r="H89" s="291" t="s">
        <v>1069</v>
      </c>
      <c r="I89" s="292" t="s">
        <v>730</v>
      </c>
      <c r="J89" s="10"/>
      <c r="K89" s="342" t="s">
        <v>1067</v>
      </c>
      <c r="L89" s="434" t="n">
        <v>2</v>
      </c>
      <c r="M89" s="435"/>
      <c r="N89" s="435"/>
      <c r="O89" s="435"/>
      <c r="P89" s="436"/>
      <c r="Q89" s="436"/>
      <c r="R89" s="436"/>
      <c r="S89" s="436"/>
      <c r="T89" s="436"/>
      <c r="U89" s="436"/>
      <c r="V89" s="436"/>
      <c r="W89" s="436"/>
      <c r="X89" s="436"/>
      <c r="Y89" s="436"/>
      <c r="Z89" s="436"/>
      <c r="AA89" s="436"/>
      <c r="AB89" s="436"/>
      <c r="AC89" s="436"/>
      <c r="AD89" s="436" t="n">
        <v>1.5</v>
      </c>
      <c r="AE89" s="436"/>
      <c r="AF89" s="436"/>
      <c r="AG89" s="436"/>
      <c r="AH89" s="436"/>
      <c r="AI89" s="437"/>
      <c r="AJ89" s="436"/>
      <c r="AK89" s="438"/>
      <c r="AQ89" s="342" t="s">
        <v>1067</v>
      </c>
      <c r="AR89" s="439" t="n">
        <f aca="false">L89^2</f>
        <v>4</v>
      </c>
      <c r="AS89" s="440" t="n">
        <f aca="false">M89^2</f>
        <v>0</v>
      </c>
      <c r="AT89" s="440" t="n">
        <f aca="false">N89^2</f>
        <v>0</v>
      </c>
      <c r="AU89" s="440" t="n">
        <f aca="false">O89^2</f>
        <v>0</v>
      </c>
      <c r="AV89" s="440" t="n">
        <f aca="false">P89^2</f>
        <v>0</v>
      </c>
      <c r="AW89" s="440" t="n">
        <f aca="false">Q89^2</f>
        <v>0</v>
      </c>
      <c r="AX89" s="440" t="n">
        <f aca="false">R89^2</f>
        <v>0</v>
      </c>
      <c r="AY89" s="440" t="n">
        <f aca="false">S89^2</f>
        <v>0</v>
      </c>
      <c r="AZ89" s="440" t="n">
        <f aca="false">T89^2</f>
        <v>0</v>
      </c>
      <c r="BA89" s="440" t="n">
        <f aca="false">U89^2</f>
        <v>0</v>
      </c>
      <c r="BB89" s="440" t="n">
        <f aca="false">V89^2</f>
        <v>0</v>
      </c>
      <c r="BC89" s="440" t="n">
        <f aca="false">W89^2</f>
        <v>0</v>
      </c>
      <c r="BD89" s="440" t="n">
        <f aca="false">X89^2</f>
        <v>0</v>
      </c>
      <c r="BE89" s="440" t="n">
        <f aca="false">Y89^2</f>
        <v>0</v>
      </c>
      <c r="BF89" s="440" t="n">
        <f aca="false">Z89^2</f>
        <v>0</v>
      </c>
      <c r="BG89" s="440" t="n">
        <f aca="false">AA89^2</f>
        <v>0</v>
      </c>
      <c r="BH89" s="440" t="n">
        <f aca="false">AB89^2</f>
        <v>0</v>
      </c>
      <c r="BI89" s="440" t="n">
        <f aca="false">AC89^2</f>
        <v>0</v>
      </c>
      <c r="BJ89" s="440" t="n">
        <f aca="false">AD89^2</f>
        <v>2.25</v>
      </c>
      <c r="BK89" s="440" t="n">
        <f aca="false">AE89^2</f>
        <v>0</v>
      </c>
      <c r="BL89" s="440" t="n">
        <f aca="false">AF89^2</f>
        <v>0</v>
      </c>
      <c r="BM89" s="440" t="n">
        <f aca="false">AG89^2</f>
        <v>0</v>
      </c>
      <c r="BN89" s="440" t="n">
        <f aca="false">AH89^2</f>
        <v>0</v>
      </c>
      <c r="BO89" s="440" t="n">
        <f aca="false">AI89^2</f>
        <v>0</v>
      </c>
      <c r="BP89" s="440" t="n">
        <f aca="false">AJ89^2</f>
        <v>0</v>
      </c>
      <c r="BQ89" s="441" t="n">
        <f aca="false">-SIGN(AK89)*AK89^2</f>
        <v>-0</v>
      </c>
    </row>
    <row r="90" customFormat="false" ht="12.75" hidden="false" customHeight="false" outlineLevel="0" collapsed="false">
      <c r="B90" s="342" t="s">
        <v>1075</v>
      </c>
      <c r="C90" s="345" t="s">
        <v>1076</v>
      </c>
      <c r="D90" s="290" t="str">
        <f aca="false">IF(F90="","",IF(H90="","",ROUND(F90-0.001*298.15*(H90-SUMPRODUCT(L90:AK90*AR$13:BQ$13)),3)))</f>
        <v/>
      </c>
      <c r="E90" s="137" t="str">
        <f aca="false">IF(G90="","",IF(I90="","",ROUND(2*SQRT((0.5*G90)^2+(0.001*298.15)^2*((0.5*I90)^2+SUMPRODUCT(AR90:BQ90*AR$15:BQ$15))),3)))</f>
        <v/>
      </c>
      <c r="F90" s="291"/>
      <c r="G90" s="292"/>
      <c r="H90" s="291"/>
      <c r="I90" s="292"/>
      <c r="J90" s="10"/>
      <c r="K90" s="342" t="s">
        <v>1076</v>
      </c>
      <c r="L90" s="434" t="n">
        <v>1</v>
      </c>
      <c r="M90" s="435"/>
      <c r="N90" s="435"/>
      <c r="O90" s="435"/>
      <c r="P90" s="436"/>
      <c r="Q90" s="436"/>
      <c r="R90" s="436"/>
      <c r="S90" s="436"/>
      <c r="T90" s="436"/>
      <c r="U90" s="436"/>
      <c r="V90" s="436" t="n">
        <v>1.5</v>
      </c>
      <c r="W90" s="436"/>
      <c r="X90" s="436"/>
      <c r="Y90" s="436"/>
      <c r="Z90" s="436"/>
      <c r="AA90" s="436"/>
      <c r="AB90" s="436"/>
      <c r="AC90" s="436"/>
      <c r="AD90" s="436" t="n">
        <v>1.5</v>
      </c>
      <c r="AE90" s="436"/>
      <c r="AF90" s="436"/>
      <c r="AG90" s="436"/>
      <c r="AH90" s="436"/>
      <c r="AI90" s="437"/>
      <c r="AJ90" s="436"/>
      <c r="AK90" s="438"/>
      <c r="AQ90" s="342" t="s">
        <v>1076</v>
      </c>
      <c r="AR90" s="439" t="n">
        <f aca="false">L90^2</f>
        <v>1</v>
      </c>
      <c r="AS90" s="440" t="n">
        <f aca="false">M90^2</f>
        <v>0</v>
      </c>
      <c r="AT90" s="440" t="n">
        <f aca="false">N90^2</f>
        <v>0</v>
      </c>
      <c r="AU90" s="440" t="n">
        <f aca="false">O90^2</f>
        <v>0</v>
      </c>
      <c r="AV90" s="440" t="n">
        <f aca="false">P90^2</f>
        <v>0</v>
      </c>
      <c r="AW90" s="440" t="n">
        <f aca="false">Q90^2</f>
        <v>0</v>
      </c>
      <c r="AX90" s="440" t="n">
        <f aca="false">R90^2</f>
        <v>0</v>
      </c>
      <c r="AY90" s="440" t="n">
        <f aca="false">S90^2</f>
        <v>0</v>
      </c>
      <c r="AZ90" s="440" t="n">
        <f aca="false">T90^2</f>
        <v>0</v>
      </c>
      <c r="BA90" s="440" t="n">
        <f aca="false">U90^2</f>
        <v>0</v>
      </c>
      <c r="BB90" s="440" t="n">
        <f aca="false">V90^2</f>
        <v>2.25</v>
      </c>
      <c r="BC90" s="440" t="n">
        <f aca="false">W90^2</f>
        <v>0</v>
      </c>
      <c r="BD90" s="440" t="n">
        <f aca="false">X90^2</f>
        <v>0</v>
      </c>
      <c r="BE90" s="440" t="n">
        <f aca="false">Y90^2</f>
        <v>0</v>
      </c>
      <c r="BF90" s="440" t="n">
        <f aca="false">Z90^2</f>
        <v>0</v>
      </c>
      <c r="BG90" s="440" t="n">
        <f aca="false">AA90^2</f>
        <v>0</v>
      </c>
      <c r="BH90" s="440" t="n">
        <f aca="false">AB90^2</f>
        <v>0</v>
      </c>
      <c r="BI90" s="440" t="n">
        <f aca="false">AC90^2</f>
        <v>0</v>
      </c>
      <c r="BJ90" s="440" t="n">
        <f aca="false">AD90^2</f>
        <v>2.25</v>
      </c>
      <c r="BK90" s="440" t="n">
        <f aca="false">AE90^2</f>
        <v>0</v>
      </c>
      <c r="BL90" s="440" t="n">
        <f aca="false">AF90^2</f>
        <v>0</v>
      </c>
      <c r="BM90" s="440" t="n">
        <f aca="false">AG90^2</f>
        <v>0</v>
      </c>
      <c r="BN90" s="440" t="n">
        <f aca="false">AH90^2</f>
        <v>0</v>
      </c>
      <c r="BO90" s="440" t="n">
        <f aca="false">AI90^2</f>
        <v>0</v>
      </c>
      <c r="BP90" s="440" t="n">
        <f aca="false">AJ90^2</f>
        <v>0</v>
      </c>
      <c r="BQ90" s="441" t="n">
        <f aca="false">-SIGN(AK90)*AK90^2</f>
        <v>-0</v>
      </c>
    </row>
    <row r="91" customFormat="false" ht="12.75" hidden="false" customHeight="false" outlineLevel="0" collapsed="false">
      <c r="B91" s="342" t="s">
        <v>1080</v>
      </c>
      <c r="C91" s="345" t="s">
        <v>1080</v>
      </c>
      <c r="D91" s="290" t="str">
        <f aca="false">IF(F91="","",IF(H91="","",ROUND(F91-0.001*298.15*(H91-SUMPRODUCT(L91:AK91*AR$13:BQ$13)),3)))</f>
        <v/>
      </c>
      <c r="E91" s="137" t="str">
        <f aca="false">IF(G91="","",IF(I91="","",ROUND(2*SQRT((0.5*G91)^2+(0.001*298.15)^2*((0.5*I91)^2+SUMPRODUCT(AR91:BQ91*AR$15:BQ$15))),3)))</f>
        <v/>
      </c>
      <c r="F91" s="291"/>
      <c r="G91" s="292"/>
      <c r="H91" s="291"/>
      <c r="I91" s="292"/>
      <c r="J91" s="133"/>
      <c r="K91" s="342" t="s">
        <v>1080</v>
      </c>
      <c r="L91" s="434" t="n">
        <v>1</v>
      </c>
      <c r="M91" s="435"/>
      <c r="N91" s="435"/>
      <c r="O91" s="435"/>
      <c r="P91" s="436"/>
      <c r="Q91" s="436"/>
      <c r="R91" s="436" t="n">
        <v>1.5</v>
      </c>
      <c r="S91" s="436"/>
      <c r="T91" s="436"/>
      <c r="U91" s="436"/>
      <c r="V91" s="436" t="n">
        <v>6</v>
      </c>
      <c r="W91" s="436"/>
      <c r="X91" s="436"/>
      <c r="Y91" s="436"/>
      <c r="Z91" s="436"/>
      <c r="AA91" s="436"/>
      <c r="AB91" s="436"/>
      <c r="AC91" s="436"/>
      <c r="AD91" s="436" t="n">
        <v>3</v>
      </c>
      <c r="AE91" s="436"/>
      <c r="AF91" s="436"/>
      <c r="AG91" s="436"/>
      <c r="AH91" s="436"/>
      <c r="AI91" s="437"/>
      <c r="AJ91" s="436"/>
      <c r="AK91" s="438"/>
      <c r="AQ91" s="342" t="s">
        <v>1080</v>
      </c>
      <c r="AR91" s="439" t="n">
        <f aca="false">L91^2</f>
        <v>1</v>
      </c>
      <c r="AS91" s="440" t="n">
        <f aca="false">M91^2</f>
        <v>0</v>
      </c>
      <c r="AT91" s="440" t="n">
        <f aca="false">N91^2</f>
        <v>0</v>
      </c>
      <c r="AU91" s="440" t="n">
        <f aca="false">O91^2</f>
        <v>0</v>
      </c>
      <c r="AV91" s="440" t="n">
        <f aca="false">P91^2</f>
        <v>0</v>
      </c>
      <c r="AW91" s="440" t="n">
        <f aca="false">Q91^2</f>
        <v>0</v>
      </c>
      <c r="AX91" s="440" t="n">
        <f aca="false">R91^2</f>
        <v>2.25</v>
      </c>
      <c r="AY91" s="440" t="n">
        <f aca="false">S91^2</f>
        <v>0</v>
      </c>
      <c r="AZ91" s="440" t="n">
        <f aca="false">T91^2</f>
        <v>0</v>
      </c>
      <c r="BA91" s="440" t="n">
        <f aca="false">U91^2</f>
        <v>0</v>
      </c>
      <c r="BB91" s="440" t="n">
        <f aca="false">V91^2</f>
        <v>36</v>
      </c>
      <c r="BC91" s="440" t="n">
        <f aca="false">W91^2</f>
        <v>0</v>
      </c>
      <c r="BD91" s="440" t="n">
        <f aca="false">X91^2</f>
        <v>0</v>
      </c>
      <c r="BE91" s="440" t="n">
        <f aca="false">Y91^2</f>
        <v>0</v>
      </c>
      <c r="BF91" s="440" t="n">
        <f aca="false">Z91^2</f>
        <v>0</v>
      </c>
      <c r="BG91" s="440" t="n">
        <f aca="false">AA91^2</f>
        <v>0</v>
      </c>
      <c r="BH91" s="440" t="n">
        <f aca="false">AB91^2</f>
        <v>0</v>
      </c>
      <c r="BI91" s="440" t="n">
        <f aca="false">AC91^2</f>
        <v>0</v>
      </c>
      <c r="BJ91" s="440" t="n">
        <f aca="false">AD91^2</f>
        <v>9</v>
      </c>
      <c r="BK91" s="440" t="n">
        <f aca="false">AE91^2</f>
        <v>0</v>
      </c>
      <c r="BL91" s="440" t="n">
        <f aca="false">AF91^2</f>
        <v>0</v>
      </c>
      <c r="BM91" s="440" t="n">
        <f aca="false">AG91^2</f>
        <v>0</v>
      </c>
      <c r="BN91" s="440" t="n">
        <f aca="false">AH91^2</f>
        <v>0</v>
      </c>
      <c r="BO91" s="440" t="n">
        <f aca="false">AI91^2</f>
        <v>0</v>
      </c>
      <c r="BP91" s="440" t="n">
        <f aca="false">AJ91^2</f>
        <v>0</v>
      </c>
      <c r="BQ91" s="441" t="n">
        <f aca="false">-SIGN(AK91)*AK91^2</f>
        <v>-0</v>
      </c>
    </row>
    <row r="92" customFormat="false" ht="12.75" hidden="false" customHeight="false" outlineLevel="0" collapsed="false">
      <c r="B92" s="342" t="s">
        <v>1084</v>
      </c>
      <c r="C92" s="345" t="s">
        <v>1085</v>
      </c>
      <c r="D92" s="290" t="str">
        <f aca="false">IF(F92="","",IF(H92="","",ROUND(F92-0.001*298.15*(H92-SUMPRODUCT(L92:AK92*AR$13:BQ$13)),3)))</f>
        <v/>
      </c>
      <c r="E92" s="137" t="str">
        <f aca="false">IF(G92="","",IF(I92="","",ROUND(2*SQRT((0.5*G92)^2+(0.001*298.15)^2*((0.5*I92)^2+SUMPRODUCT(AR92:BQ92*AR$15:BQ$15))),3)))</f>
        <v/>
      </c>
      <c r="F92" s="347"/>
      <c r="G92" s="348"/>
      <c r="H92" s="347"/>
      <c r="I92" s="348"/>
      <c r="J92" s="133"/>
      <c r="K92" s="342" t="s">
        <v>1085</v>
      </c>
      <c r="L92" s="434" t="n">
        <v>2</v>
      </c>
      <c r="M92" s="435"/>
      <c r="N92" s="435"/>
      <c r="O92" s="435"/>
      <c r="P92" s="436"/>
      <c r="Q92" s="436"/>
      <c r="R92" s="436"/>
      <c r="S92" s="436"/>
      <c r="T92" s="436"/>
      <c r="U92" s="436"/>
      <c r="V92" s="436"/>
      <c r="W92" s="436"/>
      <c r="X92" s="436"/>
      <c r="Y92" s="436"/>
      <c r="Z92" s="436"/>
      <c r="AA92" s="436"/>
      <c r="AB92" s="436"/>
      <c r="AC92" s="436"/>
      <c r="AD92" s="436" t="n">
        <v>2.5</v>
      </c>
      <c r="AE92" s="436"/>
      <c r="AF92" s="436"/>
      <c r="AG92" s="436"/>
      <c r="AH92" s="436"/>
      <c r="AI92" s="437" t="n">
        <v>1</v>
      </c>
      <c r="AJ92" s="436"/>
      <c r="AK92" s="438"/>
      <c r="AQ92" s="342" t="s">
        <v>1085</v>
      </c>
      <c r="AR92" s="439" t="n">
        <f aca="false">L92^2</f>
        <v>4</v>
      </c>
      <c r="AS92" s="440" t="n">
        <f aca="false">M92^2</f>
        <v>0</v>
      </c>
      <c r="AT92" s="440" t="n">
        <f aca="false">N92^2</f>
        <v>0</v>
      </c>
      <c r="AU92" s="440" t="n">
        <f aca="false">O92^2</f>
        <v>0</v>
      </c>
      <c r="AV92" s="440" t="n">
        <f aca="false">P92^2</f>
        <v>0</v>
      </c>
      <c r="AW92" s="440" t="n">
        <f aca="false">Q92^2</f>
        <v>0</v>
      </c>
      <c r="AX92" s="440" t="n">
        <f aca="false">R92^2</f>
        <v>0</v>
      </c>
      <c r="AY92" s="440" t="n">
        <f aca="false">S92^2</f>
        <v>0</v>
      </c>
      <c r="AZ92" s="440" t="n">
        <f aca="false">T92^2</f>
        <v>0</v>
      </c>
      <c r="BA92" s="440" t="n">
        <f aca="false">U92^2</f>
        <v>0</v>
      </c>
      <c r="BB92" s="440" t="n">
        <f aca="false">V92^2</f>
        <v>0</v>
      </c>
      <c r="BC92" s="440" t="n">
        <f aca="false">W92^2</f>
        <v>0</v>
      </c>
      <c r="BD92" s="440" t="n">
        <f aca="false">X92^2</f>
        <v>0</v>
      </c>
      <c r="BE92" s="440" t="n">
        <f aca="false">Y92^2</f>
        <v>0</v>
      </c>
      <c r="BF92" s="440" t="n">
        <f aca="false">Z92^2</f>
        <v>0</v>
      </c>
      <c r="BG92" s="440" t="n">
        <f aca="false">AA92^2</f>
        <v>0</v>
      </c>
      <c r="BH92" s="440" t="n">
        <f aca="false">AB92^2</f>
        <v>0</v>
      </c>
      <c r="BI92" s="440" t="n">
        <f aca="false">AC92^2</f>
        <v>0</v>
      </c>
      <c r="BJ92" s="440" t="n">
        <f aca="false">AD92^2</f>
        <v>6.25</v>
      </c>
      <c r="BK92" s="440" t="n">
        <f aca="false">AE92^2</f>
        <v>0</v>
      </c>
      <c r="BL92" s="440" t="n">
        <f aca="false">AF92^2</f>
        <v>0</v>
      </c>
      <c r="BM92" s="440" t="n">
        <f aca="false">AG92^2</f>
        <v>0</v>
      </c>
      <c r="BN92" s="440" t="n">
        <f aca="false">AH92^2</f>
        <v>0</v>
      </c>
      <c r="BO92" s="440" t="n">
        <f aca="false">AI92^2</f>
        <v>1</v>
      </c>
      <c r="BP92" s="440" t="n">
        <f aca="false">AJ92^2</f>
        <v>0</v>
      </c>
      <c r="BQ92" s="441" t="n">
        <f aca="false">-SIGN(AK92)*AK92^2</f>
        <v>-0</v>
      </c>
    </row>
    <row r="93" customFormat="false" ht="12.75" hidden="false" customHeight="false" outlineLevel="0" collapsed="false">
      <c r="B93" s="353" t="s">
        <v>1086</v>
      </c>
      <c r="C93" s="354" t="s">
        <v>1087</v>
      </c>
      <c r="D93" s="290" t="str">
        <f aca="false">IF(F93="","",IF(H93="","",ROUND(F93-0.001*298.15*(H93-SUMPRODUCT(L93:AK93*AR$13:BQ$13)),3)))</f>
        <v/>
      </c>
      <c r="E93" s="137" t="str">
        <f aca="false">IF(G93="","",IF(I93="","",ROUND(2*SQRT((0.5*G93)^2+(0.001*298.15)^2*((0.5*I93)^2+SUMPRODUCT(AR93:BQ93*AR$15:BQ$15))),3)))</f>
        <v/>
      </c>
      <c r="F93" s="300"/>
      <c r="G93" s="301"/>
      <c r="H93" s="300"/>
      <c r="I93" s="301"/>
      <c r="J93" s="133"/>
      <c r="K93" s="342" t="s">
        <v>1087</v>
      </c>
      <c r="L93" s="434"/>
      <c r="M93" s="435"/>
      <c r="N93" s="435"/>
      <c r="O93" s="435"/>
      <c r="P93" s="436"/>
      <c r="Q93" s="436"/>
      <c r="R93" s="436"/>
      <c r="S93" s="436"/>
      <c r="T93" s="436"/>
      <c r="U93" s="436" t="n">
        <v>2</v>
      </c>
      <c r="V93" s="436"/>
      <c r="W93" s="436"/>
      <c r="X93" s="436"/>
      <c r="Y93" s="436"/>
      <c r="Z93" s="436"/>
      <c r="AA93" s="436"/>
      <c r="AB93" s="436"/>
      <c r="AC93" s="436"/>
      <c r="AD93" s="436" t="n">
        <v>1.5</v>
      </c>
      <c r="AE93" s="436"/>
      <c r="AF93" s="436"/>
      <c r="AG93" s="436"/>
      <c r="AH93" s="436"/>
      <c r="AI93" s="437"/>
      <c r="AJ93" s="436"/>
      <c r="AK93" s="438"/>
      <c r="AQ93" s="342" t="s">
        <v>1087</v>
      </c>
      <c r="AR93" s="439" t="n">
        <f aca="false">L93^2</f>
        <v>0</v>
      </c>
      <c r="AS93" s="440" t="n">
        <f aca="false">M93^2</f>
        <v>0</v>
      </c>
      <c r="AT93" s="440" t="n">
        <f aca="false">N93^2</f>
        <v>0</v>
      </c>
      <c r="AU93" s="440" t="n">
        <f aca="false">O93^2</f>
        <v>0</v>
      </c>
      <c r="AV93" s="440" t="n">
        <f aca="false">P93^2</f>
        <v>0</v>
      </c>
      <c r="AW93" s="440" t="n">
        <f aca="false">Q93^2</f>
        <v>0</v>
      </c>
      <c r="AX93" s="440" t="n">
        <f aca="false">R93^2</f>
        <v>0</v>
      </c>
      <c r="AY93" s="440" t="n">
        <f aca="false">S93^2</f>
        <v>0</v>
      </c>
      <c r="AZ93" s="440" t="n">
        <f aca="false">T93^2</f>
        <v>0</v>
      </c>
      <c r="BA93" s="440" t="n">
        <f aca="false">U93^2</f>
        <v>4</v>
      </c>
      <c r="BB93" s="440" t="n">
        <f aca="false">V93^2</f>
        <v>0</v>
      </c>
      <c r="BC93" s="440" t="n">
        <f aca="false">W93^2</f>
        <v>0</v>
      </c>
      <c r="BD93" s="440" t="n">
        <f aca="false">X93^2</f>
        <v>0</v>
      </c>
      <c r="BE93" s="440" t="n">
        <f aca="false">Y93^2</f>
        <v>0</v>
      </c>
      <c r="BF93" s="440" t="n">
        <f aca="false">Z93^2</f>
        <v>0</v>
      </c>
      <c r="BG93" s="440" t="n">
        <f aca="false">AA93^2</f>
        <v>0</v>
      </c>
      <c r="BH93" s="440" t="n">
        <f aca="false">AB93^2</f>
        <v>0</v>
      </c>
      <c r="BI93" s="440" t="n">
        <f aca="false">AC93^2</f>
        <v>0</v>
      </c>
      <c r="BJ93" s="440" t="n">
        <f aca="false">AD93^2</f>
        <v>2.25</v>
      </c>
      <c r="BK93" s="440" t="n">
        <f aca="false">AE93^2</f>
        <v>0</v>
      </c>
      <c r="BL93" s="440" t="n">
        <f aca="false">AF93^2</f>
        <v>0</v>
      </c>
      <c r="BM93" s="440" t="n">
        <f aca="false">AG93^2</f>
        <v>0</v>
      </c>
      <c r="BN93" s="440" t="n">
        <f aca="false">AH93^2</f>
        <v>0</v>
      </c>
      <c r="BO93" s="440" t="n">
        <f aca="false">AI93^2</f>
        <v>0</v>
      </c>
      <c r="BP93" s="440" t="n">
        <f aca="false">AJ93^2</f>
        <v>0</v>
      </c>
      <c r="BQ93" s="441" t="n">
        <f aca="false">-SIGN(AK93)*AK93^2</f>
        <v>-0</v>
      </c>
    </row>
    <row r="94" customFormat="false" ht="12.75" hidden="false" customHeight="false" outlineLevel="0" collapsed="false">
      <c r="B94" s="353" t="s">
        <v>1093</v>
      </c>
      <c r="C94" s="354" t="s">
        <v>1094</v>
      </c>
      <c r="D94" s="290" t="str">
        <f aca="false">IF(F94="","",IF(H94="","",ROUND(F94-0.001*298.15*(H94-SUMPRODUCT(L94:AK94*AR$13:BQ$13)),3)))</f>
        <v/>
      </c>
      <c r="E94" s="137" t="str">
        <f aca="false">IF(G94="","",IF(I94="","",ROUND(2*SQRT((0.5*G94)^2+(0.001*298.15)^2*((0.5*I94)^2+SUMPRODUCT(AR94:BQ94*AR$15:BQ$15))),3)))</f>
        <v/>
      </c>
      <c r="F94" s="300"/>
      <c r="G94" s="301"/>
      <c r="H94" s="300"/>
      <c r="I94" s="301"/>
      <c r="J94" s="133"/>
      <c r="K94" s="342" t="s">
        <v>1094</v>
      </c>
      <c r="L94" s="434"/>
      <c r="M94" s="435"/>
      <c r="N94" s="435"/>
      <c r="O94" s="435"/>
      <c r="P94" s="436"/>
      <c r="Q94" s="436"/>
      <c r="R94" s="436"/>
      <c r="S94" s="436"/>
      <c r="T94" s="436"/>
      <c r="U94" s="436" t="n">
        <v>3</v>
      </c>
      <c r="V94" s="436"/>
      <c r="W94" s="436"/>
      <c r="X94" s="436"/>
      <c r="Y94" s="436"/>
      <c r="Z94" s="436"/>
      <c r="AA94" s="436"/>
      <c r="AB94" s="436"/>
      <c r="AC94" s="436"/>
      <c r="AD94" s="436" t="n">
        <v>2</v>
      </c>
      <c r="AE94" s="436"/>
      <c r="AF94" s="436"/>
      <c r="AG94" s="436"/>
      <c r="AH94" s="436"/>
      <c r="AI94" s="437"/>
      <c r="AJ94" s="436"/>
      <c r="AK94" s="438"/>
      <c r="AQ94" s="342" t="s">
        <v>1094</v>
      </c>
      <c r="AR94" s="439" t="n">
        <f aca="false">L94^2</f>
        <v>0</v>
      </c>
      <c r="AS94" s="440" t="n">
        <f aca="false">M94^2</f>
        <v>0</v>
      </c>
      <c r="AT94" s="440" t="n">
        <f aca="false">N94^2</f>
        <v>0</v>
      </c>
      <c r="AU94" s="440" t="n">
        <f aca="false">O94^2</f>
        <v>0</v>
      </c>
      <c r="AV94" s="440" t="n">
        <f aca="false">P94^2</f>
        <v>0</v>
      </c>
      <c r="AW94" s="440" t="n">
        <f aca="false">Q94^2</f>
        <v>0</v>
      </c>
      <c r="AX94" s="440" t="n">
        <f aca="false">R94^2</f>
        <v>0</v>
      </c>
      <c r="AY94" s="440" t="n">
        <f aca="false">S94^2</f>
        <v>0</v>
      </c>
      <c r="AZ94" s="440" t="n">
        <f aca="false">T94^2</f>
        <v>0</v>
      </c>
      <c r="BA94" s="440" t="n">
        <f aca="false">U94^2</f>
        <v>9</v>
      </c>
      <c r="BB94" s="440" t="n">
        <f aca="false">V94^2</f>
        <v>0</v>
      </c>
      <c r="BC94" s="440" t="n">
        <f aca="false">W94^2</f>
        <v>0</v>
      </c>
      <c r="BD94" s="440" t="n">
        <f aca="false">X94^2</f>
        <v>0</v>
      </c>
      <c r="BE94" s="440" t="n">
        <f aca="false">Y94^2</f>
        <v>0</v>
      </c>
      <c r="BF94" s="440" t="n">
        <f aca="false">Z94^2</f>
        <v>0</v>
      </c>
      <c r="BG94" s="440" t="n">
        <f aca="false">AA94^2</f>
        <v>0</v>
      </c>
      <c r="BH94" s="440" t="n">
        <f aca="false">AB94^2</f>
        <v>0</v>
      </c>
      <c r="BI94" s="440" t="n">
        <f aca="false">AC94^2</f>
        <v>0</v>
      </c>
      <c r="BJ94" s="440" t="n">
        <f aca="false">AD94^2</f>
        <v>4</v>
      </c>
      <c r="BK94" s="440" t="n">
        <f aca="false">AE94^2</f>
        <v>0</v>
      </c>
      <c r="BL94" s="440" t="n">
        <f aca="false">AF94^2</f>
        <v>0</v>
      </c>
      <c r="BM94" s="440" t="n">
        <f aca="false">AG94^2</f>
        <v>0</v>
      </c>
      <c r="BN94" s="440" t="n">
        <f aca="false">AH94^2</f>
        <v>0</v>
      </c>
      <c r="BO94" s="440" t="n">
        <f aca="false">AI94^2</f>
        <v>0</v>
      </c>
      <c r="BP94" s="440" t="n">
        <f aca="false">AJ94^2</f>
        <v>0</v>
      </c>
      <c r="BQ94" s="441" t="n">
        <f aca="false">-SIGN(AK94)*AK94^2</f>
        <v>-0</v>
      </c>
    </row>
    <row r="95" customFormat="false" ht="12.75" hidden="false" customHeight="false" outlineLevel="0" collapsed="false">
      <c r="B95" s="353" t="s">
        <v>1100</v>
      </c>
      <c r="C95" s="354" t="s">
        <v>1101</v>
      </c>
      <c r="D95" s="290" t="str">
        <f aca="false">IF(F95="","",IF(H95="","",ROUND(F95-0.001*298.15*(H95-SUMPRODUCT(L95:AK95*AR$13:BQ$13)),3)))</f>
        <v/>
      </c>
      <c r="E95" s="137" t="str">
        <f aca="false">IF(G95="","",IF(I95="","",ROUND(2*SQRT((0.5*G95)^2+(0.001*298.15)^2*((0.5*I95)^2+SUMPRODUCT(AR95:BQ95*AR$15:BQ$15))),3)))</f>
        <v/>
      </c>
      <c r="F95" s="300"/>
      <c r="G95" s="301"/>
      <c r="H95" s="300"/>
      <c r="I95" s="301"/>
      <c r="J95" s="133"/>
      <c r="K95" s="342" t="s">
        <v>1101</v>
      </c>
      <c r="L95" s="434"/>
      <c r="M95" s="435"/>
      <c r="N95" s="435"/>
      <c r="O95" s="435"/>
      <c r="P95" s="436"/>
      <c r="Q95" s="436"/>
      <c r="R95" s="436"/>
      <c r="S95" s="436"/>
      <c r="T95" s="436"/>
      <c r="U95" s="436" t="n">
        <v>2</v>
      </c>
      <c r="V95" s="436"/>
      <c r="W95" s="436"/>
      <c r="X95" s="436"/>
      <c r="Y95" s="436"/>
      <c r="Z95" s="436"/>
      <c r="AA95" s="436"/>
      <c r="AB95" s="436"/>
      <c r="AC95" s="436"/>
      <c r="AD95" s="436" t="n">
        <v>2</v>
      </c>
      <c r="AE95" s="436"/>
      <c r="AF95" s="436"/>
      <c r="AG95" s="436"/>
      <c r="AH95" s="436"/>
      <c r="AI95" s="437" t="n">
        <v>1</v>
      </c>
      <c r="AJ95" s="436"/>
      <c r="AK95" s="438"/>
      <c r="AQ95" s="342" t="s">
        <v>1101</v>
      </c>
      <c r="AR95" s="439" t="n">
        <f aca="false">L95^2</f>
        <v>0</v>
      </c>
      <c r="AS95" s="440" t="n">
        <f aca="false">M95^2</f>
        <v>0</v>
      </c>
      <c r="AT95" s="440" t="n">
        <f aca="false">N95^2</f>
        <v>0</v>
      </c>
      <c r="AU95" s="440" t="n">
        <f aca="false">O95^2</f>
        <v>0</v>
      </c>
      <c r="AV95" s="440" t="n">
        <f aca="false">P95^2</f>
        <v>0</v>
      </c>
      <c r="AW95" s="440" t="n">
        <f aca="false">Q95^2</f>
        <v>0</v>
      </c>
      <c r="AX95" s="440" t="n">
        <f aca="false">R95^2</f>
        <v>0</v>
      </c>
      <c r="AY95" s="440" t="n">
        <f aca="false">S95^2</f>
        <v>0</v>
      </c>
      <c r="AZ95" s="440" t="n">
        <f aca="false">T95^2</f>
        <v>0</v>
      </c>
      <c r="BA95" s="440" t="n">
        <f aca="false">U95^2</f>
        <v>4</v>
      </c>
      <c r="BB95" s="440" t="n">
        <f aca="false">V95^2</f>
        <v>0</v>
      </c>
      <c r="BC95" s="440" t="n">
        <f aca="false">W95^2</f>
        <v>0</v>
      </c>
      <c r="BD95" s="440" t="n">
        <f aca="false">X95^2</f>
        <v>0</v>
      </c>
      <c r="BE95" s="440" t="n">
        <f aca="false">Y95^2</f>
        <v>0</v>
      </c>
      <c r="BF95" s="440" t="n">
        <f aca="false">Z95^2</f>
        <v>0</v>
      </c>
      <c r="BG95" s="440" t="n">
        <f aca="false">AA95^2</f>
        <v>0</v>
      </c>
      <c r="BH95" s="440" t="n">
        <f aca="false">AB95^2</f>
        <v>0</v>
      </c>
      <c r="BI95" s="440" t="n">
        <f aca="false">AC95^2</f>
        <v>0</v>
      </c>
      <c r="BJ95" s="440" t="n">
        <f aca="false">AD95^2</f>
        <v>4</v>
      </c>
      <c r="BK95" s="440" t="n">
        <f aca="false">AE95^2</f>
        <v>0</v>
      </c>
      <c r="BL95" s="440" t="n">
        <f aca="false">AF95^2</f>
        <v>0</v>
      </c>
      <c r="BM95" s="440" t="n">
        <f aca="false">AG95^2</f>
        <v>0</v>
      </c>
      <c r="BN95" s="440" t="n">
        <f aca="false">AH95^2</f>
        <v>0</v>
      </c>
      <c r="BO95" s="440" t="n">
        <f aca="false">AI95^2</f>
        <v>1</v>
      </c>
      <c r="BP95" s="440" t="n">
        <f aca="false">AJ95^2</f>
        <v>0</v>
      </c>
      <c r="BQ95" s="441" t="n">
        <f aca="false">-SIGN(AK95)*AK95^2</f>
        <v>-0</v>
      </c>
    </row>
    <row r="96" customFormat="false" ht="12.75" hidden="false" customHeight="false" outlineLevel="0" collapsed="false">
      <c r="B96" s="353" t="s">
        <v>1107</v>
      </c>
      <c r="C96" s="354" t="s">
        <v>1108</v>
      </c>
      <c r="D96" s="290" t="n">
        <f aca="false">IF(F96="","",IF(H96="","",ROUND(F96-0.001*298.15*(H96-SUMPRODUCT(L96:AK96*AR$13:BQ$13)),3)))</f>
        <v>-569.226</v>
      </c>
      <c r="E96" s="137" t="n">
        <f aca="false">IF(G96="","",IF(I96="","",ROUND(2*SQRT((0.5*G96)^2+(0.001*298.15)^2*((0.5*I96)^2+SUMPRODUCT(AR96:BQ96*AR$15:BQ$15))),3)))</f>
        <v>0.305</v>
      </c>
      <c r="F96" s="291" t="s">
        <v>2077</v>
      </c>
      <c r="G96" s="292" t="s">
        <v>2083</v>
      </c>
      <c r="H96" s="291" t="s">
        <v>1110</v>
      </c>
      <c r="I96" s="292" t="s">
        <v>744</v>
      </c>
      <c r="J96" s="133"/>
      <c r="K96" s="342" t="s">
        <v>1108</v>
      </c>
      <c r="L96" s="434"/>
      <c r="M96" s="435"/>
      <c r="N96" s="435"/>
      <c r="O96" s="435"/>
      <c r="P96" s="436"/>
      <c r="Q96" s="436"/>
      <c r="R96" s="436"/>
      <c r="S96" s="436"/>
      <c r="T96" s="436"/>
      <c r="U96" s="436"/>
      <c r="V96" s="436"/>
      <c r="W96" s="436"/>
      <c r="X96" s="436"/>
      <c r="Y96" s="436"/>
      <c r="Z96" s="436" t="n">
        <v>1</v>
      </c>
      <c r="AA96" s="436"/>
      <c r="AB96" s="436"/>
      <c r="AC96" s="436"/>
      <c r="AD96" s="436" t="n">
        <v>0.5</v>
      </c>
      <c r="AE96" s="436"/>
      <c r="AF96" s="436"/>
      <c r="AG96" s="436"/>
      <c r="AH96" s="436"/>
      <c r="AI96" s="437"/>
      <c r="AJ96" s="436"/>
      <c r="AK96" s="438"/>
      <c r="AQ96" s="342" t="s">
        <v>1108</v>
      </c>
      <c r="AR96" s="439" t="n">
        <f aca="false">L96^2</f>
        <v>0</v>
      </c>
      <c r="AS96" s="440" t="n">
        <f aca="false">M96^2</f>
        <v>0</v>
      </c>
      <c r="AT96" s="440" t="n">
        <f aca="false">N96^2</f>
        <v>0</v>
      </c>
      <c r="AU96" s="440" t="n">
        <f aca="false">O96^2</f>
        <v>0</v>
      </c>
      <c r="AV96" s="440" t="n">
        <f aca="false">P96^2</f>
        <v>0</v>
      </c>
      <c r="AW96" s="440" t="n">
        <f aca="false">Q96^2</f>
        <v>0</v>
      </c>
      <c r="AX96" s="440" t="n">
        <f aca="false">R96^2</f>
        <v>0</v>
      </c>
      <c r="AY96" s="440" t="n">
        <f aca="false">S96^2</f>
        <v>0</v>
      </c>
      <c r="AZ96" s="440" t="n">
        <f aca="false">T96^2</f>
        <v>0</v>
      </c>
      <c r="BA96" s="440" t="n">
        <f aca="false">U96^2</f>
        <v>0</v>
      </c>
      <c r="BB96" s="440" t="n">
        <f aca="false">V96^2</f>
        <v>0</v>
      </c>
      <c r="BC96" s="440" t="n">
        <f aca="false">W96^2</f>
        <v>0</v>
      </c>
      <c r="BD96" s="440" t="n">
        <f aca="false">X96^2</f>
        <v>0</v>
      </c>
      <c r="BE96" s="440" t="n">
        <f aca="false">Y96^2</f>
        <v>0</v>
      </c>
      <c r="BF96" s="440" t="n">
        <f aca="false">Z96^2</f>
        <v>1</v>
      </c>
      <c r="BG96" s="440" t="n">
        <f aca="false">AA96^2</f>
        <v>0</v>
      </c>
      <c r="BH96" s="440" t="n">
        <f aca="false">AB96^2</f>
        <v>0</v>
      </c>
      <c r="BI96" s="440" t="n">
        <f aca="false">AC96^2</f>
        <v>0</v>
      </c>
      <c r="BJ96" s="440" t="n">
        <f aca="false">AD96^2</f>
        <v>0.25</v>
      </c>
      <c r="BK96" s="440" t="n">
        <f aca="false">AE96^2</f>
        <v>0</v>
      </c>
      <c r="BL96" s="440" t="n">
        <f aca="false">AF96^2</f>
        <v>0</v>
      </c>
      <c r="BM96" s="440" t="n">
        <f aca="false">AG96^2</f>
        <v>0</v>
      </c>
      <c r="BN96" s="440" t="n">
        <f aca="false">AH96^2</f>
        <v>0</v>
      </c>
      <c r="BO96" s="440" t="n">
        <f aca="false">AI96^2</f>
        <v>0</v>
      </c>
      <c r="BP96" s="440" t="n">
        <f aca="false">AJ96^2</f>
        <v>0</v>
      </c>
      <c r="BQ96" s="441" t="n">
        <f aca="false">-SIGN(AK96)*AK96^2</f>
        <v>-0</v>
      </c>
    </row>
    <row r="97" customFormat="false" ht="12.75" hidden="false" customHeight="false" outlineLevel="0" collapsed="false">
      <c r="B97" s="353" t="s">
        <v>1114</v>
      </c>
      <c r="C97" s="354" t="s">
        <v>1115</v>
      </c>
      <c r="D97" s="290" t="str">
        <f aca="false">IF(F97="","",IF(H97="","",ROUND(F97-0.001*298.15*(H97-SUMPRODUCT(L97:AK97*AR$13:BQ$13)),3)))</f>
        <v/>
      </c>
      <c r="E97" s="137" t="str">
        <f aca="false">IF(G97="","",IF(I97="","",ROUND(2*SQRT((0.5*G97)^2+(0.001*298.15)^2*((0.5*I97)^2+SUMPRODUCT(AR97:BQ97*AR$15:BQ$15))),3)))</f>
        <v/>
      </c>
      <c r="F97" s="361"/>
      <c r="G97" s="360"/>
      <c r="H97" s="361"/>
      <c r="I97" s="360"/>
      <c r="J97" s="133"/>
      <c r="K97" s="342" t="s">
        <v>1115</v>
      </c>
      <c r="L97" s="434"/>
      <c r="M97" s="435"/>
      <c r="N97" s="435"/>
      <c r="O97" s="435"/>
      <c r="P97" s="436"/>
      <c r="Q97" s="436"/>
      <c r="R97" s="436"/>
      <c r="S97" s="436"/>
      <c r="T97" s="436"/>
      <c r="U97" s="436"/>
      <c r="V97" s="436" t="n">
        <v>1</v>
      </c>
      <c r="W97" s="436"/>
      <c r="X97" s="436"/>
      <c r="Y97" s="436"/>
      <c r="Z97" s="436" t="n">
        <v>1</v>
      </c>
      <c r="AA97" s="436"/>
      <c r="AB97" s="436"/>
      <c r="AC97" s="436"/>
      <c r="AD97" s="436" t="n">
        <v>1</v>
      </c>
      <c r="AE97" s="436"/>
      <c r="AF97" s="436"/>
      <c r="AG97" s="436"/>
      <c r="AH97" s="436"/>
      <c r="AI97" s="437"/>
      <c r="AJ97" s="436"/>
      <c r="AK97" s="438"/>
      <c r="AQ97" s="342" t="s">
        <v>1115</v>
      </c>
      <c r="AR97" s="439" t="n">
        <f aca="false">L97^2</f>
        <v>0</v>
      </c>
      <c r="AS97" s="440" t="n">
        <f aca="false">M97^2</f>
        <v>0</v>
      </c>
      <c r="AT97" s="440" t="n">
        <f aca="false">N97^2</f>
        <v>0</v>
      </c>
      <c r="AU97" s="440" t="n">
        <f aca="false">O97^2</f>
        <v>0</v>
      </c>
      <c r="AV97" s="440" t="n">
        <f aca="false">P97^2</f>
        <v>0</v>
      </c>
      <c r="AW97" s="440" t="n">
        <f aca="false">Q97^2</f>
        <v>0</v>
      </c>
      <c r="AX97" s="440" t="n">
        <f aca="false">R97^2</f>
        <v>0</v>
      </c>
      <c r="AY97" s="440" t="n">
        <f aca="false">S97^2</f>
        <v>0</v>
      </c>
      <c r="AZ97" s="440" t="n">
        <f aca="false">T97^2</f>
        <v>0</v>
      </c>
      <c r="BA97" s="440" t="n">
        <f aca="false">U97^2</f>
        <v>0</v>
      </c>
      <c r="BB97" s="440" t="n">
        <f aca="false">V97^2</f>
        <v>1</v>
      </c>
      <c r="BC97" s="440" t="n">
        <f aca="false">W97^2</f>
        <v>0</v>
      </c>
      <c r="BD97" s="440" t="n">
        <f aca="false">X97^2</f>
        <v>0</v>
      </c>
      <c r="BE97" s="440" t="n">
        <f aca="false">Y97^2</f>
        <v>0</v>
      </c>
      <c r="BF97" s="440" t="n">
        <f aca="false">Z97^2</f>
        <v>1</v>
      </c>
      <c r="BG97" s="440" t="n">
        <f aca="false">AA97^2</f>
        <v>0</v>
      </c>
      <c r="BH97" s="440" t="n">
        <f aca="false">AB97^2</f>
        <v>0</v>
      </c>
      <c r="BI97" s="440" t="n">
        <f aca="false">AC97^2</f>
        <v>0</v>
      </c>
      <c r="BJ97" s="440" t="n">
        <f aca="false">AD97^2</f>
        <v>1</v>
      </c>
      <c r="BK97" s="440" t="n">
        <f aca="false">AE97^2</f>
        <v>0</v>
      </c>
      <c r="BL97" s="440" t="n">
        <f aca="false">AF97^2</f>
        <v>0</v>
      </c>
      <c r="BM97" s="440" t="n">
        <f aca="false">AG97^2</f>
        <v>0</v>
      </c>
      <c r="BN97" s="440" t="n">
        <f aca="false">AH97^2</f>
        <v>0</v>
      </c>
      <c r="BO97" s="440" t="n">
        <f aca="false">AI97^2</f>
        <v>0</v>
      </c>
      <c r="BP97" s="440" t="n">
        <f aca="false">AJ97^2</f>
        <v>0</v>
      </c>
      <c r="BQ97" s="441" t="n">
        <f aca="false">-SIGN(AK97)*AK97^2</f>
        <v>-0</v>
      </c>
    </row>
    <row r="98" customFormat="false" ht="12.75" hidden="false" customHeight="false" outlineLevel="0" collapsed="false">
      <c r="B98" s="353" t="s">
        <v>1119</v>
      </c>
      <c r="C98" s="354" t="s">
        <v>1120</v>
      </c>
      <c r="D98" s="290" t="str">
        <f aca="false">IF(F98="","",IF(H98="","",ROUND(F98-0.001*298.15*(H98-SUMPRODUCT(L98:AK98*AR$13:BQ$13)),3)))</f>
        <v/>
      </c>
      <c r="E98" s="137" t="str">
        <f aca="false">IF(G98="","",IF(I98="","",ROUND(2*SQRT((0.5*G98)^2+(0.001*298.15)^2*((0.5*I98)^2+SUMPRODUCT(AR98:BQ98*AR$15:BQ$15))),3)))</f>
        <v/>
      </c>
      <c r="F98" s="300"/>
      <c r="G98" s="301"/>
      <c r="H98" s="300"/>
      <c r="I98" s="301"/>
      <c r="J98" s="133"/>
      <c r="K98" s="342" t="s">
        <v>1120</v>
      </c>
      <c r="L98" s="434"/>
      <c r="M98" s="435"/>
      <c r="N98" s="435"/>
      <c r="O98" s="435"/>
      <c r="P98" s="436" t="n">
        <v>1</v>
      </c>
      <c r="Q98" s="436"/>
      <c r="R98" s="436"/>
      <c r="S98" s="436"/>
      <c r="T98" s="436"/>
      <c r="U98" s="436"/>
      <c r="V98" s="436"/>
      <c r="W98" s="436"/>
      <c r="X98" s="436"/>
      <c r="Y98" s="436"/>
      <c r="Z98" s="436" t="n">
        <v>1</v>
      </c>
      <c r="AA98" s="436"/>
      <c r="AB98" s="436"/>
      <c r="AC98" s="436"/>
      <c r="AD98" s="436" t="n">
        <v>1.5</v>
      </c>
      <c r="AE98" s="436"/>
      <c r="AF98" s="436"/>
      <c r="AG98" s="436"/>
      <c r="AH98" s="436"/>
      <c r="AI98" s="437"/>
      <c r="AJ98" s="436"/>
      <c r="AK98" s="438"/>
      <c r="AQ98" s="342" t="s">
        <v>1120</v>
      </c>
      <c r="AR98" s="439" t="n">
        <f aca="false">L98^2</f>
        <v>0</v>
      </c>
      <c r="AS98" s="440" t="n">
        <f aca="false">M98^2</f>
        <v>0</v>
      </c>
      <c r="AT98" s="440" t="n">
        <f aca="false">N98^2</f>
        <v>0</v>
      </c>
      <c r="AU98" s="440" t="n">
        <f aca="false">O98^2</f>
        <v>0</v>
      </c>
      <c r="AV98" s="440" t="n">
        <f aca="false">P98^2</f>
        <v>1</v>
      </c>
      <c r="AW98" s="440" t="n">
        <f aca="false">Q98^2</f>
        <v>0</v>
      </c>
      <c r="AX98" s="440" t="n">
        <f aca="false">R98^2</f>
        <v>0</v>
      </c>
      <c r="AY98" s="440" t="n">
        <f aca="false">S98^2</f>
        <v>0</v>
      </c>
      <c r="AZ98" s="440" t="n">
        <f aca="false">T98^2</f>
        <v>0</v>
      </c>
      <c r="BA98" s="440" t="n">
        <f aca="false">U98^2</f>
        <v>0</v>
      </c>
      <c r="BB98" s="440" t="n">
        <f aca="false">V98^2</f>
        <v>0</v>
      </c>
      <c r="BC98" s="440" t="n">
        <f aca="false">W98^2</f>
        <v>0</v>
      </c>
      <c r="BD98" s="440" t="n">
        <f aca="false">X98^2</f>
        <v>0</v>
      </c>
      <c r="BE98" s="440" t="n">
        <f aca="false">Y98^2</f>
        <v>0</v>
      </c>
      <c r="BF98" s="440" t="n">
        <f aca="false">Z98^2</f>
        <v>1</v>
      </c>
      <c r="BG98" s="440" t="n">
        <f aca="false">AA98^2</f>
        <v>0</v>
      </c>
      <c r="BH98" s="440" t="n">
        <f aca="false">AB98^2</f>
        <v>0</v>
      </c>
      <c r="BI98" s="440" t="n">
        <f aca="false">AC98^2</f>
        <v>0</v>
      </c>
      <c r="BJ98" s="440" t="n">
        <f aca="false">AD98^2</f>
        <v>2.25</v>
      </c>
      <c r="BK98" s="440" t="n">
        <f aca="false">AE98^2</f>
        <v>0</v>
      </c>
      <c r="BL98" s="440" t="n">
        <f aca="false">AF98^2</f>
        <v>0</v>
      </c>
      <c r="BM98" s="440" t="n">
        <f aca="false">AG98^2</f>
        <v>0</v>
      </c>
      <c r="BN98" s="440" t="n">
        <f aca="false">AH98^2</f>
        <v>0</v>
      </c>
      <c r="BO98" s="440" t="n">
        <f aca="false">AI98^2</f>
        <v>0</v>
      </c>
      <c r="BP98" s="440" t="n">
        <f aca="false">AJ98^2</f>
        <v>0</v>
      </c>
      <c r="BQ98" s="441" t="n">
        <f aca="false">-SIGN(AK98)*AK98^2</f>
        <v>-0</v>
      </c>
    </row>
    <row r="99" customFormat="false" ht="12.75" hidden="false" customHeight="false" outlineLevel="0" collapsed="false">
      <c r="B99" s="353" t="s">
        <v>1121</v>
      </c>
      <c r="C99" s="354" t="s">
        <v>1122</v>
      </c>
      <c r="D99" s="290" t="str">
        <f aca="false">IF(F99="","",IF(H99="","",ROUND(F99-0.001*298.15*(H99-SUMPRODUCT(L99:AK99*AR$13:BQ$13)),3)))</f>
        <v/>
      </c>
      <c r="E99" s="137" t="str">
        <f aca="false">IF(G99="","",IF(I99="","",ROUND(2*SQRT((0.5*G99)^2+(0.001*298.15)^2*((0.5*I99)^2+SUMPRODUCT(AR99:BQ99*AR$15:BQ$15))),3)))</f>
        <v/>
      </c>
      <c r="F99" s="300"/>
      <c r="G99" s="301"/>
      <c r="H99" s="300"/>
      <c r="I99" s="301"/>
      <c r="J99" s="133"/>
      <c r="K99" s="342" t="s">
        <v>1122</v>
      </c>
      <c r="L99" s="434"/>
      <c r="M99" s="435"/>
      <c r="N99" s="435"/>
      <c r="O99" s="435"/>
      <c r="P99" s="436"/>
      <c r="Q99" s="436"/>
      <c r="R99" s="436"/>
      <c r="S99" s="436"/>
      <c r="T99" s="436"/>
      <c r="U99" s="436"/>
      <c r="V99" s="436"/>
      <c r="W99" s="436"/>
      <c r="X99" s="436"/>
      <c r="Y99" s="436"/>
      <c r="Z99" s="436" t="n">
        <v>2</v>
      </c>
      <c r="AA99" s="436"/>
      <c r="AB99" s="436"/>
      <c r="AC99" s="436"/>
      <c r="AD99" s="436" t="n">
        <v>2</v>
      </c>
      <c r="AE99" s="436"/>
      <c r="AF99" s="436"/>
      <c r="AG99" s="436"/>
      <c r="AH99" s="436"/>
      <c r="AI99" s="437" t="n">
        <v>1</v>
      </c>
      <c r="AJ99" s="436"/>
      <c r="AK99" s="438"/>
      <c r="AQ99" s="342" t="s">
        <v>1122</v>
      </c>
      <c r="AR99" s="439" t="n">
        <f aca="false">L99^2</f>
        <v>0</v>
      </c>
      <c r="AS99" s="440" t="n">
        <f aca="false">M99^2</f>
        <v>0</v>
      </c>
      <c r="AT99" s="440" t="n">
        <f aca="false">N99^2</f>
        <v>0</v>
      </c>
      <c r="AU99" s="440" t="n">
        <f aca="false">O99^2</f>
        <v>0</v>
      </c>
      <c r="AV99" s="440" t="n">
        <f aca="false">P99^2</f>
        <v>0</v>
      </c>
      <c r="AW99" s="440" t="n">
        <f aca="false">Q99^2</f>
        <v>0</v>
      </c>
      <c r="AX99" s="440" t="n">
        <f aca="false">R99^2</f>
        <v>0</v>
      </c>
      <c r="AY99" s="440" t="n">
        <f aca="false">S99^2</f>
        <v>0</v>
      </c>
      <c r="AZ99" s="440" t="n">
        <f aca="false">T99^2</f>
        <v>0</v>
      </c>
      <c r="BA99" s="440" t="n">
        <f aca="false">U99^2</f>
        <v>0</v>
      </c>
      <c r="BB99" s="440" t="n">
        <f aca="false">V99^2</f>
        <v>0</v>
      </c>
      <c r="BC99" s="440" t="n">
        <f aca="false">W99^2</f>
        <v>0</v>
      </c>
      <c r="BD99" s="440" t="n">
        <f aca="false">X99^2</f>
        <v>0</v>
      </c>
      <c r="BE99" s="440" t="n">
        <f aca="false">Y99^2</f>
        <v>0</v>
      </c>
      <c r="BF99" s="440" t="n">
        <f aca="false">Z99^2</f>
        <v>4</v>
      </c>
      <c r="BG99" s="440" t="n">
        <f aca="false">AA99^2</f>
        <v>0</v>
      </c>
      <c r="BH99" s="440" t="n">
        <f aca="false">AB99^2</f>
        <v>0</v>
      </c>
      <c r="BI99" s="440" t="n">
        <f aca="false">AC99^2</f>
        <v>0</v>
      </c>
      <c r="BJ99" s="440" t="n">
        <f aca="false">AD99^2</f>
        <v>4</v>
      </c>
      <c r="BK99" s="440" t="n">
        <f aca="false">AE99^2</f>
        <v>0</v>
      </c>
      <c r="BL99" s="440" t="n">
        <f aca="false">AF99^2</f>
        <v>0</v>
      </c>
      <c r="BM99" s="440" t="n">
        <f aca="false">AG99^2</f>
        <v>0</v>
      </c>
      <c r="BN99" s="440" t="n">
        <f aca="false">AH99^2</f>
        <v>0</v>
      </c>
      <c r="BO99" s="440" t="n">
        <f aca="false">AI99^2</f>
        <v>1</v>
      </c>
      <c r="BP99" s="440" t="n">
        <f aca="false">AJ99^2</f>
        <v>0</v>
      </c>
      <c r="BQ99" s="441" t="n">
        <f aca="false">-SIGN(AK99)*AK99^2</f>
        <v>-0</v>
      </c>
    </row>
    <row r="100" customFormat="false" ht="12.75" hidden="false" customHeight="false" outlineLevel="0" collapsed="false">
      <c r="B100" s="353" t="s">
        <v>1123</v>
      </c>
      <c r="C100" s="354" t="s">
        <v>1124</v>
      </c>
      <c r="D100" s="290" t="n">
        <f aca="false">IF(F100="","",IF(H100="","",ROUND(F100-0.001*298.15*(H100-SUMPRODUCT(L100:AK100*AR$13:BQ$13)),3)))</f>
        <v>-603.481</v>
      </c>
      <c r="E100" s="137" t="n">
        <f aca="false">IF(G100="","",IF(I100="","",ROUND(2*SQRT((0.5*G100)^2+(0.001*298.15)^2*((0.5*I100)^2+SUMPRODUCT(AR100:BQ100*AR$15:BQ$15))),3)))</f>
        <v>0.916</v>
      </c>
      <c r="F100" s="300" t="s">
        <v>1427</v>
      </c>
      <c r="G100" s="301" t="s">
        <v>1126</v>
      </c>
      <c r="H100" s="300" t="s">
        <v>1127</v>
      </c>
      <c r="I100" s="301" t="s">
        <v>1128</v>
      </c>
      <c r="J100" s="133"/>
      <c r="K100" s="342" t="s">
        <v>1124</v>
      </c>
      <c r="L100" s="445"/>
      <c r="M100" s="446"/>
      <c r="N100" s="446"/>
      <c r="O100" s="446"/>
      <c r="P100" s="436"/>
      <c r="Q100" s="436" t="n">
        <v>1</v>
      </c>
      <c r="R100" s="436"/>
      <c r="S100" s="436"/>
      <c r="T100" s="436"/>
      <c r="U100" s="436"/>
      <c r="V100" s="436"/>
      <c r="W100" s="436"/>
      <c r="X100" s="436"/>
      <c r="Y100" s="436"/>
      <c r="Z100" s="436"/>
      <c r="AA100" s="436"/>
      <c r="AB100" s="436"/>
      <c r="AC100" s="436"/>
      <c r="AD100" s="436" t="n">
        <v>0.5</v>
      </c>
      <c r="AE100" s="436"/>
      <c r="AF100" s="436"/>
      <c r="AG100" s="436"/>
      <c r="AH100" s="436"/>
      <c r="AI100" s="437"/>
      <c r="AJ100" s="436"/>
      <c r="AK100" s="438"/>
      <c r="AQ100" s="342" t="s">
        <v>1124</v>
      </c>
      <c r="AR100" s="439" t="n">
        <f aca="false">L100^2</f>
        <v>0</v>
      </c>
      <c r="AS100" s="440" t="n">
        <f aca="false">M100^2</f>
        <v>0</v>
      </c>
      <c r="AT100" s="440" t="n">
        <f aca="false">N100^2</f>
        <v>0</v>
      </c>
      <c r="AU100" s="440" t="n">
        <f aca="false">O100^2</f>
        <v>0</v>
      </c>
      <c r="AV100" s="440" t="n">
        <f aca="false">P100^2</f>
        <v>0</v>
      </c>
      <c r="AW100" s="440" t="n">
        <f aca="false">Q100^2</f>
        <v>1</v>
      </c>
      <c r="AX100" s="440" t="n">
        <f aca="false">R100^2</f>
        <v>0</v>
      </c>
      <c r="AY100" s="440" t="n">
        <f aca="false">S100^2</f>
        <v>0</v>
      </c>
      <c r="AZ100" s="440" t="n">
        <f aca="false">T100^2</f>
        <v>0</v>
      </c>
      <c r="BA100" s="440" t="n">
        <f aca="false">U100^2</f>
        <v>0</v>
      </c>
      <c r="BB100" s="440" t="n">
        <f aca="false">V100^2</f>
        <v>0</v>
      </c>
      <c r="BC100" s="440" t="n">
        <f aca="false">W100^2</f>
        <v>0</v>
      </c>
      <c r="BD100" s="440" t="n">
        <f aca="false">X100^2</f>
        <v>0</v>
      </c>
      <c r="BE100" s="440" t="n">
        <f aca="false">Y100^2</f>
        <v>0</v>
      </c>
      <c r="BF100" s="440" t="n">
        <f aca="false">Z100^2</f>
        <v>0</v>
      </c>
      <c r="BG100" s="440" t="n">
        <f aca="false">AA100^2</f>
        <v>0</v>
      </c>
      <c r="BH100" s="440" t="n">
        <f aca="false">AB100^2</f>
        <v>0</v>
      </c>
      <c r="BI100" s="440" t="n">
        <f aca="false">AC100^2</f>
        <v>0</v>
      </c>
      <c r="BJ100" s="440" t="n">
        <f aca="false">AD100^2</f>
        <v>0.25</v>
      </c>
      <c r="BK100" s="440" t="n">
        <f aca="false">AE100^2</f>
        <v>0</v>
      </c>
      <c r="BL100" s="440" t="n">
        <f aca="false">AF100^2</f>
        <v>0</v>
      </c>
      <c r="BM100" s="440" t="n">
        <f aca="false">AG100^2</f>
        <v>0</v>
      </c>
      <c r="BN100" s="440" t="n">
        <f aca="false">AH100^2</f>
        <v>0</v>
      </c>
      <c r="BO100" s="440" t="n">
        <f aca="false">AI100^2</f>
        <v>0</v>
      </c>
      <c r="BP100" s="440" t="n">
        <f aca="false">AJ100^2</f>
        <v>0</v>
      </c>
      <c r="BQ100" s="441" t="n">
        <f aca="false">-SIGN(AK100)*AK100^2</f>
        <v>-0</v>
      </c>
    </row>
    <row r="101" customFormat="false" ht="12.75" hidden="false" customHeight="false" outlineLevel="0" collapsed="false">
      <c r="B101" s="353" t="s">
        <v>1134</v>
      </c>
      <c r="C101" s="354" t="s">
        <v>1135</v>
      </c>
      <c r="D101" s="290" t="str">
        <f aca="false">IF(F101="","",IF(H101="","",ROUND(F101-0.001*298.15*(H101-SUMPRODUCT(L101:AK101*AR$13:BQ$13)),3)))</f>
        <v/>
      </c>
      <c r="E101" s="137" t="str">
        <f aca="false">IF(G101="","",IF(I101="","",ROUND(2*SQRT((0.5*G101)^2+(0.001*298.15)^2*((0.5*I101)^2+SUMPRODUCT(AR101:BQ101*AR$15:BQ$15))),3)))</f>
        <v/>
      </c>
      <c r="F101" s="300"/>
      <c r="G101" s="301"/>
      <c r="H101" s="300"/>
      <c r="I101" s="301"/>
      <c r="J101" s="133"/>
      <c r="K101" s="342" t="s">
        <v>1135</v>
      </c>
      <c r="L101" s="434"/>
      <c r="M101" s="435"/>
      <c r="N101" s="435"/>
      <c r="O101" s="435"/>
      <c r="P101" s="436"/>
      <c r="Q101" s="436" t="n">
        <v>1</v>
      </c>
      <c r="R101" s="436"/>
      <c r="S101" s="436"/>
      <c r="T101" s="436"/>
      <c r="U101" s="436"/>
      <c r="V101" s="436" t="n">
        <v>1</v>
      </c>
      <c r="W101" s="436"/>
      <c r="X101" s="436"/>
      <c r="Y101" s="436"/>
      <c r="Z101" s="436"/>
      <c r="AA101" s="436"/>
      <c r="AB101" s="436"/>
      <c r="AC101" s="436"/>
      <c r="AD101" s="436" t="n">
        <v>1</v>
      </c>
      <c r="AE101" s="436"/>
      <c r="AF101" s="436"/>
      <c r="AG101" s="436"/>
      <c r="AH101" s="436"/>
      <c r="AI101" s="437"/>
      <c r="AJ101" s="436"/>
      <c r="AK101" s="438"/>
      <c r="AQ101" s="342" t="s">
        <v>1135</v>
      </c>
      <c r="AR101" s="439" t="n">
        <f aca="false">L101^2</f>
        <v>0</v>
      </c>
      <c r="AS101" s="440" t="n">
        <f aca="false">M101^2</f>
        <v>0</v>
      </c>
      <c r="AT101" s="440" t="n">
        <f aca="false">N101^2</f>
        <v>0</v>
      </c>
      <c r="AU101" s="440" t="n">
        <f aca="false">O101^2</f>
        <v>0</v>
      </c>
      <c r="AV101" s="440" t="n">
        <f aca="false">P101^2</f>
        <v>0</v>
      </c>
      <c r="AW101" s="440" t="n">
        <f aca="false">Q101^2</f>
        <v>1</v>
      </c>
      <c r="AX101" s="440" t="n">
        <f aca="false">R101^2</f>
        <v>0</v>
      </c>
      <c r="AY101" s="440" t="n">
        <f aca="false">S101^2</f>
        <v>0</v>
      </c>
      <c r="AZ101" s="440" t="n">
        <f aca="false">T101^2</f>
        <v>0</v>
      </c>
      <c r="BA101" s="440" t="n">
        <f aca="false">U101^2</f>
        <v>0</v>
      </c>
      <c r="BB101" s="440" t="n">
        <f aca="false">V101^2</f>
        <v>1</v>
      </c>
      <c r="BC101" s="440" t="n">
        <f aca="false">W101^2</f>
        <v>0</v>
      </c>
      <c r="BD101" s="440" t="n">
        <f aca="false">X101^2</f>
        <v>0</v>
      </c>
      <c r="BE101" s="440" t="n">
        <f aca="false">Y101^2</f>
        <v>0</v>
      </c>
      <c r="BF101" s="440" t="n">
        <f aca="false">Z101^2</f>
        <v>0</v>
      </c>
      <c r="BG101" s="440" t="n">
        <f aca="false">AA101^2</f>
        <v>0</v>
      </c>
      <c r="BH101" s="440" t="n">
        <f aca="false">AB101^2</f>
        <v>0</v>
      </c>
      <c r="BI101" s="440" t="n">
        <f aca="false">AC101^2</f>
        <v>0</v>
      </c>
      <c r="BJ101" s="440" t="n">
        <f aca="false">AD101^2</f>
        <v>1</v>
      </c>
      <c r="BK101" s="440" t="n">
        <f aca="false">AE101^2</f>
        <v>0</v>
      </c>
      <c r="BL101" s="440" t="n">
        <f aca="false">AF101^2</f>
        <v>0</v>
      </c>
      <c r="BM101" s="440" t="n">
        <f aca="false">AG101^2</f>
        <v>0</v>
      </c>
      <c r="BN101" s="440" t="n">
        <f aca="false">AH101^2</f>
        <v>0</v>
      </c>
      <c r="BO101" s="440" t="n">
        <f aca="false">AI101^2</f>
        <v>0</v>
      </c>
      <c r="BP101" s="440" t="n">
        <f aca="false">AJ101^2</f>
        <v>0</v>
      </c>
      <c r="BQ101" s="441" t="n">
        <f aca="false">-SIGN(AK101)*AK101^2</f>
        <v>-0</v>
      </c>
    </row>
    <row r="102" customFormat="false" ht="12.75" hidden="false" customHeight="false" outlineLevel="0" collapsed="false">
      <c r="B102" s="353" t="s">
        <v>1139</v>
      </c>
      <c r="C102" s="354" t="s">
        <v>1140</v>
      </c>
      <c r="D102" s="290" t="str">
        <f aca="false">IF(F102="","",IF(H102="","",ROUND(F102-0.001*298.15*(H102-SUMPRODUCT(L102:AK102*AR$13:BQ$13)),3)))</f>
        <v/>
      </c>
      <c r="E102" s="137" t="str">
        <f aca="false">IF(G102="","",IF(I102="","",ROUND(2*SQRT((0.5*G102)^2+(0.001*298.15)^2*((0.5*I102)^2+SUMPRODUCT(AR102:BQ102*AR$15:BQ$15))),3)))</f>
        <v/>
      </c>
      <c r="F102" s="300"/>
      <c r="G102" s="301"/>
      <c r="H102" s="300"/>
      <c r="I102" s="301"/>
      <c r="J102" s="133"/>
      <c r="K102" s="342" t="s">
        <v>1140</v>
      </c>
      <c r="L102" s="445"/>
      <c r="M102" s="446"/>
      <c r="N102" s="446"/>
      <c r="O102" s="446"/>
      <c r="P102" s="436" t="n">
        <v>1</v>
      </c>
      <c r="Q102" s="436" t="n">
        <v>1</v>
      </c>
      <c r="R102" s="436"/>
      <c r="S102" s="436"/>
      <c r="T102" s="436"/>
      <c r="U102" s="436"/>
      <c r="V102" s="436"/>
      <c r="W102" s="436"/>
      <c r="X102" s="436"/>
      <c r="Y102" s="436"/>
      <c r="Z102" s="436"/>
      <c r="AA102" s="436"/>
      <c r="AB102" s="436"/>
      <c r="AC102" s="436"/>
      <c r="AD102" s="436" t="n">
        <v>1.5</v>
      </c>
      <c r="AE102" s="436"/>
      <c r="AF102" s="436"/>
      <c r="AG102" s="436"/>
      <c r="AH102" s="436"/>
      <c r="AI102" s="437"/>
      <c r="AJ102" s="436"/>
      <c r="AK102" s="438"/>
      <c r="AQ102" s="342" t="s">
        <v>1140</v>
      </c>
      <c r="AR102" s="439" t="n">
        <f aca="false">L102^2</f>
        <v>0</v>
      </c>
      <c r="AS102" s="440" t="n">
        <f aca="false">M102^2</f>
        <v>0</v>
      </c>
      <c r="AT102" s="440" t="n">
        <f aca="false">N102^2</f>
        <v>0</v>
      </c>
      <c r="AU102" s="440" t="n">
        <f aca="false">O102^2</f>
        <v>0</v>
      </c>
      <c r="AV102" s="440" t="n">
        <f aca="false">P102^2</f>
        <v>1</v>
      </c>
      <c r="AW102" s="440" t="n">
        <f aca="false">Q102^2</f>
        <v>1</v>
      </c>
      <c r="AX102" s="440" t="n">
        <f aca="false">R102^2</f>
        <v>0</v>
      </c>
      <c r="AY102" s="440" t="n">
        <f aca="false">S102^2</f>
        <v>0</v>
      </c>
      <c r="AZ102" s="440" t="n">
        <f aca="false">T102^2</f>
        <v>0</v>
      </c>
      <c r="BA102" s="440" t="n">
        <f aca="false">U102^2</f>
        <v>0</v>
      </c>
      <c r="BB102" s="440" t="n">
        <f aca="false">V102^2</f>
        <v>0</v>
      </c>
      <c r="BC102" s="440" t="n">
        <f aca="false">W102^2</f>
        <v>0</v>
      </c>
      <c r="BD102" s="440" t="n">
        <f aca="false">X102^2</f>
        <v>0</v>
      </c>
      <c r="BE102" s="440" t="n">
        <f aca="false">Y102^2</f>
        <v>0</v>
      </c>
      <c r="BF102" s="440" t="n">
        <f aca="false">Z102^2</f>
        <v>0</v>
      </c>
      <c r="BG102" s="440" t="n">
        <f aca="false">AA102^2</f>
        <v>0</v>
      </c>
      <c r="BH102" s="440" t="n">
        <f aca="false">AB102^2</f>
        <v>0</v>
      </c>
      <c r="BI102" s="440" t="n">
        <f aca="false">AC102^2</f>
        <v>0</v>
      </c>
      <c r="BJ102" s="440" t="n">
        <f aca="false">AD102^2</f>
        <v>2.25</v>
      </c>
      <c r="BK102" s="440" t="n">
        <f aca="false">AE102^2</f>
        <v>0</v>
      </c>
      <c r="BL102" s="440" t="n">
        <f aca="false">AF102^2</f>
        <v>0</v>
      </c>
      <c r="BM102" s="440" t="n">
        <f aca="false">AG102^2</f>
        <v>0</v>
      </c>
      <c r="BN102" s="440" t="n">
        <f aca="false">AH102^2</f>
        <v>0</v>
      </c>
      <c r="BO102" s="440" t="n">
        <f aca="false">AI102^2</f>
        <v>0</v>
      </c>
      <c r="BP102" s="440" t="n">
        <f aca="false">AJ102^2</f>
        <v>0</v>
      </c>
      <c r="BQ102" s="441" t="n">
        <f aca="false">-SIGN(AK102)*AK102^2</f>
        <v>-0</v>
      </c>
    </row>
    <row r="103" customFormat="false" ht="12.75" hidden="false" customHeight="false" outlineLevel="0" collapsed="false">
      <c r="B103" s="353" t="s">
        <v>1144</v>
      </c>
      <c r="C103" s="354" t="s">
        <v>1145</v>
      </c>
      <c r="D103" s="290" t="str">
        <f aca="false">IF(F103="","",IF(H103="","",ROUND(F103-0.001*298.15*(H103-SUMPRODUCT(L103:AK103*AR$13:BQ$13)),3)))</f>
        <v/>
      </c>
      <c r="E103" s="137" t="str">
        <f aca="false">IF(G103="","",IF(I103="","",ROUND(2*SQRT((0.5*G103)^2+(0.001*298.15)^2*((0.5*I103)^2+SUMPRODUCT(AR103:BQ103*AR$15:BQ$15))),3)))</f>
        <v/>
      </c>
      <c r="F103" s="300"/>
      <c r="G103" s="301"/>
      <c r="H103" s="300"/>
      <c r="I103" s="301"/>
      <c r="J103" s="133"/>
      <c r="K103" s="140" t="s">
        <v>1145</v>
      </c>
      <c r="L103" s="434"/>
      <c r="M103" s="435"/>
      <c r="N103" s="435"/>
      <c r="O103" s="435"/>
      <c r="P103" s="436"/>
      <c r="Q103" s="436" t="n">
        <v>1</v>
      </c>
      <c r="R103" s="436"/>
      <c r="S103" s="436"/>
      <c r="T103" s="436"/>
      <c r="U103" s="436"/>
      <c r="V103" s="436"/>
      <c r="W103" s="436"/>
      <c r="X103" s="436"/>
      <c r="Y103" s="436"/>
      <c r="Z103" s="436"/>
      <c r="AA103" s="436"/>
      <c r="AB103" s="436"/>
      <c r="AC103" s="436"/>
      <c r="AD103" s="436" t="n">
        <v>1.5</v>
      </c>
      <c r="AE103" s="436"/>
      <c r="AF103" s="436"/>
      <c r="AG103" s="436"/>
      <c r="AH103" s="436"/>
      <c r="AI103" s="437" t="n">
        <v>1</v>
      </c>
      <c r="AJ103" s="436"/>
      <c r="AK103" s="438"/>
      <c r="AQ103" s="140" t="s">
        <v>1145</v>
      </c>
      <c r="AR103" s="439" t="n">
        <f aca="false">L103^2</f>
        <v>0</v>
      </c>
      <c r="AS103" s="440" t="n">
        <f aca="false">M103^2</f>
        <v>0</v>
      </c>
      <c r="AT103" s="440" t="n">
        <f aca="false">N103^2</f>
        <v>0</v>
      </c>
      <c r="AU103" s="440" t="n">
        <f aca="false">O103^2</f>
        <v>0</v>
      </c>
      <c r="AV103" s="440" t="n">
        <f aca="false">P103^2</f>
        <v>0</v>
      </c>
      <c r="AW103" s="440" t="n">
        <f aca="false">Q103^2</f>
        <v>1</v>
      </c>
      <c r="AX103" s="440" t="n">
        <f aca="false">R103^2</f>
        <v>0</v>
      </c>
      <c r="AY103" s="440" t="n">
        <f aca="false">S103^2</f>
        <v>0</v>
      </c>
      <c r="AZ103" s="440" t="n">
        <f aca="false">T103^2</f>
        <v>0</v>
      </c>
      <c r="BA103" s="440" t="n">
        <f aca="false">U103^2</f>
        <v>0</v>
      </c>
      <c r="BB103" s="440" t="n">
        <f aca="false">V103^2</f>
        <v>0</v>
      </c>
      <c r="BC103" s="440" t="n">
        <f aca="false">W103^2</f>
        <v>0</v>
      </c>
      <c r="BD103" s="440" t="n">
        <f aca="false">X103^2</f>
        <v>0</v>
      </c>
      <c r="BE103" s="440" t="n">
        <f aca="false">Y103^2</f>
        <v>0</v>
      </c>
      <c r="BF103" s="440" t="n">
        <f aca="false">Z103^2</f>
        <v>0</v>
      </c>
      <c r="BG103" s="440" t="n">
        <f aca="false">AA103^2</f>
        <v>0</v>
      </c>
      <c r="BH103" s="440" t="n">
        <f aca="false">AB103^2</f>
        <v>0</v>
      </c>
      <c r="BI103" s="440" t="n">
        <f aca="false">AC103^2</f>
        <v>0</v>
      </c>
      <c r="BJ103" s="440" t="n">
        <f aca="false">AD103^2</f>
        <v>2.25</v>
      </c>
      <c r="BK103" s="440" t="n">
        <f aca="false">AE103^2</f>
        <v>0</v>
      </c>
      <c r="BL103" s="440" t="n">
        <f aca="false">AF103^2</f>
        <v>0</v>
      </c>
      <c r="BM103" s="440" t="n">
        <f aca="false">AG103^2</f>
        <v>0</v>
      </c>
      <c r="BN103" s="440" t="n">
        <f aca="false">AH103^2</f>
        <v>0</v>
      </c>
      <c r="BO103" s="440" t="n">
        <f aca="false">AI103^2</f>
        <v>1</v>
      </c>
      <c r="BP103" s="440" t="n">
        <f aca="false">AJ103^2</f>
        <v>0</v>
      </c>
      <c r="BQ103" s="441" t="n">
        <f aca="false">-SIGN(AK103)*AK103^2</f>
        <v>-0</v>
      </c>
    </row>
    <row r="104" customFormat="false" ht="12.75" hidden="false" customHeight="false" outlineLevel="0" collapsed="false">
      <c r="B104" s="354" t="s">
        <v>1146</v>
      </c>
      <c r="C104" s="354" t="s">
        <v>1146</v>
      </c>
      <c r="D104" s="290" t="str">
        <f aca="false">IF(F104="","",IF(H104="","",ROUND(F104-0.001*298.15*(H104-SUMPRODUCT(L104:AK104*AR$13:BQ$13)),3)))</f>
        <v/>
      </c>
      <c r="E104" s="137" t="str">
        <f aca="false">IF(G104="","",IF(I104="","",ROUND(2*SQRT((0.5*G104)^2+(0.001*298.15)^2*((0.5*I104)^2+SUMPRODUCT(AR104:BQ104*AR$15:BQ$15))),3)))</f>
        <v/>
      </c>
      <c r="F104" s="300"/>
      <c r="G104" s="301"/>
      <c r="H104" s="300"/>
      <c r="I104" s="301"/>
      <c r="J104" s="133"/>
      <c r="K104" s="342" t="s">
        <v>1146</v>
      </c>
      <c r="L104" s="434"/>
      <c r="M104" s="435"/>
      <c r="N104" s="435"/>
      <c r="O104" s="435"/>
      <c r="P104" s="436"/>
      <c r="Q104" s="436"/>
      <c r="R104" s="436"/>
      <c r="S104" s="436"/>
      <c r="T104" s="436"/>
      <c r="U104" s="436"/>
      <c r="V104" s="436"/>
      <c r="W104" s="436"/>
      <c r="X104" s="436"/>
      <c r="Y104" s="436"/>
      <c r="Z104" s="436"/>
      <c r="AA104" s="436"/>
      <c r="AB104" s="436" t="n">
        <v>2</v>
      </c>
      <c r="AC104" s="436"/>
      <c r="AD104" s="436" t="n">
        <v>0.5</v>
      </c>
      <c r="AE104" s="436"/>
      <c r="AF104" s="436"/>
      <c r="AG104" s="436"/>
      <c r="AH104" s="436"/>
      <c r="AI104" s="437"/>
      <c r="AJ104" s="436"/>
      <c r="AK104" s="438"/>
      <c r="AQ104" s="342" t="s">
        <v>1146</v>
      </c>
      <c r="AR104" s="439" t="n">
        <f aca="false">L104^2</f>
        <v>0</v>
      </c>
      <c r="AS104" s="440" t="n">
        <f aca="false">M104^2</f>
        <v>0</v>
      </c>
      <c r="AT104" s="440" t="n">
        <f aca="false">N104^2</f>
        <v>0</v>
      </c>
      <c r="AU104" s="440" t="n">
        <f aca="false">O104^2</f>
        <v>0</v>
      </c>
      <c r="AV104" s="440" t="n">
        <f aca="false">P104^2</f>
        <v>0</v>
      </c>
      <c r="AW104" s="440" t="n">
        <f aca="false">Q104^2</f>
        <v>0</v>
      </c>
      <c r="AX104" s="440" t="n">
        <f aca="false">R104^2</f>
        <v>0</v>
      </c>
      <c r="AY104" s="440" t="n">
        <f aca="false">S104^2</f>
        <v>0</v>
      </c>
      <c r="AZ104" s="440" t="n">
        <f aca="false">T104^2</f>
        <v>0</v>
      </c>
      <c r="BA104" s="440" t="n">
        <f aca="false">U104^2</f>
        <v>0</v>
      </c>
      <c r="BB104" s="440" t="n">
        <f aca="false">V104^2</f>
        <v>0</v>
      </c>
      <c r="BC104" s="440" t="n">
        <f aca="false">W104^2</f>
        <v>0</v>
      </c>
      <c r="BD104" s="440" t="n">
        <f aca="false">X104^2</f>
        <v>0</v>
      </c>
      <c r="BE104" s="440" t="n">
        <f aca="false">Y104^2</f>
        <v>0</v>
      </c>
      <c r="BF104" s="440" t="n">
        <f aca="false">Z104^2</f>
        <v>0</v>
      </c>
      <c r="BG104" s="440" t="n">
        <f aca="false">AA104^2</f>
        <v>0</v>
      </c>
      <c r="BH104" s="440" t="n">
        <f aca="false">AB104^2</f>
        <v>4</v>
      </c>
      <c r="BI104" s="440" t="n">
        <f aca="false">AC104^2</f>
        <v>0</v>
      </c>
      <c r="BJ104" s="440" t="n">
        <f aca="false">AD104^2</f>
        <v>0.25</v>
      </c>
      <c r="BK104" s="440" t="n">
        <f aca="false">AE104^2</f>
        <v>0</v>
      </c>
      <c r="BL104" s="440" t="n">
        <f aca="false">AF104^2</f>
        <v>0</v>
      </c>
      <c r="BM104" s="440" t="n">
        <f aca="false">AG104^2</f>
        <v>0</v>
      </c>
      <c r="BN104" s="440" t="n">
        <f aca="false">AH104^2</f>
        <v>0</v>
      </c>
      <c r="BO104" s="440" t="n">
        <f aca="false">AI104^2</f>
        <v>0</v>
      </c>
      <c r="BP104" s="440" t="n">
        <f aca="false">AJ104^2</f>
        <v>0</v>
      </c>
      <c r="BQ104" s="441" t="n">
        <f aca="false">-SIGN(AK104)*AK104^2</f>
        <v>-0</v>
      </c>
    </row>
    <row r="105" customFormat="false" ht="12.75" hidden="false" customHeight="false" outlineLevel="0" collapsed="false">
      <c r="B105" s="353" t="s">
        <v>1147</v>
      </c>
      <c r="C105" s="354" t="s">
        <v>1148</v>
      </c>
      <c r="D105" s="290" t="str">
        <f aca="false">IF(F105="","",IF(H105="","",ROUND(F105-0.001*298.15*(H105-SUMPRODUCT(L105:AK105*AR$13:BQ$13)),3)))</f>
        <v/>
      </c>
      <c r="E105" s="137" t="str">
        <f aca="false">IF(G105="","",IF(I105="","",ROUND(2*SQRT((0.5*G105)^2+(0.001*298.15)^2*((0.5*I105)^2+SUMPRODUCT(AR105:BQ105*AR$15:BQ$15))),3)))</f>
        <v/>
      </c>
      <c r="F105" s="300"/>
      <c r="G105" s="301"/>
      <c r="H105" s="300"/>
      <c r="I105" s="301"/>
      <c r="J105" s="133"/>
      <c r="K105" s="342" t="s">
        <v>1148</v>
      </c>
      <c r="L105" s="434"/>
      <c r="M105" s="435"/>
      <c r="N105" s="435"/>
      <c r="O105" s="435"/>
      <c r="P105" s="436"/>
      <c r="Q105" s="436"/>
      <c r="R105" s="436" t="n">
        <v>0.5</v>
      </c>
      <c r="S105" s="436"/>
      <c r="T105" s="436"/>
      <c r="U105" s="436"/>
      <c r="V105" s="436"/>
      <c r="W105" s="436"/>
      <c r="X105" s="436"/>
      <c r="Y105" s="436"/>
      <c r="Z105" s="436"/>
      <c r="AA105" s="436"/>
      <c r="AB105" s="436" t="n">
        <v>1</v>
      </c>
      <c r="AC105" s="436"/>
      <c r="AD105" s="436"/>
      <c r="AE105" s="436"/>
      <c r="AF105" s="436"/>
      <c r="AG105" s="436"/>
      <c r="AH105" s="436"/>
      <c r="AI105" s="437"/>
      <c r="AJ105" s="436"/>
      <c r="AK105" s="438"/>
      <c r="AQ105" s="342" t="s">
        <v>1148</v>
      </c>
      <c r="AR105" s="439" t="n">
        <f aca="false">L105^2</f>
        <v>0</v>
      </c>
      <c r="AS105" s="440" t="n">
        <f aca="false">M105^2</f>
        <v>0</v>
      </c>
      <c r="AT105" s="440" t="n">
        <f aca="false">N105^2</f>
        <v>0</v>
      </c>
      <c r="AU105" s="440" t="n">
        <f aca="false">O105^2</f>
        <v>0</v>
      </c>
      <c r="AV105" s="440" t="n">
        <f aca="false">P105^2</f>
        <v>0</v>
      </c>
      <c r="AW105" s="440" t="n">
        <f aca="false">Q105^2</f>
        <v>0</v>
      </c>
      <c r="AX105" s="440" t="n">
        <f aca="false">R105^2</f>
        <v>0.25</v>
      </c>
      <c r="AY105" s="440" t="n">
        <f aca="false">S105^2</f>
        <v>0</v>
      </c>
      <c r="AZ105" s="440" t="n">
        <f aca="false">T105^2</f>
        <v>0</v>
      </c>
      <c r="BA105" s="440" t="n">
        <f aca="false">U105^2</f>
        <v>0</v>
      </c>
      <c r="BB105" s="440" t="n">
        <f aca="false">V105^2</f>
        <v>0</v>
      </c>
      <c r="BC105" s="440" t="n">
        <f aca="false">W105^2</f>
        <v>0</v>
      </c>
      <c r="BD105" s="440" t="n">
        <f aca="false">X105^2</f>
        <v>0</v>
      </c>
      <c r="BE105" s="440" t="n">
        <f aca="false">Y105^2</f>
        <v>0</v>
      </c>
      <c r="BF105" s="440" t="n">
        <f aca="false">Z105^2</f>
        <v>0</v>
      </c>
      <c r="BG105" s="440" t="n">
        <f aca="false">AA105^2</f>
        <v>0</v>
      </c>
      <c r="BH105" s="440" t="n">
        <f aca="false">AB105^2</f>
        <v>1</v>
      </c>
      <c r="BI105" s="440" t="n">
        <f aca="false">AC105^2</f>
        <v>0</v>
      </c>
      <c r="BJ105" s="440" t="n">
        <f aca="false">AD105^2</f>
        <v>0</v>
      </c>
      <c r="BK105" s="440" t="n">
        <f aca="false">AE105^2</f>
        <v>0</v>
      </c>
      <c r="BL105" s="440" t="n">
        <f aca="false">AF105^2</f>
        <v>0</v>
      </c>
      <c r="BM105" s="440" t="n">
        <f aca="false">AG105^2</f>
        <v>0</v>
      </c>
      <c r="BN105" s="440" t="n">
        <f aca="false">AH105^2</f>
        <v>0</v>
      </c>
      <c r="BO105" s="440" t="n">
        <f aca="false">AI105^2</f>
        <v>0</v>
      </c>
      <c r="BP105" s="440" t="n">
        <f aca="false">AJ105^2</f>
        <v>0</v>
      </c>
      <c r="BQ105" s="441" t="n">
        <f aca="false">-SIGN(AK105)*AK105^2</f>
        <v>-0</v>
      </c>
    </row>
    <row r="106" customFormat="false" ht="12.75" hidden="false" customHeight="false" outlineLevel="0" collapsed="false">
      <c r="B106" s="354" t="s">
        <v>1154</v>
      </c>
      <c r="C106" s="354" t="s">
        <v>1154</v>
      </c>
      <c r="D106" s="290" t="str">
        <f aca="false">IF(F106="","",IF(H106="","",ROUND(F106-0.001*298.15*(H106-SUMPRODUCT(L106:AK106*AR$13:BQ$13)),3)))</f>
        <v/>
      </c>
      <c r="E106" s="137" t="str">
        <f aca="false">IF(G106="","",IF(I106="","",ROUND(2*SQRT((0.5*G106)^2+(0.001*298.15)^2*((0.5*I106)^2+SUMPRODUCT(AR106:BQ106*AR$15:BQ$15))),3)))</f>
        <v/>
      </c>
      <c r="F106" s="300"/>
      <c r="G106" s="301"/>
      <c r="H106" s="291"/>
      <c r="I106" s="292"/>
      <c r="J106" s="133"/>
      <c r="K106" s="342" t="s">
        <v>1154</v>
      </c>
      <c r="L106" s="434"/>
      <c r="M106" s="435"/>
      <c r="N106" s="435"/>
      <c r="O106" s="435"/>
      <c r="P106" s="436"/>
      <c r="Q106" s="436"/>
      <c r="R106" s="436"/>
      <c r="S106" s="436"/>
      <c r="T106" s="436"/>
      <c r="U106" s="436"/>
      <c r="V106" s="436"/>
      <c r="W106" s="436"/>
      <c r="X106" s="436" t="n">
        <v>2</v>
      </c>
      <c r="Y106" s="436"/>
      <c r="Z106" s="436"/>
      <c r="AA106" s="436"/>
      <c r="AB106" s="436"/>
      <c r="AC106" s="436"/>
      <c r="AD106" s="436" t="n">
        <v>0.5</v>
      </c>
      <c r="AE106" s="436"/>
      <c r="AF106" s="436"/>
      <c r="AG106" s="436"/>
      <c r="AH106" s="436"/>
      <c r="AI106" s="437"/>
      <c r="AJ106" s="436"/>
      <c r="AK106" s="438"/>
      <c r="AQ106" s="342" t="s">
        <v>1154</v>
      </c>
      <c r="AR106" s="439" t="n">
        <f aca="false">L106^2</f>
        <v>0</v>
      </c>
      <c r="AS106" s="440" t="n">
        <f aca="false">M106^2</f>
        <v>0</v>
      </c>
      <c r="AT106" s="440" t="n">
        <f aca="false">N106^2</f>
        <v>0</v>
      </c>
      <c r="AU106" s="440" t="n">
        <f aca="false">O106^2</f>
        <v>0</v>
      </c>
      <c r="AV106" s="440" t="n">
        <f aca="false">P106^2</f>
        <v>0</v>
      </c>
      <c r="AW106" s="440" t="n">
        <f aca="false">Q106^2</f>
        <v>0</v>
      </c>
      <c r="AX106" s="440" t="n">
        <f aca="false">R106^2</f>
        <v>0</v>
      </c>
      <c r="AY106" s="440" t="n">
        <f aca="false">S106^2</f>
        <v>0</v>
      </c>
      <c r="AZ106" s="440" t="n">
        <f aca="false">T106^2</f>
        <v>0</v>
      </c>
      <c r="BA106" s="440" t="n">
        <f aca="false">U106^2</f>
        <v>0</v>
      </c>
      <c r="BB106" s="440" t="n">
        <f aca="false">V106^2</f>
        <v>0</v>
      </c>
      <c r="BC106" s="440" t="n">
        <f aca="false">W106^2</f>
        <v>0</v>
      </c>
      <c r="BD106" s="440" t="n">
        <f aca="false">X106^2</f>
        <v>4</v>
      </c>
      <c r="BE106" s="440" t="n">
        <f aca="false">Y106^2</f>
        <v>0</v>
      </c>
      <c r="BF106" s="440" t="n">
        <f aca="false">Z106^2</f>
        <v>0</v>
      </c>
      <c r="BG106" s="440" t="n">
        <f aca="false">AA106^2</f>
        <v>0</v>
      </c>
      <c r="BH106" s="440" t="n">
        <f aca="false">AB106^2</f>
        <v>0</v>
      </c>
      <c r="BI106" s="440" t="n">
        <f aca="false">AC106^2</f>
        <v>0</v>
      </c>
      <c r="BJ106" s="440" t="n">
        <f aca="false">AD106^2</f>
        <v>0.25</v>
      </c>
      <c r="BK106" s="440" t="n">
        <f aca="false">AE106^2</f>
        <v>0</v>
      </c>
      <c r="BL106" s="440" t="n">
        <f aca="false">AF106^2</f>
        <v>0</v>
      </c>
      <c r="BM106" s="440" t="n">
        <f aca="false">AG106^2</f>
        <v>0</v>
      </c>
      <c r="BN106" s="440" t="n">
        <f aca="false">AH106^2</f>
        <v>0</v>
      </c>
      <c r="BO106" s="440" t="n">
        <f aca="false">AI106^2</f>
        <v>0</v>
      </c>
      <c r="BP106" s="440" t="n">
        <f aca="false">AJ106^2</f>
        <v>0</v>
      </c>
      <c r="BQ106" s="441" t="n">
        <f aca="false">-SIGN(AK106)*AK106^2</f>
        <v>-0</v>
      </c>
    </row>
    <row r="107" customFormat="false" ht="13.5" hidden="false" customHeight="false" outlineLevel="0" collapsed="false">
      <c r="B107" s="374" t="s">
        <v>1155</v>
      </c>
      <c r="C107" s="375" t="s">
        <v>1156</v>
      </c>
      <c r="D107" s="305" t="str">
        <f aca="false">IF(F107="","",IF(H107="","",ROUND(F107-0.001*298.15*(H107-SUMPRODUCT(L107:AK107*AR$13:BQ$13)),3)))</f>
        <v/>
      </c>
      <c r="E107" s="145" t="str">
        <f aca="false">IF(G107="","",IF(I107="","",ROUND(2*SQRT((0.5*G107)^2+(0.001*298.15)^2*((0.5*I107)^2+SUMPRODUCT(AR107:BQ107*AR$15:BQ$15))),3)))</f>
        <v/>
      </c>
      <c r="F107" s="306"/>
      <c r="G107" s="307"/>
      <c r="H107" s="306"/>
      <c r="I107" s="307"/>
      <c r="J107" s="10"/>
      <c r="K107" s="374" t="s">
        <v>1156</v>
      </c>
      <c r="L107" s="447"/>
      <c r="M107" s="448"/>
      <c r="N107" s="448"/>
      <c r="O107" s="448"/>
      <c r="P107" s="449"/>
      <c r="Q107" s="449"/>
      <c r="R107" s="449" t="n">
        <v>0.5</v>
      </c>
      <c r="S107" s="449"/>
      <c r="T107" s="449"/>
      <c r="U107" s="449"/>
      <c r="V107" s="449"/>
      <c r="W107" s="449"/>
      <c r="X107" s="449" t="n">
        <v>1</v>
      </c>
      <c r="Y107" s="449"/>
      <c r="Z107" s="449"/>
      <c r="AA107" s="449"/>
      <c r="AB107" s="449"/>
      <c r="AC107" s="449"/>
      <c r="AD107" s="449"/>
      <c r="AE107" s="449"/>
      <c r="AF107" s="449"/>
      <c r="AG107" s="449"/>
      <c r="AH107" s="449"/>
      <c r="AI107" s="450"/>
      <c r="AJ107" s="449"/>
      <c r="AK107" s="451"/>
      <c r="AQ107" s="374" t="s">
        <v>1156</v>
      </c>
      <c r="AR107" s="452" t="n">
        <f aca="false">L107^2</f>
        <v>0</v>
      </c>
      <c r="AS107" s="453" t="n">
        <f aca="false">M107^2</f>
        <v>0</v>
      </c>
      <c r="AT107" s="453" t="n">
        <f aca="false">N107^2</f>
        <v>0</v>
      </c>
      <c r="AU107" s="453" t="n">
        <f aca="false">O107^2</f>
        <v>0</v>
      </c>
      <c r="AV107" s="453" t="n">
        <f aca="false">P107^2</f>
        <v>0</v>
      </c>
      <c r="AW107" s="453" t="n">
        <f aca="false">Q107^2</f>
        <v>0</v>
      </c>
      <c r="AX107" s="453" t="n">
        <f aca="false">R107^2</f>
        <v>0.25</v>
      </c>
      <c r="AY107" s="453" t="n">
        <f aca="false">S107^2</f>
        <v>0</v>
      </c>
      <c r="AZ107" s="453" t="n">
        <f aca="false">T107^2</f>
        <v>0</v>
      </c>
      <c r="BA107" s="453" t="n">
        <f aca="false">U107^2</f>
        <v>0</v>
      </c>
      <c r="BB107" s="453" t="n">
        <f aca="false">V107^2</f>
        <v>0</v>
      </c>
      <c r="BC107" s="453" t="n">
        <f aca="false">W107^2</f>
        <v>0</v>
      </c>
      <c r="BD107" s="453" t="n">
        <f aca="false">X107^2</f>
        <v>1</v>
      </c>
      <c r="BE107" s="453" t="n">
        <f aca="false">Y107^2</f>
        <v>0</v>
      </c>
      <c r="BF107" s="453" t="n">
        <f aca="false">Z107^2</f>
        <v>0</v>
      </c>
      <c r="BG107" s="453" t="n">
        <f aca="false">AA107^2</f>
        <v>0</v>
      </c>
      <c r="BH107" s="453" t="n">
        <f aca="false">AB107^2</f>
        <v>0</v>
      </c>
      <c r="BI107" s="453" t="n">
        <f aca="false">AC107^2</f>
        <v>0</v>
      </c>
      <c r="BJ107" s="453" t="n">
        <f aca="false">AD107^2</f>
        <v>0</v>
      </c>
      <c r="BK107" s="453" t="n">
        <f aca="false">AE107^2</f>
        <v>0</v>
      </c>
      <c r="BL107" s="453" t="n">
        <f aca="false">AF107^2</f>
        <v>0</v>
      </c>
      <c r="BM107" s="453" t="n">
        <f aca="false">AG107^2</f>
        <v>0</v>
      </c>
      <c r="BN107" s="453" t="n">
        <f aca="false">AH107^2</f>
        <v>0</v>
      </c>
      <c r="BO107" s="453" t="n">
        <f aca="false">AI107^2</f>
        <v>0</v>
      </c>
      <c r="BP107" s="453" t="n">
        <f aca="false">AJ107^2</f>
        <v>0</v>
      </c>
      <c r="BQ107" s="454" t="n">
        <f aca="false">-SIGN(AK107)*AK107^2</f>
        <v>-0</v>
      </c>
    </row>
    <row r="108" customFormat="false" ht="13.5" hidden="false" customHeight="false" outlineLevel="0" collapsed="false">
      <c r="B108" s="280"/>
      <c r="C108" s="112"/>
      <c r="D108" s="66"/>
      <c r="E108" s="66"/>
      <c r="F108" s="66"/>
      <c r="G108" s="66"/>
      <c r="H108" s="66"/>
      <c r="I108" s="66"/>
      <c r="J108" s="10"/>
      <c r="L108" s="416" t="s">
        <v>32</v>
      </c>
      <c r="M108" s="417" t="s">
        <v>40</v>
      </c>
      <c r="N108" s="418" t="s">
        <v>41</v>
      </c>
      <c r="O108" s="418" t="s">
        <v>46</v>
      </c>
      <c r="P108" s="417" t="s">
        <v>48</v>
      </c>
      <c r="Q108" s="417" t="s">
        <v>49</v>
      </c>
      <c r="R108" s="418" t="s">
        <v>54</v>
      </c>
      <c r="S108" s="418" t="s">
        <v>59</v>
      </c>
      <c r="T108" s="418" t="s">
        <v>66</v>
      </c>
      <c r="U108" s="418" t="s">
        <v>68</v>
      </c>
      <c r="V108" s="418" t="s">
        <v>75</v>
      </c>
      <c r="W108" s="418" t="s">
        <v>82</v>
      </c>
      <c r="X108" s="418" t="s">
        <v>86</v>
      </c>
      <c r="Y108" s="418" t="s">
        <v>89</v>
      </c>
      <c r="Z108" s="417" t="s">
        <v>93</v>
      </c>
      <c r="AA108" s="418" t="s">
        <v>97</v>
      </c>
      <c r="AB108" s="418" t="s">
        <v>99</v>
      </c>
      <c r="AC108" s="417" t="s">
        <v>103</v>
      </c>
      <c r="AD108" s="418" t="s">
        <v>107</v>
      </c>
      <c r="AE108" s="417" t="s">
        <v>110</v>
      </c>
      <c r="AF108" s="418" t="s">
        <v>119</v>
      </c>
      <c r="AG108" s="418" t="s">
        <v>120</v>
      </c>
      <c r="AH108" s="418" t="s">
        <v>125</v>
      </c>
      <c r="AI108" s="417" t="s">
        <v>129</v>
      </c>
      <c r="AJ108" s="418" t="s">
        <v>132</v>
      </c>
      <c r="AK108" s="419" t="s">
        <v>1187</v>
      </c>
      <c r="AQ108" s="73"/>
      <c r="AR108" s="416" t="s">
        <v>32</v>
      </c>
      <c r="AS108" s="417" t="s">
        <v>40</v>
      </c>
      <c r="AT108" s="418" t="s">
        <v>41</v>
      </c>
      <c r="AU108" s="418" t="s">
        <v>46</v>
      </c>
      <c r="AV108" s="417" t="s">
        <v>48</v>
      </c>
      <c r="AW108" s="417" t="s">
        <v>49</v>
      </c>
      <c r="AX108" s="418" t="s">
        <v>54</v>
      </c>
      <c r="AY108" s="418" t="s">
        <v>59</v>
      </c>
      <c r="AZ108" s="418" t="s">
        <v>66</v>
      </c>
      <c r="BA108" s="418" t="s">
        <v>68</v>
      </c>
      <c r="BB108" s="418" t="s">
        <v>75</v>
      </c>
      <c r="BC108" s="418" t="s">
        <v>82</v>
      </c>
      <c r="BD108" s="418" t="s">
        <v>86</v>
      </c>
      <c r="BE108" s="418" t="s">
        <v>89</v>
      </c>
      <c r="BF108" s="417" t="s">
        <v>93</v>
      </c>
      <c r="BG108" s="418" t="s">
        <v>97</v>
      </c>
      <c r="BH108" s="418" t="s">
        <v>99</v>
      </c>
      <c r="BI108" s="417" t="s">
        <v>103</v>
      </c>
      <c r="BJ108" s="418" t="s">
        <v>107</v>
      </c>
      <c r="BK108" s="417" t="s">
        <v>110</v>
      </c>
      <c r="BL108" s="418" t="s">
        <v>119</v>
      </c>
      <c r="BM108" s="418" t="s">
        <v>120</v>
      </c>
      <c r="BN108" s="418" t="s">
        <v>125</v>
      </c>
      <c r="BO108" s="417" t="s">
        <v>129</v>
      </c>
      <c r="BP108" s="418" t="s">
        <v>132</v>
      </c>
      <c r="BQ108" s="419" t="s">
        <v>1187</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3.xml><?xml version="1.0" encoding="utf-8"?>
<worksheet xmlns="http://schemas.openxmlformats.org/spreadsheetml/2006/main" xmlns:r="http://schemas.openxmlformats.org/officeDocument/2006/relationships">
  <sheetPr filterMode="false">
    <pageSetUpPr fitToPage="false"/>
  </sheetPr>
  <dimension ref="A1:M4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42" activeCellId="2" sqref="B16:B122 E16:F122 H42"/>
    </sheetView>
  </sheetViews>
  <sheetFormatPr defaultRowHeight="12.75" zeroHeight="false" outlineLevelRow="0" outlineLevelCol="0"/>
  <cols>
    <col collapsed="false" customWidth="true" hidden="false" outlineLevel="0" max="1" min="1" style="10" width="10.14"/>
    <col collapsed="false" customWidth="true" hidden="false" outlineLevel="0" max="2" min="2" style="10" width="15.29"/>
    <col collapsed="false" customWidth="true" hidden="false" outlineLevel="0" max="3" min="3" style="10" width="12.42"/>
    <col collapsed="false" customWidth="true" hidden="false" outlineLevel="0" max="32" min="4" style="10" width="10.14"/>
    <col collapsed="false" customWidth="true" hidden="false" outlineLevel="0" max="1025" min="33" style="10" width="9.14"/>
  </cols>
  <sheetData>
    <row r="1" customFormat="false" ht="12.75" hidden="false" customHeight="false" outlineLevel="0" collapsed="false">
      <c r="A1" s="9" t="str">
        <f aca="true">MID(CELL("filename",$A$1),   FIND("\[",CELL("filename",$A$1))+2,   FIND("]",CELL("filename",$A$1),FIND("\[",CELL("filename",$A$1))+2)-FIND("\[",CELL("filename",$A$1))-2)</f>
        <v>TDProperties_Rev0_v69.xlsx</v>
      </c>
    </row>
    <row r="2" customFormat="false" ht="12.75" hidden="false" customHeight="false" outlineLevel="0" collapsed="false">
      <c r="A2" s="10" t="str">
        <f aca="true">MID(CELL("filename",A1),FIND("]",CELL("filename",A1))+1,256)</f>
        <v>Summary H2O</v>
      </c>
    </row>
    <row r="3" customFormat="false" ht="12.75" hidden="false" customHeight="true" outlineLevel="0" collapsed="false">
      <c r="A3" s="44"/>
    </row>
    <row r="4" customFormat="false" ht="12.75" hidden="false" customHeight="true" outlineLevel="0" collapsed="false">
      <c r="A4" s="281" t="s">
        <v>2084</v>
      </c>
    </row>
    <row r="5" customFormat="false" ht="12.75" hidden="false" customHeight="true" outlineLevel="0" collapsed="false">
      <c r="A5" s="281"/>
    </row>
    <row r="6" customFormat="false" ht="12.75" hidden="false" customHeight="true" outlineLevel="0" collapsed="false">
      <c r="A6" s="281"/>
    </row>
    <row r="7" customFormat="false" ht="12.75" hidden="false" customHeight="true" outlineLevel="0" collapsed="false">
      <c r="A7" s="281"/>
    </row>
    <row r="8" customFormat="false" ht="12.75" hidden="false" customHeight="true" outlineLevel="0" collapsed="false">
      <c r="A8" s="281"/>
    </row>
    <row r="9" customFormat="false" ht="12.75" hidden="false" customHeight="true" outlineLevel="0" collapsed="false">
      <c r="A9" s="281"/>
    </row>
    <row r="10" customFormat="false" ht="13.5" hidden="false" customHeight="true" outlineLevel="0" collapsed="false">
      <c r="B10" s="278"/>
      <c r="C10" s="278"/>
      <c r="D10" s="634"/>
      <c r="E10" s="634"/>
      <c r="F10" s="634"/>
      <c r="G10" s="634"/>
      <c r="H10" s="634"/>
      <c r="I10" s="634"/>
      <c r="J10" s="634"/>
      <c r="K10" s="634"/>
      <c r="L10" s="634"/>
    </row>
    <row r="11" customFormat="false" ht="13.5" hidden="false" customHeight="true" outlineLevel="0" collapsed="false">
      <c r="B11" s="25"/>
      <c r="C11" s="25"/>
      <c r="D11" s="635" t="s">
        <v>2085</v>
      </c>
      <c r="E11" s="635"/>
      <c r="F11" s="635"/>
      <c r="G11" s="635" t="s">
        <v>1027</v>
      </c>
      <c r="H11" s="635"/>
      <c r="I11" s="635"/>
      <c r="J11" s="635" t="s">
        <v>1031</v>
      </c>
      <c r="K11" s="635"/>
      <c r="L11" s="635"/>
    </row>
    <row r="12" customFormat="false" ht="13.5" hidden="false" customHeight="true" outlineLevel="0" collapsed="false">
      <c r="B12" s="16" t="s">
        <v>2086</v>
      </c>
      <c r="C12" s="53" t="s">
        <v>2087</v>
      </c>
      <c r="D12" s="636" t="s">
        <v>511</v>
      </c>
      <c r="E12" s="636" t="s">
        <v>512</v>
      </c>
      <c r="F12" s="636" t="s">
        <v>513</v>
      </c>
      <c r="G12" s="636" t="s">
        <v>511</v>
      </c>
      <c r="H12" s="636" t="s">
        <v>512</v>
      </c>
      <c r="I12" s="636" t="s">
        <v>513</v>
      </c>
      <c r="J12" s="636" t="s">
        <v>511</v>
      </c>
      <c r="K12" s="636" t="s">
        <v>512</v>
      </c>
      <c r="L12" s="636" t="s">
        <v>513</v>
      </c>
    </row>
    <row r="13" customFormat="false" ht="13.5" hidden="false" customHeight="true" outlineLevel="0" collapsed="false">
      <c r="B13" s="16"/>
      <c r="C13" s="53" t="s">
        <v>2088</v>
      </c>
      <c r="D13" s="55" t="s">
        <v>784</v>
      </c>
      <c r="E13" s="55" t="s">
        <v>784</v>
      </c>
      <c r="F13" s="55" t="s">
        <v>167</v>
      </c>
      <c r="G13" s="55" t="s">
        <v>784</v>
      </c>
      <c r="H13" s="55" t="s">
        <v>784</v>
      </c>
      <c r="I13" s="55" t="s">
        <v>167</v>
      </c>
      <c r="J13" s="55" t="s">
        <v>784</v>
      </c>
      <c r="K13" s="55" t="s">
        <v>784</v>
      </c>
      <c r="L13" s="55" t="s">
        <v>167</v>
      </c>
    </row>
    <row r="14" customFormat="false" ht="12.75" hidden="false" customHeight="true" outlineLevel="0" collapsed="false">
      <c r="B14" s="468" t="s">
        <v>208</v>
      </c>
      <c r="C14" s="637" t="n">
        <v>1952</v>
      </c>
      <c r="D14" s="469" t="n">
        <v>-237.143</v>
      </c>
      <c r="E14" s="469" t="n">
        <v>-285.84</v>
      </c>
      <c r="F14" s="469" t="n">
        <v>69.94</v>
      </c>
      <c r="G14" s="469" t="n">
        <v>-228.579</v>
      </c>
      <c r="H14" s="469" t="n">
        <v>-241.826</v>
      </c>
      <c r="I14" s="469" t="n">
        <v>188.833</v>
      </c>
      <c r="J14" s="469" t="n">
        <v>-394.383</v>
      </c>
      <c r="K14" s="469" t="n">
        <v>-393.513</v>
      </c>
      <c r="L14" s="469" t="n">
        <v>213.749</v>
      </c>
    </row>
    <row r="15" customFormat="false" ht="12.75" hidden="false" customHeight="true" outlineLevel="0" collapsed="false">
      <c r="B15" s="160" t="s">
        <v>212</v>
      </c>
      <c r="C15" s="638" t="n">
        <v>1968</v>
      </c>
      <c r="D15" s="470" t="n">
        <v>-237.129</v>
      </c>
      <c r="E15" s="470" t="n">
        <v>-285.83</v>
      </c>
      <c r="F15" s="470" t="n">
        <v>69.915</v>
      </c>
      <c r="G15" s="470" t="n">
        <v>-228.572</v>
      </c>
      <c r="H15" s="470" t="n">
        <v>-241.818</v>
      </c>
      <c r="I15" s="470" t="n">
        <v>188.448</v>
      </c>
      <c r="J15" s="470" t="n">
        <v>-394.359</v>
      </c>
      <c r="K15" s="470" t="n">
        <v>-393.509</v>
      </c>
      <c r="L15" s="470" t="n">
        <v>213.744</v>
      </c>
    </row>
    <row r="16" customFormat="false" ht="12.75" hidden="false" customHeight="true" outlineLevel="0" collapsed="false">
      <c r="B16" s="160" t="s">
        <v>211</v>
      </c>
      <c r="C16" s="638" t="n">
        <v>1968</v>
      </c>
      <c r="D16" s="470" t="n">
        <v>-237.134</v>
      </c>
      <c r="E16" s="470" t="n">
        <v>-285.83</v>
      </c>
      <c r="F16" s="470" t="n">
        <v>69.915</v>
      </c>
      <c r="G16" s="470" t="n">
        <v>-228.577</v>
      </c>
      <c r="H16" s="470" t="n">
        <v>-241.818</v>
      </c>
      <c r="I16" s="470" t="n">
        <v>188.825</v>
      </c>
      <c r="J16" s="470" t="n">
        <v>-394.371</v>
      </c>
      <c r="K16" s="470" t="n">
        <v>-393.509</v>
      </c>
      <c r="L16" s="470" t="n">
        <v>213.744</v>
      </c>
    </row>
    <row r="17" customFormat="false" ht="12.75" hidden="false" customHeight="true" outlineLevel="0" collapsed="false">
      <c r="B17" s="160" t="s">
        <v>2089</v>
      </c>
      <c r="C17" s="638" t="n">
        <v>1971</v>
      </c>
      <c r="D17" s="470"/>
      <c r="E17" s="470"/>
      <c r="F17" s="470"/>
      <c r="G17" s="470" t="n">
        <v>-228.581</v>
      </c>
      <c r="H17" s="470" t="n">
        <v>-241.827</v>
      </c>
      <c r="I17" s="470" t="n">
        <v>188.833</v>
      </c>
      <c r="J17" s="470" t="n">
        <v>-394.405</v>
      </c>
      <c r="K17" s="470" t="n">
        <v>-393.522</v>
      </c>
      <c r="L17" s="470" t="n">
        <v>213.795</v>
      </c>
    </row>
    <row r="18" customFormat="false" ht="12.75" hidden="false" customHeight="true" outlineLevel="0" collapsed="false">
      <c r="B18" s="160" t="s">
        <v>556</v>
      </c>
      <c r="C18" s="638" t="n">
        <v>1978</v>
      </c>
      <c r="D18" s="470" t="n">
        <v>-237.141</v>
      </c>
      <c r="E18" s="470" t="n">
        <v>-285.83</v>
      </c>
      <c r="F18" s="470" t="n">
        <v>69.95</v>
      </c>
      <c r="G18" s="470" t="n">
        <v>-228.569</v>
      </c>
      <c r="H18" s="470" t="n">
        <v>-241.814</v>
      </c>
      <c r="I18" s="470" t="n">
        <v>188.72</v>
      </c>
      <c r="J18" s="470" t="n">
        <v>-394.375</v>
      </c>
      <c r="K18" s="470" t="n">
        <v>-393.51</v>
      </c>
      <c r="L18" s="470" t="n">
        <v>213.79</v>
      </c>
    </row>
    <row r="19" customFormat="false" ht="12.75" hidden="false" customHeight="true" outlineLevel="0" collapsed="false">
      <c r="B19" s="160" t="s">
        <v>557</v>
      </c>
      <c r="C19" s="638" t="n">
        <v>1982</v>
      </c>
      <c r="D19" s="470" t="n">
        <v>-237.129</v>
      </c>
      <c r="E19" s="470" t="n">
        <v>-285.83</v>
      </c>
      <c r="F19" s="470" t="n">
        <v>69.91</v>
      </c>
      <c r="G19" s="470" t="n">
        <v>-228.572</v>
      </c>
      <c r="H19" s="470" t="n">
        <v>-241.818</v>
      </c>
      <c r="I19" s="470" t="n">
        <v>188.825</v>
      </c>
      <c r="J19" s="470" t="n">
        <v>-394.359</v>
      </c>
      <c r="K19" s="470" t="n">
        <v>-393.509</v>
      </c>
      <c r="L19" s="470" t="n">
        <v>213.74</v>
      </c>
    </row>
    <row r="20" customFormat="false" ht="12.75" hidden="false" customHeight="true" outlineLevel="0" collapsed="false">
      <c r="B20" s="160" t="s">
        <v>2090</v>
      </c>
      <c r="C20" s="638" t="n">
        <v>1984</v>
      </c>
      <c r="D20" s="470" t="n">
        <v>-237.142</v>
      </c>
      <c r="E20" s="470" t="n">
        <v>-285.83</v>
      </c>
      <c r="F20" s="470" t="n">
        <v>69.948</v>
      </c>
      <c r="G20" s="470" t="n">
        <v>-228.572</v>
      </c>
      <c r="H20" s="470" t="n">
        <v>-241.814</v>
      </c>
      <c r="I20" s="470" t="n">
        <v>188.833</v>
      </c>
      <c r="J20" s="470" t="n">
        <v>-394.375</v>
      </c>
      <c r="K20" s="470" t="n">
        <v>-393.509</v>
      </c>
      <c r="L20" s="470" t="n">
        <v>213.786</v>
      </c>
    </row>
    <row r="21" customFormat="false" ht="12.75" hidden="false" customHeight="true" outlineLevel="0" collapsed="false">
      <c r="B21" s="160" t="s">
        <v>2091</v>
      </c>
      <c r="C21" s="638" t="n">
        <v>1985</v>
      </c>
      <c r="D21" s="470" t="n">
        <v>-237.141</v>
      </c>
      <c r="E21" s="470" t="n">
        <v>-285.83</v>
      </c>
      <c r="F21" s="470" t="n">
        <v>69.95</v>
      </c>
      <c r="G21" s="470" t="n">
        <v>-228.582</v>
      </c>
      <c r="H21" s="470" t="n">
        <v>-241.826</v>
      </c>
      <c r="I21" s="470" t="n">
        <v>188.834</v>
      </c>
      <c r="J21" s="470" t="n">
        <v>-394.389</v>
      </c>
      <c r="K21" s="470" t="n">
        <v>-393.522</v>
      </c>
      <c r="L21" s="470" t="n">
        <v>213.795</v>
      </c>
    </row>
    <row r="22" customFormat="false" ht="12.75" hidden="false" customHeight="true" outlineLevel="0" collapsed="false">
      <c r="B22" s="160" t="s">
        <v>529</v>
      </c>
      <c r="C22" s="638" t="n">
        <v>1989</v>
      </c>
      <c r="D22" s="470" t="n">
        <v>-237.14</v>
      </c>
      <c r="E22" s="470" t="n">
        <v>-285.83</v>
      </c>
      <c r="F22" s="470" t="n">
        <v>69.95</v>
      </c>
      <c r="G22" s="470" t="n">
        <v>-228.582</v>
      </c>
      <c r="H22" s="470" t="n">
        <v>-241.826</v>
      </c>
      <c r="I22" s="470" t="n">
        <v>188.835</v>
      </c>
      <c r="J22" s="470" t="n">
        <v>-394.373</v>
      </c>
      <c r="K22" s="470" t="n">
        <v>-393.51</v>
      </c>
      <c r="L22" s="470" t="n">
        <v>213.785</v>
      </c>
    </row>
    <row r="23" customFormat="false" ht="12.75" hidden="false" customHeight="true" outlineLevel="0" collapsed="false">
      <c r="B23" s="160" t="s">
        <v>563</v>
      </c>
      <c r="C23" s="638" t="n">
        <v>1995</v>
      </c>
      <c r="D23" s="470" t="n">
        <v>-237.1</v>
      </c>
      <c r="E23" s="470" t="n">
        <v>-285.8</v>
      </c>
      <c r="F23" s="470" t="n">
        <v>70</v>
      </c>
      <c r="G23" s="470" t="n">
        <v>-228.6</v>
      </c>
      <c r="H23" s="470" t="n">
        <v>-241.8</v>
      </c>
      <c r="I23" s="470" t="n">
        <v>188.8</v>
      </c>
      <c r="J23" s="470" t="n">
        <v>-394.4</v>
      </c>
      <c r="K23" s="470" t="n">
        <v>-393.5</v>
      </c>
      <c r="L23" s="470" t="n">
        <v>213.8</v>
      </c>
    </row>
    <row r="24" customFormat="false" ht="12.75" hidden="false" customHeight="true" outlineLevel="0" collapsed="false">
      <c r="B24" s="160"/>
      <c r="C24" s="638"/>
      <c r="D24" s="294"/>
      <c r="E24" s="294"/>
      <c r="F24" s="294"/>
      <c r="G24" s="294"/>
      <c r="H24" s="294"/>
      <c r="I24" s="294"/>
      <c r="J24" s="292"/>
      <c r="K24" s="292"/>
      <c r="L24" s="292"/>
    </row>
    <row r="25" customFormat="false" ht="12.75" hidden="false" customHeight="true" outlineLevel="0" collapsed="false">
      <c r="B25" s="161" t="s">
        <v>705</v>
      </c>
      <c r="C25" s="639"/>
      <c r="D25" s="640" t="n">
        <f aca="false">MIN(D14:D23)</f>
        <v>-237.143</v>
      </c>
      <c r="E25" s="640" t="n">
        <f aca="false">MIN(E14:E23)</f>
        <v>-285.84</v>
      </c>
      <c r="F25" s="640" t="n">
        <f aca="false">MIN(F14:F23)</f>
        <v>69.91</v>
      </c>
      <c r="G25" s="640" t="n">
        <f aca="false">MIN(G14:G23)</f>
        <v>-228.6</v>
      </c>
      <c r="H25" s="640" t="n">
        <f aca="false">MIN(H14:H23)</f>
        <v>-241.827</v>
      </c>
      <c r="I25" s="640" t="n">
        <f aca="false">MIN(I14:I23)</f>
        <v>188.448</v>
      </c>
      <c r="J25" s="640" t="n">
        <f aca="false">MIN(J14:J23)</f>
        <v>-394.405</v>
      </c>
      <c r="K25" s="640" t="n">
        <f aca="false">MIN(K14:K23)</f>
        <v>-393.522</v>
      </c>
      <c r="L25" s="640" t="n">
        <f aca="false">MIN(L14:L23)</f>
        <v>213.74</v>
      </c>
    </row>
    <row r="26" customFormat="false" ht="12.75" hidden="false" customHeight="true" outlineLevel="0" collapsed="false">
      <c r="B26" s="161" t="s">
        <v>706</v>
      </c>
      <c r="C26" s="639"/>
      <c r="D26" s="640" t="n">
        <f aca="false">MAX(D14:D23)</f>
        <v>-237.1</v>
      </c>
      <c r="E26" s="640" t="n">
        <f aca="false">MAX(E14:E23)</f>
        <v>-285.8</v>
      </c>
      <c r="F26" s="640" t="n">
        <f aca="false">MAX(F14:F23)</f>
        <v>70</v>
      </c>
      <c r="G26" s="640" t="n">
        <f aca="false">MAX(G14:G23)</f>
        <v>-228.569</v>
      </c>
      <c r="H26" s="640" t="n">
        <f aca="false">MAX(H14:H23)</f>
        <v>-241.8</v>
      </c>
      <c r="I26" s="640" t="n">
        <f aca="false">MAX(I14:I23)</f>
        <v>188.835</v>
      </c>
      <c r="J26" s="640" t="n">
        <f aca="false">MAX(J14:J23)</f>
        <v>-394.359</v>
      </c>
      <c r="K26" s="640" t="n">
        <f aca="false">MAX(K14:K23)</f>
        <v>-393.5</v>
      </c>
      <c r="L26" s="640" t="n">
        <f aca="false">MAX(L14:L23)</f>
        <v>213.8</v>
      </c>
    </row>
    <row r="27" customFormat="false" ht="12.75" hidden="false" customHeight="true" outlineLevel="0" collapsed="false">
      <c r="B27" s="299" t="s">
        <v>2092</v>
      </c>
      <c r="C27" s="641"/>
      <c r="D27" s="642" t="n">
        <v>0.041</v>
      </c>
      <c r="E27" s="642" t="n">
        <v>0.04</v>
      </c>
      <c r="F27" s="642" t="n">
        <v>0.03</v>
      </c>
      <c r="G27" s="642" t="n">
        <v>0.04</v>
      </c>
      <c r="H27" s="642" t="n">
        <v>0.04</v>
      </c>
      <c r="I27" s="642" t="n">
        <v>0.01</v>
      </c>
      <c r="J27" s="642" t="n">
        <v>0.133</v>
      </c>
      <c r="K27" s="642" t="n">
        <v>0.13</v>
      </c>
      <c r="L27" s="642" t="n">
        <v>0.01</v>
      </c>
    </row>
    <row r="28" customFormat="false" ht="12.75" hidden="false" customHeight="true" outlineLevel="0" collapsed="false">
      <c r="B28" s="161" t="s">
        <v>2093</v>
      </c>
      <c r="C28" s="639"/>
      <c r="D28" s="640" t="n">
        <f aca="false">D22-D27</f>
        <v>-237.181</v>
      </c>
      <c r="E28" s="640" t="n">
        <f aca="false">E22-E27</f>
        <v>-285.87</v>
      </c>
      <c r="F28" s="640" t="n">
        <f aca="false">F22-F27</f>
        <v>69.92</v>
      </c>
      <c r="G28" s="640" t="n">
        <f aca="false">G22-G27</f>
        <v>-228.622</v>
      </c>
      <c r="H28" s="640" t="n">
        <f aca="false">H22-H27</f>
        <v>-241.866</v>
      </c>
      <c r="I28" s="640" t="n">
        <f aca="false">I22-I27</f>
        <v>188.825</v>
      </c>
      <c r="J28" s="640" t="n">
        <f aca="false">J22-J27</f>
        <v>-394.506</v>
      </c>
      <c r="K28" s="640" t="n">
        <f aca="false">K22-K27</f>
        <v>-393.64</v>
      </c>
      <c r="L28" s="640" t="n">
        <f aca="false">L22-L27</f>
        <v>213.775</v>
      </c>
    </row>
    <row r="29" customFormat="false" ht="12.75" hidden="false" customHeight="true" outlineLevel="0" collapsed="false">
      <c r="B29" s="161" t="s">
        <v>2094</v>
      </c>
      <c r="C29" s="639"/>
      <c r="D29" s="640" t="n">
        <f aca="false">D22+D27</f>
        <v>-237.099</v>
      </c>
      <c r="E29" s="640" t="n">
        <f aca="false">E22+E27</f>
        <v>-285.79</v>
      </c>
      <c r="F29" s="640" t="n">
        <f aca="false">F22+F27</f>
        <v>69.98</v>
      </c>
      <c r="G29" s="640" t="n">
        <f aca="false">G22+G27</f>
        <v>-228.542</v>
      </c>
      <c r="H29" s="640" t="n">
        <f aca="false">H22+H27</f>
        <v>-241.786</v>
      </c>
      <c r="I29" s="640" t="n">
        <f aca="false">I22+I27</f>
        <v>188.845</v>
      </c>
      <c r="J29" s="640" t="n">
        <f aca="false">J22+J27</f>
        <v>-394.24</v>
      </c>
      <c r="K29" s="640" t="n">
        <f aca="false">K22+K27</f>
        <v>-393.38</v>
      </c>
      <c r="L29" s="640" t="n">
        <f aca="false">L22+L27</f>
        <v>213.795</v>
      </c>
    </row>
    <row r="30" customFormat="false" ht="12.75" hidden="false" customHeight="true" outlineLevel="0" collapsed="false">
      <c r="B30" s="161" t="s">
        <v>2095</v>
      </c>
      <c r="C30" s="639"/>
      <c r="D30" s="640" t="str">
        <f aca="false">IF(D25&lt;D28,D28-D25,"Okay")</f>
        <v>Okay</v>
      </c>
      <c r="E30" s="640" t="str">
        <f aca="false">IF(E25&lt;E28,E28-E25,"Okay")</f>
        <v>Okay</v>
      </c>
      <c r="F30" s="640" t="n">
        <f aca="false">IF(F25&lt;F28,F28-F25,"Okay")</f>
        <v>0.0100000000000051</v>
      </c>
      <c r="G30" s="640" t="str">
        <f aca="false">IF(G25&lt;G28,G28-G25,"Okay")</f>
        <v>Okay</v>
      </c>
      <c r="H30" s="640" t="str">
        <f aca="false">IF(H25&lt;H28,H28-H25,"Okay")</f>
        <v>Okay</v>
      </c>
      <c r="I30" s="640" t="n">
        <f aca="false">IF(I25&lt;I28,I28-I25,"Okay")</f>
        <v>0.37700000000001</v>
      </c>
      <c r="J30" s="640" t="str">
        <f aca="false">IF(J25&lt;J28,J28-J25,"Okay")</f>
        <v>Okay</v>
      </c>
      <c r="K30" s="640" t="str">
        <f aca="false">IF(K25&lt;K28,K28-K25,"Okay")</f>
        <v>Okay</v>
      </c>
      <c r="L30" s="640" t="n">
        <f aca="false">IF(L25&lt;L28,L28-L25,"Okay")</f>
        <v>0.0349999999999966</v>
      </c>
    </row>
    <row r="31" customFormat="false" ht="12.75" hidden="false" customHeight="true" outlineLevel="0" collapsed="false">
      <c r="B31" s="304" t="s">
        <v>2096</v>
      </c>
      <c r="C31" s="643"/>
      <c r="D31" s="644" t="str">
        <f aca="false">IF(D26&gt;D29,D26-D29,"Okay")</f>
        <v>Okay</v>
      </c>
      <c r="E31" s="644" t="str">
        <f aca="false">IF(E26&gt;E29,E26-E29,"Okay")</f>
        <v>Okay</v>
      </c>
      <c r="F31" s="644" t="n">
        <f aca="false">IF(F26&gt;F29,F26-F29,"Okay")</f>
        <v>0.019999999999996</v>
      </c>
      <c r="G31" s="644" t="str">
        <f aca="false">IF(G26&gt;G29,G26-G29,"Okay")</f>
        <v>Okay</v>
      </c>
      <c r="H31" s="644" t="str">
        <f aca="false">IF(H26&gt;H29,H26-H29,"Okay")</f>
        <v>Okay</v>
      </c>
      <c r="I31" s="644" t="str">
        <f aca="false">IF(I26&gt;I29,I26-I29,"Okay")</f>
        <v>Okay</v>
      </c>
      <c r="J31" s="644" t="str">
        <f aca="false">IF(J26&gt;J29,J26-J29,"Okay")</f>
        <v>Okay</v>
      </c>
      <c r="K31" s="644" t="str">
        <f aca="false">IF(K26&gt;K29,K26-K29,"Okay")</f>
        <v>Okay</v>
      </c>
      <c r="L31" s="644" t="n">
        <f aca="false">IF(L26&gt;L29,L26-L29,"Okay")</f>
        <v>0.00500000000002387</v>
      </c>
    </row>
    <row r="32" customFormat="false" ht="12.75" hidden="false" customHeight="true" outlineLevel="0" collapsed="false">
      <c r="B32" s="280" t="s">
        <v>2097</v>
      </c>
    </row>
    <row r="33" customFormat="false" ht="12.75" hidden="false" customHeight="true" outlineLevel="0" collapsed="false"/>
    <row r="34" customFormat="false" ht="12.75" hidden="false" customHeight="true" outlineLevel="0" collapsed="false"/>
    <row r="35" customFormat="false" ht="12.75" hidden="false" customHeight="true" outlineLevel="0" collapsed="false">
      <c r="B35" s="516" t="s">
        <v>2098</v>
      </c>
      <c r="C35" s="645" t="n">
        <v>1974</v>
      </c>
      <c r="D35" s="386" t="n">
        <v>-56.687</v>
      </c>
      <c r="E35" s="386" t="n">
        <v>-68.315</v>
      </c>
      <c r="F35" s="386" t="n">
        <v>16.71</v>
      </c>
      <c r="G35" s="646" t="s">
        <v>2099</v>
      </c>
      <c r="H35" s="647"/>
      <c r="I35" s="647"/>
      <c r="J35" s="274"/>
      <c r="K35" s="274"/>
      <c r="L35" s="274"/>
      <c r="M35" s="210"/>
    </row>
    <row r="36" customFormat="false" ht="12.75" hidden="false" customHeight="true" outlineLevel="0" collapsed="false">
      <c r="B36" s="516" t="s">
        <v>2100</v>
      </c>
      <c r="C36" s="645" t="n">
        <v>1978</v>
      </c>
      <c r="D36" s="386" t="n">
        <v>-56.687</v>
      </c>
      <c r="E36" s="386" t="n">
        <v>-68.315</v>
      </c>
      <c r="F36" s="386" t="n">
        <v>16.71</v>
      </c>
      <c r="G36" s="646" t="s">
        <v>2101</v>
      </c>
      <c r="H36" s="647"/>
      <c r="I36" s="647"/>
      <c r="J36" s="465" t="n">
        <v>-56.687</v>
      </c>
      <c r="K36" s="549" t="n">
        <v>-68.315</v>
      </c>
      <c r="L36" s="292" t="n">
        <v>16.71</v>
      </c>
      <c r="M36" s="210"/>
    </row>
    <row r="37" customFormat="false" ht="12.75" hidden="false" customHeight="true" outlineLevel="0" collapsed="false">
      <c r="B37" s="516" t="s">
        <v>2102</v>
      </c>
      <c r="C37" s="645" t="n">
        <v>1992</v>
      </c>
      <c r="D37" s="386" t="n">
        <v>-56.688</v>
      </c>
      <c r="E37" s="386" t="n">
        <v>-68.317</v>
      </c>
      <c r="F37" s="386" t="n">
        <v>16.712</v>
      </c>
      <c r="G37" s="646" t="s">
        <v>2103</v>
      </c>
      <c r="H37" s="647"/>
      <c r="I37" s="647"/>
      <c r="J37" s="274"/>
      <c r="K37" s="274"/>
      <c r="L37" s="274"/>
      <c r="M37" s="210"/>
    </row>
    <row r="38" customFormat="false" ht="12.75" hidden="false" customHeight="true" outlineLevel="0" collapsed="false">
      <c r="D38" s="389" t="n">
        <f aca="false">ROUND(4.184*D37,3)</f>
        <v>-237.183</v>
      </c>
      <c r="E38" s="389" t="n">
        <f aca="false">ROUND(4.184*E37,3)</f>
        <v>-285.838</v>
      </c>
      <c r="F38" s="389" t="n">
        <f aca="false">ROUND(4.184*F37,3)</f>
        <v>69.923</v>
      </c>
      <c r="G38" s="648" t="s">
        <v>2104</v>
      </c>
    </row>
    <row r="39" customFormat="false" ht="12.75" hidden="false" customHeight="true" outlineLevel="0" collapsed="false"/>
    <row r="40" customFormat="false" ht="12.75" hidden="false" customHeight="false" outlineLevel="0" collapsed="false">
      <c r="B40" s="649" t="s">
        <v>2105</v>
      </c>
      <c r="C40" s="650"/>
      <c r="D40" s="389" t="n">
        <f aca="false">D38-D22</f>
        <v>-0.0430000000000064</v>
      </c>
      <c r="E40" s="389" t="n">
        <f aca="false">E38-E22</f>
        <v>-0.0080000000000382</v>
      </c>
      <c r="F40" s="389" t="n">
        <f aca="false">F38-F22</f>
        <v>-0.027000000000001</v>
      </c>
      <c r="G40" s="648" t="s">
        <v>2104</v>
      </c>
    </row>
  </sheetData>
  <mergeCells count="6">
    <mergeCell ref="D10:F10"/>
    <mergeCell ref="G10:I10"/>
    <mergeCell ref="J10:L10"/>
    <mergeCell ref="D11:F11"/>
    <mergeCell ref="G11:I11"/>
    <mergeCell ref="J11:L11"/>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4.xml><?xml version="1.0" encoding="utf-8"?>
<worksheet xmlns="http://schemas.openxmlformats.org/spreadsheetml/2006/main" xmlns:r="http://schemas.openxmlformats.org/officeDocument/2006/relationships">
  <sheetPr filterMode="false">
    <pageSetUpPr fitToPage="false"/>
  </sheetPr>
  <dimension ref="A1:L145"/>
  <sheetViews>
    <sheetView showFormulas="false" showGridLines="true" showRowColHeaders="true" showZeros="true" rightToLeft="false" tabSelected="false" showOutlineSymbols="true" defaultGridColor="true" view="normal" topLeftCell="A100" colorId="64" zoomScale="100" zoomScaleNormal="100" zoomScalePageLayoutView="100" workbookViewId="0">
      <selection pane="topLeft" activeCell="F5" activeCellId="2" sqref="B16:B122 E16:F122 F5"/>
    </sheetView>
  </sheetViews>
  <sheetFormatPr defaultRowHeight="12.75" zeroHeight="false" outlineLevelRow="0" outlineLevelCol="0"/>
  <cols>
    <col collapsed="false" customWidth="true" hidden="false" outlineLevel="0" max="1" min="1" style="10" width="10.14"/>
    <col collapsed="false" customWidth="true" hidden="false" outlineLevel="0" max="2" min="2" style="10" width="15.29"/>
    <col collapsed="false" customWidth="true" hidden="false" outlineLevel="0" max="3" min="3" style="10" width="12.42"/>
    <col collapsed="false" customWidth="true" hidden="false" outlineLevel="0" max="32" min="4" style="10" width="10.14"/>
    <col collapsed="false" customWidth="true" hidden="false" outlineLevel="0" max="1025" min="33" style="10" width="9.14"/>
  </cols>
  <sheetData>
    <row r="1" customFormat="false" ht="12.75" hidden="false" customHeight="false" outlineLevel="0" collapsed="false">
      <c r="A1" s="9" t="str">
        <f aca="true">MID(CELL("filename",$A$1),   FIND("\[",CELL("filename",$A$1))+2,   FIND("]",CELL("filename",$A$1),FIND("\[",CELL("filename",$A$1))+2)-FIND("\[",CELL("filename",$A$1))-2)</f>
        <v>TDProperties_Rev0_v69.xlsx</v>
      </c>
    </row>
    <row r="2" customFormat="false" ht="12.75" hidden="false" customHeight="false" outlineLevel="0" collapsed="false">
      <c r="A2" s="10" t="str">
        <f aca="true">MID(CELL("filename",A1),FIND("]",CELL("filename",A1))+1,256)</f>
        <v>Summary Aq Sp</v>
      </c>
    </row>
    <row r="3" customFormat="false" ht="12.75" hidden="false" customHeight="true" outlineLevel="0" collapsed="false">
      <c r="A3" s="44"/>
    </row>
    <row r="4" customFormat="false" ht="12.75" hidden="false" customHeight="true" outlineLevel="0" collapsed="false">
      <c r="A4" s="281" t="s">
        <v>2106</v>
      </c>
    </row>
    <row r="5" customFormat="false" ht="12.75" hidden="false" customHeight="true" outlineLevel="0" collapsed="false">
      <c r="A5" s="281"/>
    </row>
    <row r="6" customFormat="false" ht="12.75" hidden="false" customHeight="true" outlineLevel="0" collapsed="false">
      <c r="A6" s="281"/>
    </row>
    <row r="7" customFormat="false" ht="12.75" hidden="false" customHeight="true" outlineLevel="0" collapsed="false">
      <c r="A7" s="281"/>
    </row>
    <row r="8" customFormat="false" ht="12.75" hidden="false" customHeight="true" outlineLevel="0" collapsed="false">
      <c r="A8" s="281"/>
    </row>
    <row r="9" customFormat="false" ht="12.75" hidden="false" customHeight="true" outlineLevel="0" collapsed="false">
      <c r="A9" s="281"/>
    </row>
    <row r="10" customFormat="false" ht="13.5" hidden="false" customHeight="true" outlineLevel="0" collapsed="false">
      <c r="B10" s="169"/>
      <c r="C10" s="169"/>
      <c r="D10" s="651"/>
      <c r="E10" s="651"/>
      <c r="F10" s="651"/>
      <c r="G10" s="651"/>
      <c r="H10" s="651"/>
      <c r="I10" s="651"/>
      <c r="J10" s="651"/>
      <c r="K10" s="651"/>
      <c r="L10" s="651"/>
    </row>
    <row r="11" customFormat="false" ht="13.5" hidden="false" customHeight="true" outlineLevel="0" collapsed="false">
      <c r="B11" s="25"/>
      <c r="C11" s="25"/>
      <c r="D11" s="635" t="s">
        <v>982</v>
      </c>
      <c r="E11" s="635"/>
      <c r="F11" s="635"/>
      <c r="G11" s="635" t="s">
        <v>989</v>
      </c>
      <c r="H11" s="635"/>
      <c r="I11" s="635"/>
      <c r="J11" s="635" t="s">
        <v>998</v>
      </c>
      <c r="K11" s="635"/>
      <c r="L11" s="635"/>
    </row>
    <row r="12" customFormat="false" ht="13.5" hidden="false" customHeight="true" outlineLevel="0" collapsed="false">
      <c r="B12" s="16" t="s">
        <v>2086</v>
      </c>
      <c r="C12" s="53" t="s">
        <v>2087</v>
      </c>
      <c r="D12" s="636" t="s">
        <v>511</v>
      </c>
      <c r="E12" s="636" t="s">
        <v>512</v>
      </c>
      <c r="F12" s="636" t="s">
        <v>513</v>
      </c>
      <c r="G12" s="636" t="s">
        <v>511</v>
      </c>
      <c r="H12" s="636" t="s">
        <v>512</v>
      </c>
      <c r="I12" s="636" t="s">
        <v>513</v>
      </c>
      <c r="J12" s="636" t="s">
        <v>511</v>
      </c>
      <c r="K12" s="636" t="s">
        <v>512</v>
      </c>
      <c r="L12" s="636" t="s">
        <v>513</v>
      </c>
    </row>
    <row r="13" customFormat="false" ht="13.5" hidden="false" customHeight="true" outlineLevel="0" collapsed="false">
      <c r="B13" s="16"/>
      <c r="C13" s="53" t="s">
        <v>2088</v>
      </c>
      <c r="D13" s="55" t="s">
        <v>784</v>
      </c>
      <c r="E13" s="55" t="s">
        <v>784</v>
      </c>
      <c r="F13" s="55" t="s">
        <v>167</v>
      </c>
      <c r="G13" s="55" t="s">
        <v>784</v>
      </c>
      <c r="H13" s="55" t="s">
        <v>784</v>
      </c>
      <c r="I13" s="55" t="s">
        <v>167</v>
      </c>
      <c r="J13" s="55" t="s">
        <v>784</v>
      </c>
      <c r="K13" s="55" t="s">
        <v>784</v>
      </c>
      <c r="L13" s="55" t="s">
        <v>167</v>
      </c>
    </row>
    <row r="14" customFormat="false" ht="12.75" hidden="false" customHeight="true" outlineLevel="0" collapsed="false">
      <c r="B14" s="468" t="s">
        <v>208</v>
      </c>
      <c r="C14" s="637" t="n">
        <v>1952</v>
      </c>
      <c r="D14" s="469" t="n">
        <v>-293.817</v>
      </c>
      <c r="E14" s="469" t="n">
        <v>-278.462</v>
      </c>
      <c r="F14" s="469" t="n">
        <v>14.226</v>
      </c>
      <c r="G14" s="312" t="n">
        <v>-261.889</v>
      </c>
      <c r="H14" s="652" t="n">
        <v>-239.655</v>
      </c>
      <c r="I14" s="652" t="n">
        <v>60.25</v>
      </c>
      <c r="J14" s="652" t="n">
        <v>-282.294</v>
      </c>
      <c r="K14" s="652" t="n">
        <v>-251.207</v>
      </c>
      <c r="L14" s="469" t="n">
        <v>102.508</v>
      </c>
    </row>
    <row r="15" customFormat="false" ht="12.75" hidden="false" customHeight="true" outlineLevel="0" collapsed="false">
      <c r="B15" s="160" t="s">
        <v>212</v>
      </c>
      <c r="C15" s="638" t="n">
        <v>1968</v>
      </c>
      <c r="D15" s="470" t="n">
        <v>-293.315</v>
      </c>
      <c r="E15" s="470" t="n">
        <v>-278.487</v>
      </c>
      <c r="F15" s="470" t="n">
        <v>13.389</v>
      </c>
      <c r="G15" s="470" t="n">
        <v>-261.905</v>
      </c>
      <c r="H15" s="470" t="n">
        <v>-240.12</v>
      </c>
      <c r="I15" s="470" t="n">
        <v>58.994</v>
      </c>
      <c r="J15" s="470" t="n">
        <v>-283.273</v>
      </c>
      <c r="K15" s="470" t="n">
        <v>-252.379</v>
      </c>
      <c r="L15" s="470" t="n">
        <v>102.508</v>
      </c>
    </row>
    <row r="16" customFormat="false" ht="12.75" hidden="false" customHeight="true" outlineLevel="0" collapsed="false">
      <c r="B16" s="160" t="s">
        <v>211</v>
      </c>
      <c r="C16" s="638" t="n">
        <v>1968</v>
      </c>
      <c r="D16" s="470" t="n">
        <v>-293.817</v>
      </c>
      <c r="E16" s="470"/>
      <c r="F16" s="470"/>
      <c r="G16" s="470" t="n">
        <v>-261.679</v>
      </c>
      <c r="H16" s="470"/>
      <c r="I16" s="470"/>
      <c r="J16" s="470" t="n">
        <v>-283.273</v>
      </c>
      <c r="K16" s="470"/>
      <c r="L16" s="470"/>
    </row>
    <row r="17" customFormat="false" ht="12.75" hidden="false" customHeight="true" outlineLevel="0" collapsed="false">
      <c r="B17" s="160" t="s">
        <v>556</v>
      </c>
      <c r="C17" s="638" t="n">
        <v>1978</v>
      </c>
      <c r="D17" s="470" t="n">
        <v>-292.62</v>
      </c>
      <c r="E17" s="470" t="n">
        <v>-278.455</v>
      </c>
      <c r="F17" s="470" t="n">
        <v>11.3</v>
      </c>
      <c r="G17" s="470" t="n">
        <v>-261.9</v>
      </c>
      <c r="H17" s="470" t="n">
        <v>-240.3</v>
      </c>
      <c r="I17" s="470" t="n">
        <v>58.41</v>
      </c>
      <c r="J17" s="470" t="n">
        <v>-282.49</v>
      </c>
      <c r="K17" s="470" t="n">
        <v>-252.17</v>
      </c>
      <c r="L17" s="470" t="n">
        <v>101.04</v>
      </c>
    </row>
    <row r="18" customFormat="false" ht="12.75" hidden="false" customHeight="true" outlineLevel="0" collapsed="false">
      <c r="B18" s="160" t="s">
        <v>557</v>
      </c>
      <c r="C18" s="638" t="n">
        <v>1982</v>
      </c>
      <c r="D18" s="470" t="n">
        <v>-293.31</v>
      </c>
      <c r="E18" s="470" t="n">
        <v>-278.49</v>
      </c>
      <c r="F18" s="470" t="n">
        <v>13.4</v>
      </c>
      <c r="G18" s="470" t="n">
        <v>-261.905</v>
      </c>
      <c r="H18" s="470" t="n">
        <v>-240.12</v>
      </c>
      <c r="I18" s="470" t="n">
        <v>59</v>
      </c>
      <c r="J18" s="470" t="n">
        <v>-283.27</v>
      </c>
      <c r="K18" s="470" t="n">
        <v>-252.38</v>
      </c>
      <c r="L18" s="470" t="n">
        <v>102.5</v>
      </c>
    </row>
    <row r="19" customFormat="false" ht="12.75" hidden="false" customHeight="true" outlineLevel="0" collapsed="false">
      <c r="B19" s="160" t="s">
        <v>529</v>
      </c>
      <c r="C19" s="638" t="n">
        <v>1989</v>
      </c>
      <c r="D19" s="470" t="n">
        <v>-292.918</v>
      </c>
      <c r="E19" s="470" t="n">
        <v>-278.47</v>
      </c>
      <c r="F19" s="470" t="n">
        <v>12.24</v>
      </c>
      <c r="G19" s="470" t="n">
        <v>-261.953</v>
      </c>
      <c r="H19" s="470" t="n">
        <v>-240.34</v>
      </c>
      <c r="I19" s="470" t="n">
        <v>58.45</v>
      </c>
      <c r="J19" s="470" t="n">
        <v>-282.51</v>
      </c>
      <c r="K19" s="470" t="n">
        <v>-252.14</v>
      </c>
      <c r="L19" s="470" t="n">
        <v>101.2</v>
      </c>
    </row>
    <row r="20" customFormat="false" ht="12.75" hidden="false" customHeight="true" outlineLevel="0" collapsed="false">
      <c r="B20" s="160" t="s">
        <v>563</v>
      </c>
      <c r="C20" s="638" t="n">
        <v>1995</v>
      </c>
      <c r="D20" s="470" t="n">
        <v>-292.9</v>
      </c>
      <c r="E20" s="470" t="n">
        <v>-278.5</v>
      </c>
      <c r="F20" s="470" t="n">
        <v>12.24</v>
      </c>
      <c r="G20" s="470" t="n">
        <v>-261.5</v>
      </c>
      <c r="H20" s="470" t="n">
        <v>-240.3</v>
      </c>
      <c r="I20" s="470" t="n">
        <v>58.45</v>
      </c>
      <c r="J20" s="470" t="n">
        <v>-282.5</v>
      </c>
      <c r="K20" s="470" t="n">
        <v>-252.1</v>
      </c>
      <c r="L20" s="470" t="n">
        <v>101.2</v>
      </c>
    </row>
    <row r="21" customFormat="false" ht="12.75" hidden="false" customHeight="true" outlineLevel="0" collapsed="false">
      <c r="B21" s="160"/>
      <c r="C21" s="638"/>
      <c r="D21" s="294"/>
      <c r="E21" s="294"/>
      <c r="F21" s="294"/>
      <c r="G21" s="294"/>
      <c r="H21" s="294"/>
      <c r="I21" s="294"/>
      <c r="J21" s="292"/>
      <c r="K21" s="292"/>
      <c r="L21" s="292"/>
    </row>
    <row r="22" customFormat="false" ht="12.75" hidden="false" customHeight="true" outlineLevel="0" collapsed="false">
      <c r="B22" s="161" t="s">
        <v>705</v>
      </c>
      <c r="C22" s="639"/>
      <c r="D22" s="640" t="n">
        <f aca="false">MIN(D14:D20)</f>
        <v>-293.817</v>
      </c>
      <c r="E22" s="640" t="n">
        <f aca="false">MIN(E14:E20)</f>
        <v>-278.5</v>
      </c>
      <c r="F22" s="640" t="n">
        <f aca="false">MIN(F14:F20)</f>
        <v>11.3</v>
      </c>
      <c r="G22" s="640" t="n">
        <f aca="false">MIN(G14:G20)</f>
        <v>-261.953</v>
      </c>
      <c r="H22" s="640" t="n">
        <f aca="false">MIN(H15:H20)</f>
        <v>-240.34</v>
      </c>
      <c r="I22" s="640" t="n">
        <f aca="false">MIN(I15:I20)</f>
        <v>58.41</v>
      </c>
      <c r="J22" s="640" t="n">
        <f aca="false">MIN(J15:J20)</f>
        <v>-283.273</v>
      </c>
      <c r="K22" s="640" t="n">
        <f aca="false">MIN(K15:K20)</f>
        <v>-252.38</v>
      </c>
      <c r="L22" s="640" t="n">
        <f aca="false">MIN(L14:L20)</f>
        <v>101.04</v>
      </c>
    </row>
    <row r="23" customFormat="false" ht="12.75" hidden="false" customHeight="true" outlineLevel="0" collapsed="false">
      <c r="B23" s="161" t="s">
        <v>706</v>
      </c>
      <c r="C23" s="639"/>
      <c r="D23" s="640" t="n">
        <f aca="false">MAX(D14:D20)</f>
        <v>-292.62</v>
      </c>
      <c r="E23" s="640" t="n">
        <f aca="false">MAX(E14:E20)</f>
        <v>-278.455</v>
      </c>
      <c r="F23" s="640" t="n">
        <f aca="false">MAX(F14:F20)</f>
        <v>14.226</v>
      </c>
      <c r="G23" s="640" t="n">
        <f aca="false">MAX(G14:G20)</f>
        <v>-261.5</v>
      </c>
      <c r="H23" s="640" t="n">
        <f aca="false">MAX(H15:H20)</f>
        <v>-240.12</v>
      </c>
      <c r="I23" s="640" t="n">
        <f aca="false">MAX(I15:I20)</f>
        <v>59</v>
      </c>
      <c r="J23" s="640" t="n">
        <f aca="false">MAX(J15:J20)</f>
        <v>-282.49</v>
      </c>
      <c r="K23" s="640" t="n">
        <f aca="false">MAX(K15:K20)</f>
        <v>-252.1</v>
      </c>
      <c r="L23" s="640" t="n">
        <f aca="false">MAX(L14:L20)</f>
        <v>102.508</v>
      </c>
    </row>
    <row r="24" customFormat="false" ht="12.75" hidden="false" customHeight="true" outlineLevel="0" collapsed="false">
      <c r="B24" s="299" t="s">
        <v>2092</v>
      </c>
      <c r="C24" s="641"/>
      <c r="D24" s="623" t="n">
        <v>0.109</v>
      </c>
      <c r="E24" s="623" t="s">
        <v>736</v>
      </c>
      <c r="F24" s="623" t="s">
        <v>744</v>
      </c>
      <c r="G24" s="623" t="n">
        <v>0.096</v>
      </c>
      <c r="H24" s="623" t="s">
        <v>991</v>
      </c>
      <c r="I24" s="623" t="s">
        <v>744</v>
      </c>
      <c r="J24" s="623" t="n">
        <v>0.116</v>
      </c>
      <c r="K24" s="623" t="s">
        <v>736</v>
      </c>
      <c r="L24" s="623" t="s">
        <v>728</v>
      </c>
    </row>
    <row r="25" customFormat="false" ht="12.75" hidden="false" customHeight="true" outlineLevel="0" collapsed="false">
      <c r="B25" s="161" t="s">
        <v>2093</v>
      </c>
      <c r="C25" s="639"/>
      <c r="D25" s="640" t="n">
        <f aca="false">D19-D24</f>
        <v>-293.027</v>
      </c>
      <c r="E25" s="640" t="n">
        <f aca="false">E19-E24</f>
        <v>-278.55</v>
      </c>
      <c r="F25" s="640" t="n">
        <f aca="false">F19-F24</f>
        <v>12.09</v>
      </c>
      <c r="G25" s="640" t="n">
        <f aca="false">G19-G24</f>
        <v>-262.049</v>
      </c>
      <c r="H25" s="640" t="n">
        <f aca="false">H19-H24</f>
        <v>-240.4</v>
      </c>
      <c r="I25" s="640" t="n">
        <f aca="false">I19-I24</f>
        <v>58.3</v>
      </c>
      <c r="J25" s="640" t="n">
        <f aca="false">J19-J24</f>
        <v>-282.626</v>
      </c>
      <c r="K25" s="640" t="n">
        <f aca="false">K19-K24</f>
        <v>-252.22</v>
      </c>
      <c r="L25" s="640" t="n">
        <f aca="false">L19-L24</f>
        <v>101</v>
      </c>
    </row>
    <row r="26" customFormat="false" ht="12.75" hidden="false" customHeight="true" outlineLevel="0" collapsed="false">
      <c r="B26" s="161" t="s">
        <v>2094</v>
      </c>
      <c r="C26" s="639"/>
      <c r="D26" s="640" t="n">
        <f aca="false">D19+D24</f>
        <v>-292.809</v>
      </c>
      <c r="E26" s="640" t="n">
        <f aca="false">E19+E24</f>
        <v>-278.39</v>
      </c>
      <c r="F26" s="640" t="n">
        <f aca="false">F19+F24</f>
        <v>12.39</v>
      </c>
      <c r="G26" s="640" t="n">
        <f aca="false">G19+G24</f>
        <v>-261.857</v>
      </c>
      <c r="H26" s="640" t="n">
        <f aca="false">H19+H24</f>
        <v>-240.28</v>
      </c>
      <c r="I26" s="640" t="n">
        <f aca="false">I19+I24</f>
        <v>58.6</v>
      </c>
      <c r="J26" s="640" t="n">
        <f aca="false">J19+J24</f>
        <v>-282.394</v>
      </c>
      <c r="K26" s="640" t="n">
        <f aca="false">K19+K24</f>
        <v>-252.06</v>
      </c>
      <c r="L26" s="640" t="n">
        <f aca="false">L19+L24</f>
        <v>101.4</v>
      </c>
    </row>
    <row r="27" customFormat="false" ht="12.75" hidden="false" customHeight="true" outlineLevel="0" collapsed="false">
      <c r="B27" s="161" t="s">
        <v>2095</v>
      </c>
      <c r="C27" s="639"/>
      <c r="D27" s="640" t="n">
        <f aca="false">IF(D22&lt;D25,D25-D22,"Okay")</f>
        <v>0.79000000000002</v>
      </c>
      <c r="E27" s="640" t="str">
        <f aca="false">IF(E22&lt;E25,E25-E22,"Okay")</f>
        <v>Okay</v>
      </c>
      <c r="F27" s="640" t="n">
        <f aca="false">IF(F22&lt;F25,F25-F22,"Okay")</f>
        <v>0.789999999999999</v>
      </c>
      <c r="G27" s="640" t="str">
        <f aca="false">IF(G22&lt;G25,G25-G22,"Okay")</f>
        <v>Okay</v>
      </c>
      <c r="H27" s="640" t="str">
        <f aca="false">IF(H22&lt;H25,H25-H22,"Okay")</f>
        <v>Okay</v>
      </c>
      <c r="I27" s="640" t="str">
        <f aca="false">IF(I22&lt;I25,I25-I22,"Okay")</f>
        <v>Okay</v>
      </c>
      <c r="J27" s="640" t="n">
        <f aca="false">IF(J22&lt;J25,J25-J22,"Okay")</f>
        <v>0.647000000000048</v>
      </c>
      <c r="K27" s="640" t="n">
        <f aca="false">IF(K22&lt;K25,K25-K22,"Okay")</f>
        <v>0.159999999999997</v>
      </c>
      <c r="L27" s="640" t="str">
        <f aca="false">IF(L22&lt;L25,L25-L22,"Okay")</f>
        <v>Okay</v>
      </c>
    </row>
    <row r="28" customFormat="false" ht="12.75" hidden="false" customHeight="true" outlineLevel="0" collapsed="false">
      <c r="B28" s="304" t="s">
        <v>2096</v>
      </c>
      <c r="C28" s="643"/>
      <c r="D28" s="644" t="n">
        <f aca="false">IF(D23&gt;D26,D23-D26,"Okay")</f>
        <v>0.189000000000021</v>
      </c>
      <c r="E28" s="644" t="str">
        <f aca="false">IF(E23&gt;E26,E23-E26,"Okay")</f>
        <v>Okay</v>
      </c>
      <c r="F28" s="644" t="n">
        <f aca="false">IF(F23&gt;F26,F23-F26,"Okay")</f>
        <v>1.836</v>
      </c>
      <c r="G28" s="644" t="n">
        <f aca="false">IF(G23&gt;G26,G23-G26,"Okay")</f>
        <v>0.356999999999971</v>
      </c>
      <c r="H28" s="644" t="n">
        <f aca="false">IF(H23&gt;H26,H23-H26,"Okay")</f>
        <v>0.159999999999997</v>
      </c>
      <c r="I28" s="644" t="n">
        <f aca="false">IF(I23&gt;I26,I23-I26,"Okay")</f>
        <v>0.399999999999999</v>
      </c>
      <c r="J28" s="644" t="str">
        <f aca="false">IF(J23&gt;J26,J23-J26,"Okay")</f>
        <v>Okay</v>
      </c>
      <c r="K28" s="644" t="str">
        <f aca="false">IF(K23&gt;K26,K23-K26,"Okay")</f>
        <v>Okay</v>
      </c>
      <c r="L28" s="644" t="n">
        <f aca="false">IF(L23&gt;L26,L23-L26,"Okay")</f>
        <v>1.10799999999999</v>
      </c>
    </row>
    <row r="29" customFormat="false" ht="12.75" hidden="false" customHeight="true" outlineLevel="0" collapsed="false">
      <c r="B29" s="280" t="s">
        <v>2107</v>
      </c>
    </row>
    <row r="30" customFormat="false" ht="12.75" hidden="false" customHeight="true" outlineLevel="0" collapsed="false"/>
    <row r="31" customFormat="false" ht="12.75" hidden="false" customHeight="true" outlineLevel="0" collapsed="false"/>
    <row r="32" customFormat="false" ht="12.75" hidden="false" customHeight="true" outlineLevel="0" collapsed="false"/>
    <row r="33" customFormat="false" ht="13.5" hidden="false" customHeight="true" outlineLevel="0" collapsed="false">
      <c r="B33" s="169"/>
      <c r="C33" s="169"/>
      <c r="D33" s="651"/>
      <c r="E33" s="651"/>
      <c r="F33" s="651"/>
      <c r="G33" s="651"/>
      <c r="H33" s="651"/>
      <c r="I33" s="651"/>
      <c r="J33" s="651"/>
      <c r="K33" s="651"/>
      <c r="L33" s="651"/>
    </row>
    <row r="34" customFormat="false" ht="13.5" hidden="false" customHeight="true" outlineLevel="0" collapsed="false">
      <c r="B34" s="25"/>
      <c r="C34" s="25"/>
      <c r="D34" s="635" t="s">
        <v>2108</v>
      </c>
      <c r="E34" s="635"/>
      <c r="F34" s="635"/>
      <c r="G34" s="635" t="s">
        <v>2109</v>
      </c>
      <c r="H34" s="635"/>
      <c r="I34" s="635"/>
      <c r="J34" s="635" t="s">
        <v>2110</v>
      </c>
      <c r="K34" s="635"/>
      <c r="L34" s="635"/>
    </row>
    <row r="35" customFormat="false" ht="13.5" hidden="false" customHeight="true" outlineLevel="0" collapsed="false">
      <c r="B35" s="16" t="s">
        <v>2086</v>
      </c>
      <c r="C35" s="53" t="s">
        <v>2087</v>
      </c>
      <c r="D35" s="636" t="s">
        <v>511</v>
      </c>
      <c r="E35" s="636" t="s">
        <v>512</v>
      </c>
      <c r="F35" s="636" t="s">
        <v>513</v>
      </c>
      <c r="G35" s="636" t="s">
        <v>511</v>
      </c>
      <c r="H35" s="636" t="s">
        <v>512</v>
      </c>
      <c r="I35" s="636" t="s">
        <v>513</v>
      </c>
      <c r="J35" s="636" t="s">
        <v>511</v>
      </c>
      <c r="K35" s="636" t="s">
        <v>512</v>
      </c>
      <c r="L35" s="636" t="s">
        <v>513</v>
      </c>
    </row>
    <row r="36" customFormat="false" ht="13.5" hidden="false" customHeight="true" outlineLevel="0" collapsed="false">
      <c r="B36" s="16"/>
      <c r="C36" s="53" t="s">
        <v>2088</v>
      </c>
      <c r="D36" s="55" t="s">
        <v>784</v>
      </c>
      <c r="E36" s="55" t="s">
        <v>784</v>
      </c>
      <c r="F36" s="55" t="s">
        <v>167</v>
      </c>
      <c r="G36" s="55" t="s">
        <v>784</v>
      </c>
      <c r="H36" s="55" t="s">
        <v>784</v>
      </c>
      <c r="I36" s="55" t="s">
        <v>167</v>
      </c>
      <c r="J36" s="55" t="s">
        <v>784</v>
      </c>
      <c r="K36" s="55" t="s">
        <v>784</v>
      </c>
      <c r="L36" s="55" t="s">
        <v>167</v>
      </c>
    </row>
    <row r="37" customFormat="false" ht="12.75" hidden="false" customHeight="false" outlineLevel="0" collapsed="false">
      <c r="B37" s="468" t="s">
        <v>208</v>
      </c>
      <c r="C37" s="637" t="n">
        <v>1952</v>
      </c>
      <c r="D37" s="652" t="n">
        <v>-456.047</v>
      </c>
      <c r="E37" s="652" t="n">
        <v>-461.955</v>
      </c>
      <c r="F37" s="652" t="n">
        <v>-117.989</v>
      </c>
      <c r="G37" s="469" t="n">
        <v>-553.074</v>
      </c>
      <c r="H37" s="469" t="n">
        <v>-542.958</v>
      </c>
      <c r="I37" s="469" t="n">
        <v>-55.229</v>
      </c>
      <c r="J37" s="652" t="n">
        <v>-557.341</v>
      </c>
      <c r="K37" s="469" t="n">
        <v>-545.51</v>
      </c>
      <c r="L37" s="652" t="n">
        <v>-39.33</v>
      </c>
    </row>
    <row r="38" customFormat="false" ht="12.75" hidden="false" customHeight="false" outlineLevel="0" collapsed="false">
      <c r="B38" s="160" t="s">
        <v>212</v>
      </c>
      <c r="C38" s="638" t="n">
        <v>1968</v>
      </c>
      <c r="D38" s="470" t="n">
        <v>-454.833</v>
      </c>
      <c r="E38" s="470" t="n">
        <v>-466.851</v>
      </c>
      <c r="F38" s="470" t="n">
        <v>-138.072</v>
      </c>
      <c r="G38" s="470" t="n">
        <v>-553.576</v>
      </c>
      <c r="H38" s="470" t="n">
        <v>-542.832</v>
      </c>
      <c r="I38" s="470" t="n">
        <v>-53.137</v>
      </c>
      <c r="J38" s="470" t="n">
        <v>-559.475</v>
      </c>
      <c r="K38" s="470" t="n">
        <v>-545.803</v>
      </c>
      <c r="L38" s="470" t="n">
        <v>-32.635</v>
      </c>
    </row>
    <row r="39" customFormat="false" ht="12.75" hidden="false" customHeight="false" outlineLevel="0" collapsed="false">
      <c r="B39" s="160" t="s">
        <v>211</v>
      </c>
      <c r="C39" s="638" t="n">
        <v>1968</v>
      </c>
      <c r="D39" s="470" t="n">
        <v>-455.67</v>
      </c>
      <c r="E39" s="470"/>
      <c r="F39" s="470"/>
      <c r="G39" s="470" t="n">
        <v>-553.074</v>
      </c>
      <c r="H39" s="470"/>
      <c r="I39" s="470"/>
      <c r="J39" s="470" t="n">
        <v>-557.341</v>
      </c>
      <c r="K39" s="470"/>
      <c r="L39" s="470"/>
    </row>
    <row r="40" customFormat="false" ht="12.75" hidden="false" customHeight="false" outlineLevel="0" collapsed="false">
      <c r="B40" s="160" t="s">
        <v>556</v>
      </c>
      <c r="C40" s="638" t="n">
        <v>1978</v>
      </c>
      <c r="D40" s="470" t="n">
        <v>-454.8</v>
      </c>
      <c r="E40" s="470" t="n">
        <v>-466.85</v>
      </c>
      <c r="F40" s="470" t="n">
        <v>-138</v>
      </c>
      <c r="G40" s="470" t="n">
        <v>-553.54</v>
      </c>
      <c r="H40" s="470" t="n">
        <v>-542.83</v>
      </c>
      <c r="I40" s="470" t="n">
        <v>-53.1</v>
      </c>
      <c r="J40" s="470" t="n">
        <v>-559.44</v>
      </c>
      <c r="K40" s="470" t="n">
        <v>-545.8</v>
      </c>
      <c r="L40" s="470" t="n">
        <v>-33</v>
      </c>
    </row>
    <row r="41" customFormat="false" ht="12.75" hidden="false" customHeight="false" outlineLevel="0" collapsed="false">
      <c r="B41" s="160" t="s">
        <v>557</v>
      </c>
      <c r="C41" s="638" t="n">
        <v>1982</v>
      </c>
      <c r="D41" s="470" t="n">
        <v>-454.8</v>
      </c>
      <c r="E41" s="470" t="n">
        <v>-466.85</v>
      </c>
      <c r="F41" s="470" t="n">
        <v>-138.1</v>
      </c>
      <c r="G41" s="470" t="n">
        <v>-553.58</v>
      </c>
      <c r="H41" s="470" t="n">
        <v>-542.83</v>
      </c>
      <c r="I41" s="470" t="n">
        <v>-53.1</v>
      </c>
      <c r="J41" s="470" t="n">
        <v>-559.48</v>
      </c>
      <c r="K41" s="470" t="n">
        <v>-545.8</v>
      </c>
      <c r="L41" s="470" t="n">
        <v>-32.6</v>
      </c>
    </row>
    <row r="42" customFormat="false" ht="12.75" hidden="false" customHeight="false" outlineLevel="0" collapsed="false">
      <c r="B42" s="160" t="s">
        <v>529</v>
      </c>
      <c r="C42" s="638" t="n">
        <v>1989</v>
      </c>
      <c r="D42" s="470" t="n">
        <v>-455.375</v>
      </c>
      <c r="E42" s="470" t="n">
        <v>-467</v>
      </c>
      <c r="F42" s="470" t="n">
        <v>-137</v>
      </c>
      <c r="G42" s="470" t="n">
        <v>-552.806</v>
      </c>
      <c r="H42" s="470" t="n">
        <v>-543</v>
      </c>
      <c r="I42" s="470" t="n">
        <v>-56.2</v>
      </c>
      <c r="J42" s="470"/>
      <c r="K42" s="470"/>
      <c r="L42" s="470"/>
    </row>
    <row r="43" customFormat="false" ht="12.75" hidden="false" customHeight="false" outlineLevel="0" collapsed="false">
      <c r="B43" s="653" t="s">
        <v>560</v>
      </c>
      <c r="C43" s="638" t="n">
        <v>1992</v>
      </c>
      <c r="D43" s="470"/>
      <c r="E43" s="470"/>
      <c r="F43" s="470"/>
      <c r="G43" s="470"/>
      <c r="H43" s="470"/>
      <c r="I43" s="470"/>
      <c r="J43" s="470" t="n">
        <v>-563.864</v>
      </c>
      <c r="K43" s="470" t="n">
        <v>-550.9</v>
      </c>
      <c r="L43" s="470" t="n">
        <v>-31.5</v>
      </c>
    </row>
    <row r="44" customFormat="false" ht="12.75" hidden="false" customHeight="false" outlineLevel="0" collapsed="false">
      <c r="B44" s="160" t="s">
        <v>563</v>
      </c>
      <c r="C44" s="638" t="n">
        <v>1995</v>
      </c>
      <c r="D44" s="470" t="n">
        <v>-455.4</v>
      </c>
      <c r="E44" s="470" t="n">
        <v>-467</v>
      </c>
      <c r="F44" s="470" t="n">
        <v>-137</v>
      </c>
      <c r="G44" s="470" t="n">
        <v>-553.6</v>
      </c>
      <c r="H44" s="470" t="n">
        <v>-543</v>
      </c>
      <c r="I44" s="470" t="n">
        <v>-56.2</v>
      </c>
      <c r="J44" s="470" t="n">
        <v>-563.8</v>
      </c>
      <c r="K44" s="470" t="n">
        <v>-550.9</v>
      </c>
      <c r="L44" s="470" t="n">
        <v>-31.5</v>
      </c>
    </row>
    <row r="45" customFormat="false" ht="12.75" hidden="false" customHeight="false" outlineLevel="0" collapsed="false">
      <c r="B45" s="160"/>
      <c r="C45" s="638"/>
      <c r="D45" s="294"/>
      <c r="E45" s="294"/>
      <c r="F45" s="294"/>
      <c r="G45" s="294"/>
      <c r="H45" s="294"/>
      <c r="I45" s="294"/>
      <c r="J45" s="292"/>
      <c r="K45" s="292"/>
      <c r="L45" s="292"/>
    </row>
    <row r="46" customFormat="false" ht="12.75" hidden="false" customHeight="false" outlineLevel="0" collapsed="false">
      <c r="B46" s="161" t="s">
        <v>705</v>
      </c>
      <c r="C46" s="639"/>
      <c r="D46" s="640" t="n">
        <f aca="false">MIN(D38:D44)</f>
        <v>-455.67</v>
      </c>
      <c r="E46" s="640" t="n">
        <f aca="false">MIN(E38:E44)</f>
        <v>-467</v>
      </c>
      <c r="F46" s="640" t="n">
        <f aca="false">MIN(F38:F44)</f>
        <v>-138.1</v>
      </c>
      <c r="G46" s="640" t="n">
        <f aca="false">MIN(G37:G44)</f>
        <v>-553.6</v>
      </c>
      <c r="H46" s="640" t="n">
        <f aca="false">MIN(H37:H44)</f>
        <v>-543</v>
      </c>
      <c r="I46" s="640" t="n">
        <f aca="false">MIN(I37:I44)</f>
        <v>-56.2</v>
      </c>
      <c r="J46" s="640" t="n">
        <f aca="false">MIN(J38:J44)</f>
        <v>-563.864</v>
      </c>
      <c r="K46" s="640" t="n">
        <f aca="false">MIN(K37:K44)</f>
        <v>-550.9</v>
      </c>
      <c r="L46" s="640" t="n">
        <f aca="false">MIN(L38:L44)</f>
        <v>-33</v>
      </c>
    </row>
    <row r="47" customFormat="false" ht="12.75" hidden="false" customHeight="false" outlineLevel="0" collapsed="false">
      <c r="B47" s="161" t="s">
        <v>706</v>
      </c>
      <c r="C47" s="639"/>
      <c r="D47" s="640" t="n">
        <f aca="false">MAX(D38:D44)</f>
        <v>-454.8</v>
      </c>
      <c r="E47" s="640" t="n">
        <f aca="false">MAX(E38:E44)</f>
        <v>-466.85</v>
      </c>
      <c r="F47" s="640" t="n">
        <f aca="false">MAX(F38:F44)</f>
        <v>-137</v>
      </c>
      <c r="G47" s="640" t="n">
        <f aca="false">MAX(G37:G44)</f>
        <v>-552.806</v>
      </c>
      <c r="H47" s="640" t="n">
        <f aca="false">MAX(H37:H44)</f>
        <v>-542.83</v>
      </c>
      <c r="I47" s="640" t="n">
        <f aca="false">MAX(I37:I44)</f>
        <v>-53.1</v>
      </c>
      <c r="J47" s="640" t="n">
        <f aca="false">MAX(J38:J44)</f>
        <v>-557.341</v>
      </c>
      <c r="K47" s="640" t="n">
        <f aca="false">MAX(K37:K44)</f>
        <v>-545.51</v>
      </c>
      <c r="L47" s="640" t="n">
        <f aca="false">MAX(L38:L44)</f>
        <v>-31.5</v>
      </c>
    </row>
    <row r="48" customFormat="false" ht="12.75" hidden="false" customHeight="false" outlineLevel="0" collapsed="false">
      <c r="B48" s="299" t="s">
        <v>2092</v>
      </c>
      <c r="C48" s="641"/>
      <c r="D48" s="623" t="n">
        <v>1.335</v>
      </c>
      <c r="E48" s="623" t="s">
        <v>888</v>
      </c>
      <c r="F48" s="623" t="s">
        <v>957</v>
      </c>
      <c r="G48" s="623" t="n">
        <v>1.05</v>
      </c>
      <c r="H48" s="623" t="s">
        <v>896</v>
      </c>
      <c r="I48" s="623" t="s">
        <v>896</v>
      </c>
      <c r="J48" s="623" t="s">
        <v>972</v>
      </c>
      <c r="K48" s="623" t="s">
        <v>768</v>
      </c>
      <c r="L48" s="623" t="s">
        <v>732</v>
      </c>
    </row>
    <row r="49" customFormat="false" ht="12.75" hidden="false" customHeight="false" outlineLevel="0" collapsed="false">
      <c r="B49" s="161" t="s">
        <v>2093</v>
      </c>
      <c r="C49" s="639"/>
      <c r="D49" s="640" t="n">
        <f aca="false">D42-D48</f>
        <v>-456.71</v>
      </c>
      <c r="E49" s="640" t="n">
        <f aca="false">E42-E48</f>
        <v>-467.6</v>
      </c>
      <c r="F49" s="640" t="n">
        <f aca="false">F42-F48</f>
        <v>-141</v>
      </c>
      <c r="G49" s="640" t="n">
        <f aca="false">G42-G48</f>
        <v>-553.856</v>
      </c>
      <c r="H49" s="640" t="n">
        <f aca="false">H42-H48</f>
        <v>-544</v>
      </c>
      <c r="I49" s="640" t="n">
        <f aca="false">I42-I48</f>
        <v>-57.2</v>
      </c>
      <c r="J49" s="640" t="n">
        <f aca="false">J43-J48</f>
        <v>-564.645</v>
      </c>
      <c r="K49" s="640" t="n">
        <f aca="false">K43-K48</f>
        <v>-551.4</v>
      </c>
      <c r="L49" s="640" t="n">
        <f aca="false">L43-L48</f>
        <v>-33.5</v>
      </c>
    </row>
    <row r="50" customFormat="false" ht="12.75" hidden="false" customHeight="false" outlineLevel="0" collapsed="false">
      <c r="B50" s="161" t="s">
        <v>2094</v>
      </c>
      <c r="C50" s="639"/>
      <c r="D50" s="640" t="n">
        <f aca="false">D42+D48</f>
        <v>-454.04</v>
      </c>
      <c r="E50" s="640" t="n">
        <f aca="false">E42+E48</f>
        <v>-466.4</v>
      </c>
      <c r="F50" s="640" t="n">
        <f aca="false">F42+F48</f>
        <v>-133</v>
      </c>
      <c r="G50" s="640" t="n">
        <f aca="false">G42+G48</f>
        <v>-551.756</v>
      </c>
      <c r="H50" s="640" t="n">
        <f aca="false">H42+H48</f>
        <v>-542</v>
      </c>
      <c r="I50" s="640" t="n">
        <f aca="false">I42+I48</f>
        <v>-55.2</v>
      </c>
      <c r="J50" s="640" t="n">
        <f aca="false">J43+J48</f>
        <v>-563.083</v>
      </c>
      <c r="K50" s="640" t="n">
        <f aca="false">K43+K48</f>
        <v>-550.4</v>
      </c>
      <c r="L50" s="640" t="n">
        <f aca="false">L43+L48</f>
        <v>-29.5</v>
      </c>
    </row>
    <row r="51" customFormat="false" ht="12.75" hidden="false" customHeight="false" outlineLevel="0" collapsed="false">
      <c r="B51" s="161" t="s">
        <v>2095</v>
      </c>
      <c r="C51" s="639"/>
      <c r="D51" s="640" t="str">
        <f aca="false">IF(D46&lt;D49,D49-D46,"Okay")</f>
        <v>Okay</v>
      </c>
      <c r="E51" s="640" t="str">
        <f aca="false">IF(E46&lt;E49,E49-E46,"Okay")</f>
        <v>Okay</v>
      </c>
      <c r="F51" s="640" t="str">
        <f aca="false">IF(F46&lt;F49,F49-F46,"Okay")</f>
        <v>Okay</v>
      </c>
      <c r="G51" s="640" t="str">
        <f aca="false">IF(G46&lt;G49,G49-G46,"Okay")</f>
        <v>Okay</v>
      </c>
      <c r="H51" s="640" t="str">
        <f aca="false">IF(H46&lt;H49,H49-H46,"Okay")</f>
        <v>Okay</v>
      </c>
      <c r="I51" s="640" t="str">
        <f aca="false">IF(I46&lt;I49,I49-I46,"Okay")</f>
        <v>Okay</v>
      </c>
      <c r="J51" s="640" t="str">
        <f aca="false">IF(J46&lt;J49,J49-J46,"Okay")</f>
        <v>Okay</v>
      </c>
      <c r="K51" s="640" t="str">
        <f aca="false">IF(K46&lt;K49,K49-K46,"Okay")</f>
        <v>Okay</v>
      </c>
      <c r="L51" s="640" t="str">
        <f aca="false">IF(L46&lt;L49,L49-L46,"Okay")</f>
        <v>Okay</v>
      </c>
    </row>
    <row r="52" customFormat="false" ht="12.75" hidden="false" customHeight="true" outlineLevel="0" collapsed="false">
      <c r="B52" s="304" t="s">
        <v>2096</v>
      </c>
      <c r="C52" s="643"/>
      <c r="D52" s="644" t="str">
        <f aca="false">IF(D47&gt;D50,D47-D50,"Okay")</f>
        <v>Okay</v>
      </c>
      <c r="E52" s="644" t="str">
        <f aca="false">IF(E47&gt;E50,E47-E50,"Okay")</f>
        <v>Okay</v>
      </c>
      <c r="F52" s="644" t="str">
        <f aca="false">IF(F47&gt;F50,F47-F50,"Okay")</f>
        <v>Okay</v>
      </c>
      <c r="G52" s="644" t="str">
        <f aca="false">IF(G47&gt;G50,G47-G50,"Okay")</f>
        <v>Okay</v>
      </c>
      <c r="H52" s="644" t="str">
        <f aca="false">IF(H47&gt;H50,H47-H50,"Okay")</f>
        <v>Okay</v>
      </c>
      <c r="I52" s="644" t="n">
        <f aca="false">IF(I47&gt;I50,I47-I50,"Okay")</f>
        <v>2.1</v>
      </c>
      <c r="J52" s="644" t="n">
        <f aca="false">IF(J47&gt;J50,J47-J50,"Okay")</f>
        <v>5.74200000000008</v>
      </c>
      <c r="K52" s="644" t="n">
        <f aca="false">IF(K47&gt;K50,K47-K50,"Okay")</f>
        <v>4.88999999999999</v>
      </c>
      <c r="L52" s="644" t="str">
        <f aca="false">IF(L47&gt;L50,L47-L50,"Okay")</f>
        <v>Okay</v>
      </c>
    </row>
    <row r="53" customFormat="false" ht="12.75" hidden="false" customHeight="true" outlineLevel="0" collapsed="false">
      <c r="B53" s="280" t="s">
        <v>2107</v>
      </c>
    </row>
    <row r="54" customFormat="false" ht="12.75" hidden="false" customHeight="true" outlineLevel="0" collapsed="false"/>
    <row r="55" customFormat="false" ht="12.75" hidden="false" customHeight="true" outlineLevel="0" collapsed="false"/>
    <row r="56" customFormat="false" ht="12.75" hidden="false" customHeight="true" outlineLevel="0" collapsed="false"/>
    <row r="57" customFormat="false" ht="13.5" hidden="false" customHeight="true" outlineLevel="0" collapsed="false">
      <c r="B57" s="169"/>
      <c r="C57" s="169"/>
      <c r="D57" s="651"/>
      <c r="E57" s="651"/>
      <c r="F57" s="651"/>
      <c r="G57" s="651"/>
      <c r="H57" s="651"/>
      <c r="I57" s="651"/>
      <c r="J57" s="651"/>
      <c r="K57" s="651"/>
      <c r="L57" s="651"/>
    </row>
    <row r="58" customFormat="false" ht="13.5" hidden="false" customHeight="true" outlineLevel="0" collapsed="false">
      <c r="B58" s="25"/>
      <c r="C58" s="25"/>
      <c r="D58" s="635" t="s">
        <v>787</v>
      </c>
      <c r="E58" s="635"/>
      <c r="F58" s="635"/>
      <c r="G58" s="635" t="s">
        <v>902</v>
      </c>
      <c r="H58" s="635"/>
      <c r="I58" s="635"/>
      <c r="J58" s="635" t="s">
        <v>812</v>
      </c>
      <c r="K58" s="635"/>
      <c r="L58" s="635"/>
    </row>
    <row r="59" customFormat="false" ht="13.5" hidden="false" customHeight="true" outlineLevel="0" collapsed="false">
      <c r="B59" s="16" t="s">
        <v>2086</v>
      </c>
      <c r="C59" s="53" t="s">
        <v>2087</v>
      </c>
      <c r="D59" s="636" t="s">
        <v>511</v>
      </c>
      <c r="E59" s="636" t="s">
        <v>512</v>
      </c>
      <c r="F59" s="636" t="s">
        <v>513</v>
      </c>
      <c r="G59" s="636" t="s">
        <v>511</v>
      </c>
      <c r="H59" s="636" t="s">
        <v>512</v>
      </c>
      <c r="I59" s="636" t="s">
        <v>513</v>
      </c>
      <c r="J59" s="636" t="s">
        <v>511</v>
      </c>
      <c r="K59" s="636" t="s">
        <v>512</v>
      </c>
      <c r="L59" s="636" t="s">
        <v>513</v>
      </c>
    </row>
    <row r="60" customFormat="false" ht="13.5" hidden="false" customHeight="true" outlineLevel="0" collapsed="false">
      <c r="B60" s="16"/>
      <c r="C60" s="53" t="s">
        <v>2088</v>
      </c>
      <c r="D60" s="55" t="s">
        <v>784</v>
      </c>
      <c r="E60" s="55" t="s">
        <v>784</v>
      </c>
      <c r="F60" s="55" t="s">
        <v>167</v>
      </c>
      <c r="G60" s="55" t="s">
        <v>784</v>
      </c>
      <c r="H60" s="55" t="s">
        <v>784</v>
      </c>
      <c r="I60" s="55" t="s">
        <v>167</v>
      </c>
      <c r="J60" s="55" t="s">
        <v>784</v>
      </c>
      <c r="K60" s="55" t="s">
        <v>784</v>
      </c>
      <c r="L60" s="55" t="s">
        <v>167</v>
      </c>
    </row>
    <row r="61" customFormat="false" ht="12.75" hidden="false" customHeight="true" outlineLevel="0" collapsed="false">
      <c r="B61" s="468" t="s">
        <v>208</v>
      </c>
      <c r="C61" s="637" t="n">
        <v>1952</v>
      </c>
      <c r="D61" s="469" t="n">
        <v>-157.249</v>
      </c>
      <c r="E61" s="469" t="n">
        <v>-229.94</v>
      </c>
      <c r="F61" s="469" t="n">
        <v>-10.539</v>
      </c>
      <c r="G61" s="469" t="n">
        <v>-586.975</v>
      </c>
      <c r="H61" s="469" t="n">
        <v>-691.113</v>
      </c>
      <c r="I61" s="469" t="n">
        <v>94.977</v>
      </c>
      <c r="J61" s="469" t="n">
        <v>-131.136</v>
      </c>
      <c r="K61" s="469" t="n">
        <v>-167.456</v>
      </c>
      <c r="L61" s="469" t="n">
        <v>55.103</v>
      </c>
    </row>
    <row r="62" customFormat="false" ht="12.75" hidden="false" customHeight="true" outlineLevel="0" collapsed="false">
      <c r="B62" s="160" t="s">
        <v>212</v>
      </c>
      <c r="C62" s="638" t="n">
        <v>1968</v>
      </c>
      <c r="D62" s="470" t="n">
        <v>-157.244</v>
      </c>
      <c r="E62" s="470" t="n">
        <v>-229.994</v>
      </c>
      <c r="F62" s="470" t="n">
        <v>-10.753</v>
      </c>
      <c r="G62" s="470" t="n">
        <v>-586.766</v>
      </c>
      <c r="H62" s="470" t="n">
        <v>-691.992</v>
      </c>
      <c r="I62" s="470" t="n">
        <v>91.211</v>
      </c>
      <c r="J62" s="470" t="n">
        <v>-131.228</v>
      </c>
      <c r="K62" s="470" t="n">
        <v>-167.159</v>
      </c>
      <c r="L62" s="470" t="n">
        <v>56.484</v>
      </c>
    </row>
    <row r="63" customFormat="false" ht="12.75" hidden="false" customHeight="true" outlineLevel="0" collapsed="false">
      <c r="B63" s="160" t="s">
        <v>211</v>
      </c>
      <c r="C63" s="638" t="n">
        <v>1968</v>
      </c>
      <c r="D63" s="470" t="n">
        <v>-157.244</v>
      </c>
      <c r="E63" s="470"/>
      <c r="F63" s="470"/>
      <c r="G63" s="470" t="n">
        <v>-586.766</v>
      </c>
      <c r="H63" s="470"/>
      <c r="I63" s="470"/>
      <c r="J63" s="470" t="n">
        <v>-131.228</v>
      </c>
      <c r="K63" s="470"/>
      <c r="L63" s="470"/>
    </row>
    <row r="64" customFormat="false" ht="12.75" hidden="false" customHeight="true" outlineLevel="0" collapsed="false">
      <c r="B64" s="160" t="s">
        <v>556</v>
      </c>
      <c r="C64" s="638" t="n">
        <v>1978</v>
      </c>
      <c r="D64" s="470" t="n">
        <v>-157.328</v>
      </c>
      <c r="E64" s="470" t="n">
        <v>-230.025</v>
      </c>
      <c r="F64" s="470" t="n">
        <v>-10.71</v>
      </c>
      <c r="G64" s="470" t="n">
        <v>-586.85</v>
      </c>
      <c r="H64" s="470" t="n">
        <v>-691.99</v>
      </c>
      <c r="I64" s="470" t="n">
        <v>91.2</v>
      </c>
      <c r="J64" s="470" t="n">
        <v>-131.27</v>
      </c>
      <c r="K64" s="470" t="n">
        <v>-167.08</v>
      </c>
      <c r="L64" s="470" t="n">
        <v>56.73</v>
      </c>
    </row>
    <row r="65" customFormat="false" ht="12.75" hidden="false" customHeight="true" outlineLevel="0" collapsed="false">
      <c r="B65" s="160" t="s">
        <v>557</v>
      </c>
      <c r="C65" s="638" t="n">
        <v>1982</v>
      </c>
      <c r="D65" s="470" t="n">
        <v>-157.244</v>
      </c>
      <c r="E65" s="470" t="n">
        <v>-229.994</v>
      </c>
      <c r="F65" s="470" t="n">
        <v>-10.75</v>
      </c>
      <c r="G65" s="470" t="n">
        <v>-586.77</v>
      </c>
      <c r="H65" s="470" t="n">
        <v>-691.99</v>
      </c>
      <c r="I65" s="470" t="n">
        <v>91.2</v>
      </c>
      <c r="J65" s="470" t="n">
        <v>-131.228</v>
      </c>
      <c r="K65" s="470" t="n">
        <v>-167.159</v>
      </c>
      <c r="L65" s="470" t="n">
        <v>56.5</v>
      </c>
    </row>
    <row r="66" customFormat="false" ht="12.75" hidden="false" customHeight="true" outlineLevel="0" collapsed="false">
      <c r="B66" s="160" t="s">
        <v>529</v>
      </c>
      <c r="C66" s="638" t="n">
        <v>1989</v>
      </c>
      <c r="D66" s="470" t="n">
        <v>-157.22</v>
      </c>
      <c r="E66" s="470" t="n">
        <v>-230.015</v>
      </c>
      <c r="F66" s="470" t="n">
        <v>-10.9</v>
      </c>
      <c r="G66" s="470" t="n">
        <v>-586.845</v>
      </c>
      <c r="H66" s="470" t="n">
        <v>-689.93</v>
      </c>
      <c r="I66" s="470" t="n">
        <v>98.4</v>
      </c>
      <c r="J66" s="470" t="n">
        <v>-131.218</v>
      </c>
      <c r="K66" s="470" t="n">
        <v>-167.08</v>
      </c>
      <c r="L66" s="470" t="n">
        <v>56.6</v>
      </c>
    </row>
    <row r="67" customFormat="false" ht="12.75" hidden="false" customHeight="true" outlineLevel="0" collapsed="false">
      <c r="B67" s="160" t="s">
        <v>563</v>
      </c>
      <c r="C67" s="638" t="n">
        <v>1995</v>
      </c>
      <c r="D67" s="470" t="n">
        <v>-157.3</v>
      </c>
      <c r="E67" s="470" t="n">
        <v>-230</v>
      </c>
      <c r="F67" s="470" t="n">
        <v>-10.7</v>
      </c>
      <c r="G67" s="470" t="n">
        <v>-586.8</v>
      </c>
      <c r="H67" s="470" t="n">
        <v>-689.9</v>
      </c>
      <c r="I67" s="470" t="n">
        <v>98.4</v>
      </c>
      <c r="J67" s="470" t="n">
        <v>-131.2</v>
      </c>
      <c r="K67" s="470" t="n">
        <v>-167.1</v>
      </c>
      <c r="L67" s="470" t="n">
        <v>56.6</v>
      </c>
    </row>
    <row r="68" customFormat="false" ht="12.75" hidden="false" customHeight="true" outlineLevel="0" collapsed="false">
      <c r="B68" s="160"/>
      <c r="C68" s="638"/>
      <c r="D68" s="294"/>
      <c r="E68" s="294"/>
      <c r="F68" s="294"/>
      <c r="G68" s="294"/>
      <c r="H68" s="294"/>
      <c r="I68" s="294"/>
      <c r="J68" s="292"/>
      <c r="K68" s="292"/>
      <c r="L68" s="292"/>
    </row>
    <row r="69" customFormat="false" ht="12.75" hidden="false" customHeight="true" outlineLevel="0" collapsed="false">
      <c r="B69" s="161" t="s">
        <v>705</v>
      </c>
      <c r="C69" s="639"/>
      <c r="D69" s="640" t="n">
        <f aca="false">MIN(D61:D67)</f>
        <v>-157.328</v>
      </c>
      <c r="E69" s="640" t="n">
        <f aca="false">MIN(E61:E67)</f>
        <v>-230.025</v>
      </c>
      <c r="F69" s="640" t="n">
        <f aca="false">MIN(F61:F67)</f>
        <v>-10.9</v>
      </c>
      <c r="G69" s="640" t="n">
        <f aca="false">MIN(G61:G67)</f>
        <v>-586.975</v>
      </c>
      <c r="H69" s="640" t="n">
        <f aca="false">MIN(H61:H67)</f>
        <v>-691.992</v>
      </c>
      <c r="I69" s="640" t="n">
        <f aca="false">MIN(I61:I67)</f>
        <v>91.2</v>
      </c>
      <c r="J69" s="640" t="n">
        <f aca="false">MIN(J61:J67)</f>
        <v>-131.27</v>
      </c>
      <c r="K69" s="640" t="n">
        <f aca="false">MIN(K61:K67)</f>
        <v>-167.456</v>
      </c>
      <c r="L69" s="640" t="n">
        <f aca="false">MIN(L61:L67)</f>
        <v>55.103</v>
      </c>
    </row>
    <row r="70" customFormat="false" ht="12.75" hidden="false" customHeight="true" outlineLevel="0" collapsed="false">
      <c r="B70" s="161" t="s">
        <v>706</v>
      </c>
      <c r="C70" s="639"/>
      <c r="D70" s="640" t="n">
        <f aca="false">MAX(D61:D67)</f>
        <v>-157.22</v>
      </c>
      <c r="E70" s="640" t="n">
        <f aca="false">MAX(E61:E67)</f>
        <v>-229.94</v>
      </c>
      <c r="F70" s="640" t="n">
        <f aca="false">MAX(F61:F67)</f>
        <v>-10.539</v>
      </c>
      <c r="G70" s="640" t="n">
        <f aca="false">MAX(G61:G67)</f>
        <v>-586.766</v>
      </c>
      <c r="H70" s="640" t="n">
        <f aca="false">MAX(H61:H67)</f>
        <v>-689.9</v>
      </c>
      <c r="I70" s="640" t="n">
        <f aca="false">MAX(I61:I67)</f>
        <v>98.4</v>
      </c>
      <c r="J70" s="640" t="n">
        <f aca="false">MAX(J61:J67)</f>
        <v>-131.136</v>
      </c>
      <c r="K70" s="640" t="n">
        <f aca="false">MAX(K61:K67)</f>
        <v>-167.08</v>
      </c>
      <c r="L70" s="640" t="n">
        <f aca="false">MAX(L61:L67)</f>
        <v>56.73</v>
      </c>
    </row>
    <row r="71" customFormat="false" ht="12.75" hidden="false" customHeight="true" outlineLevel="0" collapsed="false">
      <c r="B71" s="299" t="s">
        <v>2092</v>
      </c>
      <c r="C71" s="641"/>
      <c r="D71" s="623" t="n">
        <v>0.072</v>
      </c>
      <c r="E71" s="623" t="s">
        <v>789</v>
      </c>
      <c r="F71" s="623" t="s">
        <v>728</v>
      </c>
      <c r="G71" s="623" t="n">
        <v>0.251</v>
      </c>
      <c r="H71" s="623" t="s">
        <v>728</v>
      </c>
      <c r="I71" s="623" t="s">
        <v>767</v>
      </c>
      <c r="J71" s="623" t="n">
        <v>0.116</v>
      </c>
      <c r="K71" s="623" t="s">
        <v>730</v>
      </c>
      <c r="L71" s="623" t="s">
        <v>728</v>
      </c>
    </row>
    <row r="72" customFormat="false" ht="12.75" hidden="false" customHeight="true" outlineLevel="0" collapsed="false">
      <c r="B72" s="161" t="s">
        <v>2093</v>
      </c>
      <c r="C72" s="639"/>
      <c r="D72" s="640" t="n">
        <f aca="false">D66-D71</f>
        <v>-157.292</v>
      </c>
      <c r="E72" s="640" t="n">
        <f aca="false">E66-E71</f>
        <v>-230.055</v>
      </c>
      <c r="F72" s="640" t="n">
        <f aca="false">F66-F71</f>
        <v>-11.1</v>
      </c>
      <c r="G72" s="640" t="n">
        <f aca="false">G66-G71</f>
        <v>-587.096</v>
      </c>
      <c r="H72" s="640" t="n">
        <f aca="false">H66-H71</f>
        <v>-690.13</v>
      </c>
      <c r="I72" s="640" t="n">
        <f aca="false">I66-I71</f>
        <v>97.9</v>
      </c>
      <c r="J72" s="640" t="n">
        <f aca="false">J66-J71</f>
        <v>-131.334</v>
      </c>
      <c r="K72" s="640" t="n">
        <f aca="false">K66-K71</f>
        <v>-167.18</v>
      </c>
      <c r="L72" s="640" t="n">
        <f aca="false">L66-L71</f>
        <v>56.4</v>
      </c>
    </row>
    <row r="73" customFormat="false" ht="12.75" hidden="false" customHeight="true" outlineLevel="0" collapsed="false">
      <c r="B73" s="161" t="s">
        <v>2094</v>
      </c>
      <c r="C73" s="639"/>
      <c r="D73" s="640" t="n">
        <f aca="false">D66+D71</f>
        <v>-157.148</v>
      </c>
      <c r="E73" s="640" t="n">
        <f aca="false">E66+E71</f>
        <v>-229.975</v>
      </c>
      <c r="F73" s="640" t="n">
        <f aca="false">F66+F71</f>
        <v>-10.7</v>
      </c>
      <c r="G73" s="640" t="n">
        <f aca="false">G66+G71</f>
        <v>-586.594</v>
      </c>
      <c r="H73" s="640" t="n">
        <f aca="false">H66+H71</f>
        <v>-689.73</v>
      </c>
      <c r="I73" s="640" t="n">
        <f aca="false">I66+I71</f>
        <v>98.9</v>
      </c>
      <c r="J73" s="640" t="n">
        <f aca="false">J66+J71</f>
        <v>-131.102</v>
      </c>
      <c r="K73" s="640" t="n">
        <f aca="false">K66+K71</f>
        <v>-166.98</v>
      </c>
      <c r="L73" s="640" t="n">
        <f aca="false">L66+L71</f>
        <v>56.8</v>
      </c>
    </row>
    <row r="74" customFormat="false" ht="12.75" hidden="false" customHeight="true" outlineLevel="0" collapsed="false">
      <c r="B74" s="161" t="s">
        <v>2095</v>
      </c>
      <c r="C74" s="639"/>
      <c r="D74" s="640" t="n">
        <f aca="false">IF(D69&lt;D72,D72-D69,"Okay")</f>
        <v>0.0360000000000014</v>
      </c>
      <c r="E74" s="640" t="str">
        <f aca="false">IF(E69&lt;E72,E72-E69,"Okay")</f>
        <v>Okay</v>
      </c>
      <c r="F74" s="640" t="str">
        <f aca="false">IF(F69&lt;F72,F72-F69,"Okay")</f>
        <v>Okay</v>
      </c>
      <c r="G74" s="640" t="str">
        <f aca="false">IF(G69&lt;G72,G72-G69,"Okay")</f>
        <v>Okay</v>
      </c>
      <c r="H74" s="640" t="n">
        <f aca="false">IF(H69&lt;H72,H72-H69,"Okay")</f>
        <v>1.86199999999997</v>
      </c>
      <c r="I74" s="640" t="n">
        <f aca="false">IF(I69&lt;I72,I72-I69,"Okay")</f>
        <v>6.7</v>
      </c>
      <c r="J74" s="640" t="str">
        <f aca="false">IF(J69&lt;J72,J72-J69,"Okay")</f>
        <v>Okay</v>
      </c>
      <c r="K74" s="640" t="n">
        <f aca="false">IF(K69&lt;K72,K72-K69,"Okay")</f>
        <v>0.275999999999982</v>
      </c>
      <c r="L74" s="640" t="n">
        <f aca="false">IF(L69&lt;L72,L72-L69,"Okay")</f>
        <v>1.297</v>
      </c>
    </row>
    <row r="75" customFormat="false" ht="12.75" hidden="false" customHeight="true" outlineLevel="0" collapsed="false">
      <c r="B75" s="304" t="s">
        <v>2096</v>
      </c>
      <c r="C75" s="643"/>
      <c r="D75" s="644" t="str">
        <f aca="false">IF(D70&gt;D73,D70-D73,"Okay")</f>
        <v>Okay</v>
      </c>
      <c r="E75" s="644" t="n">
        <f aca="false">IF(E70&gt;E73,E70-E73,"Okay")</f>
        <v>0.0349999999999966</v>
      </c>
      <c r="F75" s="644" t="n">
        <f aca="false">IF(F70&gt;F73,F70-F73,"Okay")</f>
        <v>0.161000000000001</v>
      </c>
      <c r="G75" s="644" t="str">
        <f aca="false">IF(G70&gt;G73,G70-G73,"Okay")</f>
        <v>Okay</v>
      </c>
      <c r="H75" s="644" t="str">
        <f aca="false">IF(H70&gt;H73,H70-H73,"Okay")</f>
        <v>Okay</v>
      </c>
      <c r="I75" s="644" t="str">
        <f aca="false">IF(I70&gt;I73,I70-I73,"Okay")</f>
        <v>Okay</v>
      </c>
      <c r="J75" s="644" t="str">
        <f aca="false">IF(J70&gt;J73,J70-J73,"Okay")</f>
        <v>Okay</v>
      </c>
      <c r="K75" s="644" t="str">
        <f aca="false">IF(K70&gt;K73,K70-K73,"Okay")</f>
        <v>Okay</v>
      </c>
      <c r="L75" s="644" t="str">
        <f aca="false">IF(L70&gt;L73,L70-L73,"Okay")</f>
        <v>Okay</v>
      </c>
    </row>
    <row r="76" customFormat="false" ht="12.75" hidden="false" customHeight="true" outlineLevel="0" collapsed="false">
      <c r="B76" s="280" t="s">
        <v>2107</v>
      </c>
    </row>
    <row r="77" customFormat="false" ht="12.75" hidden="false" customHeight="true" outlineLevel="0" collapsed="false"/>
    <row r="78" customFormat="false" ht="12.75" hidden="false" customHeight="true" outlineLevel="0" collapsed="false"/>
    <row r="79" customFormat="false" ht="12.75" hidden="false" customHeight="true" outlineLevel="0" collapsed="false"/>
    <row r="80" customFormat="false" ht="13.5" hidden="false" customHeight="true" outlineLevel="0" collapsed="false">
      <c r="B80" s="169"/>
      <c r="C80" s="169"/>
      <c r="D80" s="651"/>
      <c r="E80" s="651"/>
      <c r="F80" s="651"/>
      <c r="G80" s="651"/>
      <c r="H80" s="651"/>
      <c r="I80" s="651"/>
    </row>
    <row r="81" customFormat="false" ht="13.5" hidden="false" customHeight="true" outlineLevel="0" collapsed="false">
      <c r="B81" s="25"/>
      <c r="C81" s="25"/>
      <c r="D81" s="635" t="s">
        <v>2111</v>
      </c>
      <c r="E81" s="635"/>
      <c r="F81" s="635"/>
      <c r="G81" s="635" t="s">
        <v>2112</v>
      </c>
      <c r="H81" s="635"/>
      <c r="I81" s="635"/>
    </row>
    <row r="82" customFormat="false" ht="13.5" hidden="false" customHeight="true" outlineLevel="0" collapsed="false">
      <c r="B82" s="16" t="s">
        <v>2086</v>
      </c>
      <c r="C82" s="53" t="s">
        <v>2087</v>
      </c>
      <c r="D82" s="636" t="s">
        <v>511</v>
      </c>
      <c r="E82" s="636" t="s">
        <v>512</v>
      </c>
      <c r="F82" s="636" t="s">
        <v>513</v>
      </c>
      <c r="G82" s="636" t="s">
        <v>511</v>
      </c>
      <c r="H82" s="636" t="s">
        <v>512</v>
      </c>
      <c r="I82" s="636" t="s">
        <v>513</v>
      </c>
    </row>
    <row r="83" customFormat="false" ht="13.5" hidden="false" customHeight="true" outlineLevel="0" collapsed="false">
      <c r="B83" s="16"/>
      <c r="C83" s="53" t="s">
        <v>2088</v>
      </c>
      <c r="D83" s="55" t="s">
        <v>784</v>
      </c>
      <c r="E83" s="55" t="s">
        <v>784</v>
      </c>
      <c r="F83" s="55" t="s">
        <v>167</v>
      </c>
      <c r="G83" s="55" t="s">
        <v>784</v>
      </c>
      <c r="H83" s="55" t="s">
        <v>784</v>
      </c>
      <c r="I83" s="55" t="s">
        <v>167</v>
      </c>
    </row>
    <row r="84" customFormat="false" ht="12.75" hidden="false" customHeight="false" outlineLevel="0" collapsed="false">
      <c r="B84" s="468" t="s">
        <v>208</v>
      </c>
      <c r="C84" s="637" t="n">
        <v>1952</v>
      </c>
      <c r="D84" s="652" t="n">
        <v>-741.893</v>
      </c>
      <c r="E84" s="652" t="n">
        <v>-907.51</v>
      </c>
      <c r="F84" s="652" t="n">
        <v>17.154</v>
      </c>
      <c r="G84" s="469" t="n">
        <v>-528.023</v>
      </c>
      <c r="H84" s="469" t="n">
        <v>-676.26</v>
      </c>
      <c r="I84" s="469" t="n">
        <v>-53.137</v>
      </c>
    </row>
    <row r="85" customFormat="false" ht="12.75" hidden="false" customHeight="false" outlineLevel="0" collapsed="false">
      <c r="B85" s="160" t="s">
        <v>212</v>
      </c>
      <c r="C85" s="638" t="n">
        <v>1968</v>
      </c>
      <c r="D85" s="470" t="n">
        <v>-744.529</v>
      </c>
      <c r="E85" s="470" t="n">
        <v>-909.267</v>
      </c>
      <c r="F85" s="470" t="n">
        <v>20.083</v>
      </c>
      <c r="G85" s="470" t="n">
        <v>-527.814</v>
      </c>
      <c r="H85" s="470" t="n">
        <v>-677.139</v>
      </c>
      <c r="I85" s="470" t="n">
        <v>-56.902</v>
      </c>
    </row>
    <row r="86" customFormat="false" ht="12.75" hidden="false" customHeight="false" outlineLevel="0" collapsed="false">
      <c r="B86" s="160" t="s">
        <v>211</v>
      </c>
      <c r="C86" s="638" t="n">
        <v>1968</v>
      </c>
      <c r="D86" s="470" t="n">
        <v>-744.529</v>
      </c>
      <c r="E86" s="470"/>
      <c r="F86" s="470"/>
      <c r="G86" s="470" t="n">
        <v>-527.814</v>
      </c>
      <c r="H86" s="470"/>
      <c r="I86" s="470"/>
    </row>
    <row r="87" customFormat="false" ht="12.75" hidden="false" customHeight="false" outlineLevel="0" collapsed="false">
      <c r="B87" s="160" t="s">
        <v>556</v>
      </c>
      <c r="C87" s="638" t="n">
        <v>1978</v>
      </c>
      <c r="D87" s="470" t="n">
        <v>-744.63</v>
      </c>
      <c r="E87" s="470" t="n">
        <v>-909.27</v>
      </c>
      <c r="F87" s="470" t="n">
        <v>20</v>
      </c>
      <c r="G87" s="470" t="n">
        <v>-527.9</v>
      </c>
      <c r="H87" s="470" t="n">
        <v>-677.14</v>
      </c>
      <c r="I87" s="470" t="n">
        <v>-56.9</v>
      </c>
    </row>
    <row r="88" customFormat="false" ht="12.75" hidden="false" customHeight="false" outlineLevel="0" collapsed="false">
      <c r="B88" s="160" t="s">
        <v>557</v>
      </c>
      <c r="C88" s="638" t="n">
        <v>1982</v>
      </c>
      <c r="D88" s="470" t="n">
        <v>-744.53</v>
      </c>
      <c r="E88" s="470" t="n">
        <v>-909.27</v>
      </c>
      <c r="F88" s="470" t="n">
        <v>20.1</v>
      </c>
      <c r="G88" s="470" t="n">
        <v>-527.81</v>
      </c>
      <c r="H88" s="470" t="n">
        <v>-677.14</v>
      </c>
      <c r="I88" s="470" t="n">
        <v>-56.9</v>
      </c>
    </row>
    <row r="89" customFormat="false" ht="12.75" hidden="false" customHeight="false" outlineLevel="0" collapsed="false">
      <c r="B89" s="160" t="s">
        <v>529</v>
      </c>
      <c r="C89" s="638" t="n">
        <v>1989</v>
      </c>
      <c r="D89" s="470" t="n">
        <v>-744.004</v>
      </c>
      <c r="E89" s="470" t="n">
        <v>-909.34</v>
      </c>
      <c r="F89" s="470" t="n">
        <v>18.5</v>
      </c>
      <c r="G89" s="470" t="n">
        <v>-527.9</v>
      </c>
      <c r="H89" s="470" t="n">
        <v>-675.23</v>
      </c>
      <c r="I89" s="470" t="n">
        <v>-50</v>
      </c>
    </row>
    <row r="90" customFormat="false" ht="12.75" hidden="false" customHeight="false" outlineLevel="0" collapsed="false">
      <c r="B90" s="160" t="s">
        <v>563</v>
      </c>
      <c r="C90" s="638" t="n">
        <v>1995</v>
      </c>
      <c r="D90" s="470" t="n">
        <v>-744</v>
      </c>
      <c r="E90" s="470" t="n">
        <v>-909.3</v>
      </c>
      <c r="F90" s="470" t="n">
        <v>18.5</v>
      </c>
      <c r="G90" s="470" t="n">
        <v>-527</v>
      </c>
      <c r="H90" s="470" t="n">
        <v>-675.2</v>
      </c>
      <c r="I90" s="470" t="n">
        <v>-50</v>
      </c>
    </row>
    <row r="91" customFormat="false" ht="12.75" hidden="false" customHeight="false" outlineLevel="0" collapsed="false">
      <c r="B91" s="160"/>
      <c r="C91" s="638"/>
      <c r="D91" s="294"/>
      <c r="E91" s="294"/>
      <c r="F91" s="294"/>
      <c r="G91" s="294"/>
      <c r="H91" s="294"/>
      <c r="I91" s="294"/>
    </row>
    <row r="92" customFormat="false" ht="12.75" hidden="false" customHeight="false" outlineLevel="0" collapsed="false">
      <c r="B92" s="161" t="s">
        <v>705</v>
      </c>
      <c r="C92" s="639"/>
      <c r="D92" s="640" t="n">
        <f aca="false">MIN(D85:D90)</f>
        <v>-744.63</v>
      </c>
      <c r="E92" s="640" t="n">
        <f aca="false">MIN(E85:E90)</f>
        <v>-909.34</v>
      </c>
      <c r="F92" s="640" t="n">
        <f aca="false">MIN(F85:F90)</f>
        <v>18.5</v>
      </c>
      <c r="G92" s="640" t="n">
        <f aca="false">MIN(G84:G90)</f>
        <v>-528.023</v>
      </c>
      <c r="H92" s="640" t="n">
        <f aca="false">MIN(H84:H90)</f>
        <v>-677.14</v>
      </c>
      <c r="I92" s="640" t="n">
        <f aca="false">MIN(I84:I90)</f>
        <v>-56.902</v>
      </c>
    </row>
    <row r="93" customFormat="false" ht="12.75" hidden="false" customHeight="false" outlineLevel="0" collapsed="false">
      <c r="B93" s="161" t="s">
        <v>706</v>
      </c>
      <c r="C93" s="639"/>
      <c r="D93" s="640" t="n">
        <f aca="false">MAX(D85:D90)</f>
        <v>-744</v>
      </c>
      <c r="E93" s="640" t="n">
        <f aca="false">MAX(E85:E90)</f>
        <v>-909.267</v>
      </c>
      <c r="F93" s="640" t="n">
        <f aca="false">MAX(F85:F90)</f>
        <v>20.1</v>
      </c>
      <c r="G93" s="640" t="n">
        <f aca="false">MAX(G84:G90)</f>
        <v>-527</v>
      </c>
      <c r="H93" s="640" t="n">
        <f aca="false">MAX(H84:H90)</f>
        <v>-675.2</v>
      </c>
      <c r="I93" s="640" t="n">
        <f aca="false">MAX(I84:I90)</f>
        <v>-50</v>
      </c>
    </row>
    <row r="94" customFormat="false" ht="12.75" hidden="false" customHeight="false" outlineLevel="0" collapsed="false">
      <c r="B94" s="299" t="s">
        <v>2092</v>
      </c>
      <c r="C94" s="641"/>
      <c r="D94" s="623" t="n">
        <v>0.418</v>
      </c>
      <c r="E94" s="623" t="s">
        <v>742</v>
      </c>
      <c r="F94" s="623" t="s">
        <v>742</v>
      </c>
      <c r="G94" s="623" t="n">
        <v>0.39</v>
      </c>
      <c r="H94" s="623" t="s">
        <v>761</v>
      </c>
      <c r="I94" s="623" t="s">
        <v>896</v>
      </c>
    </row>
    <row r="95" customFormat="false" ht="12.75" hidden="false" customHeight="false" outlineLevel="0" collapsed="false">
      <c r="B95" s="161" t="s">
        <v>2093</v>
      </c>
      <c r="C95" s="639"/>
      <c r="D95" s="640" t="n">
        <f aca="false">D89-D94</f>
        <v>-744.422</v>
      </c>
      <c r="E95" s="640" t="n">
        <f aca="false">E89-E94</f>
        <v>-909.74</v>
      </c>
      <c r="F95" s="640" t="n">
        <f aca="false">F89-F94</f>
        <v>18.1</v>
      </c>
      <c r="G95" s="640" t="n">
        <f aca="false">G89-G94</f>
        <v>-528.29</v>
      </c>
      <c r="H95" s="640" t="n">
        <f aca="false">H89-H94</f>
        <v>-675.48</v>
      </c>
      <c r="I95" s="640" t="n">
        <f aca="false">I89-I94</f>
        <v>-51</v>
      </c>
    </row>
    <row r="96" customFormat="false" ht="12.75" hidden="false" customHeight="false" outlineLevel="0" collapsed="false">
      <c r="B96" s="161" t="s">
        <v>2094</v>
      </c>
      <c r="C96" s="639"/>
      <c r="D96" s="640" t="n">
        <f aca="false">D89+D94</f>
        <v>-743.586</v>
      </c>
      <c r="E96" s="640" t="n">
        <f aca="false">E89+E94</f>
        <v>-908.94</v>
      </c>
      <c r="F96" s="640" t="n">
        <f aca="false">F89+F94</f>
        <v>18.9</v>
      </c>
      <c r="G96" s="640" t="n">
        <f aca="false">G89+G94</f>
        <v>-527.51</v>
      </c>
      <c r="H96" s="640" t="n">
        <f aca="false">H89+H94</f>
        <v>-674.98</v>
      </c>
      <c r="I96" s="640" t="n">
        <f aca="false">I89+I94</f>
        <v>-49</v>
      </c>
    </row>
    <row r="97" customFormat="false" ht="12.75" hidden="false" customHeight="false" outlineLevel="0" collapsed="false">
      <c r="B97" s="161" t="s">
        <v>2095</v>
      </c>
      <c r="C97" s="639"/>
      <c r="D97" s="640" t="n">
        <f aca="false">IF(D92&lt;D95,D95-D92,"Okay")</f>
        <v>0.20799999999997</v>
      </c>
      <c r="E97" s="640" t="str">
        <f aca="false">IF(E92&lt;E95,E95-E92,"Okay")</f>
        <v>Okay</v>
      </c>
      <c r="F97" s="640" t="str">
        <f aca="false">IF(F92&lt;F95,F95-F92,"Okay")</f>
        <v>Okay</v>
      </c>
      <c r="G97" s="640" t="str">
        <f aca="false">IF(G92&lt;G95,G95-G92,"Okay")</f>
        <v>Okay</v>
      </c>
      <c r="H97" s="640" t="n">
        <f aca="false">IF(H92&lt;H95,H95-H92,"Okay")</f>
        <v>1.65999999999997</v>
      </c>
      <c r="I97" s="640" t="n">
        <f aca="false">IF(I92&lt;I95,I95-I92,"Okay")</f>
        <v>5.902</v>
      </c>
    </row>
    <row r="98" customFormat="false" ht="13.5" hidden="false" customHeight="false" outlineLevel="0" collapsed="false">
      <c r="B98" s="304" t="s">
        <v>2096</v>
      </c>
      <c r="C98" s="643"/>
      <c r="D98" s="644" t="str">
        <f aca="false">IF(D93&gt;D96,D93-D96,"Okay")</f>
        <v>Okay</v>
      </c>
      <c r="E98" s="644" t="str">
        <f aca="false">IF(E93&gt;E96,E93-E96,"Okay")</f>
        <v>Okay</v>
      </c>
      <c r="F98" s="644" t="n">
        <f aca="false">IF(F93&gt;F96,F93-F96,"Okay")</f>
        <v>1.2</v>
      </c>
      <c r="G98" s="644" t="n">
        <f aca="false">IF(G93&gt;G96,G93-G96,"Okay")</f>
        <v>0.509999999999991</v>
      </c>
      <c r="H98" s="644" t="str">
        <f aca="false">IF(H93&gt;H96,H93-H96,"Okay")</f>
        <v>Okay</v>
      </c>
      <c r="I98" s="644" t="str">
        <f aca="false">IF(I93&gt;I96,I93-I96,"Okay")</f>
        <v>Okay</v>
      </c>
    </row>
    <row r="99" customFormat="false" ht="12.75" hidden="false" customHeight="false" outlineLevel="0" collapsed="false">
      <c r="B99" s="280" t="s">
        <v>2107</v>
      </c>
    </row>
    <row r="102" customFormat="false" ht="13.5" hidden="false" customHeight="false" outlineLevel="0" collapsed="false"/>
    <row r="103" customFormat="false" ht="13.5" hidden="false" customHeight="true" outlineLevel="0" collapsed="false">
      <c r="B103" s="169"/>
      <c r="C103" s="169"/>
      <c r="D103" s="651"/>
      <c r="E103" s="651"/>
      <c r="F103" s="651"/>
      <c r="G103" s="651"/>
      <c r="H103" s="651"/>
      <c r="I103" s="651"/>
      <c r="J103" s="651"/>
      <c r="K103" s="651"/>
      <c r="L103" s="651"/>
    </row>
    <row r="104" customFormat="false" ht="13.5" hidden="false" customHeight="true" outlineLevel="0" collapsed="false">
      <c r="B104" s="25"/>
      <c r="C104" s="25"/>
      <c r="D104" s="635" t="s">
        <v>909</v>
      </c>
      <c r="E104" s="635"/>
      <c r="F104" s="635"/>
      <c r="G104" s="635" t="s">
        <v>916</v>
      </c>
      <c r="H104" s="635"/>
      <c r="I104" s="635"/>
      <c r="J104" s="635" t="s">
        <v>885</v>
      </c>
      <c r="K104" s="635"/>
      <c r="L104" s="635"/>
    </row>
    <row r="105" customFormat="false" ht="13.5" hidden="false" customHeight="true" outlineLevel="0" collapsed="false">
      <c r="B105" s="16" t="s">
        <v>2086</v>
      </c>
      <c r="C105" s="53" t="s">
        <v>2087</v>
      </c>
      <c r="D105" s="636" t="s">
        <v>511</v>
      </c>
      <c r="E105" s="636" t="s">
        <v>512</v>
      </c>
      <c r="F105" s="636" t="s">
        <v>513</v>
      </c>
      <c r="G105" s="636" t="s">
        <v>511</v>
      </c>
      <c r="H105" s="636" t="s">
        <v>512</v>
      </c>
      <c r="I105" s="636" t="s">
        <v>513</v>
      </c>
      <c r="J105" s="636" t="s">
        <v>511</v>
      </c>
      <c r="K105" s="636" t="s">
        <v>512</v>
      </c>
      <c r="L105" s="636" t="s">
        <v>513</v>
      </c>
    </row>
    <row r="106" customFormat="false" ht="13.5" hidden="false" customHeight="true" outlineLevel="0" collapsed="false">
      <c r="B106" s="16"/>
      <c r="C106" s="53" t="s">
        <v>2088</v>
      </c>
      <c r="D106" s="55" t="s">
        <v>784</v>
      </c>
      <c r="E106" s="55" t="s">
        <v>784</v>
      </c>
      <c r="F106" s="55" t="s">
        <v>167</v>
      </c>
      <c r="G106" s="55" t="s">
        <v>784</v>
      </c>
      <c r="H106" s="55" t="s">
        <v>784</v>
      </c>
      <c r="I106" s="55" t="s">
        <v>167</v>
      </c>
      <c r="J106" s="55" t="s">
        <v>784</v>
      </c>
      <c r="K106" s="55" t="s">
        <v>784</v>
      </c>
      <c r="L106" s="55" t="s">
        <v>167</v>
      </c>
    </row>
    <row r="107" customFormat="false" ht="12.75" hidden="false" customHeight="false" outlineLevel="0" collapsed="false">
      <c r="B107" s="468" t="s">
        <v>208</v>
      </c>
      <c r="C107" s="637" t="n">
        <v>1952</v>
      </c>
      <c r="D107" s="469"/>
      <c r="E107" s="469"/>
      <c r="F107" s="469"/>
      <c r="G107" s="652" t="n">
        <v>-963.226</v>
      </c>
      <c r="H107" s="652" t="n">
        <v>-1067.757</v>
      </c>
      <c r="I107" s="652" t="n">
        <v>159.829</v>
      </c>
      <c r="J107" s="652" t="n">
        <v>-386.192</v>
      </c>
      <c r="K107" s="652" t="n">
        <v>-412.919</v>
      </c>
      <c r="L107" s="652" t="n">
        <v>121.336</v>
      </c>
    </row>
    <row r="108" customFormat="false" ht="12.75" hidden="false" customHeight="false" outlineLevel="0" collapsed="false">
      <c r="B108" s="160" t="s">
        <v>212</v>
      </c>
      <c r="C108" s="638" t="n">
        <v>1968</v>
      </c>
      <c r="D108" s="654" t="n">
        <v>-1316.574</v>
      </c>
      <c r="E108" s="654" t="n">
        <v>-1468.584</v>
      </c>
      <c r="F108" s="470" t="n">
        <v>179.912</v>
      </c>
      <c r="G108" s="470" t="n">
        <v>-968.749</v>
      </c>
      <c r="H108" s="470" t="n">
        <v>-1072.317</v>
      </c>
      <c r="I108" s="470" t="n">
        <v>162.339</v>
      </c>
      <c r="J108" s="470" t="n">
        <v>-385.983</v>
      </c>
      <c r="K108" s="470" t="n">
        <v>-413.798</v>
      </c>
      <c r="L108" s="470" t="n">
        <v>117.57</v>
      </c>
    </row>
    <row r="109" customFormat="false" ht="12.75" hidden="false" customHeight="false" outlineLevel="0" collapsed="false">
      <c r="B109" s="160" t="s">
        <v>211</v>
      </c>
      <c r="C109" s="638" t="n">
        <v>1968</v>
      </c>
      <c r="D109" s="654" t="n">
        <v>-1316.524</v>
      </c>
      <c r="E109" s="470"/>
      <c r="F109" s="470"/>
      <c r="G109" s="470"/>
      <c r="H109" s="470"/>
      <c r="I109" s="470"/>
      <c r="J109" s="470" t="n">
        <v>-385.95</v>
      </c>
      <c r="K109" s="470"/>
      <c r="L109" s="470"/>
    </row>
    <row r="110" customFormat="false" ht="12.75" hidden="false" customHeight="false" outlineLevel="0" collapsed="false">
      <c r="B110" s="160" t="s">
        <v>556</v>
      </c>
      <c r="C110" s="638" t="n">
        <v>1978</v>
      </c>
      <c r="D110" s="470" t="n">
        <v>-1308</v>
      </c>
      <c r="E110" s="470" t="n">
        <v>-1460</v>
      </c>
      <c r="F110" s="470" t="n">
        <v>180</v>
      </c>
      <c r="G110" s="470"/>
      <c r="H110" s="470"/>
      <c r="I110" s="470"/>
      <c r="J110" s="470" t="n">
        <v>-386.029</v>
      </c>
      <c r="K110" s="470" t="n">
        <v>-413.82</v>
      </c>
      <c r="L110" s="470" t="n">
        <v>117.05</v>
      </c>
    </row>
    <row r="111" customFormat="false" ht="12.75" hidden="false" customHeight="false" outlineLevel="0" collapsed="false">
      <c r="B111" s="160" t="s">
        <v>557</v>
      </c>
      <c r="C111" s="638" t="n">
        <v>1982</v>
      </c>
      <c r="D111" s="654" t="n">
        <v>-1316.6</v>
      </c>
      <c r="E111" s="654" t="n">
        <v>-1468.6</v>
      </c>
      <c r="F111" s="470" t="n">
        <v>180</v>
      </c>
      <c r="G111" s="470" t="n">
        <v>-968.75</v>
      </c>
      <c r="H111" s="470" t="n">
        <v>-1072.32</v>
      </c>
      <c r="I111" s="470" t="n">
        <v>162.3</v>
      </c>
      <c r="J111" s="470" t="n">
        <v>-385.98</v>
      </c>
      <c r="K111" s="470" t="n">
        <v>-413.8</v>
      </c>
      <c r="L111" s="470" t="n">
        <v>117.6</v>
      </c>
    </row>
    <row r="112" customFormat="false" ht="12.75" hidden="false" customHeight="false" outlineLevel="0" collapsed="false">
      <c r="B112" s="160" t="s">
        <v>529</v>
      </c>
      <c r="C112" s="638" t="n">
        <v>1989</v>
      </c>
      <c r="D112" s="470"/>
      <c r="E112" s="470"/>
      <c r="F112" s="470"/>
      <c r="G112" s="470" t="n">
        <v>-969.268</v>
      </c>
      <c r="H112" s="470" t="n">
        <v>-1072.8</v>
      </c>
      <c r="I112" s="470" t="n">
        <v>162.4</v>
      </c>
      <c r="J112" s="470" t="n">
        <v>-385.97</v>
      </c>
      <c r="K112" s="470" t="n">
        <v>-413.26</v>
      </c>
      <c r="L112" s="470" t="n">
        <v>119.36</v>
      </c>
    </row>
    <row r="113" customFormat="false" ht="12.75" hidden="false" customHeight="false" outlineLevel="0" collapsed="false">
      <c r="B113" s="160" t="s">
        <v>563</v>
      </c>
      <c r="C113" s="638" t="n">
        <v>1995</v>
      </c>
      <c r="D113" s="470" t="n">
        <v>-1307.5</v>
      </c>
      <c r="E113" s="470" t="n">
        <v>-1460</v>
      </c>
      <c r="F113" s="470" t="n">
        <v>180</v>
      </c>
      <c r="G113" s="470"/>
      <c r="H113" s="470"/>
      <c r="I113" s="470"/>
      <c r="J113" s="470" t="n">
        <v>-386.1</v>
      </c>
      <c r="K113" s="470" t="n">
        <v>-413.9</v>
      </c>
      <c r="L113" s="470" t="n">
        <v>114.7</v>
      </c>
    </row>
    <row r="114" customFormat="false" ht="12.75" hidden="false" customHeight="false" outlineLevel="0" collapsed="false">
      <c r="B114" s="160"/>
      <c r="C114" s="638"/>
      <c r="D114" s="294"/>
      <c r="E114" s="294"/>
      <c r="F114" s="294"/>
      <c r="G114" s="294"/>
      <c r="H114" s="294"/>
      <c r="I114" s="294"/>
      <c r="J114" s="292"/>
      <c r="K114" s="292"/>
      <c r="L114" s="292"/>
    </row>
    <row r="115" customFormat="false" ht="12.75" hidden="false" customHeight="false" outlineLevel="0" collapsed="false">
      <c r="B115" s="161" t="s">
        <v>705</v>
      </c>
      <c r="C115" s="639"/>
      <c r="D115" s="640" t="n">
        <f aca="false">MIN(D110,D113)</f>
        <v>-1308</v>
      </c>
      <c r="E115" s="640" t="n">
        <f aca="false">MIN(E110,E113)</f>
        <v>-1460</v>
      </c>
      <c r="F115" s="640" t="n">
        <f aca="false">MIN(F107:F113)</f>
        <v>179.912</v>
      </c>
      <c r="G115" s="640" t="n">
        <f aca="false">MIN(G108:G113)</f>
        <v>-969.268</v>
      </c>
      <c r="H115" s="640" t="n">
        <f aca="false">MIN(H108:H113)</f>
        <v>-1072.8</v>
      </c>
      <c r="I115" s="640" t="n">
        <f aca="false">MIN(I108:I113)</f>
        <v>162.3</v>
      </c>
      <c r="J115" s="640" t="n">
        <f aca="false">MIN(J108:J113)</f>
        <v>-386.1</v>
      </c>
      <c r="K115" s="640" t="n">
        <f aca="false">MIN(K108:K113)</f>
        <v>-413.9</v>
      </c>
      <c r="L115" s="640" t="n">
        <f aca="false">MIN(L108:L113)</f>
        <v>114.7</v>
      </c>
    </row>
    <row r="116" customFormat="false" ht="12.75" hidden="false" customHeight="false" outlineLevel="0" collapsed="false">
      <c r="B116" s="161" t="s">
        <v>706</v>
      </c>
      <c r="C116" s="639"/>
      <c r="D116" s="640" t="n">
        <f aca="false">MAX(D110,D113)</f>
        <v>-1307.5</v>
      </c>
      <c r="E116" s="640" t="n">
        <f aca="false">MAX(E110,E113)</f>
        <v>-1460</v>
      </c>
      <c r="F116" s="640" t="n">
        <f aca="false">MAX(F107:F113)</f>
        <v>180</v>
      </c>
      <c r="G116" s="640" t="n">
        <f aca="false">MAX(G108:G113)</f>
        <v>-968.749</v>
      </c>
      <c r="H116" s="640" t="n">
        <f aca="false">MAX(H108:H113)</f>
        <v>-1072.317</v>
      </c>
      <c r="I116" s="640" t="n">
        <f aca="false">MAX(I108:I113)</f>
        <v>162.4</v>
      </c>
      <c r="J116" s="640" t="n">
        <f aca="false">MAX(J108:J113)</f>
        <v>-385.95</v>
      </c>
      <c r="K116" s="640" t="n">
        <f aca="false">MAX(K108:K113)</f>
        <v>-413.26</v>
      </c>
      <c r="L116" s="640" t="n">
        <f aca="false">MAX(L108:L113)</f>
        <v>119.36</v>
      </c>
    </row>
    <row r="117" customFormat="false" ht="12.75" hidden="false" customHeight="false" outlineLevel="0" collapsed="false">
      <c r="B117" s="299" t="s">
        <v>2092</v>
      </c>
      <c r="C117" s="641"/>
      <c r="D117" s="623"/>
      <c r="E117" s="623"/>
      <c r="F117" s="623"/>
      <c r="G117" s="623" t="n">
        <v>0.82</v>
      </c>
      <c r="H117" s="623" t="s">
        <v>806</v>
      </c>
      <c r="I117" s="623" t="s">
        <v>888</v>
      </c>
      <c r="J117" s="623" t="n">
        <v>0.27</v>
      </c>
      <c r="K117" s="623" t="s">
        <v>728</v>
      </c>
      <c r="L117" s="623" t="s">
        <v>888</v>
      </c>
    </row>
    <row r="118" customFormat="false" ht="12.75" hidden="false" customHeight="false" outlineLevel="0" collapsed="false">
      <c r="B118" s="161" t="s">
        <v>2093</v>
      </c>
      <c r="C118" s="639"/>
      <c r="D118" s="640" t="n">
        <f aca="false">D112-D117</f>
        <v>0</v>
      </c>
      <c r="E118" s="640" t="n">
        <f aca="false">E112-E117</f>
        <v>0</v>
      </c>
      <c r="F118" s="640" t="n">
        <f aca="false">F112-F117</f>
        <v>0</v>
      </c>
      <c r="G118" s="640" t="n">
        <f aca="false">G112-G117</f>
        <v>-970.088</v>
      </c>
      <c r="H118" s="640" t="n">
        <f aca="false">H112-H117</f>
        <v>-1073.6</v>
      </c>
      <c r="I118" s="640" t="n">
        <f aca="false">I112-I117</f>
        <v>161.8</v>
      </c>
      <c r="J118" s="640" t="n">
        <f aca="false">J112-J117</f>
        <v>-386.24</v>
      </c>
      <c r="K118" s="640" t="n">
        <f aca="false">K112-K117</f>
        <v>-413.46</v>
      </c>
      <c r="L118" s="640" t="n">
        <f aca="false">L112-L117</f>
        <v>118.76</v>
      </c>
    </row>
    <row r="119" customFormat="false" ht="12.75" hidden="false" customHeight="false" outlineLevel="0" collapsed="false">
      <c r="B119" s="161" t="s">
        <v>2094</v>
      </c>
      <c r="C119" s="639"/>
      <c r="D119" s="640" t="n">
        <f aca="false">D112+D117</f>
        <v>0</v>
      </c>
      <c r="E119" s="640" t="n">
        <f aca="false">E112+E117</f>
        <v>0</v>
      </c>
      <c r="F119" s="640" t="n">
        <f aca="false">F112+F117</f>
        <v>0</v>
      </c>
      <c r="G119" s="640" t="n">
        <f aca="false">G112+G117</f>
        <v>-968.448</v>
      </c>
      <c r="H119" s="640" t="n">
        <f aca="false">H112+H117</f>
        <v>-1072</v>
      </c>
      <c r="I119" s="640" t="n">
        <f aca="false">I112+I117</f>
        <v>163</v>
      </c>
      <c r="J119" s="640" t="n">
        <f aca="false">J112+J117</f>
        <v>-385.7</v>
      </c>
      <c r="K119" s="640" t="n">
        <f aca="false">K112+K117</f>
        <v>-413.06</v>
      </c>
      <c r="L119" s="640" t="n">
        <f aca="false">L112+L117</f>
        <v>119.96</v>
      </c>
    </row>
    <row r="120" customFormat="false" ht="12.75" hidden="false" customHeight="false" outlineLevel="0" collapsed="false">
      <c r="B120" s="161" t="s">
        <v>2095</v>
      </c>
      <c r="C120" s="639"/>
      <c r="D120" s="640" t="n">
        <f aca="false">IF(D115&lt;D118,D118-D115,"Okay")</f>
        <v>1308</v>
      </c>
      <c r="E120" s="640" t="n">
        <f aca="false">IF(E115&lt;E118,E118-E115,"Okay")</f>
        <v>1460</v>
      </c>
      <c r="F120" s="640" t="str">
        <f aca="false">IF(F115&lt;F118,F118-F115,"Okay")</f>
        <v>Okay</v>
      </c>
      <c r="G120" s="640" t="str">
        <f aca="false">IF(G115&lt;G118,G118-G115,"Okay")</f>
        <v>Okay</v>
      </c>
      <c r="H120" s="640" t="str">
        <f aca="false">IF(H115&lt;H118,H118-H115,"Okay")</f>
        <v>Okay</v>
      </c>
      <c r="I120" s="640" t="str">
        <f aca="false">IF(I115&lt;I118,I118-I115,"Okay")</f>
        <v>Okay</v>
      </c>
      <c r="J120" s="640" t="str">
        <f aca="false">IF(J115&lt;J118,J118-J115,"Okay")</f>
        <v>Okay</v>
      </c>
      <c r="K120" s="640" t="n">
        <f aca="false">IF(K115&lt;K118,K118-K115,"Okay")</f>
        <v>0.440000000000055</v>
      </c>
      <c r="L120" s="640" t="n">
        <f aca="false">IF(L115&lt;L118,L118-L115,"Okay")</f>
        <v>4.06000000000002</v>
      </c>
    </row>
    <row r="121" customFormat="false" ht="13.5" hidden="false" customHeight="false" outlineLevel="0" collapsed="false">
      <c r="B121" s="304" t="s">
        <v>2096</v>
      </c>
      <c r="C121" s="643"/>
      <c r="D121" s="644" t="str">
        <f aca="false">IF(D116&gt;D119,D116-D119,"Okay")</f>
        <v>Okay</v>
      </c>
      <c r="E121" s="644" t="str">
        <f aca="false">IF(E116&gt;E119,E116-E119,"Okay")</f>
        <v>Okay</v>
      </c>
      <c r="F121" s="644" t="n">
        <f aca="false">IF(F116&gt;F119,F116-F119,"Okay")</f>
        <v>180</v>
      </c>
      <c r="G121" s="644" t="str">
        <f aca="false">IF(G116&gt;G119,G116-G119,"Okay")</f>
        <v>Okay</v>
      </c>
      <c r="H121" s="644" t="str">
        <f aca="false">IF(H116&gt;H119,H116-H119,"Okay")</f>
        <v>Okay</v>
      </c>
      <c r="I121" s="644" t="str">
        <f aca="false">IF(I116&gt;I119,I116-I119,"Okay")</f>
        <v>Okay</v>
      </c>
      <c r="J121" s="644" t="str">
        <f aca="false">IF(J116&gt;J119,J116-J119,"Okay")</f>
        <v>Okay</v>
      </c>
      <c r="K121" s="644" t="str">
        <f aca="false">IF(K116&gt;K119,K116-K119,"Okay")</f>
        <v>Okay</v>
      </c>
      <c r="L121" s="644" t="str">
        <f aca="false">IF(L116&gt;L119,L116-L119,"Okay")</f>
        <v>Okay</v>
      </c>
    </row>
    <row r="122" customFormat="false" ht="12.75" hidden="false" customHeight="false" outlineLevel="0" collapsed="false">
      <c r="B122" s="280" t="s">
        <v>2107</v>
      </c>
    </row>
    <row r="125" customFormat="false" ht="13.5" hidden="false" customHeight="false" outlineLevel="0" collapsed="false"/>
    <row r="126" customFormat="false" ht="12.75" hidden="false" customHeight="false" outlineLevel="0" collapsed="false">
      <c r="B126" s="169"/>
      <c r="C126" s="169"/>
      <c r="D126" s="651"/>
      <c r="E126" s="651"/>
      <c r="F126" s="651"/>
      <c r="G126" s="651"/>
      <c r="H126" s="651"/>
      <c r="I126" s="651"/>
    </row>
    <row r="127" customFormat="false" ht="13.5" hidden="false" customHeight="true" outlineLevel="0" collapsed="false">
      <c r="B127" s="25"/>
      <c r="C127" s="25"/>
      <c r="D127" s="635" t="s">
        <v>2113</v>
      </c>
      <c r="E127" s="635"/>
      <c r="F127" s="635"/>
      <c r="G127" s="635" t="s">
        <v>933</v>
      </c>
      <c r="H127" s="635"/>
      <c r="I127" s="635"/>
    </row>
    <row r="128" customFormat="false" ht="14.25" hidden="false" customHeight="false" outlineLevel="0" collapsed="false">
      <c r="B128" s="16" t="s">
        <v>2086</v>
      </c>
      <c r="C128" s="53" t="s">
        <v>2087</v>
      </c>
      <c r="D128" s="636" t="s">
        <v>511</v>
      </c>
      <c r="E128" s="636" t="s">
        <v>512</v>
      </c>
      <c r="F128" s="636" t="s">
        <v>513</v>
      </c>
      <c r="G128" s="636" t="s">
        <v>511</v>
      </c>
      <c r="H128" s="636" t="s">
        <v>512</v>
      </c>
      <c r="I128" s="636" t="s">
        <v>513</v>
      </c>
    </row>
    <row r="129" customFormat="false" ht="15" hidden="false" customHeight="false" outlineLevel="0" collapsed="false">
      <c r="B129" s="16"/>
      <c r="C129" s="53" t="s">
        <v>2088</v>
      </c>
      <c r="D129" s="55" t="s">
        <v>784</v>
      </c>
      <c r="E129" s="55" t="s">
        <v>784</v>
      </c>
      <c r="F129" s="55" t="s">
        <v>167</v>
      </c>
      <c r="G129" s="55" t="s">
        <v>784</v>
      </c>
      <c r="H129" s="55" t="s">
        <v>784</v>
      </c>
      <c r="I129" s="55" t="s">
        <v>167</v>
      </c>
    </row>
    <row r="130" customFormat="false" ht="12.75" hidden="false" customHeight="false" outlineLevel="0" collapsed="false">
      <c r="B130" s="468" t="s">
        <v>208</v>
      </c>
      <c r="C130" s="637" t="n">
        <v>1952</v>
      </c>
      <c r="D130" s="652" t="n">
        <v>-481.209</v>
      </c>
      <c r="E130" s="652" t="n">
        <v>-524.674</v>
      </c>
      <c r="F130" s="652" t="n">
        <v>-313.382</v>
      </c>
      <c r="G130" s="469"/>
      <c r="H130" s="469" t="n">
        <v>-1486.303</v>
      </c>
      <c r="I130" s="469"/>
    </row>
    <row r="131" customFormat="false" ht="12.75" hidden="false" customHeight="false" outlineLevel="0" collapsed="false">
      <c r="B131" s="160" t="s">
        <v>212</v>
      </c>
      <c r="C131" s="638" t="n">
        <v>1968</v>
      </c>
      <c r="D131" s="470" t="n">
        <v>-485.393</v>
      </c>
      <c r="E131" s="470" t="n">
        <v>-531.368</v>
      </c>
      <c r="F131" s="470" t="n">
        <v>-321.75</v>
      </c>
      <c r="G131" s="470" t="n">
        <v>-1297.73</v>
      </c>
      <c r="H131" s="470" t="n">
        <v>-1490.341</v>
      </c>
      <c r="I131" s="470" t="n">
        <v>117.152</v>
      </c>
    </row>
    <row r="132" customFormat="false" ht="12.75" hidden="false" customHeight="false" outlineLevel="0" collapsed="false">
      <c r="B132" s="160" t="s">
        <v>211</v>
      </c>
      <c r="C132" s="638" t="n">
        <v>1968</v>
      </c>
      <c r="D132" s="470" t="n">
        <v>-485.393</v>
      </c>
      <c r="E132" s="470"/>
      <c r="F132" s="470"/>
      <c r="G132" s="470"/>
      <c r="H132" s="470"/>
      <c r="I132" s="470"/>
    </row>
    <row r="133" customFormat="false" ht="12.75" hidden="false" customHeight="false" outlineLevel="0" collapsed="false">
      <c r="B133" s="160" t="s">
        <v>556</v>
      </c>
      <c r="C133" s="638" t="n">
        <v>1978</v>
      </c>
      <c r="D133" s="470" t="n">
        <v>-489.4</v>
      </c>
      <c r="E133" s="470" t="n">
        <v>-531</v>
      </c>
      <c r="F133" s="470" t="n">
        <v>-308</v>
      </c>
      <c r="G133" s="470"/>
      <c r="H133" s="470"/>
      <c r="I133" s="470"/>
    </row>
    <row r="134" customFormat="false" ht="12.75" hidden="false" customHeight="false" outlineLevel="0" collapsed="false">
      <c r="B134" s="160" t="s">
        <v>557</v>
      </c>
      <c r="C134" s="638" t="n">
        <v>1982</v>
      </c>
      <c r="D134" s="470" t="n">
        <v>-485</v>
      </c>
      <c r="E134" s="470" t="n">
        <v>-531</v>
      </c>
      <c r="F134" s="470" t="n">
        <v>-321.7</v>
      </c>
      <c r="G134" s="470" t="n">
        <v>-1305.3</v>
      </c>
      <c r="H134" s="470" t="n">
        <v>-1502.5</v>
      </c>
      <c r="I134" s="470" t="n">
        <v>102.9</v>
      </c>
    </row>
    <row r="135" customFormat="false" ht="12.75" hidden="false" customHeight="false" outlineLevel="0" collapsed="false">
      <c r="B135" s="160" t="s">
        <v>529</v>
      </c>
      <c r="C135" s="638" t="n">
        <v>1989</v>
      </c>
      <c r="D135" s="470" t="n">
        <v>-491.507</v>
      </c>
      <c r="E135" s="470" t="n">
        <v>-538.4</v>
      </c>
      <c r="F135" s="470" t="n">
        <v>-325</v>
      </c>
      <c r="G135" s="470"/>
      <c r="H135" s="470"/>
      <c r="I135" s="470"/>
    </row>
    <row r="136" customFormat="false" ht="12.75" hidden="false" customHeight="false" outlineLevel="0" collapsed="false">
      <c r="B136" s="160" t="s">
        <v>563</v>
      </c>
      <c r="C136" s="638" t="n">
        <v>1995</v>
      </c>
      <c r="D136" s="470" t="n">
        <v>-489.4</v>
      </c>
      <c r="E136" s="470" t="n">
        <v>-538.4</v>
      </c>
      <c r="F136" s="470" t="n">
        <v>-332</v>
      </c>
      <c r="G136" s="470"/>
      <c r="H136" s="470"/>
      <c r="I136" s="470"/>
    </row>
    <row r="137" customFormat="false" ht="12.75" hidden="false" customHeight="false" outlineLevel="0" collapsed="false">
      <c r="B137" s="160"/>
      <c r="C137" s="638"/>
      <c r="D137" s="294"/>
      <c r="E137" s="294"/>
      <c r="F137" s="294"/>
      <c r="G137" s="294"/>
      <c r="H137" s="294"/>
      <c r="I137" s="294"/>
    </row>
    <row r="138" customFormat="false" ht="12.75" hidden="false" customHeight="false" outlineLevel="0" collapsed="false">
      <c r="B138" s="161" t="s">
        <v>705</v>
      </c>
      <c r="C138" s="639"/>
      <c r="D138" s="640" t="n">
        <f aca="false">MIN(D131:D136)</f>
        <v>-491.507</v>
      </c>
      <c r="E138" s="640" t="n">
        <f aca="false">MIN(E131:E136)</f>
        <v>-538.4</v>
      </c>
      <c r="F138" s="640" t="n">
        <f aca="false">MIN(F131:F136)</f>
        <v>-332</v>
      </c>
      <c r="G138" s="640" t="n">
        <f aca="false">MIN(G130:G136)</f>
        <v>-1305.3</v>
      </c>
      <c r="H138" s="640" t="n">
        <f aca="false">MIN(H130:H136)</f>
        <v>-1502.5</v>
      </c>
      <c r="I138" s="640" t="n">
        <f aca="false">MIN(I130:I136)</f>
        <v>102.9</v>
      </c>
    </row>
    <row r="139" customFormat="false" ht="12.75" hidden="false" customHeight="false" outlineLevel="0" collapsed="false">
      <c r="B139" s="161" t="s">
        <v>706</v>
      </c>
      <c r="C139" s="639"/>
      <c r="D139" s="640" t="n">
        <f aca="false">MAX(D131:D136)</f>
        <v>-485</v>
      </c>
      <c r="E139" s="640" t="n">
        <f aca="false">MAX(E131:E136)</f>
        <v>-531</v>
      </c>
      <c r="F139" s="640" t="n">
        <f aca="false">MAX(F131:F136)</f>
        <v>-308</v>
      </c>
      <c r="G139" s="640" t="n">
        <f aca="false">MAX(G130:G136)</f>
        <v>-1297.73</v>
      </c>
      <c r="H139" s="640" t="n">
        <f aca="false">MAX(H130:H136)</f>
        <v>-1486.303</v>
      </c>
      <c r="I139" s="640" t="n">
        <f aca="false">MAX(I130:I136)</f>
        <v>117.152</v>
      </c>
    </row>
    <row r="140" customFormat="false" ht="12.75" hidden="false" customHeight="false" outlineLevel="0" collapsed="false">
      <c r="B140" s="299" t="s">
        <v>2092</v>
      </c>
      <c r="C140" s="641"/>
      <c r="D140" s="623" t="n">
        <v>3.338</v>
      </c>
      <c r="E140" s="623" t="s">
        <v>842</v>
      </c>
      <c r="F140" s="623" t="s">
        <v>927</v>
      </c>
      <c r="G140" s="623"/>
      <c r="H140" s="623"/>
      <c r="I140" s="623"/>
    </row>
    <row r="141" customFormat="false" ht="12.75" hidden="false" customHeight="false" outlineLevel="0" collapsed="false">
      <c r="B141" s="161" t="s">
        <v>2093</v>
      </c>
      <c r="C141" s="639"/>
      <c r="D141" s="640" t="n">
        <f aca="false">D135-D140</f>
        <v>-494.845</v>
      </c>
      <c r="E141" s="640" t="n">
        <f aca="false">E135-E140</f>
        <v>-539.9</v>
      </c>
      <c r="F141" s="640" t="n">
        <f aca="false">F135-F140</f>
        <v>-335</v>
      </c>
      <c r="G141" s="640" t="n">
        <f aca="false">G135-G140</f>
        <v>0</v>
      </c>
      <c r="H141" s="640" t="n">
        <f aca="false">H135-H140</f>
        <v>0</v>
      </c>
      <c r="I141" s="640" t="n">
        <f aca="false">I135-I140</f>
        <v>0</v>
      </c>
    </row>
    <row r="142" customFormat="false" ht="12.75" hidden="false" customHeight="false" outlineLevel="0" collapsed="false">
      <c r="B142" s="161" t="s">
        <v>2094</v>
      </c>
      <c r="C142" s="639"/>
      <c r="D142" s="640" t="n">
        <f aca="false">D135+D140</f>
        <v>-488.169</v>
      </c>
      <c r="E142" s="640" t="n">
        <f aca="false">E135+E140</f>
        <v>-536.9</v>
      </c>
      <c r="F142" s="640" t="n">
        <f aca="false">F135+F140</f>
        <v>-315</v>
      </c>
      <c r="G142" s="640" t="n">
        <f aca="false">G135+G140</f>
        <v>0</v>
      </c>
      <c r="H142" s="640" t="n">
        <f aca="false">H135+H140</f>
        <v>0</v>
      </c>
      <c r="I142" s="640" t="n">
        <f aca="false">I135+I140</f>
        <v>0</v>
      </c>
    </row>
    <row r="143" customFormat="false" ht="12.75" hidden="false" customHeight="false" outlineLevel="0" collapsed="false">
      <c r="B143" s="161" t="s">
        <v>2095</v>
      </c>
      <c r="C143" s="639"/>
      <c r="D143" s="640" t="str">
        <f aca="false">IF(D138&lt;D141,D141-D138,"Okay")</f>
        <v>Okay</v>
      </c>
      <c r="E143" s="640" t="str">
        <f aca="false">IF(E138&lt;E141,E141-E138,"Okay")</f>
        <v>Okay</v>
      </c>
      <c r="F143" s="640" t="str">
        <f aca="false">IF(F138&lt;F141,F141-F138,"Okay")</f>
        <v>Okay</v>
      </c>
      <c r="G143" s="640" t="n">
        <f aca="false">IF(G138&lt;G141,G141-G138,"Okay")</f>
        <v>1305.3</v>
      </c>
      <c r="H143" s="640" t="n">
        <f aca="false">IF(H138&lt;H141,H141-H138,"Okay")</f>
        <v>1502.5</v>
      </c>
      <c r="I143" s="640" t="str">
        <f aca="false">IF(I138&lt;I141,I141-I138,"Okay")</f>
        <v>Okay</v>
      </c>
    </row>
    <row r="144" customFormat="false" ht="13.5" hidden="false" customHeight="false" outlineLevel="0" collapsed="false">
      <c r="B144" s="304" t="s">
        <v>2096</v>
      </c>
      <c r="C144" s="643"/>
      <c r="D144" s="644" t="n">
        <f aca="false">IF(D139&gt;D142,D139-D142,"Okay")</f>
        <v>3.16899999999998</v>
      </c>
      <c r="E144" s="644" t="n">
        <f aca="false">IF(E139&gt;E142,E139-E142,"Okay")</f>
        <v>5.89999999999998</v>
      </c>
      <c r="F144" s="644" t="n">
        <f aca="false">IF(F139&gt;F142,F139-F142,"Okay")</f>
        <v>7</v>
      </c>
      <c r="G144" s="644" t="str">
        <f aca="false">IF(G139&gt;G142,G139-G142,"Okay")</f>
        <v>Okay</v>
      </c>
      <c r="H144" s="644" t="str">
        <f aca="false">IF(H139&gt;H142,H139-H142,"Okay")</f>
        <v>Okay</v>
      </c>
      <c r="I144" s="644" t="n">
        <f aca="false">IF(I139&gt;I142,I139-I142,"Okay")</f>
        <v>117.152</v>
      </c>
    </row>
    <row r="145" customFormat="false" ht="12.75" hidden="false" customHeight="false" outlineLevel="0" collapsed="false">
      <c r="B145" s="280" t="s">
        <v>2107</v>
      </c>
    </row>
  </sheetData>
  <mergeCells count="32">
    <mergeCell ref="D10:F10"/>
    <mergeCell ref="G10:I10"/>
    <mergeCell ref="J10:L10"/>
    <mergeCell ref="D11:F11"/>
    <mergeCell ref="G11:I11"/>
    <mergeCell ref="J11:L11"/>
    <mergeCell ref="D33:F33"/>
    <mergeCell ref="G33:I33"/>
    <mergeCell ref="J33:L33"/>
    <mergeCell ref="D34:F34"/>
    <mergeCell ref="G34:I34"/>
    <mergeCell ref="J34:L34"/>
    <mergeCell ref="D57:F57"/>
    <mergeCell ref="G57:I57"/>
    <mergeCell ref="J57:L57"/>
    <mergeCell ref="D58:F58"/>
    <mergeCell ref="G58:I58"/>
    <mergeCell ref="J58:L58"/>
    <mergeCell ref="D80:F80"/>
    <mergeCell ref="G80:I80"/>
    <mergeCell ref="D81:F81"/>
    <mergeCell ref="G81:I81"/>
    <mergeCell ref="D103:F103"/>
    <mergeCell ref="G103:I103"/>
    <mergeCell ref="J103:L103"/>
    <mergeCell ref="D104:F104"/>
    <mergeCell ref="G104:I104"/>
    <mergeCell ref="J104:L104"/>
    <mergeCell ref="D126:F126"/>
    <mergeCell ref="G126:I126"/>
    <mergeCell ref="D127:F127"/>
    <mergeCell ref="G127:I127"/>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5.xml><?xml version="1.0" encoding="utf-8"?>
<worksheet xmlns="http://schemas.openxmlformats.org/spreadsheetml/2006/main" xmlns:r="http://schemas.openxmlformats.org/officeDocument/2006/relationships">
  <sheetPr filterMode="false">
    <pageSetUpPr fitToPage="false"/>
  </sheetPr>
  <dimension ref="A1:M16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26" activeCellId="2" sqref="B16:B122 E16:F122 K26"/>
    </sheetView>
  </sheetViews>
  <sheetFormatPr defaultRowHeight="12.75" zeroHeight="false" outlineLevelRow="0" outlineLevelCol="0"/>
  <cols>
    <col collapsed="false" customWidth="true" hidden="false" outlineLevel="0" max="1" min="1" style="10" width="10.14"/>
    <col collapsed="false" customWidth="true" hidden="false" outlineLevel="0" max="2" min="2" style="10" width="15.29"/>
    <col collapsed="false" customWidth="true" hidden="false" outlineLevel="0" max="3" min="3" style="10" width="12.42"/>
    <col collapsed="false" customWidth="true" hidden="false" outlineLevel="0" max="32" min="4" style="10" width="10.14"/>
    <col collapsed="false" customWidth="true" hidden="false" outlineLevel="0" max="1025" min="33" style="10" width="9.14"/>
  </cols>
  <sheetData>
    <row r="1" customFormat="false" ht="12.75" hidden="false" customHeight="true" outlineLevel="0" collapsed="false">
      <c r="A1" s="9" t="str">
        <f aca="true">MID(CELL("filename",$A$1),   FIND("\[",CELL("filename",$A$1))+2,   FIND("]",CELL("filename",$A$1),FIND("\[",CELL("filename",$A$1))+2)-FIND("\[",CELL("filename",$A$1))-2)</f>
        <v>TDProperties_Rev0_v69.xlsx</v>
      </c>
    </row>
    <row r="2" customFormat="false" ht="12.75" hidden="false" customHeight="true" outlineLevel="0" collapsed="false">
      <c r="A2" s="10" t="str">
        <f aca="true">MID(CELL("filename",A1),FIND("]",CELL("filename",A1))+1,256)</f>
        <v>Summary Solids</v>
      </c>
    </row>
    <row r="3" customFormat="false" ht="12.75" hidden="false" customHeight="true" outlineLevel="0" collapsed="false">
      <c r="A3" s="44"/>
    </row>
    <row r="4" customFormat="false" ht="12.75" hidden="false" customHeight="true" outlineLevel="0" collapsed="false">
      <c r="A4" s="281" t="s">
        <v>2114</v>
      </c>
    </row>
    <row r="5" customFormat="false" ht="12.75" hidden="false" customHeight="true" outlineLevel="0" collapsed="false">
      <c r="A5" s="281"/>
    </row>
    <row r="6" customFormat="false" ht="12.75" hidden="false" customHeight="true" outlineLevel="0" collapsed="false">
      <c r="A6" s="281"/>
    </row>
    <row r="7" customFormat="false" ht="12.75" hidden="false" customHeight="true" outlineLevel="0" collapsed="false">
      <c r="A7" s="281"/>
    </row>
    <row r="8" customFormat="false" ht="12.75" hidden="false" customHeight="true" outlineLevel="0" collapsed="false">
      <c r="A8" s="281"/>
    </row>
    <row r="9" customFormat="false" ht="12.75" hidden="false" customHeight="true" outlineLevel="0" collapsed="false">
      <c r="A9" s="281"/>
    </row>
    <row r="10" customFormat="false" ht="13.5" hidden="false" customHeight="true" outlineLevel="0" collapsed="false">
      <c r="B10" s="169"/>
      <c r="C10" s="169"/>
      <c r="D10" s="651"/>
      <c r="E10" s="651"/>
      <c r="F10" s="651"/>
      <c r="G10" s="651"/>
      <c r="H10" s="651"/>
      <c r="I10" s="651"/>
      <c r="J10" s="651"/>
      <c r="K10" s="651"/>
      <c r="L10" s="651"/>
      <c r="M10" s="655"/>
    </row>
    <row r="11" customFormat="false" ht="13.5" hidden="false" customHeight="true" outlineLevel="0" collapsed="false">
      <c r="B11" s="25"/>
      <c r="C11" s="25"/>
      <c r="D11" s="635" t="s">
        <v>2115</v>
      </c>
      <c r="E11" s="635"/>
      <c r="F11" s="635"/>
      <c r="G11" s="635" t="s">
        <v>2116</v>
      </c>
      <c r="H11" s="635"/>
      <c r="I11" s="635"/>
      <c r="J11" s="635" t="s">
        <v>2117</v>
      </c>
      <c r="K11" s="635"/>
      <c r="L11" s="635"/>
      <c r="M11" s="655"/>
    </row>
    <row r="12" customFormat="false" ht="13.5" hidden="false" customHeight="true" outlineLevel="0" collapsed="false">
      <c r="B12" s="16" t="s">
        <v>2086</v>
      </c>
      <c r="C12" s="53" t="s">
        <v>2087</v>
      </c>
      <c r="D12" s="636" t="s">
        <v>511</v>
      </c>
      <c r="E12" s="636" t="s">
        <v>512</v>
      </c>
      <c r="F12" s="636" t="s">
        <v>513</v>
      </c>
      <c r="G12" s="636" t="s">
        <v>511</v>
      </c>
      <c r="H12" s="636" t="s">
        <v>512</v>
      </c>
      <c r="I12" s="636" t="s">
        <v>513</v>
      </c>
      <c r="J12" s="636" t="s">
        <v>511</v>
      </c>
      <c r="K12" s="636" t="s">
        <v>512</v>
      </c>
      <c r="L12" s="636" t="s">
        <v>513</v>
      </c>
      <c r="M12" s="655"/>
    </row>
    <row r="13" customFormat="false" ht="13.5" hidden="false" customHeight="true" outlineLevel="0" collapsed="false">
      <c r="B13" s="16"/>
      <c r="C13" s="53" t="s">
        <v>2088</v>
      </c>
      <c r="D13" s="55" t="s">
        <v>784</v>
      </c>
      <c r="E13" s="55" t="s">
        <v>784</v>
      </c>
      <c r="F13" s="55" t="s">
        <v>167</v>
      </c>
      <c r="G13" s="55" t="s">
        <v>784</v>
      </c>
      <c r="H13" s="55" t="s">
        <v>784</v>
      </c>
      <c r="I13" s="55" t="s">
        <v>167</v>
      </c>
      <c r="J13" s="55" t="s">
        <v>784</v>
      </c>
      <c r="K13" s="55" t="s">
        <v>784</v>
      </c>
      <c r="L13" s="55" t="s">
        <v>167</v>
      </c>
      <c r="M13" s="655"/>
    </row>
    <row r="14" customFormat="false" ht="12.75" hidden="false" customHeight="true" outlineLevel="0" collapsed="false">
      <c r="B14" s="468" t="s">
        <v>208</v>
      </c>
      <c r="C14" s="637" t="n">
        <v>1952</v>
      </c>
      <c r="D14" s="469"/>
      <c r="E14" s="469"/>
      <c r="F14" s="469"/>
      <c r="G14" s="652" t="n">
        <v>-1576.357</v>
      </c>
      <c r="H14" s="652" t="n">
        <v>-1669.793</v>
      </c>
      <c r="I14" s="652" t="n">
        <v>50.986</v>
      </c>
      <c r="J14" s="469"/>
      <c r="K14" s="469"/>
      <c r="L14" s="469"/>
      <c r="M14" s="655"/>
    </row>
    <row r="15" customFormat="false" ht="12.75" hidden="false" customHeight="true" outlineLevel="0" collapsed="false">
      <c r="B15" s="160" t="s">
        <v>212</v>
      </c>
      <c r="C15" s="638" t="n">
        <v>1968</v>
      </c>
      <c r="D15" s="470" t="n">
        <v>-856.641</v>
      </c>
      <c r="E15" s="470" t="n">
        <v>-910.94</v>
      </c>
      <c r="F15" s="470" t="n">
        <v>41.84</v>
      </c>
      <c r="G15" s="470" t="n">
        <v>-1582.34</v>
      </c>
      <c r="H15" s="470" t="n">
        <v>-1675.692</v>
      </c>
      <c r="I15" s="470" t="n">
        <v>50.919</v>
      </c>
      <c r="J15" s="654" t="n">
        <v>-1143.599</v>
      </c>
      <c r="K15" s="654" t="n">
        <v>-1281.35</v>
      </c>
      <c r="L15" s="654" t="n">
        <v>70.103</v>
      </c>
    </row>
    <row r="16" customFormat="false" ht="12.75" hidden="false" customHeight="true" outlineLevel="0" collapsed="false">
      <c r="B16" s="160" t="s">
        <v>211</v>
      </c>
      <c r="C16" s="638" t="n">
        <v>1968</v>
      </c>
      <c r="D16" s="470" t="n">
        <v>-856.206</v>
      </c>
      <c r="E16" s="470" t="n">
        <v>-910.648</v>
      </c>
      <c r="F16" s="470" t="n">
        <v>41.338</v>
      </c>
      <c r="G16" s="470" t="n">
        <v>-1581.846</v>
      </c>
      <c r="H16" s="470" t="n">
        <v>-1675.274</v>
      </c>
      <c r="I16" s="470" t="n">
        <v>50.961</v>
      </c>
      <c r="J16" s="654" t="n">
        <v>-1144.168</v>
      </c>
      <c r="K16" s="654" t="n">
        <v>-1281.894</v>
      </c>
      <c r="L16" s="654" t="n">
        <v>70.082</v>
      </c>
    </row>
    <row r="17" customFormat="false" ht="12.75" hidden="false" customHeight="true" outlineLevel="0" collapsed="false">
      <c r="B17" s="160" t="s">
        <v>2089</v>
      </c>
      <c r="C17" s="638" t="n">
        <v>1971</v>
      </c>
      <c r="D17" s="470" t="n">
        <v>-856.445</v>
      </c>
      <c r="E17" s="470" t="n">
        <v>-910.857</v>
      </c>
      <c r="F17" s="470" t="n">
        <v>41.463</v>
      </c>
      <c r="G17" s="470" t="n">
        <v>-1581.829</v>
      </c>
      <c r="H17" s="470" t="n">
        <v>-1675.274</v>
      </c>
      <c r="I17" s="470" t="n">
        <v>50.936</v>
      </c>
      <c r="J17" s="470"/>
      <c r="K17" s="470"/>
      <c r="L17" s="470"/>
    </row>
    <row r="18" customFormat="false" ht="12.75" hidden="false" customHeight="true" outlineLevel="0" collapsed="false">
      <c r="B18" s="160" t="s">
        <v>556</v>
      </c>
      <c r="C18" s="638" t="n">
        <v>1978</v>
      </c>
      <c r="D18" s="470" t="n">
        <v>-856.288</v>
      </c>
      <c r="E18" s="470" t="n">
        <v>-910.7</v>
      </c>
      <c r="F18" s="470" t="n">
        <v>41.46</v>
      </c>
      <c r="G18" s="470" t="n">
        <v>-1582.228</v>
      </c>
      <c r="H18" s="470" t="n">
        <v>-1675.7</v>
      </c>
      <c r="I18" s="470" t="n">
        <v>50.92</v>
      </c>
      <c r="J18" s="470" t="n">
        <v>-1154.889</v>
      </c>
      <c r="K18" s="470" t="n">
        <v>-1293.128</v>
      </c>
      <c r="L18" s="470" t="n">
        <v>68.44</v>
      </c>
    </row>
    <row r="19" customFormat="false" ht="12.75" hidden="false" customHeight="true" outlineLevel="0" collapsed="false">
      <c r="B19" s="160" t="s">
        <v>557</v>
      </c>
      <c r="C19" s="638" t="n">
        <v>1982</v>
      </c>
      <c r="D19" s="470" t="n">
        <v>-856.64</v>
      </c>
      <c r="E19" s="470" t="n">
        <v>-910.94</v>
      </c>
      <c r="F19" s="470" t="n">
        <v>41.84</v>
      </c>
      <c r="G19" s="470" t="n">
        <v>-1582.3</v>
      </c>
      <c r="H19" s="470" t="n">
        <v>-1675.7</v>
      </c>
      <c r="I19" s="470" t="n">
        <v>50.92</v>
      </c>
      <c r="J19" s="470" t="n">
        <v>-1155.105</v>
      </c>
      <c r="K19" s="470" t="n">
        <v>-1293.335</v>
      </c>
      <c r="L19" s="470" t="n">
        <v>68.45</v>
      </c>
    </row>
    <row r="20" customFormat="false" ht="12.75" hidden="false" customHeight="true" outlineLevel="0" collapsed="false">
      <c r="B20" s="160" t="s">
        <v>2090</v>
      </c>
      <c r="C20" s="638" t="n">
        <v>1984</v>
      </c>
      <c r="D20" s="470" t="n">
        <v>-856.637</v>
      </c>
      <c r="E20" s="470" t="n">
        <v>-910.94</v>
      </c>
      <c r="F20" s="470" t="n">
        <v>41.84</v>
      </c>
      <c r="G20" s="470" t="n">
        <v>-1582.223</v>
      </c>
      <c r="H20" s="470" t="n">
        <v>-1675.692</v>
      </c>
      <c r="I20" s="470" t="n">
        <v>50.919</v>
      </c>
      <c r="J20" s="470"/>
      <c r="K20" s="470"/>
      <c r="L20" s="470"/>
    </row>
    <row r="21" customFormat="false" ht="12.75" hidden="false" customHeight="true" outlineLevel="0" collapsed="false">
      <c r="B21" s="160" t="s">
        <v>2091</v>
      </c>
      <c r="C21" s="638" t="n">
        <v>1985</v>
      </c>
      <c r="D21" s="470" t="n">
        <v>-856.443</v>
      </c>
      <c r="E21" s="470" t="n">
        <v>-910.857</v>
      </c>
      <c r="F21" s="470" t="n">
        <v>41.463</v>
      </c>
      <c r="G21" s="470" t="n">
        <v>-1582.275</v>
      </c>
      <c r="H21" s="470" t="n">
        <v>-1675.692</v>
      </c>
      <c r="I21" s="470" t="n">
        <v>50.95</v>
      </c>
      <c r="J21" s="470"/>
      <c r="K21" s="470"/>
      <c r="L21" s="470"/>
    </row>
    <row r="22" customFormat="false" ht="12.75" hidden="false" customHeight="true" outlineLevel="0" collapsed="false">
      <c r="B22" s="160" t="s">
        <v>529</v>
      </c>
      <c r="C22" s="638" t="n">
        <v>1989</v>
      </c>
      <c r="D22" s="470" t="n">
        <v>-856.287</v>
      </c>
      <c r="E22" s="470" t="n">
        <v>-910.7</v>
      </c>
      <c r="F22" s="470" t="n">
        <v>41.46</v>
      </c>
      <c r="G22" s="470" t="n">
        <v>-1582.257</v>
      </c>
      <c r="H22" s="470" t="n">
        <v>-1675.7</v>
      </c>
      <c r="I22" s="470" t="n">
        <v>50.92</v>
      </c>
      <c r="J22" s="470" t="n">
        <v>-1155.075</v>
      </c>
      <c r="K22" s="470" t="n">
        <v>-1293.3</v>
      </c>
      <c r="L22" s="470" t="n">
        <v>68.44</v>
      </c>
    </row>
    <row r="23" customFormat="false" ht="12.75" hidden="false" customHeight="true" outlineLevel="0" collapsed="false">
      <c r="B23" s="160" t="s">
        <v>563</v>
      </c>
      <c r="C23" s="638" t="n">
        <v>1995</v>
      </c>
      <c r="D23" s="470" t="n">
        <v>-856.3</v>
      </c>
      <c r="E23" s="470" t="n">
        <v>-910.7</v>
      </c>
      <c r="F23" s="470" t="n">
        <v>41.5</v>
      </c>
      <c r="G23" s="470" t="n">
        <v>-1582.3</v>
      </c>
      <c r="H23" s="470" t="n">
        <v>-1675.7</v>
      </c>
      <c r="I23" s="470" t="n">
        <v>50.9</v>
      </c>
      <c r="J23" s="470" t="n">
        <v>-1154.9</v>
      </c>
      <c r="K23" s="470" t="n">
        <v>-1293.1</v>
      </c>
      <c r="L23" s="470" t="n">
        <v>68.4</v>
      </c>
    </row>
    <row r="24" customFormat="false" ht="12.75" hidden="false" customHeight="true" outlineLevel="0" collapsed="false">
      <c r="B24" s="160"/>
      <c r="C24" s="638"/>
      <c r="D24" s="294"/>
      <c r="E24" s="294"/>
      <c r="F24" s="294"/>
      <c r="G24" s="294"/>
      <c r="H24" s="294"/>
      <c r="I24" s="294"/>
      <c r="J24" s="292"/>
      <c r="K24" s="292"/>
      <c r="L24" s="292"/>
    </row>
    <row r="25" customFormat="false" ht="12.75" hidden="false" customHeight="true" outlineLevel="0" collapsed="false">
      <c r="B25" s="161" t="s">
        <v>705</v>
      </c>
      <c r="C25" s="639"/>
      <c r="D25" s="640" t="n">
        <f aca="false">MIN(D14:D23)</f>
        <v>-856.641</v>
      </c>
      <c r="E25" s="640" t="n">
        <f aca="false">MIN(E14:E23)</f>
        <v>-910.94</v>
      </c>
      <c r="F25" s="640" t="n">
        <f aca="false">MIN(F14:F23)</f>
        <v>41.338</v>
      </c>
      <c r="G25" s="640" t="n">
        <f aca="false">MIN(G15:G23)</f>
        <v>-1582.34</v>
      </c>
      <c r="H25" s="640" t="n">
        <f aca="false">MIN(H15:H23)</f>
        <v>-1675.7</v>
      </c>
      <c r="I25" s="640" t="n">
        <f aca="false">MIN(I15:I23)</f>
        <v>50.9</v>
      </c>
      <c r="J25" s="640" t="n">
        <f aca="false">MIN(J17:J23)</f>
        <v>-1155.105</v>
      </c>
      <c r="K25" s="640" t="n">
        <f aca="false">MIN(K17:K23)</f>
        <v>-1293.335</v>
      </c>
      <c r="L25" s="640" t="n">
        <f aca="false">MIN(L17:L23)</f>
        <v>68.4</v>
      </c>
    </row>
    <row r="26" customFormat="false" ht="12.75" hidden="false" customHeight="true" outlineLevel="0" collapsed="false">
      <c r="B26" s="161" t="s">
        <v>706</v>
      </c>
      <c r="C26" s="639"/>
      <c r="D26" s="640" t="n">
        <f aca="false">MAX(D14:D23)</f>
        <v>-856.206</v>
      </c>
      <c r="E26" s="640" t="n">
        <f aca="false">MAX(E14:E23)</f>
        <v>-910.648</v>
      </c>
      <c r="F26" s="640" t="n">
        <f aca="false">MAX(F14:F23)</f>
        <v>41.84</v>
      </c>
      <c r="G26" s="640" t="n">
        <f aca="false">MAX(G15:G23)</f>
        <v>-1581.829</v>
      </c>
      <c r="H26" s="640" t="n">
        <f aca="false">MAX(H15:H23)</f>
        <v>-1675.274</v>
      </c>
      <c r="I26" s="640" t="n">
        <f aca="false">MAX(I15:I23)</f>
        <v>50.961</v>
      </c>
      <c r="J26" s="640" t="n">
        <f aca="false">MAX(J17:J23)</f>
        <v>-1154.889</v>
      </c>
      <c r="K26" s="640" t="n">
        <f aca="false">MAX(K17:K23)</f>
        <v>-1293.1</v>
      </c>
      <c r="L26" s="640" t="n">
        <f aca="false">MAX(L17:L23)</f>
        <v>68.45</v>
      </c>
    </row>
    <row r="27" customFormat="false" ht="12.75" hidden="false" customHeight="true" outlineLevel="0" collapsed="false">
      <c r="B27" s="299" t="s">
        <v>2092</v>
      </c>
      <c r="C27" s="641"/>
      <c r="D27" s="623" t="n">
        <v>1.002</v>
      </c>
      <c r="E27" s="623" t="s">
        <v>896</v>
      </c>
      <c r="F27" s="623" t="s">
        <v>728</v>
      </c>
      <c r="G27" s="623" t="n">
        <v>1.302</v>
      </c>
      <c r="H27" s="623" t="s">
        <v>265</v>
      </c>
      <c r="I27" s="623" t="s">
        <v>730</v>
      </c>
      <c r="J27" s="623" t="n">
        <v>1.002</v>
      </c>
      <c r="K27" s="623" t="s">
        <v>896</v>
      </c>
      <c r="L27" s="623" t="s">
        <v>1079</v>
      </c>
    </row>
    <row r="28" customFormat="false" ht="12.75" hidden="false" customHeight="true" outlineLevel="0" collapsed="false">
      <c r="B28" s="161" t="s">
        <v>2093</v>
      </c>
      <c r="C28" s="639"/>
      <c r="D28" s="640" t="n">
        <f aca="false">D22-D27</f>
        <v>-857.289</v>
      </c>
      <c r="E28" s="640" t="n">
        <f aca="false">E22-E27</f>
        <v>-911.7</v>
      </c>
      <c r="F28" s="640" t="n">
        <f aca="false">F22-F27</f>
        <v>41.26</v>
      </c>
      <c r="G28" s="640" t="n">
        <f aca="false">G22-G27</f>
        <v>-1583.559</v>
      </c>
      <c r="H28" s="640" t="n">
        <f aca="false">H22-H27</f>
        <v>-1677</v>
      </c>
      <c r="I28" s="640" t="n">
        <f aca="false">I22-I27</f>
        <v>50.82</v>
      </c>
      <c r="J28" s="640" t="n">
        <f aca="false">J22-J27</f>
        <v>-1156.077</v>
      </c>
      <c r="K28" s="640" t="n">
        <f aca="false">K22-K27</f>
        <v>-1294.3</v>
      </c>
      <c r="L28" s="640" t="n">
        <f aca="false">L22-L27</f>
        <v>68.27</v>
      </c>
      <c r="M28" s="655"/>
    </row>
    <row r="29" customFormat="false" ht="12.75" hidden="false" customHeight="true" outlineLevel="0" collapsed="false">
      <c r="B29" s="161" t="s">
        <v>2094</v>
      </c>
      <c r="C29" s="639"/>
      <c r="D29" s="640" t="n">
        <f aca="false">D22+D27</f>
        <v>-855.285</v>
      </c>
      <c r="E29" s="640" t="n">
        <f aca="false">E22+E27</f>
        <v>-909.7</v>
      </c>
      <c r="F29" s="640" t="n">
        <f aca="false">F22+F27</f>
        <v>41.66</v>
      </c>
      <c r="G29" s="640" t="n">
        <f aca="false">G22+G27</f>
        <v>-1580.955</v>
      </c>
      <c r="H29" s="640" t="n">
        <f aca="false">H22+H27</f>
        <v>-1674.4</v>
      </c>
      <c r="I29" s="640" t="n">
        <f aca="false">I22+I27</f>
        <v>51.02</v>
      </c>
      <c r="J29" s="640" t="n">
        <f aca="false">J22+J27</f>
        <v>-1154.073</v>
      </c>
      <c r="K29" s="640" t="n">
        <f aca="false">K22+K27</f>
        <v>-1292.3</v>
      </c>
      <c r="L29" s="640" t="n">
        <f aca="false">L22+L27</f>
        <v>68.61</v>
      </c>
      <c r="M29" s="655"/>
    </row>
    <row r="30" customFormat="false" ht="12.75" hidden="false" customHeight="true" outlineLevel="0" collapsed="false">
      <c r="B30" s="161" t="s">
        <v>2095</v>
      </c>
      <c r="C30" s="639"/>
      <c r="D30" s="640" t="str">
        <f aca="false">IF(D25&lt;D28,D28-D25,"Okay")</f>
        <v>Okay</v>
      </c>
      <c r="E30" s="640" t="str">
        <f aca="false">IF(E25&lt;E28,E28-E25,"Okay")</f>
        <v>Okay</v>
      </c>
      <c r="F30" s="640" t="str">
        <f aca="false">IF(F25&lt;F28,F28-F25,"Okay")</f>
        <v>Okay</v>
      </c>
      <c r="G30" s="640" t="str">
        <f aca="false">IF(G25&lt;G28,G28-G25,"Okay")</f>
        <v>Okay</v>
      </c>
      <c r="H30" s="640" t="str">
        <f aca="false">IF(H25&lt;H28,H28-H25,"Okay")</f>
        <v>Okay</v>
      </c>
      <c r="I30" s="640" t="str">
        <f aca="false">IF(I25&lt;I28,I28-I25,"Okay")</f>
        <v>Okay</v>
      </c>
      <c r="J30" s="640" t="str">
        <f aca="false">IF(J25&lt;J28,J28-J25,"Okay")</f>
        <v>Okay</v>
      </c>
      <c r="K30" s="640" t="str">
        <f aca="false">IF(K25&lt;K28,K28-K25,"Okay")</f>
        <v>Okay</v>
      </c>
      <c r="L30" s="640" t="str">
        <f aca="false">IF(L25&lt;L28,L28-L25,"Okay")</f>
        <v>Okay</v>
      </c>
      <c r="M30" s="655"/>
    </row>
    <row r="31" customFormat="false" ht="12.75" hidden="false" customHeight="true" outlineLevel="0" collapsed="false">
      <c r="B31" s="304" t="s">
        <v>2096</v>
      </c>
      <c r="C31" s="643"/>
      <c r="D31" s="644" t="str">
        <f aca="false">IF(D26&gt;D29,D26-D29,"Okay")</f>
        <v>Okay</v>
      </c>
      <c r="E31" s="644" t="str">
        <f aca="false">IF(E26&gt;E29,E26-E29,"Okay")</f>
        <v>Okay</v>
      </c>
      <c r="F31" s="644" t="n">
        <f aca="false">IF(F26&gt;F29,F26-F29,"Okay")</f>
        <v>0.18</v>
      </c>
      <c r="G31" s="644" t="str">
        <f aca="false">IF(G26&gt;G29,G26-G29,"Okay")</f>
        <v>Okay</v>
      </c>
      <c r="H31" s="644" t="str">
        <f aca="false">IF(H26&gt;H29,H26-H29,"Okay")</f>
        <v>Okay</v>
      </c>
      <c r="I31" s="644" t="str">
        <f aca="false">IF(I26&gt;I29,I26-I29,"Okay")</f>
        <v>Okay</v>
      </c>
      <c r="J31" s="644" t="str">
        <f aca="false">IF(J26&gt;J29,J26-J29,"Okay")</f>
        <v>Okay</v>
      </c>
      <c r="K31" s="644" t="str">
        <f aca="false">IF(K26&gt;K29,K26-K29,"Okay")</f>
        <v>Okay</v>
      </c>
      <c r="L31" s="644" t="str">
        <f aca="false">IF(L26&gt;L29,L26-L29,"Okay")</f>
        <v>Okay</v>
      </c>
      <c r="M31" s="655"/>
    </row>
    <row r="32" customFormat="false" ht="12.75" hidden="false" customHeight="true" outlineLevel="0" collapsed="false">
      <c r="B32" s="280" t="s">
        <v>2118</v>
      </c>
    </row>
    <row r="33" customFormat="false" ht="12.75" hidden="false" customHeight="true" outlineLevel="0" collapsed="false"/>
    <row r="34" customFormat="false" ht="12.75" hidden="false" customHeight="true" outlineLevel="0" collapsed="false"/>
    <row r="35" customFormat="false" ht="12.75" hidden="false" customHeight="true" outlineLevel="0" collapsed="false"/>
    <row r="36" customFormat="false" ht="13.5" hidden="false" customHeight="true" outlineLevel="0" collapsed="false">
      <c r="B36" s="169"/>
      <c r="C36" s="169"/>
      <c r="D36" s="651"/>
      <c r="E36" s="651"/>
      <c r="F36" s="651"/>
      <c r="G36" s="651"/>
      <c r="H36" s="651"/>
      <c r="I36" s="651"/>
      <c r="J36" s="651"/>
      <c r="K36" s="651"/>
      <c r="L36" s="651"/>
    </row>
    <row r="37" customFormat="false" ht="13.5" hidden="false" customHeight="true" outlineLevel="0" collapsed="false">
      <c r="B37" s="25"/>
      <c r="C37" s="25"/>
      <c r="D37" s="635" t="s">
        <v>2119</v>
      </c>
      <c r="E37" s="635"/>
      <c r="F37" s="635"/>
      <c r="G37" s="635" t="s">
        <v>2120</v>
      </c>
      <c r="H37" s="635"/>
      <c r="I37" s="635"/>
      <c r="J37" s="635" t="s">
        <v>2121</v>
      </c>
      <c r="K37" s="635"/>
      <c r="L37" s="635"/>
    </row>
    <row r="38" customFormat="false" ht="13.5" hidden="false" customHeight="true" outlineLevel="0" collapsed="false">
      <c r="B38" s="16" t="s">
        <v>2086</v>
      </c>
      <c r="C38" s="53" t="s">
        <v>2087</v>
      </c>
      <c r="D38" s="636" t="s">
        <v>511</v>
      </c>
      <c r="E38" s="636" t="s">
        <v>512</v>
      </c>
      <c r="F38" s="636" t="s">
        <v>513</v>
      </c>
      <c r="G38" s="636" t="s">
        <v>511</v>
      </c>
      <c r="H38" s="636" t="s">
        <v>512</v>
      </c>
      <c r="I38" s="636" t="s">
        <v>513</v>
      </c>
      <c r="J38" s="636" t="s">
        <v>511</v>
      </c>
      <c r="K38" s="636" t="s">
        <v>512</v>
      </c>
      <c r="L38" s="636" t="s">
        <v>513</v>
      </c>
    </row>
    <row r="39" customFormat="false" ht="13.5" hidden="false" customHeight="true" outlineLevel="0" collapsed="false">
      <c r="B39" s="16"/>
      <c r="C39" s="53" t="s">
        <v>2088</v>
      </c>
      <c r="D39" s="55" t="s">
        <v>784</v>
      </c>
      <c r="E39" s="55" t="s">
        <v>784</v>
      </c>
      <c r="F39" s="55" t="s">
        <v>167</v>
      </c>
      <c r="G39" s="55" t="s">
        <v>784</v>
      </c>
      <c r="H39" s="55" t="s">
        <v>784</v>
      </c>
      <c r="I39" s="55" t="s">
        <v>167</v>
      </c>
      <c r="J39" s="55" t="s">
        <v>784</v>
      </c>
      <c r="K39" s="55" t="s">
        <v>784</v>
      </c>
      <c r="L39" s="55" t="s">
        <v>167</v>
      </c>
    </row>
    <row r="40" customFormat="false" ht="12.75" hidden="false" customHeight="true" outlineLevel="0" collapsed="false">
      <c r="B40" s="468" t="s">
        <v>208</v>
      </c>
      <c r="C40" s="637" t="n">
        <v>1952</v>
      </c>
      <c r="D40" s="469" t="n">
        <v>-569.552</v>
      </c>
      <c r="E40" s="469" t="n">
        <v>-601.827</v>
      </c>
      <c r="F40" s="469" t="n">
        <v>26.778</v>
      </c>
      <c r="G40" s="469" t="n">
        <v>-604.153</v>
      </c>
      <c r="H40" s="469" t="n">
        <v>-635.55</v>
      </c>
      <c r="I40" s="469" t="n">
        <v>39.748</v>
      </c>
      <c r="J40" s="469" t="n">
        <v>-1128.711</v>
      </c>
      <c r="K40" s="469" t="n">
        <v>-1206.875</v>
      </c>
      <c r="L40" s="469" t="n">
        <v>92.885</v>
      </c>
    </row>
    <row r="41" customFormat="false" ht="12.75" hidden="false" customHeight="true" outlineLevel="0" collapsed="false">
      <c r="B41" s="160" t="s">
        <v>212</v>
      </c>
      <c r="C41" s="638" t="n">
        <v>1968</v>
      </c>
      <c r="D41" s="470" t="n">
        <v>-569.426</v>
      </c>
      <c r="E41" s="470" t="n">
        <v>-601.701</v>
      </c>
      <c r="F41" s="470" t="n">
        <v>26.945</v>
      </c>
      <c r="G41" s="470" t="n">
        <v>-604.028</v>
      </c>
      <c r="H41" s="470" t="n">
        <v>-635.089</v>
      </c>
      <c r="I41" s="470" t="n">
        <v>39.748</v>
      </c>
      <c r="J41" s="470" t="n">
        <v>-1128.794</v>
      </c>
      <c r="K41" s="470" t="n">
        <v>-1206.917</v>
      </c>
      <c r="L41" s="470" t="n">
        <v>92.885</v>
      </c>
    </row>
    <row r="42" customFormat="false" ht="12.75" hidden="false" customHeight="true" outlineLevel="0" collapsed="false">
      <c r="B42" s="160" t="s">
        <v>211</v>
      </c>
      <c r="C42" s="638" t="n">
        <v>1968</v>
      </c>
      <c r="D42" s="470" t="n">
        <v>-569.372</v>
      </c>
      <c r="E42" s="470" t="n">
        <v>-601.659</v>
      </c>
      <c r="F42" s="470" t="n">
        <v>26.945</v>
      </c>
      <c r="G42" s="470" t="n">
        <v>-603.952</v>
      </c>
      <c r="H42" s="470" t="n">
        <v>-635.089</v>
      </c>
      <c r="I42" s="470" t="n">
        <v>39.748</v>
      </c>
      <c r="J42" s="470" t="n">
        <v>-1129.246</v>
      </c>
      <c r="K42" s="470" t="n">
        <v>-1207.469</v>
      </c>
      <c r="L42" s="470" t="n">
        <v>92.676</v>
      </c>
    </row>
    <row r="43" customFormat="false" ht="12.75" hidden="false" customHeight="true" outlineLevel="0" collapsed="false">
      <c r="B43" s="160" t="s">
        <v>2089</v>
      </c>
      <c r="C43" s="638" t="n">
        <v>1971</v>
      </c>
      <c r="D43" s="470" t="n">
        <v>-568.945</v>
      </c>
      <c r="E43" s="470" t="n">
        <v>-601.241</v>
      </c>
      <c r="F43" s="470" t="n">
        <v>26.945</v>
      </c>
      <c r="G43" s="470"/>
      <c r="H43" s="470"/>
      <c r="I43" s="470"/>
      <c r="J43" s="470"/>
      <c r="K43" s="470"/>
      <c r="L43" s="470"/>
    </row>
    <row r="44" customFormat="false" ht="12.75" hidden="false" customHeight="true" outlineLevel="0" collapsed="false">
      <c r="B44" s="160" t="s">
        <v>556</v>
      </c>
      <c r="C44" s="638" t="n">
        <v>1978</v>
      </c>
      <c r="D44" s="470" t="n">
        <v>-569.196</v>
      </c>
      <c r="E44" s="470" t="n">
        <v>-601.49</v>
      </c>
      <c r="F44" s="470" t="n">
        <v>26.94</v>
      </c>
      <c r="G44" s="470" t="n">
        <v>-603.487</v>
      </c>
      <c r="H44" s="470" t="n">
        <v>-635.089</v>
      </c>
      <c r="I44" s="470" t="n">
        <v>38.21</v>
      </c>
      <c r="J44" s="470" t="n">
        <v>-1128.842</v>
      </c>
      <c r="K44" s="470" t="n">
        <v>-1207.37</v>
      </c>
      <c r="L44" s="470" t="n">
        <v>91.71</v>
      </c>
    </row>
    <row r="45" customFormat="false" ht="12.75" hidden="false" customHeight="true" outlineLevel="0" collapsed="false">
      <c r="B45" s="160" t="s">
        <v>557</v>
      </c>
      <c r="C45" s="638" t="n">
        <v>1982</v>
      </c>
      <c r="D45" s="470" t="n">
        <v>-569.43</v>
      </c>
      <c r="E45" s="470" t="n">
        <v>-601.7</v>
      </c>
      <c r="F45" s="470" t="n">
        <v>26.94</v>
      </c>
      <c r="G45" s="470" t="n">
        <v>-604.03</v>
      </c>
      <c r="H45" s="470" t="n">
        <v>-635.09</v>
      </c>
      <c r="I45" s="470" t="n">
        <v>39.75</v>
      </c>
      <c r="J45" s="470" t="n">
        <v>-1128.79</v>
      </c>
      <c r="K45" s="470" t="n">
        <v>-1206.92</v>
      </c>
      <c r="L45" s="470" t="n">
        <v>92.9</v>
      </c>
    </row>
    <row r="46" customFormat="false" ht="12.75" hidden="false" customHeight="false" outlineLevel="0" collapsed="false">
      <c r="B46" s="160" t="s">
        <v>2090</v>
      </c>
      <c r="C46" s="638" t="n">
        <v>1984</v>
      </c>
      <c r="D46" s="470" t="n">
        <v>-569.2</v>
      </c>
      <c r="E46" s="470" t="n">
        <v>-601.492</v>
      </c>
      <c r="F46" s="470" t="n">
        <v>26.945</v>
      </c>
      <c r="G46" s="470" t="n">
        <v>-603.459</v>
      </c>
      <c r="H46" s="470" t="n">
        <v>-635.089</v>
      </c>
      <c r="I46" s="470" t="n">
        <v>38.074</v>
      </c>
      <c r="J46" s="470" t="n">
        <v>-1129.033</v>
      </c>
      <c r="K46" s="470" t="n">
        <v>-1207.544</v>
      </c>
      <c r="L46" s="470" t="n">
        <v>91.713</v>
      </c>
    </row>
    <row r="47" customFormat="false" ht="12.75" hidden="false" customHeight="false" outlineLevel="0" collapsed="false">
      <c r="B47" s="160" t="s">
        <v>2091</v>
      </c>
      <c r="C47" s="638" t="n">
        <v>1985</v>
      </c>
      <c r="D47" s="470" t="n">
        <v>-568.945</v>
      </c>
      <c r="E47" s="470" t="n">
        <v>-601.241</v>
      </c>
      <c r="F47" s="470" t="n">
        <v>26.924</v>
      </c>
      <c r="G47" s="470" t="n">
        <v>-603.501</v>
      </c>
      <c r="H47" s="470" t="n">
        <v>-635.089</v>
      </c>
      <c r="I47" s="470" t="n">
        <v>38.212</v>
      </c>
      <c r="J47" s="470"/>
      <c r="K47" s="470"/>
      <c r="L47" s="470"/>
    </row>
    <row r="48" customFormat="false" ht="12.75" hidden="false" customHeight="false" outlineLevel="0" collapsed="false">
      <c r="B48" s="160" t="s">
        <v>529</v>
      </c>
      <c r="C48" s="638" t="n">
        <v>1989</v>
      </c>
      <c r="D48" s="470" t="n">
        <v>-569.312</v>
      </c>
      <c r="E48" s="470" t="n">
        <v>-601.6</v>
      </c>
      <c r="F48" s="470" t="n">
        <v>26.95</v>
      </c>
      <c r="G48" s="470" t="n">
        <v>-603.296</v>
      </c>
      <c r="H48" s="470" t="n">
        <v>-634.92</v>
      </c>
      <c r="I48" s="470" t="n">
        <v>38.1</v>
      </c>
      <c r="J48" s="470" t="n">
        <v>-1129.463</v>
      </c>
      <c r="K48" s="470" t="n">
        <v>-1207.98</v>
      </c>
      <c r="L48" s="470" t="n">
        <v>91.71</v>
      </c>
    </row>
    <row r="49" customFormat="false" ht="12.75" hidden="false" customHeight="false" outlineLevel="0" collapsed="false">
      <c r="B49" s="160" t="s">
        <v>563</v>
      </c>
      <c r="C49" s="638" t="n">
        <v>1995</v>
      </c>
      <c r="D49" s="470" t="n">
        <v>-569.3</v>
      </c>
      <c r="E49" s="470" t="n">
        <v>-601.6</v>
      </c>
      <c r="F49" s="470" t="n">
        <v>26.9</v>
      </c>
      <c r="G49" s="470" t="n">
        <v>-603.1</v>
      </c>
      <c r="H49" s="470" t="n">
        <v>-635.1</v>
      </c>
      <c r="I49" s="470" t="n">
        <v>38.1</v>
      </c>
      <c r="J49" s="470" t="n">
        <v>-1128.5</v>
      </c>
      <c r="K49" s="470" t="n">
        <v>-1207.4</v>
      </c>
      <c r="L49" s="470" t="n">
        <v>88</v>
      </c>
    </row>
    <row r="50" customFormat="false" ht="12.75" hidden="false" customHeight="false" outlineLevel="0" collapsed="false">
      <c r="B50" s="160"/>
      <c r="C50" s="638"/>
      <c r="D50" s="294"/>
      <c r="E50" s="294"/>
      <c r="F50" s="294"/>
      <c r="G50" s="294"/>
      <c r="H50" s="294"/>
      <c r="I50" s="294"/>
      <c r="J50" s="292"/>
      <c r="K50" s="292"/>
      <c r="L50" s="292"/>
    </row>
    <row r="51" customFormat="false" ht="12.75" hidden="false" customHeight="false" outlineLevel="0" collapsed="false">
      <c r="B51" s="161" t="s">
        <v>705</v>
      </c>
      <c r="C51" s="639"/>
      <c r="D51" s="640" t="n">
        <f aca="false">MIN(D40:D49)</f>
        <v>-569.552</v>
      </c>
      <c r="E51" s="640" t="n">
        <f aca="false">MIN(E40:E49)</f>
        <v>-601.827</v>
      </c>
      <c r="F51" s="640" t="n">
        <f aca="false">MIN(F40:F49)</f>
        <v>26.778</v>
      </c>
      <c r="G51" s="640" t="n">
        <f aca="false">MIN(G40:G49)</f>
        <v>-604.153</v>
      </c>
      <c r="H51" s="640" t="n">
        <f aca="false">MIN(H40:H49)</f>
        <v>-635.55</v>
      </c>
      <c r="I51" s="640" t="n">
        <f aca="false">MIN(I40:I49)</f>
        <v>38.074</v>
      </c>
      <c r="J51" s="640" t="n">
        <f aca="false">MIN(J40:J49)</f>
        <v>-1129.463</v>
      </c>
      <c r="K51" s="640" t="n">
        <f aca="false">MIN(K40:K49)</f>
        <v>-1207.98</v>
      </c>
      <c r="L51" s="640" t="n">
        <f aca="false">MIN(L40:L49)</f>
        <v>88</v>
      </c>
    </row>
    <row r="52" customFormat="false" ht="12.75" hidden="false" customHeight="false" outlineLevel="0" collapsed="false">
      <c r="B52" s="161" t="s">
        <v>706</v>
      </c>
      <c r="C52" s="639"/>
      <c r="D52" s="640" t="n">
        <f aca="false">MAX(D40:D49)</f>
        <v>-568.945</v>
      </c>
      <c r="E52" s="640" t="n">
        <f aca="false">MAX(E40:E49)</f>
        <v>-601.241</v>
      </c>
      <c r="F52" s="640" t="n">
        <f aca="false">MAX(F40:F49)</f>
        <v>26.95</v>
      </c>
      <c r="G52" s="640" t="n">
        <f aca="false">MAX(G40:G49)</f>
        <v>-603.1</v>
      </c>
      <c r="H52" s="640" t="n">
        <f aca="false">MAX(H40:H49)</f>
        <v>-634.92</v>
      </c>
      <c r="I52" s="640" t="n">
        <f aca="false">MAX(I40:I49)</f>
        <v>39.75</v>
      </c>
      <c r="J52" s="640" t="n">
        <f aca="false">MAX(J40:J49)</f>
        <v>-1128.5</v>
      </c>
      <c r="K52" s="640" t="n">
        <f aca="false">MAX(K40:K49)</f>
        <v>-1206.875</v>
      </c>
      <c r="L52" s="640" t="n">
        <f aca="false">MAX(L40:L49)</f>
        <v>92.9</v>
      </c>
    </row>
    <row r="53" customFormat="false" ht="12.75" hidden="false" customHeight="false" outlineLevel="0" collapsed="false">
      <c r="B53" s="299" t="s">
        <v>2092</v>
      </c>
      <c r="C53" s="641"/>
      <c r="D53" s="623" t="n">
        <v>0.305</v>
      </c>
      <c r="E53" s="623" t="s">
        <v>740</v>
      </c>
      <c r="F53" s="623" t="s">
        <v>744</v>
      </c>
      <c r="G53" s="623" t="n">
        <v>0.916</v>
      </c>
      <c r="H53" s="623" t="s">
        <v>1126</v>
      </c>
      <c r="I53" s="623" t="s">
        <v>1128</v>
      </c>
      <c r="J53" s="623" t="n">
        <v>1.203</v>
      </c>
      <c r="K53" s="623" t="s">
        <v>1142</v>
      </c>
      <c r="L53" s="623" t="s">
        <v>740</v>
      </c>
    </row>
    <row r="54" customFormat="false" ht="12.75" hidden="false" customHeight="false" outlineLevel="0" collapsed="false">
      <c r="B54" s="161" t="s">
        <v>2093</v>
      </c>
      <c r="C54" s="639"/>
      <c r="D54" s="640" t="n">
        <f aca="false">D48-D53</f>
        <v>-569.617</v>
      </c>
      <c r="E54" s="640" t="n">
        <f aca="false">E48-E53</f>
        <v>-601.9</v>
      </c>
      <c r="F54" s="640" t="n">
        <f aca="false">F48-F53</f>
        <v>26.8</v>
      </c>
      <c r="G54" s="640" t="n">
        <f aca="false">G48-G53</f>
        <v>-604.212</v>
      </c>
      <c r="H54" s="640" t="n">
        <f aca="false">H48-H53</f>
        <v>-635.82</v>
      </c>
      <c r="I54" s="640" t="n">
        <f aca="false">I48-I53</f>
        <v>37.7</v>
      </c>
      <c r="J54" s="640" t="n">
        <f aca="false">J48-J53</f>
        <v>-1130.666</v>
      </c>
      <c r="K54" s="640" t="n">
        <f aca="false">K48-K53</f>
        <v>-1209.173</v>
      </c>
      <c r="L54" s="640" t="n">
        <f aca="false">L48-L53</f>
        <v>91.41</v>
      </c>
    </row>
    <row r="55" customFormat="false" ht="12.75" hidden="false" customHeight="false" outlineLevel="0" collapsed="false">
      <c r="B55" s="161" t="s">
        <v>2094</v>
      </c>
      <c r="C55" s="639"/>
      <c r="D55" s="640" t="n">
        <f aca="false">D48+D53</f>
        <v>-569.007</v>
      </c>
      <c r="E55" s="640" t="n">
        <f aca="false">E48+E53</f>
        <v>-601.3</v>
      </c>
      <c r="F55" s="640" t="n">
        <f aca="false">F48+F53</f>
        <v>27.1</v>
      </c>
      <c r="G55" s="640" t="n">
        <f aca="false">G48+G53</f>
        <v>-602.38</v>
      </c>
      <c r="H55" s="640" t="n">
        <f aca="false">H48+H53</f>
        <v>-634.02</v>
      </c>
      <c r="I55" s="640" t="n">
        <f aca="false">I48+I53</f>
        <v>38.5</v>
      </c>
      <c r="J55" s="640" t="n">
        <f aca="false">J48+J53</f>
        <v>-1128.26</v>
      </c>
      <c r="K55" s="640" t="n">
        <f aca="false">K48+K53</f>
        <v>-1206.787</v>
      </c>
      <c r="L55" s="640" t="n">
        <f aca="false">L48+L53</f>
        <v>92.01</v>
      </c>
    </row>
    <row r="56" customFormat="false" ht="12.75" hidden="false" customHeight="false" outlineLevel="0" collapsed="false">
      <c r="B56" s="161" t="s">
        <v>2095</v>
      </c>
      <c r="C56" s="639"/>
      <c r="D56" s="640" t="str">
        <f aca="false">IF(D51&lt;D54,D54-D51,"Okay")</f>
        <v>Okay</v>
      </c>
      <c r="E56" s="640" t="str">
        <f aca="false">IF(E51&lt;E54,E54-E51,"Okay")</f>
        <v>Okay</v>
      </c>
      <c r="F56" s="640" t="n">
        <f aca="false">IF(F51&lt;F54,F54-F51,"Okay")</f>
        <v>0.022000000000002</v>
      </c>
      <c r="G56" s="640" t="str">
        <f aca="false">IF(G51&lt;G54,G54-G51,"Okay")</f>
        <v>Okay</v>
      </c>
      <c r="H56" s="640" t="str">
        <f aca="false">IF(H51&lt;H54,H54-H51,"Okay")</f>
        <v>Okay</v>
      </c>
      <c r="I56" s="640" t="str">
        <f aca="false">IF(I51&lt;I54,I54-I51,"Okay")</f>
        <v>Okay</v>
      </c>
      <c r="J56" s="640" t="str">
        <f aca="false">IF(J51&lt;J54,J54-J51,"Okay")</f>
        <v>Okay</v>
      </c>
      <c r="K56" s="640" t="str">
        <f aca="false">IF(K51&lt;K54,K54-K51,"Okay")</f>
        <v>Okay</v>
      </c>
      <c r="L56" s="640" t="n">
        <f aca="false">IF(L51&lt;L54,L54-L51,"Okay")</f>
        <v>3.41</v>
      </c>
    </row>
    <row r="57" customFormat="false" ht="13.5" hidden="false" customHeight="false" outlineLevel="0" collapsed="false">
      <c r="B57" s="304" t="s">
        <v>2096</v>
      </c>
      <c r="C57" s="643"/>
      <c r="D57" s="644" t="n">
        <f aca="false">IF(D52&gt;D55,D52-D55,"Okay")</f>
        <v>0.0620000000000118</v>
      </c>
      <c r="E57" s="644" t="n">
        <f aca="false">IF(E52&gt;E55,E52-E55,"Okay")</f>
        <v>0.0590000000000828</v>
      </c>
      <c r="F57" s="644" t="str">
        <f aca="false">IF(F52&gt;F55,F52-F55,"Okay")</f>
        <v>Okay</v>
      </c>
      <c r="G57" s="644" t="str">
        <f aca="false">IF(G52&gt;G55,G52-G55,"Okay")</f>
        <v>Okay</v>
      </c>
      <c r="H57" s="644" t="str">
        <f aca="false">IF(H52&gt;H55,H52-H55,"Okay")</f>
        <v>Okay</v>
      </c>
      <c r="I57" s="644" t="n">
        <f aca="false">IF(I52&gt;I55,I52-I55,"Okay")</f>
        <v>1.25</v>
      </c>
      <c r="J57" s="644" t="str">
        <f aca="false">IF(J52&gt;J55,J52-J55,"Okay")</f>
        <v>Okay</v>
      </c>
      <c r="K57" s="644" t="str">
        <f aca="false">IF(K52&gt;K55,K52-K55,"Okay")</f>
        <v>Okay</v>
      </c>
      <c r="L57" s="644" t="n">
        <f aca="false">IF(L52&gt;L55,L52-L55,"Okay")</f>
        <v>0.890000000000015</v>
      </c>
    </row>
    <row r="58" customFormat="false" ht="12.75" hidden="false" customHeight="false" outlineLevel="0" collapsed="false">
      <c r="B58" s="280" t="s">
        <v>2118</v>
      </c>
    </row>
    <row r="61" customFormat="false" ht="13.5" hidden="false" customHeight="false" outlineLevel="0" collapsed="false"/>
    <row r="62" customFormat="false" ht="12.75" hidden="false" customHeight="false" outlineLevel="0" collapsed="false">
      <c r="B62" s="169"/>
      <c r="C62" s="169"/>
      <c r="D62" s="651"/>
      <c r="E62" s="651"/>
      <c r="F62" s="651"/>
      <c r="G62" s="651"/>
      <c r="H62" s="651"/>
      <c r="I62" s="651"/>
      <c r="J62" s="651"/>
      <c r="K62" s="651"/>
      <c r="L62" s="651"/>
    </row>
    <row r="63" customFormat="false" ht="13.5" hidden="false" customHeight="true" outlineLevel="0" collapsed="false">
      <c r="B63" s="25"/>
      <c r="C63" s="25"/>
      <c r="D63" s="635" t="s">
        <v>1146</v>
      </c>
      <c r="E63" s="635"/>
      <c r="F63" s="635"/>
      <c r="G63" s="635" t="s">
        <v>2122</v>
      </c>
      <c r="H63" s="635"/>
      <c r="I63" s="635"/>
      <c r="J63" s="635" t="n">
        <v>0</v>
      </c>
      <c r="K63" s="635"/>
      <c r="L63" s="635"/>
    </row>
    <row r="64" customFormat="false" ht="14.25" hidden="false" customHeight="false" outlineLevel="0" collapsed="false">
      <c r="B64" s="16" t="s">
        <v>2086</v>
      </c>
      <c r="C64" s="53" t="s">
        <v>2087</v>
      </c>
      <c r="D64" s="636" t="s">
        <v>511</v>
      </c>
      <c r="E64" s="636" t="s">
        <v>512</v>
      </c>
      <c r="F64" s="636" t="s">
        <v>513</v>
      </c>
      <c r="G64" s="636" t="s">
        <v>511</v>
      </c>
      <c r="H64" s="636" t="s">
        <v>512</v>
      </c>
      <c r="I64" s="636" t="s">
        <v>513</v>
      </c>
      <c r="J64" s="636" t="s">
        <v>511</v>
      </c>
      <c r="K64" s="636" t="s">
        <v>512</v>
      </c>
      <c r="L64" s="636" t="s">
        <v>513</v>
      </c>
    </row>
    <row r="65" customFormat="false" ht="15" hidden="false" customHeight="false" outlineLevel="0" collapsed="false">
      <c r="B65" s="16"/>
      <c r="C65" s="53" t="s">
        <v>2088</v>
      </c>
      <c r="D65" s="55" t="s">
        <v>784</v>
      </c>
      <c r="E65" s="55" t="s">
        <v>784</v>
      </c>
      <c r="F65" s="55" t="s">
        <v>167</v>
      </c>
      <c r="G65" s="55" t="s">
        <v>784</v>
      </c>
      <c r="H65" s="55" t="s">
        <v>784</v>
      </c>
      <c r="I65" s="55" t="s">
        <v>167</v>
      </c>
      <c r="J65" s="55" t="s">
        <v>784</v>
      </c>
      <c r="K65" s="55" t="s">
        <v>784</v>
      </c>
      <c r="L65" s="55" t="s">
        <v>167</v>
      </c>
    </row>
    <row r="66" customFormat="false" ht="12.75" hidden="false" customHeight="true" outlineLevel="0" collapsed="false">
      <c r="B66" s="468" t="s">
        <v>208</v>
      </c>
      <c r="C66" s="637" t="n">
        <v>1952</v>
      </c>
      <c r="D66" s="469" t="n">
        <v>-376.544</v>
      </c>
      <c r="E66" s="469" t="n">
        <v>-415.89</v>
      </c>
      <c r="F66" s="469" t="n">
        <v>72.802</v>
      </c>
      <c r="G66" s="469" t="n">
        <v>-384.012</v>
      </c>
      <c r="H66" s="469" t="n">
        <v>-411.003</v>
      </c>
      <c r="I66" s="469" t="n">
        <v>72.383</v>
      </c>
      <c r="J66" s="469" t="n">
        <v>0</v>
      </c>
      <c r="K66" s="469" t="n">
        <v>0</v>
      </c>
      <c r="L66" s="469" t="n">
        <v>0</v>
      </c>
    </row>
    <row r="67" customFormat="false" ht="12.75" hidden="false" customHeight="true" outlineLevel="0" collapsed="false">
      <c r="B67" s="160" t="s">
        <v>212</v>
      </c>
      <c r="C67" s="638" t="n">
        <v>1968</v>
      </c>
      <c r="D67" s="470" t="n">
        <v>-375.456</v>
      </c>
      <c r="E67" s="470" t="n">
        <v>-414.216</v>
      </c>
      <c r="F67" s="470" t="n">
        <v>75.061</v>
      </c>
      <c r="G67" s="470" t="n">
        <v>-384.138</v>
      </c>
      <c r="H67" s="470" t="n">
        <v>-411.153</v>
      </c>
      <c r="I67" s="470" t="n">
        <v>72.132</v>
      </c>
      <c r="J67" s="470" t="n">
        <v>0</v>
      </c>
      <c r="K67" s="470" t="n">
        <v>0</v>
      </c>
      <c r="L67" s="470" t="n">
        <v>0</v>
      </c>
    </row>
    <row r="68" customFormat="false" ht="12.75" hidden="false" customHeight="true" outlineLevel="0" collapsed="false">
      <c r="B68" s="160" t="s">
        <v>211</v>
      </c>
      <c r="C68" s="638" t="n">
        <v>1968</v>
      </c>
      <c r="D68" s="470" t="n">
        <v>-377.217</v>
      </c>
      <c r="E68" s="470" t="n">
        <v>-415.89</v>
      </c>
      <c r="F68" s="470" t="n">
        <v>75.27</v>
      </c>
      <c r="G68" s="470" t="n">
        <v>-384.104</v>
      </c>
      <c r="H68" s="470" t="n">
        <v>-411.12</v>
      </c>
      <c r="I68" s="470" t="n">
        <v>72.132</v>
      </c>
      <c r="J68" s="470" t="n">
        <v>0</v>
      </c>
      <c r="K68" s="470" t="n">
        <v>0</v>
      </c>
      <c r="L68" s="470" t="n">
        <v>0</v>
      </c>
    </row>
    <row r="69" customFormat="false" ht="12.75" hidden="false" customHeight="true" outlineLevel="0" collapsed="false">
      <c r="B69" s="160" t="s">
        <v>2089</v>
      </c>
      <c r="C69" s="638" t="n">
        <v>1971</v>
      </c>
      <c r="D69" s="470" t="n">
        <v>-379.092</v>
      </c>
      <c r="E69" s="470" t="n">
        <v>-417.982</v>
      </c>
      <c r="F69" s="470" t="n">
        <v>75.04</v>
      </c>
      <c r="G69" s="470" t="n">
        <v>-384.025</v>
      </c>
      <c r="H69" s="470" t="n">
        <v>-411.12</v>
      </c>
      <c r="I69" s="470" t="n">
        <v>72.115</v>
      </c>
      <c r="J69" s="470" t="n">
        <v>0</v>
      </c>
      <c r="K69" s="470" t="n">
        <v>0</v>
      </c>
      <c r="L69" s="470" t="n">
        <v>0</v>
      </c>
    </row>
    <row r="70" customFormat="false" ht="12.75" hidden="false" customHeight="true" outlineLevel="0" collapsed="false">
      <c r="B70" s="160" t="s">
        <v>556</v>
      </c>
      <c r="C70" s="638" t="n">
        <v>1978</v>
      </c>
      <c r="D70" s="470" t="n">
        <v>-376.089</v>
      </c>
      <c r="E70" s="470" t="n">
        <v>-414.82</v>
      </c>
      <c r="F70" s="470" t="n">
        <v>75.27</v>
      </c>
      <c r="G70" s="470" t="n">
        <v>-384.212</v>
      </c>
      <c r="H70" s="470" t="n">
        <v>-411.26</v>
      </c>
      <c r="I70" s="470" t="n">
        <v>72.12</v>
      </c>
      <c r="J70" s="470" t="n">
        <v>0</v>
      </c>
      <c r="K70" s="470" t="n">
        <v>0</v>
      </c>
      <c r="L70" s="470" t="n">
        <v>0</v>
      </c>
    </row>
    <row r="71" customFormat="false" ht="12.75" hidden="false" customHeight="true" outlineLevel="0" collapsed="false">
      <c r="B71" s="160" t="s">
        <v>557</v>
      </c>
      <c r="C71" s="638" t="n">
        <v>1982</v>
      </c>
      <c r="D71" s="470" t="n">
        <v>-375.46</v>
      </c>
      <c r="E71" s="470" t="n">
        <v>-414.22</v>
      </c>
      <c r="F71" s="470" t="n">
        <v>75.06</v>
      </c>
      <c r="G71" s="470" t="n">
        <v>-384.138</v>
      </c>
      <c r="H71" s="470" t="n">
        <v>-411.153</v>
      </c>
      <c r="I71" s="470" t="n">
        <v>72.13</v>
      </c>
      <c r="J71" s="470" t="n">
        <v>0</v>
      </c>
      <c r="K71" s="470" t="n">
        <v>0</v>
      </c>
      <c r="L71" s="470" t="n">
        <v>0</v>
      </c>
    </row>
    <row r="72" customFormat="false" ht="12.75" hidden="false" customHeight="true" outlineLevel="0" collapsed="false">
      <c r="B72" s="160" t="s">
        <v>2090</v>
      </c>
      <c r="C72" s="638" t="n">
        <v>1984</v>
      </c>
      <c r="D72" s="470" t="n">
        <v>-378.322</v>
      </c>
      <c r="E72" s="470" t="n">
        <v>-417.145</v>
      </c>
      <c r="F72" s="470" t="n">
        <v>75.27</v>
      </c>
      <c r="G72" s="470" t="n">
        <v>-384.062</v>
      </c>
      <c r="H72" s="470" t="n">
        <v>-411.153</v>
      </c>
      <c r="I72" s="470" t="n">
        <v>72.132</v>
      </c>
      <c r="J72" s="470" t="n">
        <v>0</v>
      </c>
      <c r="K72" s="470" t="n">
        <v>0</v>
      </c>
      <c r="L72" s="470" t="n">
        <v>0</v>
      </c>
    </row>
    <row r="73" customFormat="false" ht="12.75" hidden="false" customHeight="true" outlineLevel="0" collapsed="false">
      <c r="B73" s="160" t="s">
        <v>2091</v>
      </c>
      <c r="C73" s="638" t="n">
        <v>1985</v>
      </c>
      <c r="D73" s="470" t="n">
        <v>-379.09</v>
      </c>
      <c r="E73" s="470" t="n">
        <v>-417.982</v>
      </c>
      <c r="F73" s="470" t="n">
        <v>75.042</v>
      </c>
      <c r="G73" s="470" t="n">
        <v>-384.024</v>
      </c>
      <c r="H73" s="470" t="n">
        <v>-411.12</v>
      </c>
      <c r="I73" s="470" t="n">
        <v>72.115</v>
      </c>
      <c r="J73" s="470" t="n">
        <v>0</v>
      </c>
      <c r="K73" s="470" t="n">
        <v>0</v>
      </c>
      <c r="L73" s="470" t="n">
        <v>0</v>
      </c>
    </row>
    <row r="74" customFormat="false" ht="12.75" hidden="false" customHeight="true" outlineLevel="0" collapsed="false">
      <c r="B74" s="160" t="s">
        <v>529</v>
      </c>
      <c r="C74" s="638" t="n">
        <v>1989</v>
      </c>
      <c r="D74" s="470"/>
      <c r="E74" s="470"/>
      <c r="F74" s="470"/>
      <c r="G74" s="470"/>
      <c r="H74" s="470"/>
      <c r="I74" s="470" t="n">
        <v>72.13</v>
      </c>
      <c r="J74" s="470" t="n">
        <v>0</v>
      </c>
      <c r="K74" s="470" t="n">
        <v>0</v>
      </c>
      <c r="L74" s="470" t="n">
        <v>0</v>
      </c>
    </row>
    <row r="75" customFormat="false" ht="12.75" hidden="false" customHeight="true" outlineLevel="0" collapsed="false">
      <c r="B75" s="160" t="s">
        <v>2123</v>
      </c>
      <c r="C75" s="638" t="n">
        <v>1992</v>
      </c>
      <c r="D75" s="470"/>
      <c r="E75" s="470"/>
      <c r="F75" s="470"/>
      <c r="G75" s="470" t="n">
        <v>-384.221</v>
      </c>
      <c r="H75" s="470" t="n">
        <v>-411.26</v>
      </c>
      <c r="I75" s="470" t="n">
        <v>72.15</v>
      </c>
      <c r="J75" s="470" t="n">
        <v>0</v>
      </c>
      <c r="K75" s="470" t="n">
        <v>0</v>
      </c>
      <c r="L75" s="470" t="n">
        <v>0</v>
      </c>
    </row>
    <row r="76" customFormat="false" ht="12.75" hidden="false" customHeight="true" outlineLevel="0" collapsed="false">
      <c r="B76" s="160"/>
      <c r="C76" s="638"/>
      <c r="D76" s="294"/>
      <c r="E76" s="294"/>
      <c r="F76" s="294"/>
      <c r="G76" s="294"/>
      <c r="H76" s="294"/>
      <c r="I76" s="294"/>
      <c r="J76" s="292"/>
      <c r="K76" s="292"/>
      <c r="L76" s="292"/>
    </row>
    <row r="77" customFormat="false" ht="12.75" hidden="false" customHeight="true" outlineLevel="0" collapsed="false">
      <c r="B77" s="161" t="s">
        <v>705</v>
      </c>
      <c r="C77" s="639"/>
      <c r="D77" s="640" t="n">
        <f aca="false">MIN(D66:D75)</f>
        <v>-379.092</v>
      </c>
      <c r="E77" s="640" t="n">
        <f aca="false">MIN(E66:E75)</f>
        <v>-417.982</v>
      </c>
      <c r="F77" s="640" t="n">
        <f aca="false">MIN(F66:F75)</f>
        <v>72.802</v>
      </c>
      <c r="G77" s="640" t="n">
        <f aca="false">MIN(G66:G75)</f>
        <v>-384.221</v>
      </c>
      <c r="H77" s="640" t="n">
        <f aca="false">MIN(H66:H75)</f>
        <v>-411.26</v>
      </c>
      <c r="I77" s="640" t="n">
        <f aca="false">MIN(I66:I75)</f>
        <v>72.115</v>
      </c>
      <c r="J77" s="640" t="n">
        <f aca="false">MIN(J66:J75)</f>
        <v>0</v>
      </c>
      <c r="K77" s="640" t="n">
        <f aca="false">MIN(K66:K75)</f>
        <v>0</v>
      </c>
      <c r="L77" s="640" t="n">
        <f aca="false">MIN(L66:L75)</f>
        <v>0</v>
      </c>
    </row>
    <row r="78" customFormat="false" ht="12.75" hidden="false" customHeight="true" outlineLevel="0" collapsed="false">
      <c r="B78" s="161" t="s">
        <v>706</v>
      </c>
      <c r="C78" s="639"/>
      <c r="D78" s="640" t="n">
        <f aca="false">MAX(D66:D75)</f>
        <v>-375.456</v>
      </c>
      <c r="E78" s="640" t="n">
        <f aca="false">MAX(E66:E75)</f>
        <v>-414.216</v>
      </c>
      <c r="F78" s="640" t="n">
        <f aca="false">MAX(F66:F75)</f>
        <v>75.27</v>
      </c>
      <c r="G78" s="640" t="n">
        <f aca="false">MAX(G66:G75)</f>
        <v>-384.012</v>
      </c>
      <c r="H78" s="640" t="n">
        <f aca="false">MAX(H66:H75)</f>
        <v>-411.003</v>
      </c>
      <c r="I78" s="640" t="n">
        <f aca="false">MAX(I66:I75)</f>
        <v>72.383</v>
      </c>
      <c r="J78" s="640" t="n">
        <f aca="false">MAX(J66:J75)</f>
        <v>0</v>
      </c>
      <c r="K78" s="640" t="n">
        <f aca="false">MAX(K66:K75)</f>
        <v>0</v>
      </c>
      <c r="L78" s="640" t="n">
        <f aca="false">MAX(L66:L75)</f>
        <v>0</v>
      </c>
    </row>
    <row r="79" customFormat="false" ht="12.75" hidden="false" customHeight="true" outlineLevel="0" collapsed="false">
      <c r="B79" s="299" t="s">
        <v>2124</v>
      </c>
      <c r="C79" s="641"/>
      <c r="D79" s="623"/>
      <c r="E79" s="623"/>
      <c r="F79" s="623"/>
      <c r="G79" s="623" t="s">
        <v>1151</v>
      </c>
      <c r="H79" s="623" t="s">
        <v>755</v>
      </c>
      <c r="I79" s="623" t="s">
        <v>728</v>
      </c>
      <c r="J79" s="623"/>
      <c r="K79" s="623"/>
      <c r="L79" s="623"/>
    </row>
    <row r="80" customFormat="false" ht="12.75" hidden="false" customHeight="true" outlineLevel="0" collapsed="false">
      <c r="B80" s="161" t="s">
        <v>2125</v>
      </c>
      <c r="C80" s="639"/>
      <c r="D80" s="640"/>
      <c r="E80" s="640"/>
      <c r="F80" s="640"/>
      <c r="G80" s="640" t="n">
        <f aca="false">G75-G79</f>
        <v>-384.368</v>
      </c>
      <c r="H80" s="640" t="n">
        <f aca="false">H75-H79</f>
        <v>-411.38</v>
      </c>
      <c r="I80" s="640" t="n">
        <f aca="false">I75-I79</f>
        <v>71.95</v>
      </c>
      <c r="J80" s="640" t="n">
        <f aca="false">J74-J79</f>
        <v>0</v>
      </c>
      <c r="K80" s="640" t="n">
        <f aca="false">K74-K79</f>
        <v>0</v>
      </c>
      <c r="L80" s="640" t="n">
        <f aca="false">L74-L79</f>
        <v>0</v>
      </c>
    </row>
    <row r="81" customFormat="false" ht="12.75" hidden="false" customHeight="true" outlineLevel="0" collapsed="false">
      <c r="B81" s="161" t="s">
        <v>2126</v>
      </c>
      <c r="C81" s="639"/>
      <c r="D81" s="640"/>
      <c r="E81" s="640"/>
      <c r="F81" s="640"/>
      <c r="G81" s="640" t="n">
        <f aca="false">G75+G79</f>
        <v>-384.074</v>
      </c>
      <c r="H81" s="640" t="n">
        <f aca="false">H75+H79</f>
        <v>-411.14</v>
      </c>
      <c r="I81" s="640" t="n">
        <f aca="false">I75+I79</f>
        <v>72.35</v>
      </c>
      <c r="J81" s="640" t="n">
        <f aca="false">J74+J79</f>
        <v>0</v>
      </c>
      <c r="K81" s="640" t="n">
        <f aca="false">K74+K79</f>
        <v>0</v>
      </c>
      <c r="L81" s="640" t="n">
        <f aca="false">L74+L79</f>
        <v>0</v>
      </c>
    </row>
    <row r="82" customFormat="false" ht="12.75" hidden="false" customHeight="true" outlineLevel="0" collapsed="false">
      <c r="B82" s="161" t="s">
        <v>2095</v>
      </c>
      <c r="C82" s="639"/>
      <c r="D82" s="640"/>
      <c r="E82" s="640"/>
      <c r="F82" s="640"/>
      <c r="G82" s="640" t="str">
        <f aca="false">IF(G77&lt;G80,G80-G77,"Okay")</f>
        <v>Okay</v>
      </c>
      <c r="H82" s="640" t="str">
        <f aca="false">IF(H77&lt;H80,H80-H77,"Okay")</f>
        <v>Okay</v>
      </c>
      <c r="I82" s="640" t="str">
        <f aca="false">IF(I77&lt;I80,I80-I77,"Okay")</f>
        <v>Okay</v>
      </c>
      <c r="J82" s="640" t="str">
        <f aca="false">IF(J77&lt;J80,J80-J77,"Okay")</f>
        <v>Okay</v>
      </c>
      <c r="K82" s="640" t="str">
        <f aca="false">IF(K77&lt;K80,K80-K77,"Okay")</f>
        <v>Okay</v>
      </c>
      <c r="L82" s="640" t="str">
        <f aca="false">IF(L77&lt;L80,L80-L77,"Okay")</f>
        <v>Okay</v>
      </c>
    </row>
    <row r="83" customFormat="false" ht="12.75" hidden="false" customHeight="true" outlineLevel="0" collapsed="false">
      <c r="B83" s="304" t="s">
        <v>2096</v>
      </c>
      <c r="C83" s="643"/>
      <c r="D83" s="644"/>
      <c r="E83" s="644"/>
      <c r="F83" s="644"/>
      <c r="G83" s="644" t="n">
        <f aca="false">IF(G78&gt;G81,G78-G81,"Okay")</f>
        <v>0.0620000000000118</v>
      </c>
      <c r="H83" s="644" t="n">
        <f aca="false">IF(H78&gt;H81,H78-H81,"Okay")</f>
        <v>0.137</v>
      </c>
      <c r="I83" s="644" t="n">
        <f aca="false">IF(I78&gt;I81,I78-I81,"Okay")</f>
        <v>0.032999999999987</v>
      </c>
      <c r="J83" s="644" t="str">
        <f aca="false">IF(J78&gt;J81,J78-J81,"Okay")</f>
        <v>Okay</v>
      </c>
      <c r="K83" s="644" t="str">
        <f aca="false">IF(K78&gt;K81,K78-K81,"Okay")</f>
        <v>Okay</v>
      </c>
      <c r="L83" s="644" t="str">
        <f aca="false">IF(L78&gt;L81,L78-L81,"Okay")</f>
        <v>Okay</v>
      </c>
    </row>
    <row r="84" customFormat="false" ht="12.75" hidden="false" customHeight="true" outlineLevel="0" collapsed="false">
      <c r="B84" s="280" t="s">
        <v>2118</v>
      </c>
    </row>
    <row r="85" customFormat="false" ht="12.75" hidden="false" customHeight="true" outlineLevel="0" collapsed="false"/>
    <row r="86" customFormat="false" ht="12.75" hidden="false" customHeight="true" outlineLevel="0" collapsed="false"/>
    <row r="87" customFormat="false" ht="12.75" hidden="false" customHeight="true" outlineLevel="0" collapsed="false"/>
    <row r="88" customFormat="false" ht="13.5" hidden="false" customHeight="true" outlineLevel="0" collapsed="false">
      <c r="A88" s="94"/>
      <c r="B88" s="169"/>
      <c r="C88" s="169"/>
      <c r="D88" s="651"/>
      <c r="E88" s="651"/>
      <c r="F88" s="651"/>
      <c r="G88" s="651"/>
      <c r="H88" s="651"/>
      <c r="I88" s="651"/>
      <c r="J88" s="651"/>
      <c r="K88" s="651"/>
      <c r="L88" s="651"/>
    </row>
    <row r="89" customFormat="false" ht="13.5" hidden="false" customHeight="true" outlineLevel="0" collapsed="false">
      <c r="A89" s="112"/>
      <c r="B89" s="25"/>
      <c r="C89" s="25"/>
      <c r="D89" s="635" t="s">
        <v>1154</v>
      </c>
      <c r="E89" s="635"/>
      <c r="F89" s="635"/>
      <c r="G89" s="635" t="s">
        <v>2127</v>
      </c>
      <c r="H89" s="635"/>
      <c r="I89" s="635"/>
      <c r="J89" s="635" t="n">
        <v>0</v>
      </c>
      <c r="K89" s="635"/>
      <c r="L89" s="635"/>
    </row>
    <row r="90" customFormat="false" ht="13.5" hidden="false" customHeight="true" outlineLevel="0" collapsed="false">
      <c r="A90" s="280"/>
      <c r="B90" s="16" t="s">
        <v>2086</v>
      </c>
      <c r="C90" s="53" t="s">
        <v>2087</v>
      </c>
      <c r="D90" s="636" t="s">
        <v>511</v>
      </c>
      <c r="E90" s="636" t="s">
        <v>512</v>
      </c>
      <c r="F90" s="636" t="s">
        <v>513</v>
      </c>
      <c r="G90" s="636" t="s">
        <v>511</v>
      </c>
      <c r="H90" s="636" t="s">
        <v>512</v>
      </c>
      <c r="I90" s="636" t="s">
        <v>513</v>
      </c>
      <c r="J90" s="636" t="s">
        <v>511</v>
      </c>
      <c r="K90" s="636" t="s">
        <v>512</v>
      </c>
      <c r="L90" s="636" t="s">
        <v>513</v>
      </c>
    </row>
    <row r="91" customFormat="false" ht="13.5" hidden="false" customHeight="true" outlineLevel="0" collapsed="false">
      <c r="A91" s="280"/>
      <c r="B91" s="16"/>
      <c r="C91" s="53" t="s">
        <v>2088</v>
      </c>
      <c r="D91" s="55" t="s">
        <v>784</v>
      </c>
      <c r="E91" s="55" t="s">
        <v>784</v>
      </c>
      <c r="F91" s="55" t="s">
        <v>167</v>
      </c>
      <c r="G91" s="55" t="s">
        <v>784</v>
      </c>
      <c r="H91" s="55" t="s">
        <v>784</v>
      </c>
      <c r="I91" s="55" t="s">
        <v>167</v>
      </c>
      <c r="J91" s="55" t="s">
        <v>784</v>
      </c>
      <c r="K91" s="55" t="s">
        <v>784</v>
      </c>
      <c r="L91" s="55" t="s">
        <v>167</v>
      </c>
    </row>
    <row r="92" customFormat="false" ht="12.75" hidden="false" customHeight="false" outlineLevel="0" collapsed="false">
      <c r="A92" s="280"/>
      <c r="B92" s="468" t="s">
        <v>208</v>
      </c>
      <c r="C92" s="637" t="n">
        <v>1952</v>
      </c>
      <c r="D92" s="469"/>
      <c r="E92" s="469" t="n">
        <v>-361.498</v>
      </c>
      <c r="F92" s="469"/>
      <c r="G92" s="469" t="n">
        <v>-408.309</v>
      </c>
      <c r="H92" s="469" t="n">
        <v>-435.868</v>
      </c>
      <c r="I92" s="469" t="n">
        <v>82.676</v>
      </c>
      <c r="J92" s="469" t="n">
        <v>0</v>
      </c>
      <c r="K92" s="469" t="n">
        <v>0</v>
      </c>
      <c r="L92" s="469" t="n">
        <v>0</v>
      </c>
    </row>
    <row r="93" customFormat="false" ht="12.75" hidden="false" customHeight="false" outlineLevel="0" collapsed="false">
      <c r="A93" s="280"/>
      <c r="B93" s="160" t="s">
        <v>212</v>
      </c>
      <c r="C93" s="638" t="n">
        <v>1968</v>
      </c>
      <c r="D93" s="470"/>
      <c r="E93" s="470" t="n">
        <v>-361.498</v>
      </c>
      <c r="F93" s="470"/>
      <c r="G93" s="470" t="n">
        <v>-409.137</v>
      </c>
      <c r="H93" s="470" t="n">
        <v>-436.747</v>
      </c>
      <c r="I93" s="470" t="n">
        <v>82.592</v>
      </c>
      <c r="J93" s="470" t="n">
        <v>0</v>
      </c>
      <c r="K93" s="470" t="n">
        <v>0</v>
      </c>
      <c r="L93" s="470" t="n">
        <v>0</v>
      </c>
    </row>
    <row r="94" customFormat="false" ht="12.75" hidden="false" customHeight="false" outlineLevel="0" collapsed="false">
      <c r="A94" s="280"/>
      <c r="B94" s="160" t="s">
        <v>211</v>
      </c>
      <c r="C94" s="638" t="n">
        <v>1968</v>
      </c>
      <c r="D94" s="470" t="n">
        <v>-322.043</v>
      </c>
      <c r="E94" s="470" t="n">
        <v>-363.171</v>
      </c>
      <c r="F94" s="470" t="n">
        <v>94.14</v>
      </c>
      <c r="G94" s="470" t="n">
        <v>-408.731</v>
      </c>
      <c r="H94" s="470" t="n">
        <v>-436.684</v>
      </c>
      <c r="I94" s="470" t="n">
        <v>82.55</v>
      </c>
      <c r="J94" s="470" t="n">
        <v>0</v>
      </c>
      <c r="K94" s="470" t="n">
        <v>0</v>
      </c>
      <c r="L94" s="470" t="n">
        <v>0</v>
      </c>
    </row>
    <row r="95" customFormat="false" ht="12.75" hidden="false" customHeight="false" outlineLevel="0" collapsed="false">
      <c r="A95" s="280"/>
      <c r="B95" s="160" t="s">
        <v>2089</v>
      </c>
      <c r="C95" s="638" t="n">
        <v>1971</v>
      </c>
      <c r="D95" s="470" t="n">
        <v>-322.093</v>
      </c>
      <c r="E95" s="470" t="n">
        <v>-363.171</v>
      </c>
      <c r="F95" s="470" t="n">
        <v>94.14</v>
      </c>
      <c r="G95" s="470" t="n">
        <v>-408.76</v>
      </c>
      <c r="H95" s="470" t="n">
        <v>-436.684</v>
      </c>
      <c r="I95" s="470" t="n">
        <v>82.555</v>
      </c>
      <c r="J95" s="470" t="n">
        <v>0</v>
      </c>
      <c r="K95" s="470" t="n">
        <v>0</v>
      </c>
      <c r="L95" s="470" t="n">
        <v>0</v>
      </c>
    </row>
    <row r="96" customFormat="false" ht="12.75" hidden="false" customHeight="false" outlineLevel="0" collapsed="false">
      <c r="A96" s="280"/>
      <c r="B96" s="160" t="s">
        <v>556</v>
      </c>
      <c r="C96" s="638" t="n">
        <v>1978</v>
      </c>
      <c r="D96" s="470" t="n">
        <v>-322.087</v>
      </c>
      <c r="E96" s="470" t="n">
        <v>-363.171</v>
      </c>
      <c r="F96" s="470" t="n">
        <v>94.14</v>
      </c>
      <c r="G96" s="470" t="n">
        <v>-408.554</v>
      </c>
      <c r="H96" s="470" t="n">
        <v>-436.47</v>
      </c>
      <c r="I96" s="470" t="n">
        <v>82.59</v>
      </c>
      <c r="J96" s="470" t="n">
        <v>0</v>
      </c>
      <c r="K96" s="470" t="n">
        <v>0</v>
      </c>
      <c r="L96" s="470" t="n">
        <v>0</v>
      </c>
    </row>
    <row r="97" customFormat="false" ht="12.75" hidden="false" customHeight="false" outlineLevel="0" collapsed="false">
      <c r="A97" s="280"/>
      <c r="B97" s="160" t="s">
        <v>557</v>
      </c>
      <c r="C97" s="638" t="n">
        <v>1982</v>
      </c>
      <c r="D97" s="470"/>
      <c r="E97" s="470" t="n">
        <v>-361.5</v>
      </c>
      <c r="F97" s="470"/>
      <c r="G97" s="470" t="n">
        <v>-409.14</v>
      </c>
      <c r="H97" s="470" t="n">
        <v>-436.747</v>
      </c>
      <c r="I97" s="470" t="n">
        <v>82.59</v>
      </c>
      <c r="J97" s="470" t="n">
        <v>0</v>
      </c>
      <c r="K97" s="470" t="n">
        <v>0</v>
      </c>
      <c r="L97" s="470" t="n">
        <v>0</v>
      </c>
    </row>
    <row r="98" customFormat="false" ht="12.75" hidden="false" customHeight="false" outlineLevel="0" collapsed="false">
      <c r="A98" s="280"/>
      <c r="B98" s="160" t="s">
        <v>2090</v>
      </c>
      <c r="C98" s="638" t="n">
        <v>1984</v>
      </c>
      <c r="D98" s="654" t="n">
        <v>-301.257</v>
      </c>
      <c r="E98" s="654" t="n">
        <v>-339.992</v>
      </c>
      <c r="F98" s="654" t="n">
        <v>102.006</v>
      </c>
      <c r="G98" s="470" t="n">
        <v>-408.819</v>
      </c>
      <c r="H98" s="470" t="n">
        <v>-436.747</v>
      </c>
      <c r="I98" s="470" t="n">
        <v>82.546</v>
      </c>
      <c r="J98" s="470" t="n">
        <v>0</v>
      </c>
      <c r="K98" s="470" t="n">
        <v>0</v>
      </c>
      <c r="L98" s="470" t="n">
        <v>0</v>
      </c>
    </row>
    <row r="99" customFormat="false" ht="12.75" hidden="false" customHeight="false" outlineLevel="0" collapsed="false">
      <c r="A99" s="280"/>
      <c r="B99" s="160" t="s">
        <v>2091</v>
      </c>
      <c r="C99" s="638" t="n">
        <v>1985</v>
      </c>
      <c r="D99" s="470" t="n">
        <v>-322.094</v>
      </c>
      <c r="E99" s="470" t="n">
        <v>-363.171</v>
      </c>
      <c r="F99" s="470" t="n">
        <v>94.14</v>
      </c>
      <c r="G99" s="470" t="n">
        <v>-408.761</v>
      </c>
      <c r="H99" s="470" t="n">
        <v>-436.684</v>
      </c>
      <c r="I99" s="470" t="n">
        <v>82.554</v>
      </c>
      <c r="J99" s="470" t="n">
        <v>0</v>
      </c>
      <c r="K99" s="470" t="n">
        <v>0</v>
      </c>
      <c r="L99" s="470" t="n">
        <v>0</v>
      </c>
    </row>
    <row r="100" customFormat="false" ht="12.75" hidden="false" customHeight="false" outlineLevel="0" collapsed="false">
      <c r="A100" s="280"/>
      <c r="B100" s="160" t="s">
        <v>529</v>
      </c>
      <c r="C100" s="638" t="n">
        <v>1989</v>
      </c>
      <c r="D100" s="470"/>
      <c r="E100" s="470"/>
      <c r="F100" s="470"/>
      <c r="G100" s="470"/>
      <c r="H100" s="470"/>
      <c r="I100" s="470" t="n">
        <v>82.57</v>
      </c>
      <c r="J100" s="470" t="n">
        <v>0</v>
      </c>
      <c r="K100" s="470" t="n">
        <v>0</v>
      </c>
      <c r="L100" s="470" t="n">
        <v>0</v>
      </c>
    </row>
    <row r="101" customFormat="false" ht="12.75" hidden="false" customHeight="false" outlineLevel="0" collapsed="false">
      <c r="A101" s="280"/>
      <c r="B101" s="160" t="s">
        <v>2123</v>
      </c>
      <c r="C101" s="638" t="n">
        <v>1992</v>
      </c>
      <c r="D101" s="470"/>
      <c r="E101" s="470"/>
      <c r="F101" s="470"/>
      <c r="G101" s="470"/>
      <c r="H101" s="470" t="n">
        <v>-436.461</v>
      </c>
      <c r="I101" s="470"/>
      <c r="J101" s="470" t="n">
        <v>0</v>
      </c>
      <c r="K101" s="470" t="n">
        <v>0</v>
      </c>
      <c r="L101" s="470" t="n">
        <v>0</v>
      </c>
    </row>
    <row r="102" customFormat="false" ht="12.75" hidden="false" customHeight="false" outlineLevel="0" collapsed="false">
      <c r="A102" s="280"/>
      <c r="B102" s="160"/>
      <c r="C102" s="638"/>
      <c r="D102" s="294"/>
      <c r="E102" s="294"/>
      <c r="F102" s="294"/>
      <c r="G102" s="294"/>
      <c r="H102" s="294"/>
      <c r="I102" s="294"/>
      <c r="J102" s="292"/>
      <c r="K102" s="292"/>
      <c r="L102" s="292"/>
    </row>
    <row r="103" customFormat="false" ht="12.75" hidden="false" customHeight="false" outlineLevel="0" collapsed="false">
      <c r="A103" s="280"/>
      <c r="B103" s="161" t="s">
        <v>705</v>
      </c>
      <c r="C103" s="639"/>
      <c r="D103" s="640" t="n">
        <f aca="false">MIN(D92:D97,D99:D101)</f>
        <v>-322.094</v>
      </c>
      <c r="E103" s="640" t="n">
        <f aca="false">MIN(E92:E97,E99:E101)</f>
        <v>-363.171</v>
      </c>
      <c r="F103" s="640" t="n">
        <f aca="false">MIN(F92:F97,F99:F101)</f>
        <v>94.14</v>
      </c>
      <c r="G103" s="640" t="n">
        <f aca="false">MIN(G92:G101)</f>
        <v>-409.14</v>
      </c>
      <c r="H103" s="640" t="n">
        <f aca="false">MIN(H92:H101)</f>
        <v>-436.747</v>
      </c>
      <c r="I103" s="640" t="n">
        <f aca="false">MIN(I92:I101)</f>
        <v>82.546</v>
      </c>
      <c r="J103" s="640" t="n">
        <f aca="false">MIN(J92:J101)</f>
        <v>0</v>
      </c>
      <c r="K103" s="640" t="n">
        <f aca="false">MIN(K92:K101)</f>
        <v>0</v>
      </c>
      <c r="L103" s="640" t="n">
        <f aca="false">MIN(L92:L101)</f>
        <v>0</v>
      </c>
    </row>
    <row r="104" customFormat="false" ht="12.75" hidden="false" customHeight="false" outlineLevel="0" collapsed="false">
      <c r="A104" s="280"/>
      <c r="B104" s="161" t="s">
        <v>706</v>
      </c>
      <c r="C104" s="639"/>
      <c r="D104" s="640" t="n">
        <f aca="false">MAX(D92:D97,D99:D101)</f>
        <v>-322.043</v>
      </c>
      <c r="E104" s="640" t="n">
        <f aca="false">MAX(E92:E97,E99:E101)</f>
        <v>-361.498</v>
      </c>
      <c r="F104" s="640" t="n">
        <f aca="false">MAX(F92:F97,F99:F101)</f>
        <v>94.14</v>
      </c>
      <c r="G104" s="640" t="n">
        <f aca="false">MAX(G92:G101)</f>
        <v>-408.309</v>
      </c>
      <c r="H104" s="640" t="n">
        <f aca="false">MAX(H92:H101)</f>
        <v>-435.868</v>
      </c>
      <c r="I104" s="640" t="n">
        <f aca="false">MAX(I92:I101)</f>
        <v>82.676</v>
      </c>
      <c r="J104" s="640" t="n">
        <f aca="false">MAX(J92:J101)</f>
        <v>0</v>
      </c>
      <c r="K104" s="640" t="n">
        <f aca="false">MAX(K92:K101)</f>
        <v>0</v>
      </c>
      <c r="L104" s="640" t="n">
        <f aca="false">MAX(L92:L101)</f>
        <v>0</v>
      </c>
    </row>
    <row r="105" customFormat="false" ht="12.75" hidden="false" customHeight="false" outlineLevel="0" collapsed="false">
      <c r="A105" s="280" t="s">
        <v>2128</v>
      </c>
      <c r="B105" s="299" t="s">
        <v>2092</v>
      </c>
      <c r="C105" s="641"/>
      <c r="D105" s="623"/>
      <c r="E105" s="623"/>
      <c r="F105" s="623"/>
      <c r="G105" s="623"/>
      <c r="H105" s="623" t="s">
        <v>1159</v>
      </c>
      <c r="I105" s="623" t="s">
        <v>728</v>
      </c>
      <c r="J105" s="623"/>
      <c r="K105" s="623"/>
      <c r="L105" s="623"/>
    </row>
    <row r="106" customFormat="false" ht="12.75" hidden="false" customHeight="false" outlineLevel="0" collapsed="false">
      <c r="A106" s="280" t="s">
        <v>2129</v>
      </c>
      <c r="B106" s="161" t="s">
        <v>2093</v>
      </c>
      <c r="C106" s="639"/>
      <c r="D106" s="640"/>
      <c r="E106" s="640"/>
      <c r="F106" s="640"/>
      <c r="G106" s="640"/>
      <c r="H106" s="640" t="n">
        <f aca="false">H101-H105</f>
        <v>-436.59</v>
      </c>
      <c r="I106" s="640" t="n">
        <f aca="false">I100-I105</f>
        <v>82.37</v>
      </c>
      <c r="J106" s="640" t="n">
        <f aca="false">J100-J105</f>
        <v>0</v>
      </c>
      <c r="K106" s="640" t="n">
        <f aca="false">K100-K105</f>
        <v>0</v>
      </c>
      <c r="L106" s="640" t="n">
        <f aca="false">L100-L105</f>
        <v>0</v>
      </c>
    </row>
    <row r="107" customFormat="false" ht="12.75" hidden="false" customHeight="false" outlineLevel="0" collapsed="false">
      <c r="A107" s="280" t="s">
        <v>2130</v>
      </c>
      <c r="B107" s="161" t="s">
        <v>2094</v>
      </c>
      <c r="C107" s="639"/>
      <c r="D107" s="640"/>
      <c r="E107" s="640"/>
      <c r="F107" s="640"/>
      <c r="G107" s="640"/>
      <c r="H107" s="640" t="n">
        <f aca="false">H101+H105</f>
        <v>-436.332</v>
      </c>
      <c r="I107" s="640" t="n">
        <f aca="false">I100+I105</f>
        <v>82.77</v>
      </c>
      <c r="J107" s="640" t="n">
        <f aca="false">J100+J105</f>
        <v>0</v>
      </c>
      <c r="K107" s="640" t="n">
        <f aca="false">K100+K105</f>
        <v>0</v>
      </c>
      <c r="L107" s="640" t="n">
        <f aca="false">L100+L105</f>
        <v>0</v>
      </c>
    </row>
    <row r="108" customFormat="false" ht="12.75" hidden="false" customHeight="false" outlineLevel="0" collapsed="false">
      <c r="A108" s="280" t="s">
        <v>2131</v>
      </c>
      <c r="B108" s="161" t="s">
        <v>2095</v>
      </c>
      <c r="C108" s="639"/>
      <c r="D108" s="640"/>
      <c r="E108" s="640"/>
      <c r="F108" s="640"/>
      <c r="G108" s="640"/>
      <c r="H108" s="640" t="n">
        <f aca="false">IF(H103&lt;H106,H106-H103,"Okay")</f>
        <v>0.156999999999982</v>
      </c>
      <c r="I108" s="640" t="str">
        <f aca="false">IF(I103&lt;I106,I106-I103,"Okay")</f>
        <v>Okay</v>
      </c>
      <c r="J108" s="640" t="str">
        <f aca="false">IF(J103&lt;J106,J106-J103,"Okay")</f>
        <v>Okay</v>
      </c>
      <c r="K108" s="640" t="str">
        <f aca="false">IF(K103&lt;K106,K106-K103,"Okay")</f>
        <v>Okay</v>
      </c>
      <c r="L108" s="640" t="str">
        <f aca="false">IF(L103&lt;L106,L106-L103,"Okay")</f>
        <v>Okay</v>
      </c>
    </row>
    <row r="109" customFormat="false" ht="13.5" hidden="false" customHeight="false" outlineLevel="0" collapsed="false">
      <c r="A109" s="280"/>
      <c r="B109" s="304" t="s">
        <v>2096</v>
      </c>
      <c r="C109" s="643"/>
      <c r="D109" s="644"/>
      <c r="E109" s="644"/>
      <c r="F109" s="644"/>
      <c r="G109" s="644"/>
      <c r="H109" s="644" t="n">
        <f aca="false">IF(H104&gt;H107,H104-H107,"Okay")</f>
        <v>0.463999999999999</v>
      </c>
      <c r="I109" s="644" t="str">
        <f aca="false">IF(I104&gt;I107,I104-I107,"Okay")</f>
        <v>Okay</v>
      </c>
      <c r="J109" s="644" t="str">
        <f aca="false">IF(J104&gt;J107,J104-J107,"Okay")</f>
        <v>Okay</v>
      </c>
      <c r="K109" s="644" t="str">
        <f aca="false">IF(K104&gt;K107,K104-K107,"Okay")</f>
        <v>Okay</v>
      </c>
      <c r="L109" s="644" t="str">
        <f aca="false">IF(L104&gt;L107,L104-L107,"Okay")</f>
        <v>Okay</v>
      </c>
    </row>
    <row r="110" customFormat="false" ht="12.75" hidden="false" customHeight="false" outlineLevel="0" collapsed="false">
      <c r="A110" s="280"/>
      <c r="B110" s="280" t="s">
        <v>2118</v>
      </c>
    </row>
    <row r="113" customFormat="false" ht="13.5" hidden="false" customHeight="false" outlineLevel="0" collapsed="false"/>
    <row r="114" customFormat="false" ht="13.5" hidden="false" customHeight="true" outlineLevel="0" collapsed="false">
      <c r="B114" s="169"/>
      <c r="C114" s="169"/>
      <c r="D114" s="651"/>
      <c r="E114" s="651"/>
      <c r="F114" s="651"/>
      <c r="G114" s="651"/>
      <c r="H114" s="651"/>
      <c r="I114" s="651"/>
      <c r="J114" s="651"/>
      <c r="K114" s="651"/>
      <c r="L114" s="651"/>
    </row>
    <row r="115" customFormat="false" ht="13.5" hidden="false" customHeight="true" outlineLevel="0" collapsed="false">
      <c r="B115" s="25"/>
      <c r="C115" s="25"/>
      <c r="D115" s="635" t="s">
        <v>1080</v>
      </c>
      <c r="E115" s="635"/>
      <c r="F115" s="635"/>
      <c r="G115" s="635" t="n">
        <v>0</v>
      </c>
      <c r="H115" s="635"/>
      <c r="I115" s="635"/>
      <c r="J115" s="635" t="n">
        <v>0</v>
      </c>
      <c r="K115" s="635"/>
      <c r="L115" s="635"/>
    </row>
    <row r="116" customFormat="false" ht="13.5" hidden="false" customHeight="true" outlineLevel="0" collapsed="false">
      <c r="B116" s="16" t="s">
        <v>2086</v>
      </c>
      <c r="C116" s="53" t="s">
        <v>2087</v>
      </c>
      <c r="D116" s="636" t="s">
        <v>511</v>
      </c>
      <c r="E116" s="636" t="s">
        <v>512</v>
      </c>
      <c r="F116" s="636" t="s">
        <v>513</v>
      </c>
      <c r="G116" s="636" t="s">
        <v>511</v>
      </c>
      <c r="H116" s="636" t="s">
        <v>512</v>
      </c>
      <c r="I116" s="636" t="s">
        <v>513</v>
      </c>
      <c r="J116" s="636" t="s">
        <v>511</v>
      </c>
      <c r="K116" s="636" t="s">
        <v>512</v>
      </c>
      <c r="L116" s="636" t="s">
        <v>513</v>
      </c>
    </row>
    <row r="117" customFormat="false" ht="13.5" hidden="false" customHeight="true" outlineLevel="0" collapsed="false">
      <c r="B117" s="16"/>
      <c r="C117" s="53" t="s">
        <v>2088</v>
      </c>
      <c r="D117" s="55" t="s">
        <v>784</v>
      </c>
      <c r="E117" s="55" t="s">
        <v>784</v>
      </c>
      <c r="F117" s="55" t="s">
        <v>167</v>
      </c>
      <c r="G117" s="55" t="s">
        <v>784</v>
      </c>
      <c r="H117" s="55" t="s">
        <v>784</v>
      </c>
      <c r="I117" s="55" t="s">
        <v>167</v>
      </c>
      <c r="J117" s="55" t="s">
        <v>784</v>
      </c>
      <c r="K117" s="55" t="s">
        <v>784</v>
      </c>
      <c r="L117" s="55" t="s">
        <v>167</v>
      </c>
    </row>
    <row r="118" customFormat="false" ht="12.75" hidden="false" customHeight="false" outlineLevel="0" collapsed="false">
      <c r="B118" s="468" t="s">
        <v>208</v>
      </c>
      <c r="C118" s="637" t="n">
        <v>1952</v>
      </c>
      <c r="D118" s="469" t="n">
        <v>-2269.059</v>
      </c>
      <c r="E118" s="469" t="n">
        <v>-2682.362</v>
      </c>
      <c r="F118" s="469" t="n">
        <v>376.56</v>
      </c>
      <c r="G118" s="469" t="n">
        <v>0</v>
      </c>
      <c r="H118" s="469" t="n">
        <v>0</v>
      </c>
      <c r="I118" s="469" t="n">
        <v>0</v>
      </c>
      <c r="J118" s="469" t="n">
        <v>0</v>
      </c>
      <c r="K118" s="469" t="n">
        <v>0</v>
      </c>
      <c r="L118" s="469" t="n">
        <v>0</v>
      </c>
    </row>
    <row r="119" customFormat="false" ht="12.75" hidden="false" customHeight="false" outlineLevel="0" collapsed="false">
      <c r="B119" s="160" t="s">
        <v>212</v>
      </c>
      <c r="C119" s="638" t="n">
        <v>1968</v>
      </c>
      <c r="D119" s="470"/>
      <c r="E119" s="470" t="n">
        <v>-2691.567</v>
      </c>
      <c r="F119" s="470"/>
      <c r="G119" s="470" t="n">
        <v>0</v>
      </c>
      <c r="H119" s="470" t="n">
        <v>0</v>
      </c>
      <c r="I119" s="470" t="n">
        <v>0</v>
      </c>
      <c r="J119" s="470" t="n">
        <v>0</v>
      </c>
      <c r="K119" s="470" t="n">
        <v>0</v>
      </c>
      <c r="L119" s="470" t="n">
        <v>0</v>
      </c>
    </row>
    <row r="120" customFormat="false" ht="12.75" hidden="false" customHeight="false" outlineLevel="0" collapsed="false">
      <c r="B120" s="160" t="s">
        <v>211</v>
      </c>
      <c r="C120" s="638" t="n">
        <v>1968</v>
      </c>
      <c r="D120" s="470"/>
      <c r="E120" s="470"/>
      <c r="F120" s="470"/>
      <c r="G120" s="470" t="n">
        <v>0</v>
      </c>
      <c r="H120" s="470" t="n">
        <v>0</v>
      </c>
      <c r="I120" s="470" t="n">
        <v>0</v>
      </c>
      <c r="J120" s="470" t="n">
        <v>0</v>
      </c>
      <c r="K120" s="470" t="n">
        <v>0</v>
      </c>
      <c r="L120" s="470" t="n">
        <v>0</v>
      </c>
    </row>
    <row r="121" customFormat="false" ht="12.75" hidden="false" customHeight="false" outlineLevel="0" collapsed="false">
      <c r="B121" s="160" t="s">
        <v>2089</v>
      </c>
      <c r="C121" s="638" t="n">
        <v>1971</v>
      </c>
      <c r="D121" s="470"/>
      <c r="E121" s="470"/>
      <c r="F121" s="470"/>
      <c r="G121" s="470" t="n">
        <v>0</v>
      </c>
      <c r="H121" s="470" t="n">
        <v>0</v>
      </c>
      <c r="I121" s="470" t="n">
        <v>0</v>
      </c>
      <c r="J121" s="470" t="n">
        <v>0</v>
      </c>
      <c r="K121" s="470" t="n">
        <v>0</v>
      </c>
      <c r="L121" s="470" t="n">
        <v>0</v>
      </c>
    </row>
    <row r="122" customFormat="false" ht="12.75" hidden="false" customHeight="false" outlineLevel="0" collapsed="false">
      <c r="B122" s="160" t="s">
        <v>556</v>
      </c>
      <c r="C122" s="638" t="n">
        <v>1978</v>
      </c>
      <c r="D122" s="470"/>
      <c r="E122" s="470"/>
      <c r="F122" s="470"/>
      <c r="G122" s="470" t="n">
        <v>0</v>
      </c>
      <c r="H122" s="470" t="n">
        <v>0</v>
      </c>
      <c r="I122" s="470" t="n">
        <v>0</v>
      </c>
      <c r="J122" s="470" t="n">
        <v>0</v>
      </c>
      <c r="K122" s="470" t="n">
        <v>0</v>
      </c>
      <c r="L122" s="470" t="n">
        <v>0</v>
      </c>
    </row>
    <row r="123" customFormat="false" ht="12.75" hidden="false" customHeight="false" outlineLevel="0" collapsed="false">
      <c r="B123" s="160" t="s">
        <v>557</v>
      </c>
      <c r="C123" s="638" t="n">
        <v>1982</v>
      </c>
      <c r="D123" s="470" t="n">
        <v>-2261.1</v>
      </c>
      <c r="E123" s="470" t="n">
        <v>-2691.6</v>
      </c>
      <c r="F123" s="470" t="n">
        <v>318</v>
      </c>
      <c r="G123" s="470" t="n">
        <v>0</v>
      </c>
      <c r="H123" s="470" t="n">
        <v>0</v>
      </c>
      <c r="I123" s="470" t="n">
        <v>0</v>
      </c>
      <c r="J123" s="470" t="n">
        <v>0</v>
      </c>
      <c r="K123" s="470" t="n">
        <v>0</v>
      </c>
      <c r="L123" s="470" t="n">
        <v>0</v>
      </c>
    </row>
    <row r="124" customFormat="false" ht="12.75" hidden="false" customHeight="false" outlineLevel="0" collapsed="false">
      <c r="B124" s="160" t="s">
        <v>2090</v>
      </c>
      <c r="C124" s="638" t="n">
        <v>1984</v>
      </c>
      <c r="D124" s="470"/>
      <c r="E124" s="470"/>
      <c r="F124" s="470"/>
      <c r="G124" s="470" t="n">
        <v>0</v>
      </c>
      <c r="H124" s="470" t="n">
        <v>0</v>
      </c>
      <c r="I124" s="470" t="n">
        <v>0</v>
      </c>
      <c r="J124" s="470" t="n">
        <v>0</v>
      </c>
      <c r="K124" s="470" t="n">
        <v>0</v>
      </c>
      <c r="L124" s="470" t="n">
        <v>0</v>
      </c>
    </row>
    <row r="125" customFormat="false" ht="12.75" hidden="false" customHeight="false" outlineLevel="0" collapsed="false">
      <c r="B125" s="160" t="s">
        <v>2091</v>
      </c>
      <c r="C125" s="638" t="n">
        <v>1985</v>
      </c>
      <c r="D125" s="470"/>
      <c r="E125" s="470"/>
      <c r="F125" s="470"/>
      <c r="G125" s="470" t="n">
        <v>0</v>
      </c>
      <c r="H125" s="470" t="n">
        <v>0</v>
      </c>
      <c r="I125" s="470" t="n">
        <v>0</v>
      </c>
      <c r="J125" s="470" t="n">
        <v>0</v>
      </c>
      <c r="K125" s="470" t="n">
        <v>0</v>
      </c>
      <c r="L125" s="470" t="n">
        <v>0</v>
      </c>
    </row>
    <row r="126" customFormat="false" ht="12.75" hidden="false" customHeight="false" outlineLevel="0" collapsed="false">
      <c r="B126" s="160" t="s">
        <v>529</v>
      </c>
      <c r="C126" s="638" t="n">
        <v>1989</v>
      </c>
      <c r="D126" s="470" t="n">
        <v>-2262.465</v>
      </c>
      <c r="E126" s="470" t="n">
        <v>-2693.1</v>
      </c>
      <c r="F126" s="470" t="n">
        <v>318.1</v>
      </c>
      <c r="G126" s="470" t="n">
        <v>0</v>
      </c>
      <c r="H126" s="470" t="n">
        <v>0</v>
      </c>
      <c r="I126" s="470" t="n">
        <v>0</v>
      </c>
      <c r="J126" s="470" t="n">
        <v>0</v>
      </c>
      <c r="K126" s="470" t="n">
        <v>0</v>
      </c>
      <c r="L126" s="470" t="n">
        <v>0</v>
      </c>
    </row>
    <row r="127" customFormat="false" ht="12.75" hidden="false" customHeight="false" outlineLevel="0" collapsed="false">
      <c r="B127" s="160" t="s">
        <v>563</v>
      </c>
      <c r="C127" s="638" t="n">
        <v>1995</v>
      </c>
      <c r="D127" s="470"/>
      <c r="E127" s="470"/>
      <c r="F127" s="470"/>
      <c r="G127" s="470" t="n">
        <v>0</v>
      </c>
      <c r="H127" s="470" t="n">
        <v>0</v>
      </c>
      <c r="I127" s="470" t="n">
        <v>0</v>
      </c>
      <c r="J127" s="470" t="n">
        <v>0</v>
      </c>
      <c r="K127" s="470" t="n">
        <v>0</v>
      </c>
      <c r="L127" s="470" t="n">
        <v>0</v>
      </c>
    </row>
    <row r="128" customFormat="false" ht="12.75" hidden="false" customHeight="false" outlineLevel="0" collapsed="false">
      <c r="B128" s="160"/>
      <c r="C128" s="638"/>
      <c r="D128" s="294"/>
      <c r="E128" s="294"/>
      <c r="F128" s="294"/>
      <c r="G128" s="294"/>
      <c r="H128" s="294"/>
      <c r="I128" s="294"/>
      <c r="J128" s="292"/>
      <c r="K128" s="292"/>
      <c r="L128" s="292"/>
    </row>
    <row r="129" customFormat="false" ht="12.75" hidden="false" customHeight="false" outlineLevel="0" collapsed="false">
      <c r="B129" s="161" t="s">
        <v>705</v>
      </c>
      <c r="C129" s="639"/>
      <c r="D129" s="640" t="n">
        <f aca="false">MIN(D118:D127)</f>
        <v>-2269.059</v>
      </c>
      <c r="E129" s="640" t="n">
        <f aca="false">MIN(E118:E127)</f>
        <v>-2693.1</v>
      </c>
      <c r="F129" s="640" t="n">
        <f aca="false">MIN(F118:F127)</f>
        <v>318</v>
      </c>
      <c r="G129" s="640" t="n">
        <f aca="false">MIN(G118:G127)</f>
        <v>0</v>
      </c>
      <c r="H129" s="640" t="n">
        <f aca="false">MIN(H118:H127)</f>
        <v>0</v>
      </c>
      <c r="I129" s="640" t="n">
        <f aca="false">MIN(I118:I127)</f>
        <v>0</v>
      </c>
      <c r="J129" s="640" t="n">
        <f aca="false">MIN(J118:J127)</f>
        <v>0</v>
      </c>
      <c r="K129" s="640" t="n">
        <f aca="false">MIN(K118:K127)</f>
        <v>0</v>
      </c>
      <c r="L129" s="640" t="n">
        <f aca="false">MIN(L118:L127)</f>
        <v>0</v>
      </c>
    </row>
    <row r="130" customFormat="false" ht="12.75" hidden="false" customHeight="false" outlineLevel="0" collapsed="false">
      <c r="B130" s="161" t="s">
        <v>706</v>
      </c>
      <c r="C130" s="639"/>
      <c r="D130" s="640" t="n">
        <f aca="false">MAX(D118:D127)</f>
        <v>-2261.1</v>
      </c>
      <c r="E130" s="640" t="n">
        <f aca="false">MAX(E118:E127)</f>
        <v>-2682.362</v>
      </c>
      <c r="F130" s="640" t="n">
        <f aca="false">MAX(F118:F127)</f>
        <v>376.56</v>
      </c>
      <c r="G130" s="640" t="n">
        <f aca="false">MAX(G118:G127)</f>
        <v>0</v>
      </c>
      <c r="H130" s="640" t="n">
        <f aca="false">MAX(H118:H127)</f>
        <v>0</v>
      </c>
      <c r="I130" s="640" t="n">
        <f aca="false">MAX(I118:I127)</f>
        <v>0</v>
      </c>
      <c r="J130" s="640" t="n">
        <f aca="false">MAX(J118:J127)</f>
        <v>0</v>
      </c>
      <c r="K130" s="640" t="n">
        <f aca="false">MAX(K118:K127)</f>
        <v>0</v>
      </c>
      <c r="L130" s="640" t="n">
        <f aca="false">MAX(L118:L127)</f>
        <v>0</v>
      </c>
    </row>
    <row r="131" customFormat="false" ht="12.75" hidden="false" customHeight="false" outlineLevel="0" collapsed="false">
      <c r="B131" s="299" t="s">
        <v>2092</v>
      </c>
      <c r="C131" s="641"/>
      <c r="D131" s="623"/>
      <c r="E131" s="623"/>
      <c r="F131" s="623"/>
      <c r="G131" s="623"/>
      <c r="H131" s="623"/>
      <c r="I131" s="623"/>
      <c r="J131" s="623"/>
      <c r="K131" s="623"/>
      <c r="L131" s="623"/>
    </row>
    <row r="132" customFormat="false" ht="12.75" hidden="false" customHeight="false" outlineLevel="0" collapsed="false">
      <c r="B132" s="161" t="s">
        <v>2093</v>
      </c>
      <c r="C132" s="639"/>
      <c r="D132" s="640" t="n">
        <f aca="false">D126-D131</f>
        <v>-2262.465</v>
      </c>
      <c r="E132" s="640" t="n">
        <f aca="false">E126-E131</f>
        <v>-2693.1</v>
      </c>
      <c r="F132" s="640" t="n">
        <f aca="false">F126-F131</f>
        <v>318.1</v>
      </c>
      <c r="G132" s="640" t="n">
        <f aca="false">G126-G131</f>
        <v>0</v>
      </c>
      <c r="H132" s="640" t="n">
        <f aca="false">H126-H131</f>
        <v>0</v>
      </c>
      <c r="I132" s="640" t="n">
        <f aca="false">I126-I131</f>
        <v>0</v>
      </c>
      <c r="J132" s="640" t="n">
        <f aca="false">J126-J131</f>
        <v>0</v>
      </c>
      <c r="K132" s="640" t="n">
        <f aca="false">K126-K131</f>
        <v>0</v>
      </c>
      <c r="L132" s="640" t="n">
        <f aca="false">L126-L131</f>
        <v>0</v>
      </c>
    </row>
    <row r="133" customFormat="false" ht="12.75" hidden="false" customHeight="false" outlineLevel="0" collapsed="false">
      <c r="B133" s="161" t="s">
        <v>2094</v>
      </c>
      <c r="C133" s="639"/>
      <c r="D133" s="640" t="n">
        <f aca="false">D126+D131</f>
        <v>-2262.465</v>
      </c>
      <c r="E133" s="640" t="n">
        <f aca="false">E126+E131</f>
        <v>-2693.1</v>
      </c>
      <c r="F133" s="640" t="n">
        <f aca="false">F126+F131</f>
        <v>318.1</v>
      </c>
      <c r="G133" s="640" t="n">
        <f aca="false">G126+G131</f>
        <v>0</v>
      </c>
      <c r="H133" s="640" t="n">
        <f aca="false">H126+H131</f>
        <v>0</v>
      </c>
      <c r="I133" s="640" t="n">
        <f aca="false">I126+I131</f>
        <v>0</v>
      </c>
      <c r="J133" s="640" t="n">
        <f aca="false">J126+J131</f>
        <v>0</v>
      </c>
      <c r="K133" s="640" t="n">
        <f aca="false">K126+K131</f>
        <v>0</v>
      </c>
      <c r="L133" s="640" t="n">
        <f aca="false">L126+L131</f>
        <v>0</v>
      </c>
    </row>
    <row r="134" customFormat="false" ht="12.75" hidden="false" customHeight="false" outlineLevel="0" collapsed="false">
      <c r="B134" s="161" t="s">
        <v>2095</v>
      </c>
      <c r="C134" s="639"/>
      <c r="D134" s="640" t="n">
        <f aca="false">IF(D129&lt;D132,D132-D129,"Okay")</f>
        <v>6.59400000000005</v>
      </c>
      <c r="E134" s="640" t="str">
        <f aca="false">IF(E129&lt;E132,E132-E129,"Okay")</f>
        <v>Okay</v>
      </c>
      <c r="F134" s="640" t="n">
        <f aca="false">IF(F129&lt;F132,F132-F129,"Okay")</f>
        <v>0.100000000000023</v>
      </c>
      <c r="G134" s="640" t="str">
        <f aca="false">IF(G129&lt;G132,G132-G129,"Okay")</f>
        <v>Okay</v>
      </c>
      <c r="H134" s="640" t="str">
        <f aca="false">IF(H129&lt;H132,H132-H129,"Okay")</f>
        <v>Okay</v>
      </c>
      <c r="I134" s="640" t="str">
        <f aca="false">IF(I129&lt;I132,I132-I129,"Okay")</f>
        <v>Okay</v>
      </c>
      <c r="J134" s="640" t="str">
        <f aca="false">IF(J129&lt;J132,J132-J129,"Okay")</f>
        <v>Okay</v>
      </c>
      <c r="K134" s="640" t="str">
        <f aca="false">IF(K129&lt;K132,K132-K129,"Okay")</f>
        <v>Okay</v>
      </c>
      <c r="L134" s="640" t="str">
        <f aca="false">IF(L129&lt;L132,L132-L129,"Okay")</f>
        <v>Okay</v>
      </c>
    </row>
    <row r="135" customFormat="false" ht="13.5" hidden="false" customHeight="false" outlineLevel="0" collapsed="false">
      <c r="B135" s="304" t="s">
        <v>2096</v>
      </c>
      <c r="C135" s="643"/>
      <c r="D135" s="644" t="n">
        <f aca="false">IF(D130&gt;D133,D130-D133,"Okay")</f>
        <v>1.36500000000024</v>
      </c>
      <c r="E135" s="644" t="n">
        <f aca="false">IF(E130&gt;E133,E130-E133,"Okay")</f>
        <v>10.7379999999998</v>
      </c>
      <c r="F135" s="644" t="n">
        <f aca="false">IF(F130&gt;F133,F130-F133,"Okay")</f>
        <v>58.46</v>
      </c>
      <c r="G135" s="644" t="str">
        <f aca="false">IF(G130&gt;G133,G130-G133,"Okay")</f>
        <v>Okay</v>
      </c>
      <c r="H135" s="644" t="str">
        <f aca="false">IF(H130&gt;H133,H130-H133,"Okay")</f>
        <v>Okay</v>
      </c>
      <c r="I135" s="644" t="str">
        <f aca="false">IF(I130&gt;I133,I130-I133,"Okay")</f>
        <v>Okay</v>
      </c>
      <c r="J135" s="644" t="str">
        <f aca="false">IF(J130&gt;J133,J130-J133,"Okay")</f>
        <v>Okay</v>
      </c>
      <c r="K135" s="644" t="str">
        <f aca="false">IF(K130&gt;K133,K130-K133,"Okay")</f>
        <v>Okay</v>
      </c>
      <c r="L135" s="644" t="str">
        <f aca="false">IF(L130&gt;L133,L130-L133,"Okay")</f>
        <v>Okay</v>
      </c>
    </row>
    <row r="136" customFormat="false" ht="12.75" hidden="false" customHeight="false" outlineLevel="0" collapsed="false">
      <c r="B136" s="280" t="s">
        <v>2118</v>
      </c>
    </row>
    <row r="139" customFormat="false" ht="13.5" hidden="false" customHeight="false" outlineLevel="0" collapsed="false"/>
    <row r="140" customFormat="false" ht="12.75" hidden="false" customHeight="false" outlineLevel="0" collapsed="false">
      <c r="B140" s="169"/>
      <c r="C140" s="169"/>
      <c r="D140" s="651"/>
      <c r="E140" s="651"/>
      <c r="F140" s="651"/>
      <c r="G140" s="651"/>
      <c r="H140" s="651"/>
      <c r="I140" s="651"/>
      <c r="J140" s="651"/>
      <c r="K140" s="651"/>
      <c r="L140" s="651"/>
    </row>
    <row r="141" customFormat="false" ht="13.5" hidden="false" customHeight="true" outlineLevel="0" collapsed="false">
      <c r="B141" s="25"/>
      <c r="C141" s="25"/>
      <c r="D141" s="635" t="s">
        <v>2132</v>
      </c>
      <c r="E141" s="635"/>
      <c r="F141" s="635"/>
      <c r="G141" s="635" t="s">
        <v>2133</v>
      </c>
      <c r="H141" s="635"/>
      <c r="I141" s="635"/>
      <c r="J141" s="635" t="n">
        <v>0</v>
      </c>
      <c r="K141" s="635"/>
      <c r="L141" s="635"/>
    </row>
    <row r="142" customFormat="false" ht="14.25" hidden="false" customHeight="false" outlineLevel="0" collapsed="false">
      <c r="B142" s="16" t="s">
        <v>2086</v>
      </c>
      <c r="C142" s="53" t="s">
        <v>2087</v>
      </c>
      <c r="D142" s="636" t="s">
        <v>511</v>
      </c>
      <c r="E142" s="636" t="s">
        <v>512</v>
      </c>
      <c r="F142" s="636" t="s">
        <v>513</v>
      </c>
      <c r="G142" s="636" t="s">
        <v>511</v>
      </c>
      <c r="H142" s="636" t="s">
        <v>512</v>
      </c>
      <c r="I142" s="636" t="s">
        <v>513</v>
      </c>
      <c r="J142" s="636" t="s">
        <v>511</v>
      </c>
      <c r="K142" s="636" t="s">
        <v>512</v>
      </c>
      <c r="L142" s="636" t="s">
        <v>513</v>
      </c>
    </row>
    <row r="143" customFormat="false" ht="15" hidden="false" customHeight="false" outlineLevel="0" collapsed="false">
      <c r="B143" s="16"/>
      <c r="C143" s="53" t="s">
        <v>2088</v>
      </c>
      <c r="D143" s="55" t="s">
        <v>784</v>
      </c>
      <c r="E143" s="55" t="s">
        <v>784</v>
      </c>
      <c r="F143" s="55" t="s">
        <v>167</v>
      </c>
      <c r="G143" s="55" t="s">
        <v>784</v>
      </c>
      <c r="H143" s="55" t="s">
        <v>784</v>
      </c>
      <c r="I143" s="55" t="s">
        <v>167</v>
      </c>
      <c r="J143" s="55" t="s">
        <v>784</v>
      </c>
      <c r="K143" s="55" t="s">
        <v>784</v>
      </c>
      <c r="L143" s="55" t="s">
        <v>167</v>
      </c>
    </row>
    <row r="144" customFormat="false" ht="12.75" hidden="false" customHeight="false" outlineLevel="0" collapsed="false">
      <c r="B144" s="468" t="s">
        <v>208</v>
      </c>
      <c r="C144" s="637" t="n">
        <v>1952</v>
      </c>
      <c r="D144" s="654" t="n">
        <v>-740.937</v>
      </c>
      <c r="E144" s="654" t="n">
        <v>-822.156</v>
      </c>
      <c r="F144" s="654" t="n">
        <v>89.956</v>
      </c>
      <c r="G144" s="470" t="n">
        <v>-1014.136</v>
      </c>
      <c r="H144" s="470" t="n">
        <v>-1117.128</v>
      </c>
      <c r="I144" s="469" t="n">
        <v>146.44</v>
      </c>
      <c r="J144" s="469" t="n">
        <v>0</v>
      </c>
      <c r="K144" s="469" t="n">
        <v>0</v>
      </c>
      <c r="L144" s="469" t="n">
        <v>0</v>
      </c>
    </row>
    <row r="145" customFormat="false" ht="12.75" hidden="false" customHeight="false" outlineLevel="0" collapsed="false">
      <c r="B145" s="160" t="s">
        <v>212</v>
      </c>
      <c r="C145" s="638" t="n">
        <v>1968</v>
      </c>
      <c r="D145" s="470" t="n">
        <v>-742.193</v>
      </c>
      <c r="E145" s="470" t="n">
        <v>-824.248</v>
      </c>
      <c r="F145" s="470" t="n">
        <v>87.404</v>
      </c>
      <c r="G145" s="470" t="n">
        <v>-1015.392</v>
      </c>
      <c r="H145" s="470" t="n">
        <v>-1118.383</v>
      </c>
      <c r="I145" s="470" t="n">
        <v>146.44</v>
      </c>
      <c r="J145" s="470" t="n">
        <v>0</v>
      </c>
      <c r="K145" s="470" t="n">
        <v>0</v>
      </c>
      <c r="L145" s="470" t="n">
        <v>0</v>
      </c>
    </row>
    <row r="146" customFormat="false" ht="12.75" hidden="false" customHeight="false" outlineLevel="0" collapsed="false">
      <c r="B146" s="160" t="s">
        <v>211</v>
      </c>
      <c r="C146" s="638" t="n">
        <v>1968</v>
      </c>
      <c r="D146" s="470" t="n">
        <v>-743.565</v>
      </c>
      <c r="E146" s="470" t="n">
        <v>-825.503</v>
      </c>
      <c r="F146" s="470" t="n">
        <v>87.404</v>
      </c>
      <c r="G146" s="470" t="n">
        <v>-1017.04</v>
      </c>
      <c r="H146" s="470" t="n">
        <v>-1118.802</v>
      </c>
      <c r="I146" s="470" t="n">
        <v>150.75</v>
      </c>
      <c r="J146" s="470" t="n">
        <v>0</v>
      </c>
      <c r="K146" s="470" t="n">
        <v>0</v>
      </c>
      <c r="L146" s="470" t="n">
        <v>0</v>
      </c>
    </row>
    <row r="147" customFormat="false" ht="12.75" hidden="false" customHeight="false" outlineLevel="0" collapsed="false">
      <c r="B147" s="160" t="s">
        <v>2089</v>
      </c>
      <c r="C147" s="638" t="n">
        <v>1971</v>
      </c>
      <c r="D147" s="470" t="n">
        <v>-743.527</v>
      </c>
      <c r="E147" s="470" t="n">
        <v>-825.503</v>
      </c>
      <c r="F147" s="470" t="n">
        <v>87.4</v>
      </c>
      <c r="G147" s="470" t="n">
        <v>-1017.446</v>
      </c>
      <c r="H147" s="470" t="n">
        <v>-1120.894</v>
      </c>
      <c r="I147" s="470" t="n">
        <v>145.268</v>
      </c>
      <c r="J147" s="470" t="n">
        <v>0</v>
      </c>
      <c r="K147" s="470" t="n">
        <v>0</v>
      </c>
      <c r="L147" s="470" t="n">
        <v>0</v>
      </c>
    </row>
    <row r="148" customFormat="false" ht="12.75" hidden="false" customHeight="false" outlineLevel="0" collapsed="false">
      <c r="B148" s="160" t="s">
        <v>556</v>
      </c>
      <c r="C148" s="638" t="n">
        <v>1978</v>
      </c>
      <c r="D148" s="470" t="n">
        <v>-742.683</v>
      </c>
      <c r="E148" s="470" t="n">
        <v>-824.64</v>
      </c>
      <c r="F148" s="470" t="n">
        <v>87.4</v>
      </c>
      <c r="G148" s="470" t="n">
        <v>-1012.566</v>
      </c>
      <c r="H148" s="470" t="n">
        <v>-1115.726</v>
      </c>
      <c r="I148" s="470" t="n">
        <v>146.14</v>
      </c>
      <c r="J148" s="470" t="n">
        <v>0</v>
      </c>
      <c r="K148" s="470" t="n">
        <v>0</v>
      </c>
      <c r="L148" s="470" t="n">
        <v>0</v>
      </c>
    </row>
    <row r="149" customFormat="false" ht="12.75" hidden="false" customHeight="false" outlineLevel="0" collapsed="false">
      <c r="B149" s="160" t="s">
        <v>557</v>
      </c>
      <c r="C149" s="638" t="n">
        <v>1982</v>
      </c>
      <c r="D149" s="470" t="n">
        <v>-742.2</v>
      </c>
      <c r="E149" s="470" t="n">
        <v>-824.2</v>
      </c>
      <c r="F149" s="470" t="n">
        <v>87.4</v>
      </c>
      <c r="G149" s="470" t="n">
        <v>-1015.4</v>
      </c>
      <c r="H149" s="470" t="n">
        <v>-1118.4</v>
      </c>
      <c r="I149" s="470" t="n">
        <v>146.4</v>
      </c>
      <c r="J149" s="470" t="n">
        <v>0</v>
      </c>
      <c r="K149" s="470" t="n">
        <v>0</v>
      </c>
      <c r="L149" s="470" t="n">
        <v>0</v>
      </c>
    </row>
    <row r="150" customFormat="false" ht="12.75" hidden="false" customHeight="false" outlineLevel="0" collapsed="false">
      <c r="B150" s="160" t="s">
        <v>2090</v>
      </c>
      <c r="C150" s="638" t="n">
        <v>1984</v>
      </c>
      <c r="D150" s="470" t="n">
        <v>-742.293</v>
      </c>
      <c r="E150" s="470" t="n">
        <v>-824.248</v>
      </c>
      <c r="F150" s="470" t="n">
        <v>87.404</v>
      </c>
      <c r="G150" s="470" t="n">
        <v>-1015.228</v>
      </c>
      <c r="H150" s="470" t="n">
        <v>-1118.383</v>
      </c>
      <c r="I150" s="470" t="n">
        <v>146.147</v>
      </c>
      <c r="J150" s="470" t="n">
        <v>0</v>
      </c>
      <c r="K150" s="470" t="n">
        <v>0</v>
      </c>
      <c r="L150" s="470" t="n">
        <v>0</v>
      </c>
    </row>
    <row r="151" customFormat="false" ht="12.75" hidden="false" customHeight="false" outlineLevel="0" collapsed="false">
      <c r="B151" s="160" t="s">
        <v>2091</v>
      </c>
      <c r="C151" s="638" t="n">
        <v>1985</v>
      </c>
      <c r="D151" s="470" t="n">
        <v>-743.523</v>
      </c>
      <c r="E151" s="470" t="n">
        <v>-825.503</v>
      </c>
      <c r="F151" s="470" t="n">
        <v>87.4</v>
      </c>
      <c r="G151" s="470" t="n">
        <v>-1017.438</v>
      </c>
      <c r="H151" s="470" t="n">
        <v>-1120.894</v>
      </c>
      <c r="I151" s="470" t="n">
        <v>145.266</v>
      </c>
      <c r="J151" s="470" t="n">
        <v>0</v>
      </c>
      <c r="K151" s="470" t="n">
        <v>0</v>
      </c>
      <c r="L151" s="470" t="n">
        <v>0</v>
      </c>
    </row>
    <row r="152" customFormat="false" ht="12.75" hidden="false" customHeight="false" outlineLevel="0" collapsed="false">
      <c r="B152" s="160" t="s">
        <v>529</v>
      </c>
      <c r="C152" s="638" t="n">
        <v>1989</v>
      </c>
      <c r="D152" s="470"/>
      <c r="E152" s="470"/>
      <c r="F152" s="470"/>
      <c r="G152" s="470"/>
      <c r="H152" s="470"/>
      <c r="I152" s="470"/>
      <c r="J152" s="470" t="n">
        <v>0</v>
      </c>
      <c r="K152" s="470" t="n">
        <v>0</v>
      </c>
      <c r="L152" s="470" t="n">
        <v>0</v>
      </c>
    </row>
    <row r="153" customFormat="false" ht="12.75" hidden="false" customHeight="false" outlineLevel="0" collapsed="false">
      <c r="B153" s="160" t="s">
        <v>2123</v>
      </c>
      <c r="C153" s="638" t="n">
        <v>1992</v>
      </c>
      <c r="D153" s="470" t="n">
        <v>-744.448</v>
      </c>
      <c r="E153" s="470" t="n">
        <v>-826.29</v>
      </c>
      <c r="F153" s="470" t="n">
        <v>87.4</v>
      </c>
      <c r="G153" s="470" t="n">
        <v>-1012.719</v>
      </c>
      <c r="H153" s="470" t="n">
        <v>-1115.78</v>
      </c>
      <c r="I153" s="470" t="n">
        <v>145.89</v>
      </c>
      <c r="J153" s="470" t="n">
        <v>0</v>
      </c>
      <c r="K153" s="470" t="n">
        <v>0</v>
      </c>
      <c r="L153" s="470" t="n">
        <v>0</v>
      </c>
    </row>
    <row r="154" customFormat="false" ht="12.75" hidden="false" customHeight="false" outlineLevel="0" collapsed="false">
      <c r="B154" s="160"/>
      <c r="C154" s="638"/>
      <c r="D154" s="294"/>
      <c r="E154" s="294"/>
      <c r="F154" s="294"/>
      <c r="G154" s="294"/>
      <c r="H154" s="294"/>
      <c r="I154" s="294"/>
      <c r="J154" s="292"/>
      <c r="K154" s="292"/>
      <c r="L154" s="292"/>
    </row>
    <row r="155" customFormat="false" ht="12.75" hidden="false" customHeight="false" outlineLevel="0" collapsed="false">
      <c r="B155" s="161" t="s">
        <v>705</v>
      </c>
      <c r="C155" s="639"/>
      <c r="D155" s="640" t="n">
        <f aca="false">MIN(D145:D153)</f>
        <v>-744.448</v>
      </c>
      <c r="E155" s="640" t="n">
        <f aca="false">MIN(E145:E153)</f>
        <v>-826.29</v>
      </c>
      <c r="F155" s="640" t="n">
        <f aca="false">MIN(F145:F153)</f>
        <v>87.4</v>
      </c>
      <c r="G155" s="640" t="n">
        <f aca="false">MIN(G144:G153)</f>
        <v>-1017.446</v>
      </c>
      <c r="H155" s="640" t="n">
        <f aca="false">MIN(H144:H153)</f>
        <v>-1120.894</v>
      </c>
      <c r="I155" s="640" t="n">
        <f aca="false">MIN(I144:I153)</f>
        <v>145.266</v>
      </c>
      <c r="J155" s="640" t="n">
        <f aca="false">MIN(J144:J153)</f>
        <v>0</v>
      </c>
      <c r="K155" s="640" t="n">
        <f aca="false">MIN(K144:K153)</f>
        <v>0</v>
      </c>
      <c r="L155" s="640" t="n">
        <f aca="false">MIN(L144:L153)</f>
        <v>0</v>
      </c>
    </row>
    <row r="156" customFormat="false" ht="12.75" hidden="false" customHeight="false" outlineLevel="0" collapsed="false">
      <c r="B156" s="161" t="s">
        <v>706</v>
      </c>
      <c r="C156" s="639"/>
      <c r="D156" s="640" t="n">
        <f aca="false">MAX(D145:D153)</f>
        <v>-742.193</v>
      </c>
      <c r="E156" s="640" t="n">
        <f aca="false">MAX(E145:E153)</f>
        <v>-824.2</v>
      </c>
      <c r="F156" s="640" t="n">
        <f aca="false">MAX(F145:F153)</f>
        <v>87.404</v>
      </c>
      <c r="G156" s="640" t="n">
        <f aca="false">MAX(G144:G153)</f>
        <v>-1012.566</v>
      </c>
      <c r="H156" s="640" t="n">
        <f aca="false">MAX(H144:H153)</f>
        <v>-1115.726</v>
      </c>
      <c r="I156" s="640" t="n">
        <f aca="false">MAX(I144:I153)</f>
        <v>150.75</v>
      </c>
      <c r="J156" s="640" t="n">
        <f aca="false">MAX(J144:J153)</f>
        <v>0</v>
      </c>
      <c r="K156" s="640" t="n">
        <f aca="false">MAX(K144:K153)</f>
        <v>0</v>
      </c>
      <c r="L156" s="640" t="n">
        <f aca="false">MAX(L144:L153)</f>
        <v>0</v>
      </c>
    </row>
    <row r="157" customFormat="false" ht="12.75" hidden="false" customHeight="false" outlineLevel="0" collapsed="false">
      <c r="B157" s="299" t="s">
        <v>2124</v>
      </c>
      <c r="C157" s="641"/>
      <c r="D157" s="623" t="s">
        <v>1089</v>
      </c>
      <c r="E157" s="623" t="s">
        <v>1091</v>
      </c>
      <c r="F157" s="623" t="s">
        <v>750</v>
      </c>
      <c r="G157" s="623" t="s">
        <v>1096</v>
      </c>
      <c r="H157" s="623" t="s">
        <v>1098</v>
      </c>
      <c r="I157" s="623" t="s">
        <v>741</v>
      </c>
      <c r="J157" s="623"/>
      <c r="K157" s="623"/>
      <c r="L157" s="623"/>
    </row>
    <row r="158" customFormat="false" ht="12.75" hidden="false" customHeight="false" outlineLevel="0" collapsed="false">
      <c r="B158" s="161" t="s">
        <v>2125</v>
      </c>
      <c r="C158" s="639"/>
      <c r="D158" s="640" t="n">
        <f aca="false">D153-D157</f>
        <v>-747.08</v>
      </c>
      <c r="E158" s="640" t="n">
        <f aca="false">E153-E157</f>
        <v>-828.92</v>
      </c>
      <c r="F158" s="640" t="n">
        <f aca="false">F153-F157</f>
        <v>87.24</v>
      </c>
      <c r="G158" s="640" t="n">
        <f aca="false">G153-G157</f>
        <v>-1014.328</v>
      </c>
      <c r="H158" s="640" t="n">
        <f aca="false">H153-H157</f>
        <v>-1117.38</v>
      </c>
      <c r="I158" s="640" t="n">
        <f aca="false">I153-I157</f>
        <v>145.59</v>
      </c>
      <c r="J158" s="640" t="n">
        <f aca="false">J152-J157</f>
        <v>0</v>
      </c>
      <c r="K158" s="640" t="n">
        <f aca="false">K152-K157</f>
        <v>0</v>
      </c>
      <c r="L158" s="640" t="n">
        <f aca="false">L152-L157</f>
        <v>0</v>
      </c>
    </row>
    <row r="159" customFormat="false" ht="12.75" hidden="false" customHeight="false" outlineLevel="0" collapsed="false">
      <c r="B159" s="161" t="s">
        <v>2126</v>
      </c>
      <c r="C159" s="639"/>
      <c r="D159" s="640" t="n">
        <f aca="false">D153+D157</f>
        <v>-741.816</v>
      </c>
      <c r="E159" s="640" t="n">
        <f aca="false">E153+E157</f>
        <v>-823.66</v>
      </c>
      <c r="F159" s="640" t="n">
        <f aca="false">F153+F157</f>
        <v>87.56</v>
      </c>
      <c r="G159" s="640" t="n">
        <f aca="false">G153+G157</f>
        <v>-1011.11</v>
      </c>
      <c r="H159" s="640" t="n">
        <f aca="false">H153+H157</f>
        <v>-1114.18</v>
      </c>
      <c r="I159" s="640" t="n">
        <f aca="false">I153+I157</f>
        <v>146.19</v>
      </c>
      <c r="J159" s="640" t="n">
        <f aca="false">J152+J157</f>
        <v>0</v>
      </c>
      <c r="K159" s="640" t="n">
        <f aca="false">K152+K157</f>
        <v>0</v>
      </c>
      <c r="L159" s="640" t="n">
        <f aca="false">L152+L157</f>
        <v>0</v>
      </c>
    </row>
    <row r="160" customFormat="false" ht="12.75" hidden="false" customHeight="false" outlineLevel="0" collapsed="false">
      <c r="B160" s="161" t="s">
        <v>2095</v>
      </c>
      <c r="C160" s="639"/>
      <c r="D160" s="640" t="str">
        <f aca="false">IF(D155&lt;D158,D158-D155,"Okay")</f>
        <v>Okay</v>
      </c>
      <c r="E160" s="640" t="str">
        <f aca="false">IF(E155&lt;E158,E158-E155,"Okay")</f>
        <v>Okay</v>
      </c>
      <c r="F160" s="640" t="str">
        <f aca="false">IF(F155&lt;F158,F158-F155,"Okay")</f>
        <v>Okay</v>
      </c>
      <c r="G160" s="640" t="n">
        <f aca="false">IF(G155&lt;G158,G158-G155,"Okay")</f>
        <v>3.11799999999994</v>
      </c>
      <c r="H160" s="640" t="n">
        <f aca="false">IF(H155&lt;H158,H158-H155,"Okay")</f>
        <v>3.51400000000012</v>
      </c>
      <c r="I160" s="640" t="n">
        <f aca="false">IF(I155&lt;I158,I158-I155,"Okay")</f>
        <v>0.323999999999984</v>
      </c>
      <c r="J160" s="640" t="str">
        <f aca="false">IF(J155&lt;J158,J158-J155,"Okay")</f>
        <v>Okay</v>
      </c>
      <c r="K160" s="640" t="str">
        <f aca="false">IF(K155&lt;K158,K158-K155,"Okay")</f>
        <v>Okay</v>
      </c>
      <c r="L160" s="640" t="str">
        <f aca="false">IF(L155&lt;L158,L158-L155,"Okay")</f>
        <v>Okay</v>
      </c>
    </row>
    <row r="161" customFormat="false" ht="13.5" hidden="false" customHeight="false" outlineLevel="0" collapsed="false">
      <c r="B161" s="304" t="s">
        <v>2096</v>
      </c>
      <c r="C161" s="643"/>
      <c r="D161" s="644" t="str">
        <f aca="false">IF(D156&gt;D159,D156-D159,"Okay")</f>
        <v>Okay</v>
      </c>
      <c r="E161" s="644" t="str">
        <f aca="false">IF(E156&gt;E159,E156-E159,"Okay")</f>
        <v>Okay</v>
      </c>
      <c r="F161" s="644" t="str">
        <f aca="false">IF(F156&gt;F159,F156-F159,"Okay")</f>
        <v>Okay</v>
      </c>
      <c r="G161" s="644" t="str">
        <f aca="false">IF(G156&gt;G159,G156-G159,"Okay")</f>
        <v>Okay</v>
      </c>
      <c r="H161" s="644" t="str">
        <f aca="false">IF(H156&gt;H159,H156-H159,"Okay")</f>
        <v>Okay</v>
      </c>
      <c r="I161" s="644" t="n">
        <f aca="false">IF(I156&gt;I159,I156-I159,"Okay")</f>
        <v>4.56</v>
      </c>
      <c r="J161" s="644" t="str">
        <f aca="false">IF(J156&gt;J159,J156-J159,"Okay")</f>
        <v>Okay</v>
      </c>
      <c r="K161" s="644" t="str">
        <f aca="false">IF(K156&gt;K159,K156-K159,"Okay")</f>
        <v>Okay</v>
      </c>
      <c r="L161" s="644" t="str">
        <f aca="false">IF(L156&gt;L159,L156-L159,"Okay")</f>
        <v>Okay</v>
      </c>
    </row>
    <row r="162" customFormat="false" ht="12.75" hidden="false" customHeight="false" outlineLevel="0" collapsed="false">
      <c r="B162" s="280" t="s">
        <v>2118</v>
      </c>
    </row>
  </sheetData>
  <mergeCells count="36">
    <mergeCell ref="D10:F10"/>
    <mergeCell ref="G10:I10"/>
    <mergeCell ref="J10:L10"/>
    <mergeCell ref="D11:F11"/>
    <mergeCell ref="G11:I11"/>
    <mergeCell ref="J11:L11"/>
    <mergeCell ref="D36:F36"/>
    <mergeCell ref="G36:I36"/>
    <mergeCell ref="J36:L36"/>
    <mergeCell ref="D37:F37"/>
    <mergeCell ref="G37:I37"/>
    <mergeCell ref="J37:L37"/>
    <mergeCell ref="D62:F62"/>
    <mergeCell ref="G62:I62"/>
    <mergeCell ref="J62:L62"/>
    <mergeCell ref="D63:F63"/>
    <mergeCell ref="G63:I63"/>
    <mergeCell ref="J63:L63"/>
    <mergeCell ref="D88:F88"/>
    <mergeCell ref="G88:I88"/>
    <mergeCell ref="J88:L88"/>
    <mergeCell ref="D89:F89"/>
    <mergeCell ref="G89:I89"/>
    <mergeCell ref="J89:L89"/>
    <mergeCell ref="D114:F114"/>
    <mergeCell ref="G114:I114"/>
    <mergeCell ref="J114:L114"/>
    <mergeCell ref="D115:F115"/>
    <mergeCell ref="G115:I115"/>
    <mergeCell ref="J115:L115"/>
    <mergeCell ref="D140:F140"/>
    <mergeCell ref="G140:I140"/>
    <mergeCell ref="J140:L140"/>
    <mergeCell ref="D141:F141"/>
    <mergeCell ref="G141:I141"/>
    <mergeCell ref="J141:L141"/>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6.xml><?xml version="1.0" encoding="utf-8"?>
<worksheet xmlns="http://schemas.openxmlformats.org/spreadsheetml/2006/main" xmlns:r="http://schemas.openxmlformats.org/officeDocument/2006/relationships">
  <sheetPr filterMode="false">
    <pageSetUpPr fitToPage="false"/>
  </sheetPr>
  <dimension ref="A1:M5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O47" activeCellId="2" sqref="B16:B122 E16:F122 O47"/>
    </sheetView>
  </sheetViews>
  <sheetFormatPr defaultRowHeight="12.75" zeroHeight="false" outlineLevelRow="0" outlineLevelCol="0"/>
  <cols>
    <col collapsed="false" customWidth="true" hidden="false" outlineLevel="0" max="1" min="1" style="10" width="10.14"/>
    <col collapsed="false" customWidth="true" hidden="false" outlineLevel="0" max="2" min="2" style="10" width="15.29"/>
    <col collapsed="false" customWidth="true" hidden="false" outlineLevel="0" max="4" min="3" style="10" width="12.42"/>
    <col collapsed="false" customWidth="true" hidden="false" outlineLevel="0" max="33" min="5" style="10" width="10.14"/>
    <col collapsed="false" customWidth="true" hidden="false" outlineLevel="0" max="1025" min="34" style="10" width="9.14"/>
  </cols>
  <sheetData>
    <row r="1" customFormat="false" ht="12.75" hidden="false" customHeight="true" outlineLevel="0" collapsed="false">
      <c r="A1" s="9" t="str">
        <f aca="true">MID(CELL("filename",$A$1),   FIND("\[",CELL("filename",$A$1))+2,   FIND("]",CELL("filename",$A$1),FIND("\[",CELL("filename",$A$1))+2)-FIND("\[",CELL("filename",$A$1))-2)</f>
        <v>TDProperties_Rev0_v69.xlsx</v>
      </c>
    </row>
    <row r="2" customFormat="false" ht="12.75" hidden="false" customHeight="true" outlineLevel="0" collapsed="false">
      <c r="A2" s="10" t="str">
        <f aca="true">MID(CELL("filename",A1),FIND("]",CELL("filename",A1))+1,256)</f>
        <v>Summary P4O10</v>
      </c>
    </row>
    <row r="3" customFormat="false" ht="12.75" hidden="false" customHeight="true" outlineLevel="0" collapsed="false">
      <c r="A3" s="44"/>
    </row>
    <row r="4" customFormat="false" ht="12.75" hidden="false" customHeight="true" outlineLevel="0" collapsed="false">
      <c r="A4" s="281" t="s">
        <v>2134</v>
      </c>
    </row>
    <row r="5" customFormat="false" ht="12.75" hidden="false" customHeight="true" outlineLevel="0" collapsed="false">
      <c r="A5" s="281"/>
    </row>
    <row r="6" customFormat="false" ht="12.75" hidden="false" customHeight="true" outlineLevel="0" collapsed="false">
      <c r="A6" s="281"/>
    </row>
    <row r="7" customFormat="false" ht="12.75" hidden="false" customHeight="true" outlineLevel="0" collapsed="false">
      <c r="A7" s="281"/>
    </row>
    <row r="8" customFormat="false" ht="12.75" hidden="false" customHeight="true" outlineLevel="0" collapsed="false">
      <c r="A8" s="281"/>
    </row>
    <row r="9" customFormat="false" ht="12.75" hidden="false" customHeight="true" outlineLevel="0" collapsed="false">
      <c r="A9" s="281"/>
    </row>
    <row r="10" customFormat="false" ht="13.5" hidden="false" customHeight="true" outlineLevel="0" collapsed="false">
      <c r="B10" s="169"/>
      <c r="C10" s="169"/>
      <c r="D10" s="169"/>
      <c r="E10" s="651"/>
      <c r="F10" s="651"/>
      <c r="G10" s="651"/>
      <c r="H10" s="651"/>
      <c r="I10" s="651"/>
      <c r="J10" s="651"/>
      <c r="K10" s="651"/>
      <c r="L10" s="651"/>
      <c r="M10" s="651"/>
    </row>
    <row r="11" customFormat="false" ht="13.5" hidden="false" customHeight="true" outlineLevel="0" collapsed="false">
      <c r="B11" s="25"/>
      <c r="C11" s="25"/>
      <c r="D11" s="25"/>
      <c r="E11" s="635" t="s">
        <v>1041</v>
      </c>
      <c r="F11" s="635"/>
      <c r="G11" s="635"/>
      <c r="H11" s="635" t="s">
        <v>188</v>
      </c>
      <c r="I11" s="635"/>
      <c r="J11" s="635"/>
      <c r="K11" s="635" t="s">
        <v>187</v>
      </c>
      <c r="L11" s="635"/>
      <c r="M11" s="635"/>
    </row>
    <row r="12" customFormat="false" ht="13.5" hidden="false" customHeight="true" outlineLevel="0" collapsed="false">
      <c r="B12" s="16" t="s">
        <v>2086</v>
      </c>
      <c r="C12" s="53" t="s">
        <v>2087</v>
      </c>
      <c r="D12" s="53" t="s">
        <v>17</v>
      </c>
      <c r="E12" s="636" t="s">
        <v>511</v>
      </c>
      <c r="F12" s="636" t="s">
        <v>512</v>
      </c>
      <c r="G12" s="636" t="s">
        <v>513</v>
      </c>
      <c r="H12" s="636" t="s">
        <v>511</v>
      </c>
      <c r="I12" s="636" t="s">
        <v>512</v>
      </c>
      <c r="J12" s="636" t="s">
        <v>513</v>
      </c>
      <c r="K12" s="636" t="s">
        <v>511</v>
      </c>
      <c r="L12" s="636" t="s">
        <v>512</v>
      </c>
      <c r="M12" s="636" t="s">
        <v>513</v>
      </c>
    </row>
    <row r="13" customFormat="false" ht="13.5" hidden="false" customHeight="true" outlineLevel="0" collapsed="false">
      <c r="B13" s="16"/>
      <c r="C13" s="53" t="s">
        <v>2088</v>
      </c>
      <c r="D13" s="53" t="s">
        <v>2135</v>
      </c>
      <c r="E13" s="55" t="s">
        <v>784</v>
      </c>
      <c r="F13" s="55" t="s">
        <v>784</v>
      </c>
      <c r="G13" s="55" t="s">
        <v>167</v>
      </c>
      <c r="H13" s="55" t="s">
        <v>784</v>
      </c>
      <c r="I13" s="55" t="s">
        <v>784</v>
      </c>
      <c r="J13" s="55" t="s">
        <v>167</v>
      </c>
      <c r="K13" s="55" t="s">
        <v>784</v>
      </c>
      <c r="L13" s="55" t="s">
        <v>784</v>
      </c>
      <c r="M13" s="55" t="s">
        <v>167</v>
      </c>
    </row>
    <row r="14" customFormat="false" ht="12.75" hidden="false" customHeight="true" outlineLevel="0" collapsed="false">
      <c r="B14" s="468" t="s">
        <v>208</v>
      </c>
      <c r="C14" s="637" t="n">
        <v>1952</v>
      </c>
      <c r="D14" s="637" t="s">
        <v>505</v>
      </c>
      <c r="E14" s="469"/>
      <c r="F14" s="469" t="n">
        <v>-3012.48</v>
      </c>
      <c r="G14" s="469"/>
      <c r="H14" s="469"/>
      <c r="I14" s="469" t="n">
        <v>-18.41</v>
      </c>
      <c r="J14" s="469"/>
      <c r="K14" s="469" t="n">
        <v>0</v>
      </c>
      <c r="L14" s="469" t="n">
        <v>0</v>
      </c>
      <c r="M14" s="469" t="n">
        <v>44.35</v>
      </c>
    </row>
    <row r="15" customFormat="false" ht="12.75" hidden="false" customHeight="true" outlineLevel="0" collapsed="false">
      <c r="B15" s="160" t="s">
        <v>212</v>
      </c>
      <c r="C15" s="638" t="n">
        <v>1968</v>
      </c>
      <c r="D15" s="638" t="s">
        <v>505</v>
      </c>
      <c r="E15" s="470" t="n">
        <v>-2697.68</v>
      </c>
      <c r="F15" s="470" t="n">
        <v>-2984.029</v>
      </c>
      <c r="G15" s="470" t="n">
        <v>228.865</v>
      </c>
      <c r="H15" s="470" t="n">
        <v>-12.134</v>
      </c>
      <c r="I15" s="470" t="n">
        <v>-17.573</v>
      </c>
      <c r="J15" s="470" t="n">
        <v>22.803</v>
      </c>
      <c r="K15" s="470" t="n">
        <v>0</v>
      </c>
      <c r="L15" s="470" t="n">
        <v>0</v>
      </c>
      <c r="M15" s="470" t="n">
        <v>41.087</v>
      </c>
    </row>
    <row r="16" customFormat="false" ht="12.75" hidden="false" customHeight="true" outlineLevel="0" collapsed="false">
      <c r="B16" s="160" t="s">
        <v>211</v>
      </c>
      <c r="C16" s="638" t="n">
        <v>1968</v>
      </c>
      <c r="D16" s="638" t="s">
        <v>506</v>
      </c>
      <c r="E16" s="470" t="n">
        <v>-2719.303</v>
      </c>
      <c r="F16" s="470" t="n">
        <v>-2984.029</v>
      </c>
      <c r="G16" s="470" t="n">
        <v>228.865</v>
      </c>
      <c r="H16" s="470" t="n">
        <v>0</v>
      </c>
      <c r="I16" s="470" t="n">
        <v>0</v>
      </c>
      <c r="J16" s="470" t="n">
        <v>22.803</v>
      </c>
      <c r="K16" s="470"/>
      <c r="L16" s="470"/>
      <c r="M16" s="470"/>
    </row>
    <row r="17" customFormat="false" ht="12.75" hidden="false" customHeight="true" outlineLevel="0" collapsed="false">
      <c r="B17" s="160" t="s">
        <v>2089</v>
      </c>
      <c r="C17" s="638" t="n">
        <v>1971</v>
      </c>
      <c r="D17" s="638" t="s">
        <v>506</v>
      </c>
      <c r="E17" s="470" t="n">
        <v>-2675.296</v>
      </c>
      <c r="F17" s="470" t="n">
        <v>-2940.097</v>
      </c>
      <c r="G17" s="470" t="n">
        <v>228.781</v>
      </c>
      <c r="H17" s="470" t="n">
        <v>0</v>
      </c>
      <c r="I17" s="470" t="n">
        <v>0</v>
      </c>
      <c r="J17" s="470" t="n">
        <v>22.803</v>
      </c>
      <c r="K17" s="470" t="n">
        <v>12.012</v>
      </c>
      <c r="L17" s="470" t="n">
        <v>17.46</v>
      </c>
      <c r="M17" s="470" t="n">
        <v>41.079</v>
      </c>
    </row>
    <row r="18" customFormat="false" ht="12.75" hidden="false" customHeight="true" outlineLevel="0" collapsed="false">
      <c r="B18" s="160" t="s">
        <v>556</v>
      </c>
      <c r="C18" s="638" t="n">
        <v>1978</v>
      </c>
      <c r="D18" s="638" t="s">
        <v>506</v>
      </c>
      <c r="E18" s="470" t="n">
        <v>-2675.794</v>
      </c>
      <c r="F18" s="470" t="n">
        <v>-2940</v>
      </c>
      <c r="G18" s="470" t="n">
        <v>231</v>
      </c>
      <c r="H18" s="470" t="n">
        <v>0</v>
      </c>
      <c r="I18" s="470" t="n">
        <v>0</v>
      </c>
      <c r="J18" s="470" t="n">
        <v>22.85</v>
      </c>
      <c r="K18" s="470"/>
      <c r="L18" s="470"/>
      <c r="M18" s="470"/>
    </row>
    <row r="19" customFormat="false" ht="12.75" hidden="false" customHeight="true" outlineLevel="0" collapsed="false">
      <c r="B19" s="160" t="s">
        <v>557</v>
      </c>
      <c r="C19" s="638" t="n">
        <v>1982</v>
      </c>
      <c r="D19" s="638" t="s">
        <v>505</v>
      </c>
      <c r="E19" s="470" t="n">
        <v>-2697.7</v>
      </c>
      <c r="F19" s="470" t="n">
        <v>-2984</v>
      </c>
      <c r="G19" s="470" t="n">
        <v>228.86</v>
      </c>
      <c r="H19" s="470" t="n">
        <v>-12.1</v>
      </c>
      <c r="I19" s="470" t="n">
        <v>-17.6</v>
      </c>
      <c r="J19" s="470" t="n">
        <v>22.8</v>
      </c>
      <c r="K19" s="470" t="n">
        <v>0</v>
      </c>
      <c r="L19" s="470" t="n">
        <v>0</v>
      </c>
      <c r="M19" s="470" t="n">
        <v>41.09</v>
      </c>
    </row>
    <row r="20" customFormat="false" ht="12.75" hidden="false" customHeight="true" outlineLevel="0" collapsed="false">
      <c r="B20" s="160" t="s">
        <v>2090</v>
      </c>
      <c r="C20" s="638" t="n">
        <v>1984</v>
      </c>
      <c r="D20" s="638" t="s">
        <v>505</v>
      </c>
      <c r="E20" s="470" t="n">
        <v>-2723.357</v>
      </c>
      <c r="F20" s="470" t="n">
        <v>-3009.97</v>
      </c>
      <c r="G20" s="470" t="n">
        <v>228.781</v>
      </c>
      <c r="H20" s="470" t="n">
        <v>-12.134</v>
      </c>
      <c r="I20" s="470" t="n">
        <v>-17.573</v>
      </c>
      <c r="J20" s="470" t="n">
        <v>22.845</v>
      </c>
      <c r="K20" s="470" t="n">
        <v>0</v>
      </c>
      <c r="L20" s="470" t="n">
        <v>0</v>
      </c>
      <c r="M20" s="470" t="n">
        <v>41.087</v>
      </c>
    </row>
    <row r="21" customFormat="false" ht="12.75" hidden="false" customHeight="true" outlineLevel="0" collapsed="false">
      <c r="B21" s="160" t="s">
        <v>2091</v>
      </c>
      <c r="C21" s="638" t="n">
        <v>1985</v>
      </c>
      <c r="D21" s="638" t="s">
        <v>505</v>
      </c>
      <c r="E21" s="470" t="n">
        <v>-2723.335</v>
      </c>
      <c r="F21" s="470" t="n">
        <v>-3009.936</v>
      </c>
      <c r="G21" s="470" t="n">
        <v>228.781</v>
      </c>
      <c r="H21" s="470" t="n">
        <v>-12.026</v>
      </c>
      <c r="I21" s="470" t="n">
        <v>-17.46</v>
      </c>
      <c r="J21" s="470" t="n">
        <v>22.853</v>
      </c>
      <c r="K21" s="470" t="n">
        <v>0</v>
      </c>
      <c r="L21" s="470" t="n">
        <v>0</v>
      </c>
      <c r="M21" s="470" t="n">
        <v>41.077</v>
      </c>
    </row>
    <row r="22" customFormat="false" ht="12.75" hidden="false" customHeight="true" outlineLevel="0" collapsed="false">
      <c r="B22" s="160" t="s">
        <v>529</v>
      </c>
      <c r="C22" s="638" t="n">
        <v>1989</v>
      </c>
      <c r="D22" s="638" t="s">
        <v>505</v>
      </c>
      <c r="E22" s="470"/>
      <c r="F22" s="470"/>
      <c r="G22" s="470"/>
      <c r="H22" s="470"/>
      <c r="I22" s="470"/>
      <c r="J22" s="470"/>
      <c r="K22" s="470"/>
      <c r="L22" s="470"/>
      <c r="M22" s="470"/>
    </row>
    <row r="23" customFormat="false" ht="12.75" hidden="false" customHeight="true" outlineLevel="0" collapsed="false">
      <c r="B23" s="160" t="s">
        <v>563</v>
      </c>
      <c r="C23" s="638" t="n">
        <v>1995</v>
      </c>
      <c r="D23" s="638" t="s">
        <v>505</v>
      </c>
      <c r="E23" s="470" t="n">
        <v>-2723.2</v>
      </c>
      <c r="F23" s="470" t="n">
        <v>-3009.8</v>
      </c>
      <c r="G23" s="470" t="n">
        <v>228.8</v>
      </c>
      <c r="H23" s="470"/>
      <c r="I23" s="470"/>
      <c r="J23" s="470"/>
      <c r="K23" s="470" t="n">
        <v>0</v>
      </c>
      <c r="L23" s="470" t="n">
        <v>0</v>
      </c>
      <c r="M23" s="470" t="n">
        <v>41.09</v>
      </c>
    </row>
    <row r="24" customFormat="false" ht="12.75" hidden="false" customHeight="true" outlineLevel="0" collapsed="false">
      <c r="B24" s="160"/>
      <c r="C24" s="638"/>
      <c r="D24" s="638"/>
      <c r="E24" s="294"/>
      <c r="F24" s="294"/>
      <c r="G24" s="294"/>
      <c r="H24" s="294"/>
      <c r="I24" s="294"/>
      <c r="J24" s="294"/>
      <c r="K24" s="292"/>
      <c r="L24" s="292"/>
      <c r="M24" s="292"/>
    </row>
    <row r="25" customFormat="false" ht="12.75" hidden="false" customHeight="true" outlineLevel="0" collapsed="false">
      <c r="B25" s="161" t="s">
        <v>705</v>
      </c>
      <c r="C25" s="639"/>
      <c r="D25" s="639"/>
      <c r="E25" s="640" t="n">
        <f aca="false">MIN(E14:E23)</f>
        <v>-2723.357</v>
      </c>
      <c r="F25" s="640" t="n">
        <f aca="false">MIN(F14:F23)</f>
        <v>-3012.48</v>
      </c>
      <c r="G25" s="640" t="n">
        <f aca="false">MIN(G14:G23)</f>
        <v>228.781</v>
      </c>
      <c r="H25" s="640" t="n">
        <f aca="false">MIN(H14:H23)</f>
        <v>-12.134</v>
      </c>
      <c r="I25" s="640" t="n">
        <f aca="false">MIN(I14:I23)</f>
        <v>-18.41</v>
      </c>
      <c r="J25" s="640" t="n">
        <f aca="false">MIN(J14:J23)</f>
        <v>22.8</v>
      </c>
      <c r="K25" s="640" t="n">
        <f aca="false">MIN(K14:K23)</f>
        <v>0</v>
      </c>
      <c r="L25" s="640" t="n">
        <f aca="false">MIN(L14:L23)</f>
        <v>0</v>
      </c>
      <c r="M25" s="640" t="n">
        <f aca="false">MIN(M14:M23)</f>
        <v>41.077</v>
      </c>
    </row>
    <row r="26" customFormat="false" ht="12.75" hidden="false" customHeight="true" outlineLevel="0" collapsed="false">
      <c r="B26" s="161" t="s">
        <v>706</v>
      </c>
      <c r="C26" s="639"/>
      <c r="D26" s="639"/>
      <c r="E26" s="640" t="n">
        <f aca="false">MAX(E14:E23)</f>
        <v>-2675.296</v>
      </c>
      <c r="F26" s="640" t="n">
        <f aca="false">MAX(F14:F23)</f>
        <v>-2940</v>
      </c>
      <c r="G26" s="640" t="n">
        <f aca="false">MAX(G14:G23)</f>
        <v>231</v>
      </c>
      <c r="H26" s="640" t="n">
        <f aca="false">MAX(H14:H23)</f>
        <v>0</v>
      </c>
      <c r="I26" s="640" t="n">
        <f aca="false">MAX(I14:I23)</f>
        <v>0</v>
      </c>
      <c r="J26" s="640" t="n">
        <f aca="false">MAX(J14:J23)</f>
        <v>22.853</v>
      </c>
      <c r="K26" s="640" t="n">
        <f aca="false">MAX(K14:K23)</f>
        <v>12.012</v>
      </c>
      <c r="L26" s="640" t="n">
        <f aca="false">MAX(L14:L23)</f>
        <v>17.46</v>
      </c>
      <c r="M26" s="640" t="n">
        <f aca="false">MAX(M14:M23)</f>
        <v>44.35</v>
      </c>
    </row>
    <row r="27" customFormat="false" ht="12.75" hidden="false" customHeight="true" outlineLevel="0" collapsed="false">
      <c r="B27" s="299" t="s">
        <v>2092</v>
      </c>
      <c r="C27" s="641"/>
      <c r="D27" s="641"/>
      <c r="E27" s="623"/>
      <c r="F27" s="623"/>
      <c r="G27" s="623"/>
      <c r="H27" s="623"/>
      <c r="I27" s="623"/>
      <c r="J27" s="623"/>
      <c r="K27" s="623"/>
      <c r="L27" s="623"/>
      <c r="M27" s="623"/>
    </row>
    <row r="28" customFormat="false" ht="12.75" hidden="false" customHeight="true" outlineLevel="0" collapsed="false">
      <c r="B28" s="161" t="s">
        <v>2093</v>
      </c>
      <c r="C28" s="639"/>
      <c r="D28" s="639"/>
      <c r="E28" s="640" t="n">
        <f aca="false">E22-E27</f>
        <v>0</v>
      </c>
      <c r="F28" s="640" t="n">
        <f aca="false">F22-F27</f>
        <v>0</v>
      </c>
      <c r="G28" s="640" t="n">
        <f aca="false">G22-G27</f>
        <v>0</v>
      </c>
      <c r="H28" s="640" t="n">
        <f aca="false">H22-H27</f>
        <v>0</v>
      </c>
      <c r="I28" s="640" t="n">
        <f aca="false">I22-I27</f>
        <v>0</v>
      </c>
      <c r="J28" s="640" t="n">
        <f aca="false">J22-J27</f>
        <v>0</v>
      </c>
      <c r="K28" s="640" t="n">
        <f aca="false">K22-K27</f>
        <v>0</v>
      </c>
      <c r="L28" s="640" t="n">
        <f aca="false">L22-L27</f>
        <v>0</v>
      </c>
      <c r="M28" s="640" t="n">
        <f aca="false">M22-M27</f>
        <v>0</v>
      </c>
    </row>
    <row r="29" customFormat="false" ht="12.75" hidden="false" customHeight="true" outlineLevel="0" collapsed="false">
      <c r="B29" s="161" t="s">
        <v>2094</v>
      </c>
      <c r="C29" s="639"/>
      <c r="D29" s="639"/>
      <c r="E29" s="640" t="n">
        <f aca="false">E22+E27</f>
        <v>0</v>
      </c>
      <c r="F29" s="640" t="n">
        <f aca="false">F22+F27</f>
        <v>0</v>
      </c>
      <c r="G29" s="640" t="n">
        <f aca="false">G22+G27</f>
        <v>0</v>
      </c>
      <c r="H29" s="640" t="n">
        <f aca="false">H22+H27</f>
        <v>0</v>
      </c>
      <c r="I29" s="640" t="n">
        <f aca="false">I22+I27</f>
        <v>0</v>
      </c>
      <c r="J29" s="640" t="n">
        <f aca="false">J22+J27</f>
        <v>0</v>
      </c>
      <c r="K29" s="640" t="n">
        <f aca="false">K22+K27</f>
        <v>0</v>
      </c>
      <c r="L29" s="640" t="n">
        <f aca="false">L22+L27</f>
        <v>0</v>
      </c>
      <c r="M29" s="640" t="n">
        <f aca="false">M22+M27</f>
        <v>0</v>
      </c>
    </row>
    <row r="30" customFormat="false" ht="12.75" hidden="false" customHeight="true" outlineLevel="0" collapsed="false">
      <c r="B30" s="161" t="s">
        <v>2095</v>
      </c>
      <c r="C30" s="639"/>
      <c r="D30" s="639"/>
      <c r="E30" s="640" t="n">
        <f aca="false">IF(E25&lt;E28,E28-E25,"Okay")</f>
        <v>2723.357</v>
      </c>
      <c r="F30" s="640" t="n">
        <f aca="false">IF(F25&lt;F28,F28-F25,"Okay")</f>
        <v>3012.48</v>
      </c>
      <c r="G30" s="640" t="str">
        <f aca="false">IF(G25&lt;G28,G28-G25,"Okay")</f>
        <v>Okay</v>
      </c>
      <c r="H30" s="640" t="n">
        <f aca="false">IF(H25&lt;H28,H28-H25,"Okay")</f>
        <v>12.134</v>
      </c>
      <c r="I30" s="640" t="n">
        <f aca="false">IF(I25&lt;I28,I28-I25,"Okay")</f>
        <v>18.41</v>
      </c>
      <c r="J30" s="640" t="str">
        <f aca="false">IF(J25&lt;J28,J28-J25,"Okay")</f>
        <v>Okay</v>
      </c>
      <c r="K30" s="640" t="str">
        <f aca="false">IF(K25&lt;K28,K28-K25,"Okay")</f>
        <v>Okay</v>
      </c>
      <c r="L30" s="640" t="str">
        <f aca="false">IF(L25&lt;L28,L28-L25,"Okay")</f>
        <v>Okay</v>
      </c>
      <c r="M30" s="640" t="str">
        <f aca="false">IF(M25&lt;M28,M28-M25,"Okay")</f>
        <v>Okay</v>
      </c>
    </row>
    <row r="31" customFormat="false" ht="12.75" hidden="false" customHeight="true" outlineLevel="0" collapsed="false">
      <c r="B31" s="304" t="s">
        <v>2096</v>
      </c>
      <c r="C31" s="643"/>
      <c r="D31" s="643"/>
      <c r="E31" s="644" t="str">
        <f aca="false">IF(E26&gt;E29,E26-E29,"Okay")</f>
        <v>Okay</v>
      </c>
      <c r="F31" s="644" t="str">
        <f aca="false">IF(F26&gt;F29,F26-F29,"Okay")</f>
        <v>Okay</v>
      </c>
      <c r="G31" s="644" t="n">
        <f aca="false">IF(G26&gt;G29,G26-G29,"Okay")</f>
        <v>231</v>
      </c>
      <c r="H31" s="644" t="str">
        <f aca="false">IF(H26&gt;H29,H26-H29,"Okay")</f>
        <v>Okay</v>
      </c>
      <c r="I31" s="644" t="str">
        <f aca="false">IF(I26&gt;I29,I26-I29,"Okay")</f>
        <v>Okay</v>
      </c>
      <c r="J31" s="644" t="n">
        <f aca="false">IF(J26&gt;J29,J26-J29,"Okay")</f>
        <v>22.853</v>
      </c>
      <c r="K31" s="644" t="n">
        <f aca="false">IF(K26&gt;K29,K26-K29,"Okay")</f>
        <v>12.012</v>
      </c>
      <c r="L31" s="644" t="n">
        <f aca="false">IF(L26&gt;L29,L26-L29,"Okay")</f>
        <v>17.46</v>
      </c>
      <c r="M31" s="644" t="n">
        <f aca="false">IF(M26&gt;M29,M26-M29,"Okay")</f>
        <v>44.35</v>
      </c>
    </row>
    <row r="32" customFormat="false" ht="12.75" hidden="false" customHeight="true" outlineLevel="0" collapsed="false">
      <c r="B32" s="280" t="s">
        <v>2118</v>
      </c>
    </row>
    <row r="33" customFormat="false" ht="12.75" hidden="false" customHeight="true" outlineLevel="0" collapsed="false"/>
    <row r="34" customFormat="false" ht="12.75" hidden="false" customHeight="true" outlineLevel="0" collapsed="false"/>
    <row r="35" customFormat="false" ht="12.75" hidden="false" customHeight="true" outlineLevel="0" collapsed="false"/>
    <row r="36" customFormat="false" ht="12.75" hidden="false" customHeight="true" outlineLevel="0" collapsed="false">
      <c r="B36" s="169"/>
      <c r="C36" s="169"/>
      <c r="D36" s="169"/>
      <c r="E36" s="651"/>
      <c r="F36" s="651"/>
      <c r="G36" s="651"/>
      <c r="H36" s="651"/>
      <c r="I36" s="651"/>
      <c r="J36" s="651"/>
      <c r="K36" s="651"/>
      <c r="L36" s="651"/>
      <c r="M36" s="651"/>
    </row>
    <row r="37" customFormat="false" ht="12.75" hidden="false" customHeight="true" outlineLevel="0" collapsed="false">
      <c r="B37" s="25"/>
      <c r="C37" s="25"/>
      <c r="D37" s="25"/>
      <c r="E37" s="635" t="s">
        <v>1041</v>
      </c>
      <c r="F37" s="635"/>
      <c r="G37" s="635"/>
      <c r="H37" s="635" t="s">
        <v>188</v>
      </c>
      <c r="I37" s="635"/>
      <c r="J37" s="635"/>
      <c r="K37" s="635" t="s">
        <v>187</v>
      </c>
      <c r="L37" s="635"/>
      <c r="M37" s="635"/>
    </row>
    <row r="38" customFormat="false" ht="12.75" hidden="false" customHeight="true" outlineLevel="0" collapsed="false">
      <c r="B38" s="16" t="s">
        <v>2086</v>
      </c>
      <c r="C38" s="53" t="s">
        <v>2087</v>
      </c>
      <c r="D38" s="53" t="s">
        <v>17</v>
      </c>
      <c r="E38" s="636" t="s">
        <v>511</v>
      </c>
      <c r="F38" s="636" t="s">
        <v>512</v>
      </c>
      <c r="G38" s="636" t="s">
        <v>513</v>
      </c>
      <c r="H38" s="636" t="s">
        <v>511</v>
      </c>
      <c r="I38" s="636" t="s">
        <v>512</v>
      </c>
      <c r="J38" s="636" t="s">
        <v>513</v>
      </c>
      <c r="K38" s="636" t="s">
        <v>511</v>
      </c>
      <c r="L38" s="636" t="s">
        <v>512</v>
      </c>
      <c r="M38" s="636" t="s">
        <v>513</v>
      </c>
    </row>
    <row r="39" customFormat="false" ht="12.75" hidden="false" customHeight="true" outlineLevel="0" collapsed="false">
      <c r="B39" s="16"/>
      <c r="C39" s="53" t="s">
        <v>2088</v>
      </c>
      <c r="D39" s="53" t="s">
        <v>2135</v>
      </c>
      <c r="E39" s="55" t="s">
        <v>784</v>
      </c>
      <c r="F39" s="55" t="s">
        <v>784</v>
      </c>
      <c r="G39" s="55" t="s">
        <v>167</v>
      </c>
      <c r="H39" s="55" t="s">
        <v>784</v>
      </c>
      <c r="I39" s="55" t="s">
        <v>784</v>
      </c>
      <c r="J39" s="55" t="s">
        <v>167</v>
      </c>
      <c r="K39" s="55" t="s">
        <v>784</v>
      </c>
      <c r="L39" s="55" t="s">
        <v>784</v>
      </c>
      <c r="M39" s="55" t="s">
        <v>167</v>
      </c>
    </row>
    <row r="40" customFormat="false" ht="12.75" hidden="false" customHeight="true" outlineLevel="0" collapsed="false">
      <c r="B40" s="468" t="s">
        <v>208</v>
      </c>
      <c r="C40" s="637" t="n">
        <v>1952</v>
      </c>
      <c r="D40" s="637" t="s">
        <v>505</v>
      </c>
      <c r="E40" s="469"/>
      <c r="F40" s="469" t="n">
        <v>-3012.48</v>
      </c>
      <c r="G40" s="469"/>
      <c r="H40" s="469"/>
      <c r="I40" s="469" t="n">
        <v>-18.41</v>
      </c>
      <c r="J40" s="469"/>
      <c r="K40" s="469" t="n">
        <v>0</v>
      </c>
      <c r="L40" s="469" t="n">
        <v>0</v>
      </c>
      <c r="M40" s="469" t="n">
        <v>44.35</v>
      </c>
    </row>
    <row r="41" customFormat="false" ht="12.75" hidden="false" customHeight="true" outlineLevel="0" collapsed="false">
      <c r="B41" s="160" t="s">
        <v>212</v>
      </c>
      <c r="C41" s="638" t="n">
        <v>1968</v>
      </c>
      <c r="D41" s="638" t="s">
        <v>505</v>
      </c>
      <c r="E41" s="470" t="n">
        <v>-2697.68</v>
      </c>
      <c r="F41" s="470" t="n">
        <v>-2984.029</v>
      </c>
      <c r="G41" s="470" t="n">
        <v>228.865</v>
      </c>
      <c r="H41" s="470" t="n">
        <v>-12.134</v>
      </c>
      <c r="I41" s="470" t="n">
        <v>-17.573</v>
      </c>
      <c r="J41" s="470" t="n">
        <v>22.803</v>
      </c>
      <c r="K41" s="470" t="n">
        <v>0</v>
      </c>
      <c r="L41" s="470" t="n">
        <v>0</v>
      </c>
      <c r="M41" s="470" t="n">
        <v>41.087</v>
      </c>
    </row>
    <row r="42" customFormat="false" ht="12.75" hidden="false" customHeight="true" outlineLevel="0" collapsed="false">
      <c r="B42" s="160" t="s">
        <v>211</v>
      </c>
      <c r="C42" s="638" t="n">
        <v>1968</v>
      </c>
      <c r="D42" s="638" t="s">
        <v>506</v>
      </c>
      <c r="E42" s="654" t="n">
        <v>-2719.303</v>
      </c>
      <c r="F42" s="654" t="n">
        <v>-2984.029</v>
      </c>
      <c r="G42" s="294" t="n">
        <v>228.865</v>
      </c>
      <c r="H42" s="654" t="n">
        <v>0</v>
      </c>
      <c r="I42" s="654" t="n">
        <v>0</v>
      </c>
      <c r="J42" s="294" t="n">
        <v>22.803</v>
      </c>
      <c r="K42" s="654"/>
      <c r="L42" s="654"/>
      <c r="M42" s="294"/>
    </row>
    <row r="43" customFormat="false" ht="12.75" hidden="false" customHeight="true" outlineLevel="0" collapsed="false">
      <c r="B43" s="160" t="s">
        <v>2089</v>
      </c>
      <c r="C43" s="638" t="n">
        <v>1971</v>
      </c>
      <c r="D43" s="638" t="s">
        <v>506</v>
      </c>
      <c r="E43" s="654" t="n">
        <v>-2675.296</v>
      </c>
      <c r="F43" s="654" t="n">
        <v>-2940.097</v>
      </c>
      <c r="G43" s="294" t="n">
        <v>228.781</v>
      </c>
      <c r="H43" s="654" t="n">
        <v>0</v>
      </c>
      <c r="I43" s="654" t="n">
        <v>0</v>
      </c>
      <c r="J43" s="294" t="n">
        <v>22.803</v>
      </c>
      <c r="K43" s="654" t="n">
        <v>12.012</v>
      </c>
      <c r="L43" s="654" t="n">
        <v>17.46</v>
      </c>
      <c r="M43" s="294" t="n">
        <v>41.079</v>
      </c>
    </row>
    <row r="44" customFormat="false" ht="12.75" hidden="false" customHeight="true" outlineLevel="0" collapsed="false">
      <c r="B44" s="160" t="s">
        <v>556</v>
      </c>
      <c r="C44" s="638" t="n">
        <v>1978</v>
      </c>
      <c r="D44" s="638" t="s">
        <v>506</v>
      </c>
      <c r="E44" s="654" t="n">
        <v>-2675.794</v>
      </c>
      <c r="F44" s="654" t="n">
        <v>-2940</v>
      </c>
      <c r="G44" s="294" t="n">
        <v>231</v>
      </c>
      <c r="H44" s="654" t="n">
        <v>0</v>
      </c>
      <c r="I44" s="654" t="n">
        <v>0</v>
      </c>
      <c r="J44" s="294" t="n">
        <v>22.85</v>
      </c>
      <c r="K44" s="654"/>
      <c r="L44" s="654"/>
      <c r="M44" s="294"/>
    </row>
    <row r="45" customFormat="false" ht="12.75" hidden="false" customHeight="true" outlineLevel="0" collapsed="false">
      <c r="B45" s="160" t="s">
        <v>557</v>
      </c>
      <c r="C45" s="638" t="n">
        <v>1982</v>
      </c>
      <c r="D45" s="638" t="s">
        <v>505</v>
      </c>
      <c r="E45" s="470" t="n">
        <v>-2697.7</v>
      </c>
      <c r="F45" s="470" t="n">
        <v>-2984</v>
      </c>
      <c r="G45" s="470" t="n">
        <v>228.86</v>
      </c>
      <c r="H45" s="470" t="n">
        <v>-12.1</v>
      </c>
      <c r="I45" s="470" t="n">
        <v>-17.6</v>
      </c>
      <c r="J45" s="470" t="n">
        <v>22.8</v>
      </c>
      <c r="K45" s="470" t="n">
        <v>0</v>
      </c>
      <c r="L45" s="470" t="n">
        <v>0</v>
      </c>
      <c r="M45" s="470" t="n">
        <v>41.09</v>
      </c>
    </row>
    <row r="46" customFormat="false" ht="12.75" hidden="false" customHeight="true" outlineLevel="0" collapsed="false">
      <c r="B46" s="160" t="s">
        <v>2090</v>
      </c>
      <c r="C46" s="638" t="n">
        <v>1984</v>
      </c>
      <c r="D46" s="638" t="s">
        <v>505</v>
      </c>
      <c r="E46" s="470" t="n">
        <v>-2723.357</v>
      </c>
      <c r="F46" s="470" t="n">
        <v>-3009.97</v>
      </c>
      <c r="G46" s="470" t="n">
        <v>228.781</v>
      </c>
      <c r="H46" s="470" t="n">
        <v>-12.134</v>
      </c>
      <c r="I46" s="470" t="n">
        <v>-17.573</v>
      </c>
      <c r="J46" s="470" t="n">
        <v>22.845</v>
      </c>
      <c r="K46" s="470" t="n">
        <v>0</v>
      </c>
      <c r="L46" s="470" t="n">
        <v>0</v>
      </c>
      <c r="M46" s="470" t="n">
        <v>41.087</v>
      </c>
    </row>
    <row r="47" customFormat="false" ht="12.75" hidden="false" customHeight="true" outlineLevel="0" collapsed="false">
      <c r="B47" s="160" t="s">
        <v>2091</v>
      </c>
      <c r="C47" s="638" t="n">
        <v>1985</v>
      </c>
      <c r="D47" s="638" t="s">
        <v>505</v>
      </c>
      <c r="E47" s="470" t="n">
        <v>-2723.335</v>
      </c>
      <c r="F47" s="470" t="n">
        <v>-3009.936</v>
      </c>
      <c r="G47" s="470" t="n">
        <v>228.781</v>
      </c>
      <c r="H47" s="470" t="n">
        <v>-12.026</v>
      </c>
      <c r="I47" s="470" t="n">
        <v>-17.46</v>
      </c>
      <c r="J47" s="470" t="n">
        <v>22.853</v>
      </c>
      <c r="K47" s="470" t="n">
        <v>0</v>
      </c>
      <c r="L47" s="470" t="n">
        <v>0</v>
      </c>
      <c r="M47" s="470" t="n">
        <v>41.077</v>
      </c>
    </row>
    <row r="48" customFormat="false" ht="12.75" hidden="false" customHeight="true" outlineLevel="0" collapsed="false">
      <c r="B48" s="160" t="s">
        <v>529</v>
      </c>
      <c r="C48" s="638" t="n">
        <v>1989</v>
      </c>
      <c r="D48" s="638" t="s">
        <v>505</v>
      </c>
      <c r="E48" s="470"/>
      <c r="F48" s="470"/>
      <c r="G48" s="470"/>
      <c r="H48" s="470"/>
      <c r="I48" s="470"/>
      <c r="J48" s="470"/>
      <c r="K48" s="470"/>
      <c r="L48" s="470"/>
      <c r="M48" s="470"/>
    </row>
    <row r="49" customFormat="false" ht="12.75" hidden="false" customHeight="true" outlineLevel="0" collapsed="false">
      <c r="B49" s="160" t="s">
        <v>563</v>
      </c>
      <c r="C49" s="638" t="n">
        <v>1995</v>
      </c>
      <c r="D49" s="638" t="s">
        <v>505</v>
      </c>
      <c r="E49" s="470" t="n">
        <v>-2723.2</v>
      </c>
      <c r="F49" s="470" t="n">
        <v>-3009.8</v>
      </c>
      <c r="G49" s="470" t="n">
        <v>228.8</v>
      </c>
      <c r="H49" s="470"/>
      <c r="I49" s="470"/>
      <c r="J49" s="470"/>
      <c r="K49" s="470" t="n">
        <v>0</v>
      </c>
      <c r="L49" s="470" t="n">
        <v>0</v>
      </c>
      <c r="M49" s="470" t="n">
        <v>41.09</v>
      </c>
    </row>
    <row r="50" customFormat="false" ht="12.75" hidden="false" customHeight="false" outlineLevel="0" collapsed="false">
      <c r="B50" s="160"/>
      <c r="C50" s="638"/>
      <c r="D50" s="638"/>
      <c r="E50" s="294"/>
      <c r="F50" s="294"/>
      <c r="G50" s="294"/>
      <c r="H50" s="294"/>
      <c r="I50" s="294"/>
      <c r="J50" s="294"/>
      <c r="K50" s="292"/>
      <c r="L50" s="292"/>
      <c r="M50" s="292"/>
    </row>
    <row r="51" customFormat="false" ht="12.75" hidden="false" customHeight="false" outlineLevel="0" collapsed="false">
      <c r="B51" s="161" t="s">
        <v>705</v>
      </c>
      <c r="C51" s="639"/>
      <c r="D51" s="639"/>
      <c r="E51" s="640" t="n">
        <f aca="false">MIN(E40:E41,E45:E49)</f>
        <v>-2723.357</v>
      </c>
      <c r="F51" s="640" t="n">
        <f aca="false">MIN(F40:F41,F45:F49)</f>
        <v>-3012.48</v>
      </c>
      <c r="G51" s="640" t="n">
        <f aca="false">MIN(G40:G49)</f>
        <v>228.781</v>
      </c>
      <c r="H51" s="640" t="n">
        <f aca="false">MIN(H40:H41,H45:H49)</f>
        <v>-12.134</v>
      </c>
      <c r="I51" s="640" t="n">
        <f aca="false">MIN(I40:I41,I45:I49)</f>
        <v>-18.41</v>
      </c>
      <c r="J51" s="640" t="n">
        <f aca="false">MIN(J40:J49)</f>
        <v>22.8</v>
      </c>
      <c r="K51" s="640" t="n">
        <f aca="false">MIN(K40:K41,K45:K49)</f>
        <v>0</v>
      </c>
      <c r="L51" s="640" t="n">
        <f aca="false">MIN(L40:L41,L45:L49)</f>
        <v>0</v>
      </c>
      <c r="M51" s="640" t="n">
        <f aca="false">MIN(M40:M49)</f>
        <v>41.077</v>
      </c>
    </row>
    <row r="52" customFormat="false" ht="12.75" hidden="false" customHeight="false" outlineLevel="0" collapsed="false">
      <c r="B52" s="161" t="s">
        <v>706</v>
      </c>
      <c r="C52" s="639"/>
      <c r="D52" s="639"/>
      <c r="E52" s="640" t="n">
        <f aca="false">MAX(E40:E41,E45:E49)</f>
        <v>-2697.68</v>
      </c>
      <c r="F52" s="640" t="n">
        <f aca="false">MAX(F40:F41,F45:F49)</f>
        <v>-2984</v>
      </c>
      <c r="G52" s="640" t="n">
        <f aca="false">MAX(G40:G49)</f>
        <v>231</v>
      </c>
      <c r="H52" s="640" t="n">
        <f aca="false">MAX(H40:H41,H45:H49)</f>
        <v>-12.026</v>
      </c>
      <c r="I52" s="640" t="n">
        <f aca="false">MAX(I40:I41,I45:I49)</f>
        <v>-17.46</v>
      </c>
      <c r="J52" s="640" t="n">
        <f aca="false">MAX(J40:J49)</f>
        <v>22.853</v>
      </c>
      <c r="K52" s="640" t="n">
        <f aca="false">MAX(K40:K41,K45:K49)</f>
        <v>0</v>
      </c>
      <c r="L52" s="640" t="n">
        <f aca="false">MAX(L40:L41,L45:L49)</f>
        <v>0</v>
      </c>
      <c r="M52" s="640" t="n">
        <f aca="false">MAX(M40:M49)</f>
        <v>44.35</v>
      </c>
    </row>
    <row r="53" customFormat="false" ht="12.75" hidden="false" customHeight="false" outlineLevel="0" collapsed="false">
      <c r="B53" s="299" t="s">
        <v>2092</v>
      </c>
      <c r="C53" s="641"/>
      <c r="D53" s="641"/>
      <c r="E53" s="623"/>
      <c r="F53" s="623"/>
      <c r="G53" s="623"/>
      <c r="H53" s="623"/>
      <c r="I53" s="623"/>
      <c r="J53" s="623"/>
      <c r="K53" s="623"/>
      <c r="L53" s="623"/>
      <c r="M53" s="623"/>
    </row>
    <row r="54" customFormat="false" ht="12.75" hidden="false" customHeight="false" outlineLevel="0" collapsed="false">
      <c r="B54" s="161" t="s">
        <v>2093</v>
      </c>
      <c r="C54" s="639"/>
      <c r="D54" s="639"/>
      <c r="E54" s="640" t="n">
        <f aca="false">E48-E53</f>
        <v>0</v>
      </c>
      <c r="F54" s="640" t="n">
        <f aca="false">F48-F53</f>
        <v>0</v>
      </c>
      <c r="G54" s="640" t="n">
        <f aca="false">G48-G53</f>
        <v>0</v>
      </c>
      <c r="H54" s="640" t="n">
        <f aca="false">H48-H53</f>
        <v>0</v>
      </c>
      <c r="I54" s="640" t="n">
        <f aca="false">I48-I53</f>
        <v>0</v>
      </c>
      <c r="J54" s="640" t="n">
        <f aca="false">J48-J53</f>
        <v>0</v>
      </c>
      <c r="K54" s="640" t="n">
        <f aca="false">K48-K53</f>
        <v>0</v>
      </c>
      <c r="L54" s="640" t="n">
        <f aca="false">L48-L53</f>
        <v>0</v>
      </c>
      <c r="M54" s="640" t="n">
        <f aca="false">M48-M53</f>
        <v>0</v>
      </c>
    </row>
    <row r="55" customFormat="false" ht="12.75" hidden="false" customHeight="false" outlineLevel="0" collapsed="false">
      <c r="B55" s="161" t="s">
        <v>2094</v>
      </c>
      <c r="C55" s="639"/>
      <c r="D55" s="639"/>
      <c r="E55" s="640" t="n">
        <f aca="false">E48+E53</f>
        <v>0</v>
      </c>
      <c r="F55" s="640" t="n">
        <f aca="false">F48+F53</f>
        <v>0</v>
      </c>
      <c r="G55" s="640" t="n">
        <f aca="false">G48+G53</f>
        <v>0</v>
      </c>
      <c r="H55" s="640" t="n">
        <f aca="false">H48+H53</f>
        <v>0</v>
      </c>
      <c r="I55" s="640" t="n">
        <f aca="false">I48+I53</f>
        <v>0</v>
      </c>
      <c r="J55" s="640" t="n">
        <f aca="false">J48+J53</f>
        <v>0</v>
      </c>
      <c r="K55" s="640" t="n">
        <f aca="false">K48+K53</f>
        <v>0</v>
      </c>
      <c r="L55" s="640" t="n">
        <f aca="false">L48+L53</f>
        <v>0</v>
      </c>
      <c r="M55" s="640" t="n">
        <f aca="false">M48+M53</f>
        <v>0</v>
      </c>
    </row>
    <row r="56" customFormat="false" ht="12.75" hidden="false" customHeight="false" outlineLevel="0" collapsed="false">
      <c r="B56" s="161" t="s">
        <v>2095</v>
      </c>
      <c r="C56" s="639"/>
      <c r="D56" s="639"/>
      <c r="E56" s="640" t="n">
        <f aca="false">IF(E51&lt;E54,E54-E51,"Okay")</f>
        <v>2723.357</v>
      </c>
      <c r="F56" s="640" t="n">
        <f aca="false">IF(F51&lt;F54,F54-F51,"Okay")</f>
        <v>3012.48</v>
      </c>
      <c r="G56" s="640" t="str">
        <f aca="false">IF(G51&lt;G54,G54-G51,"Okay")</f>
        <v>Okay</v>
      </c>
      <c r="H56" s="640" t="n">
        <f aca="false">IF(H51&lt;H54,H54-H51,"Okay")</f>
        <v>12.134</v>
      </c>
      <c r="I56" s="640" t="n">
        <f aca="false">IF(I51&lt;I54,I54-I51,"Okay")</f>
        <v>18.41</v>
      </c>
      <c r="J56" s="640" t="str">
        <f aca="false">IF(J51&lt;J54,J54-J51,"Okay")</f>
        <v>Okay</v>
      </c>
      <c r="K56" s="640" t="str">
        <f aca="false">IF(K51&lt;K54,K54-K51,"Okay")</f>
        <v>Okay</v>
      </c>
      <c r="L56" s="640" t="str">
        <f aca="false">IF(L51&lt;L54,L54-L51,"Okay")</f>
        <v>Okay</v>
      </c>
      <c r="M56" s="640" t="str">
        <f aca="false">IF(M51&lt;M54,M54-M51,"Okay")</f>
        <v>Okay</v>
      </c>
    </row>
    <row r="57" customFormat="false" ht="13.5" hidden="false" customHeight="false" outlineLevel="0" collapsed="false">
      <c r="B57" s="304" t="s">
        <v>2096</v>
      </c>
      <c r="C57" s="643"/>
      <c r="D57" s="643"/>
      <c r="E57" s="644" t="str">
        <f aca="false">IF(E52&gt;E55,E52-E55,"Okay")</f>
        <v>Okay</v>
      </c>
      <c r="F57" s="644" t="str">
        <f aca="false">IF(F52&gt;F55,F52-F55,"Okay")</f>
        <v>Okay</v>
      </c>
      <c r="G57" s="644" t="n">
        <f aca="false">IF(G52&gt;G55,G52-G55,"Okay")</f>
        <v>231</v>
      </c>
      <c r="H57" s="644" t="str">
        <f aca="false">IF(H52&gt;H55,H52-H55,"Okay")</f>
        <v>Okay</v>
      </c>
      <c r="I57" s="644" t="str">
        <f aca="false">IF(I52&gt;I55,I52-I55,"Okay")</f>
        <v>Okay</v>
      </c>
      <c r="J57" s="644" t="n">
        <f aca="false">IF(J52&gt;J55,J52-J55,"Okay")</f>
        <v>22.853</v>
      </c>
      <c r="K57" s="644" t="str">
        <f aca="false">IF(K52&gt;K55,K52-K55,"Okay")</f>
        <v>Okay</v>
      </c>
      <c r="L57" s="644" t="str">
        <f aca="false">IF(L52&gt;L55,L52-L55,"Okay")</f>
        <v>Okay</v>
      </c>
      <c r="M57" s="644" t="n">
        <f aca="false">IF(M52&gt;M55,M52-M55,"Okay")</f>
        <v>44.35</v>
      </c>
    </row>
    <row r="58" customFormat="false" ht="12.75" hidden="false" customHeight="false" outlineLevel="0" collapsed="false">
      <c r="B58" s="280" t="s">
        <v>2118</v>
      </c>
    </row>
  </sheetData>
  <mergeCells count="12">
    <mergeCell ref="E10:G10"/>
    <mergeCell ref="H10:J10"/>
    <mergeCell ref="K10:M10"/>
    <mergeCell ref="E11:G11"/>
    <mergeCell ref="H11:J11"/>
    <mergeCell ref="K11:M11"/>
    <mergeCell ref="E36:G36"/>
    <mergeCell ref="H36:J36"/>
    <mergeCell ref="K36:M36"/>
    <mergeCell ref="E37:G37"/>
    <mergeCell ref="H37:J37"/>
    <mergeCell ref="K37:M37"/>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7.xml><?xml version="1.0" encoding="utf-8"?>
<worksheet xmlns="http://schemas.openxmlformats.org/spreadsheetml/2006/main" xmlns:r="http://schemas.openxmlformats.org/officeDocument/2006/relationships">
  <sheetPr filterMode="false">
    <pageSetUpPr fitToPage="false"/>
  </sheetPr>
  <dimension ref="A1:BQ11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6" activeCellId="2" sqref="B16:B122 E16:F122 D16"/>
    </sheetView>
  </sheetViews>
  <sheetFormatPr defaultRowHeight="12.75" zeroHeight="false" outlineLevelRow="0" outlineLevelCol="0"/>
  <cols>
    <col collapsed="false" customWidth="true" hidden="false" outlineLevel="0" max="1" min="1" style="0" width="13.14"/>
    <col collapsed="false" customWidth="true" hidden="false" outlineLevel="0" max="9" min="2" style="0" width="11.42"/>
    <col collapsed="false" customWidth="true" hidden="false" outlineLevel="0" max="10" min="10" style="44" width="11.42"/>
    <col collapsed="false" customWidth="true" hidden="false" outlineLevel="0" max="11" min="11" style="73" width="11.42"/>
    <col collapsed="false" customWidth="true" hidden="false" outlineLevel="0" max="15" min="12" style="73" width="6.15"/>
    <col collapsed="false" customWidth="true" hidden="false" outlineLevel="0" max="37" min="16" style="0" width="6.15"/>
    <col collapsed="false" customWidth="true" hidden="false" outlineLevel="0" max="43" min="38" style="0" width="11.42"/>
    <col collapsed="false" customWidth="true" hidden="false" outlineLevel="0" max="69" min="44" style="0" width="6.15"/>
    <col collapsed="false" customWidth="true" hidden="false" outlineLevel="0" max="1025" min="70" style="0" width="11.42"/>
  </cols>
  <sheetData>
    <row r="1" customFormat="false" ht="12.75" hidden="false" customHeight="false" outlineLevel="0" collapsed="false">
      <c r="A1" s="9" t="str">
        <f aca="true">MID(CELL("filename",$A$1),   FIND("\[",CELL("filename",$A$1))+2,   FIND("]",CELL("filename",$A$1),FIND("\[",CELL("filename",$A$1))+2)-FIND("\[",CELL("filename",$A$1))-2)</f>
        <v>TDProperties_Rev0_v69.xlsx</v>
      </c>
    </row>
    <row r="2" customFormat="false" ht="12.75" hidden="false" customHeight="false" outlineLevel="0" collapsed="false">
      <c r="A2" s="0" t="str">
        <f aca="true">MID(CELL("filename",A1),FIND("]",CELL("filename",A1))+1,256)</f>
        <v>AGS Species C89 w Gibbs (2)</v>
      </c>
    </row>
    <row r="3" customFormat="false" ht="12.75" hidden="false" customHeight="false" outlineLevel="0" collapsed="false">
      <c r="A3" s="44"/>
    </row>
    <row r="4" customFormat="false" ht="12.75" hidden="false" customHeight="false" outlineLevel="0" collapsed="false">
      <c r="A4" s="281" t="s">
        <v>1184</v>
      </c>
    </row>
    <row r="5" customFormat="false" ht="12.75" hidden="false" customHeight="false" outlineLevel="0" collapsed="false">
      <c r="A5" s="10" t="s">
        <v>150</v>
      </c>
    </row>
    <row r="6" customFormat="false" ht="13.5" hidden="false" customHeight="false" outlineLevel="0" collapsed="false">
      <c r="A6" s="10" t="s">
        <v>775</v>
      </c>
      <c r="AQ6" s="392" t="s">
        <v>1185</v>
      </c>
      <c r="AR6" s="73"/>
    </row>
    <row r="7" customFormat="false" ht="13.5" hidden="false" customHeight="false" outlineLevel="0" collapsed="false">
      <c r="A7" s="10"/>
      <c r="AQ7" s="393" t="s">
        <v>1186</v>
      </c>
      <c r="AR7" s="416" t="s">
        <v>32</v>
      </c>
      <c r="AS7" s="418" t="s">
        <v>75</v>
      </c>
      <c r="AT7" s="419" t="s">
        <v>1187</v>
      </c>
    </row>
    <row r="8" customFormat="false" ht="13.5" hidden="false" customHeight="false" outlineLevel="0" collapsed="false">
      <c r="A8" s="44"/>
      <c r="AQ8" s="398" t="s">
        <v>1189</v>
      </c>
      <c r="AR8" s="656" t="n">
        <v>28.3</v>
      </c>
      <c r="AS8" s="657" t="n">
        <v>130.68</v>
      </c>
      <c r="AT8" s="658" t="n">
        <f aca="false">-0.5*AS8</f>
        <v>-65.34</v>
      </c>
    </row>
    <row r="9" customFormat="false" ht="12.75" hidden="false" customHeight="false" outlineLevel="0" collapsed="false">
      <c r="E9" s="51" t="s">
        <v>530</v>
      </c>
      <c r="K9" s="52"/>
      <c r="AQ9" s="404" t="s">
        <v>1191</v>
      </c>
      <c r="AR9" s="405" t="n">
        <v>0.1</v>
      </c>
      <c r="AS9" s="406" t="n">
        <v>0.003</v>
      </c>
      <c r="AT9" s="659" t="n">
        <f aca="false">0.5*AS9</f>
        <v>0.0015</v>
      </c>
    </row>
    <row r="10" customFormat="false" ht="13.5" hidden="false" customHeight="false" outlineLevel="0" collapsed="false">
      <c r="E10" s="54" t="s">
        <v>165</v>
      </c>
      <c r="F10" s="10"/>
      <c r="K10" s="52"/>
      <c r="AQ10" s="408" t="s">
        <v>1192</v>
      </c>
      <c r="AR10" s="409" t="n">
        <f aca="false">(0.5*AR9)^2</f>
        <v>0.0025</v>
      </c>
      <c r="AS10" s="410" t="n">
        <f aca="false">(0.5*AS9)^2</f>
        <v>2.25E-006</v>
      </c>
      <c r="AT10" s="660" t="n">
        <f aca="false">(0.5*AT9)^2</f>
        <v>5.625E-007</v>
      </c>
    </row>
    <row r="11" customFormat="false" ht="13.5" hidden="false" customHeight="false" outlineLevel="0" collapsed="false">
      <c r="E11" s="266" t="n">
        <v>1989</v>
      </c>
      <c r="AQ11" s="392" t="s">
        <v>1185</v>
      </c>
      <c r="AR11" s="73"/>
      <c r="AS11" s="73"/>
      <c r="AT11" s="73"/>
      <c r="AU11" s="73"/>
    </row>
    <row r="12" customFormat="false" ht="13.5" hidden="false" customHeight="false" outlineLevel="0" collapsed="false">
      <c r="B12" s="10"/>
      <c r="C12" s="10"/>
      <c r="AQ12" s="393" t="s">
        <v>1186</v>
      </c>
      <c r="AR12" s="416" t="s">
        <v>32</v>
      </c>
      <c r="AS12" s="417" t="s">
        <v>40</v>
      </c>
      <c r="AT12" s="418" t="s">
        <v>41</v>
      </c>
      <c r="AU12" s="418" t="s">
        <v>46</v>
      </c>
      <c r="AV12" s="417" t="s">
        <v>48</v>
      </c>
      <c r="AW12" s="417" t="s">
        <v>49</v>
      </c>
      <c r="AX12" s="418" t="s">
        <v>54</v>
      </c>
      <c r="AY12" s="418" t="s">
        <v>59</v>
      </c>
      <c r="AZ12" s="418" t="s">
        <v>66</v>
      </c>
      <c r="BA12" s="418" t="s">
        <v>68</v>
      </c>
      <c r="BB12" s="418" t="s">
        <v>75</v>
      </c>
      <c r="BC12" s="418" t="s">
        <v>82</v>
      </c>
      <c r="BD12" s="418" t="s">
        <v>86</v>
      </c>
      <c r="BE12" s="418" t="s">
        <v>89</v>
      </c>
      <c r="BF12" s="417" t="s">
        <v>93</v>
      </c>
      <c r="BG12" s="418" t="s">
        <v>97</v>
      </c>
      <c r="BH12" s="418" t="s">
        <v>99</v>
      </c>
      <c r="BI12" s="417" t="s">
        <v>103</v>
      </c>
      <c r="BJ12" s="418" t="s">
        <v>107</v>
      </c>
      <c r="BK12" s="417" t="s">
        <v>110</v>
      </c>
      <c r="BL12" s="418" t="s">
        <v>119</v>
      </c>
      <c r="BM12" s="418" t="s">
        <v>120</v>
      </c>
      <c r="BN12" s="418" t="s">
        <v>125</v>
      </c>
      <c r="BO12" s="417" t="s">
        <v>129</v>
      </c>
      <c r="BP12" s="418" t="s">
        <v>132</v>
      </c>
      <c r="BQ12" s="419" t="s">
        <v>1187</v>
      </c>
    </row>
    <row r="13" customFormat="false" ht="12.75" hidden="false" customHeight="false" outlineLevel="0" collapsed="false">
      <c r="C13" s="9" t="s">
        <v>711</v>
      </c>
      <c r="E13" s="9" t="s">
        <v>1188</v>
      </c>
      <c r="AQ13" s="398" t="s">
        <v>1189</v>
      </c>
      <c r="AR13" s="661" t="n">
        <v>28.3</v>
      </c>
      <c r="AS13" s="657" t="n">
        <v>5.9</v>
      </c>
      <c r="AT13" s="657"/>
      <c r="AU13" s="657" t="n">
        <v>152.21</v>
      </c>
      <c r="AV13" s="662" t="n">
        <v>5.74</v>
      </c>
      <c r="AW13" s="662" t="n">
        <v>41.59</v>
      </c>
      <c r="AX13" s="657" t="n">
        <v>223.081</v>
      </c>
      <c r="AY13" s="662" t="n">
        <v>85.23</v>
      </c>
      <c r="AZ13" s="657" t="n">
        <v>202.791</v>
      </c>
      <c r="BA13" s="662"/>
      <c r="BB13" s="657" t="n">
        <v>130.68</v>
      </c>
      <c r="BC13" s="657" t="n">
        <v>116.14</v>
      </c>
      <c r="BD13" s="662" t="n">
        <v>64.68</v>
      </c>
      <c r="BE13" s="662" t="n">
        <v>29.12</v>
      </c>
      <c r="BF13" s="662" t="n">
        <v>32.67</v>
      </c>
      <c r="BG13" s="657" t="n">
        <v>191.609</v>
      </c>
      <c r="BH13" s="657" t="n">
        <v>51.3</v>
      </c>
      <c r="BI13" s="662"/>
      <c r="BJ13" s="657" t="n">
        <v>205.152</v>
      </c>
      <c r="BK13" s="662" t="n">
        <v>41.09</v>
      </c>
      <c r="BL13" s="662"/>
      <c r="BM13" s="662" t="n">
        <v>76.78</v>
      </c>
      <c r="BN13" s="662" t="n">
        <v>32.054</v>
      </c>
      <c r="BO13" s="662" t="n">
        <v>18.81</v>
      </c>
      <c r="BP13" s="663"/>
      <c r="BQ13" s="658" t="n">
        <f aca="false">-0.5*BB13</f>
        <v>-65.34</v>
      </c>
    </row>
    <row r="14" customFormat="false" ht="12.75" hidden="false" customHeight="false" outlineLevel="0" collapsed="false">
      <c r="C14" s="9" t="s">
        <v>157</v>
      </c>
      <c r="E14" s="282" t="s">
        <v>1190</v>
      </c>
      <c r="AQ14" s="404" t="s">
        <v>1191</v>
      </c>
      <c r="AR14" s="664" t="n">
        <v>0.1</v>
      </c>
      <c r="AS14" s="406" t="n">
        <v>0.08</v>
      </c>
      <c r="AT14" s="406"/>
      <c r="AU14" s="406" t="n">
        <v>0.3</v>
      </c>
      <c r="AV14" s="406" t="n">
        <v>0.1</v>
      </c>
      <c r="AW14" s="406" t="n">
        <v>0.4</v>
      </c>
      <c r="AX14" s="406" t="n">
        <v>0.01</v>
      </c>
      <c r="AY14" s="406" t="n">
        <v>0.4</v>
      </c>
      <c r="AZ14" s="406" t="n">
        <v>0.005</v>
      </c>
      <c r="BA14" s="406"/>
      <c r="BB14" s="406" t="n">
        <v>0.003</v>
      </c>
      <c r="BC14" s="406" t="n">
        <v>0.3</v>
      </c>
      <c r="BD14" s="406" t="n">
        <v>0.2</v>
      </c>
      <c r="BE14" s="406" t="n">
        <v>0.2</v>
      </c>
      <c r="BF14" s="406" t="n">
        <v>0.1</v>
      </c>
      <c r="BG14" s="406" t="n">
        <v>0.004</v>
      </c>
      <c r="BH14" s="406" t="n">
        <v>0.2</v>
      </c>
      <c r="BI14" s="406"/>
      <c r="BJ14" s="406" t="n">
        <v>0.005</v>
      </c>
      <c r="BK14" s="406" t="n">
        <v>0.25</v>
      </c>
      <c r="BL14" s="406"/>
      <c r="BM14" s="406" t="n">
        <v>0.3</v>
      </c>
      <c r="BN14" s="406" t="n">
        <v>0.05</v>
      </c>
      <c r="BO14" s="406" t="n">
        <v>0.08</v>
      </c>
      <c r="BP14" s="407"/>
      <c r="BQ14" s="659" t="n">
        <f aca="false">0.5*BB14</f>
        <v>0.0015</v>
      </c>
    </row>
    <row r="15" customFormat="false" ht="13.5" hidden="false" customHeight="false" outlineLevel="0" collapsed="false">
      <c r="B15" s="9"/>
      <c r="C15" s="9"/>
      <c r="AN15" s="191"/>
      <c r="AQ15" s="408" t="s">
        <v>1192</v>
      </c>
      <c r="AR15" s="665" t="n">
        <f aca="false">(0.5*AR14)^2</f>
        <v>0.0025</v>
      </c>
      <c r="AS15" s="410" t="n">
        <f aca="false">(0.5*AS14)^2</f>
        <v>0.0016</v>
      </c>
      <c r="AT15" s="410" t="n">
        <f aca="false">(0.5*AT14)^2</f>
        <v>0</v>
      </c>
      <c r="AU15" s="410" t="n">
        <f aca="false">(0.5*AU14)^2</f>
        <v>0.0225</v>
      </c>
      <c r="AV15" s="410" t="n">
        <f aca="false">(0.5*AV14)^2</f>
        <v>0.0025</v>
      </c>
      <c r="AW15" s="410" t="n">
        <f aca="false">(0.5*AW14)^2</f>
        <v>0.04</v>
      </c>
      <c r="AX15" s="410" t="n">
        <f aca="false">(0.5*AX14)^2</f>
        <v>2.5E-005</v>
      </c>
      <c r="AY15" s="410" t="n">
        <f aca="false">(0.5*AY14)^2</f>
        <v>0.04</v>
      </c>
      <c r="AZ15" s="410" t="n">
        <f aca="false">(0.5*AZ14)^2</f>
        <v>6.25E-006</v>
      </c>
      <c r="BA15" s="410" t="n">
        <f aca="false">(0.5*BA14)^2</f>
        <v>0</v>
      </c>
      <c r="BB15" s="410" t="n">
        <f aca="false">(0.5*BB14)^2</f>
        <v>2.25E-006</v>
      </c>
      <c r="BC15" s="410" t="n">
        <f aca="false">(0.5*BC14)^2</f>
        <v>0.0225</v>
      </c>
      <c r="BD15" s="410" t="n">
        <f aca="false">(0.5*BD14)^2</f>
        <v>0.01</v>
      </c>
      <c r="BE15" s="410" t="n">
        <f aca="false">(0.5*BE14)^2</f>
        <v>0.01</v>
      </c>
      <c r="BF15" s="410" t="n">
        <f aca="false">(0.5*BF14)^2</f>
        <v>0.0025</v>
      </c>
      <c r="BG15" s="410" t="n">
        <f aca="false">(0.5*BG14)^2</f>
        <v>4E-006</v>
      </c>
      <c r="BH15" s="410" t="n">
        <f aca="false">(0.5*BH14)^2</f>
        <v>0.01</v>
      </c>
      <c r="BI15" s="410" t="n">
        <f aca="false">(0.5*BI14)^2</f>
        <v>0</v>
      </c>
      <c r="BJ15" s="410" t="n">
        <f aca="false">(0.5*BJ14)^2</f>
        <v>6.25E-006</v>
      </c>
      <c r="BK15" s="410" t="n">
        <f aca="false">(0.5*BK14)^2</f>
        <v>0.015625</v>
      </c>
      <c r="BL15" s="410" t="n">
        <f aca="false">(0.5*BL14)^2</f>
        <v>0</v>
      </c>
      <c r="BM15" s="410" t="n">
        <f aca="false">(0.5*BM14)^2</f>
        <v>0.0225</v>
      </c>
      <c r="BN15" s="410" t="n">
        <f aca="false">(0.5*BN14)^2</f>
        <v>0.000625</v>
      </c>
      <c r="BO15" s="410" t="n">
        <f aca="false">(0.5*BO14)^2</f>
        <v>0.0016</v>
      </c>
      <c r="BP15" s="410" t="n">
        <f aca="false">(0.5*BP14)^2</f>
        <v>0</v>
      </c>
      <c r="BQ15" s="660" t="n">
        <f aca="false">(0.5*BQ14)^2</f>
        <v>5.625E-007</v>
      </c>
    </row>
    <row r="16" customFormat="false" ht="15" hidden="false" customHeight="false" outlineLevel="0" collapsed="false">
      <c r="A16" s="10"/>
      <c r="B16" s="10"/>
      <c r="C16" s="15"/>
      <c r="D16" s="283" t="s">
        <v>779</v>
      </c>
      <c r="E16" s="284"/>
      <c r="F16" s="283" t="s">
        <v>780</v>
      </c>
      <c r="G16" s="284"/>
      <c r="H16" s="283" t="s">
        <v>781</v>
      </c>
      <c r="I16" s="284"/>
    </row>
    <row r="17" customFormat="false" ht="13.5" hidden="false" customHeight="false" outlineLevel="0" collapsed="false">
      <c r="A17" s="10"/>
      <c r="B17" s="10"/>
      <c r="C17" s="16"/>
      <c r="D17" s="50"/>
      <c r="E17" s="50" t="s">
        <v>725</v>
      </c>
      <c r="F17" s="50"/>
      <c r="G17" s="50" t="s">
        <v>725</v>
      </c>
      <c r="H17" s="50"/>
      <c r="I17" s="50" t="s">
        <v>725</v>
      </c>
      <c r="AQ17" s="411" t="s">
        <v>1185</v>
      </c>
    </row>
    <row r="18" customFormat="false" ht="13.5" hidden="false" customHeight="false" outlineLevel="0" collapsed="false">
      <c r="C18" s="16" t="s">
        <v>782</v>
      </c>
      <c r="D18" s="53" t="s">
        <v>726</v>
      </c>
      <c r="E18" s="53" t="s">
        <v>727</v>
      </c>
      <c r="F18" s="53" t="s">
        <v>726</v>
      </c>
      <c r="G18" s="53" t="s">
        <v>727</v>
      </c>
      <c r="H18" s="53" t="s">
        <v>726</v>
      </c>
      <c r="I18" s="53" t="s">
        <v>727</v>
      </c>
      <c r="K18" s="11"/>
      <c r="L18" s="412" t="s">
        <v>1193</v>
      </c>
      <c r="M18" s="413"/>
      <c r="N18" s="413"/>
      <c r="O18" s="413"/>
      <c r="P18" s="414"/>
      <c r="Q18" s="414"/>
      <c r="R18" s="414"/>
      <c r="S18" s="414"/>
      <c r="T18" s="414"/>
      <c r="U18" s="414"/>
      <c r="V18" s="414"/>
      <c r="W18" s="414"/>
      <c r="X18" s="414"/>
      <c r="Y18" s="414"/>
      <c r="Z18" s="414"/>
      <c r="AA18" s="414"/>
      <c r="AB18" s="414"/>
      <c r="AC18" s="414"/>
      <c r="AD18" s="414"/>
      <c r="AE18" s="414"/>
      <c r="AF18" s="414"/>
      <c r="AG18" s="414"/>
      <c r="AH18" s="414"/>
      <c r="AI18" s="414"/>
      <c r="AJ18" s="414"/>
      <c r="AK18" s="279"/>
      <c r="AM18" s="9" t="s">
        <v>1194</v>
      </c>
      <c r="AN18" s="9"/>
      <c r="AO18" s="9"/>
      <c r="AQ18" s="11"/>
      <c r="AR18" s="412"/>
      <c r="AS18" s="413"/>
      <c r="AT18" s="413"/>
      <c r="AU18" s="413"/>
      <c r="AV18" s="414"/>
      <c r="AW18" s="414"/>
      <c r="AX18" s="414" t="s">
        <v>1195</v>
      </c>
      <c r="AY18" s="414"/>
      <c r="AZ18" s="414"/>
      <c r="BA18" s="414"/>
      <c r="BB18" s="414"/>
      <c r="BC18" s="414"/>
      <c r="BD18" s="414"/>
      <c r="BE18" s="414"/>
      <c r="BF18" s="414"/>
      <c r="BG18" s="414" t="s">
        <v>1196</v>
      </c>
      <c r="BH18" s="414"/>
      <c r="BI18" s="414"/>
      <c r="BJ18" s="414"/>
      <c r="BK18" s="414"/>
      <c r="BL18" s="414"/>
      <c r="BM18" s="414"/>
      <c r="BN18" s="414"/>
      <c r="BO18" s="414"/>
      <c r="BP18" s="414"/>
      <c r="BQ18" s="279"/>
    </row>
    <row r="19" customFormat="false" ht="15" hidden="false" customHeight="false" outlineLevel="0" collapsed="false">
      <c r="C19" s="21" t="s">
        <v>783</v>
      </c>
      <c r="D19" s="55" t="s">
        <v>784</v>
      </c>
      <c r="E19" s="55" t="s">
        <v>784</v>
      </c>
      <c r="F19" s="55" t="s">
        <v>784</v>
      </c>
      <c r="G19" s="55" t="s">
        <v>784</v>
      </c>
      <c r="H19" s="55" t="s">
        <v>167</v>
      </c>
      <c r="I19" s="55" t="s">
        <v>167</v>
      </c>
      <c r="K19" s="415" t="s">
        <v>783</v>
      </c>
      <c r="L19" s="416" t="s">
        <v>32</v>
      </c>
      <c r="M19" s="417" t="s">
        <v>40</v>
      </c>
      <c r="N19" s="418" t="s">
        <v>41</v>
      </c>
      <c r="O19" s="418" t="s">
        <v>46</v>
      </c>
      <c r="P19" s="417" t="s">
        <v>48</v>
      </c>
      <c r="Q19" s="417" t="s">
        <v>49</v>
      </c>
      <c r="R19" s="418" t="s">
        <v>54</v>
      </c>
      <c r="S19" s="418" t="s">
        <v>59</v>
      </c>
      <c r="T19" s="418" t="s">
        <v>66</v>
      </c>
      <c r="U19" s="418" t="s">
        <v>68</v>
      </c>
      <c r="V19" s="418" t="s">
        <v>75</v>
      </c>
      <c r="W19" s="418" t="s">
        <v>82</v>
      </c>
      <c r="X19" s="418" t="s">
        <v>86</v>
      </c>
      <c r="Y19" s="418" t="s">
        <v>89</v>
      </c>
      <c r="Z19" s="417" t="s">
        <v>93</v>
      </c>
      <c r="AA19" s="418" t="s">
        <v>97</v>
      </c>
      <c r="AB19" s="418" t="s">
        <v>99</v>
      </c>
      <c r="AC19" s="417" t="s">
        <v>103</v>
      </c>
      <c r="AD19" s="418" t="s">
        <v>107</v>
      </c>
      <c r="AE19" s="417" t="s">
        <v>110</v>
      </c>
      <c r="AF19" s="418" t="s">
        <v>119</v>
      </c>
      <c r="AG19" s="418" t="s">
        <v>120</v>
      </c>
      <c r="AH19" s="418" t="s">
        <v>125</v>
      </c>
      <c r="AI19" s="417" t="s">
        <v>129</v>
      </c>
      <c r="AJ19" s="418" t="s">
        <v>132</v>
      </c>
      <c r="AK19" s="419" t="s">
        <v>1187</v>
      </c>
      <c r="AM19" s="9" t="s">
        <v>157</v>
      </c>
      <c r="AN19" s="10"/>
      <c r="AO19" s="10"/>
      <c r="AQ19" s="415" t="s">
        <v>783</v>
      </c>
      <c r="AR19" s="420" t="s">
        <v>32</v>
      </c>
      <c r="AS19" s="421" t="s">
        <v>40</v>
      </c>
      <c r="AT19" s="422" t="s">
        <v>41</v>
      </c>
      <c r="AU19" s="422" t="s">
        <v>46</v>
      </c>
      <c r="AV19" s="421" t="s">
        <v>48</v>
      </c>
      <c r="AW19" s="421" t="s">
        <v>49</v>
      </c>
      <c r="AX19" s="422" t="s">
        <v>54</v>
      </c>
      <c r="AY19" s="422" t="s">
        <v>59</v>
      </c>
      <c r="AZ19" s="422" t="s">
        <v>66</v>
      </c>
      <c r="BA19" s="422" t="s">
        <v>68</v>
      </c>
      <c r="BB19" s="422" t="s">
        <v>75</v>
      </c>
      <c r="BC19" s="422" t="s">
        <v>82</v>
      </c>
      <c r="BD19" s="422" t="s">
        <v>86</v>
      </c>
      <c r="BE19" s="422" t="s">
        <v>89</v>
      </c>
      <c r="BF19" s="421" t="s">
        <v>93</v>
      </c>
      <c r="BG19" s="422" t="s">
        <v>97</v>
      </c>
      <c r="BH19" s="422" t="s">
        <v>99</v>
      </c>
      <c r="BI19" s="421" t="s">
        <v>103</v>
      </c>
      <c r="BJ19" s="422" t="s">
        <v>107</v>
      </c>
      <c r="BK19" s="421" t="s">
        <v>110</v>
      </c>
      <c r="BL19" s="422" t="s">
        <v>119</v>
      </c>
      <c r="BM19" s="422" t="s">
        <v>120</v>
      </c>
      <c r="BN19" s="422" t="s">
        <v>125</v>
      </c>
      <c r="BO19" s="421" t="s">
        <v>129</v>
      </c>
      <c r="BP19" s="422" t="s">
        <v>132</v>
      </c>
      <c r="BQ19" s="423" t="s">
        <v>1187</v>
      </c>
    </row>
    <row r="20" customFormat="false" ht="13.5" hidden="false" customHeight="false" outlineLevel="0" collapsed="false">
      <c r="A20" s="45"/>
      <c r="B20" s="44"/>
      <c r="C20" s="424" t="s">
        <v>785</v>
      </c>
      <c r="D20" s="285" t="n">
        <f aca="false">IF(F20="","",IF(H20="","",ROUND(F20-0.001*298.15*(H20-SUMPRODUCT(L20:AK20*AR$13:BQ$13)),3)))</f>
        <v>0</v>
      </c>
      <c r="E20" s="131" t="n">
        <f aca="false">IF(G20="","",IF(I20="","",ROUND(2*SQRT((0.5*G20)^2+(0.001*298.15)^2*((0.5*I20)^2+SUMPRODUCT(AR20:BQ20*AR$15:BQ$15))),3)))</f>
        <v>0</v>
      </c>
      <c r="F20" s="286" t="s">
        <v>786</v>
      </c>
      <c r="G20" s="287" t="s">
        <v>786</v>
      </c>
      <c r="H20" s="286" t="s">
        <v>786</v>
      </c>
      <c r="I20" s="337" t="s">
        <v>786</v>
      </c>
      <c r="K20" s="425" t="s">
        <v>785</v>
      </c>
      <c r="L20" s="426"/>
      <c r="M20" s="427"/>
      <c r="N20" s="427"/>
      <c r="O20" s="427"/>
      <c r="P20" s="428"/>
      <c r="Q20" s="428"/>
      <c r="R20" s="428"/>
      <c r="S20" s="428"/>
      <c r="T20" s="428"/>
      <c r="U20" s="428"/>
      <c r="V20" s="428" t="n">
        <v>0.5</v>
      </c>
      <c r="W20" s="428"/>
      <c r="X20" s="428"/>
      <c r="Y20" s="428"/>
      <c r="Z20" s="428"/>
      <c r="AA20" s="428"/>
      <c r="AB20" s="428"/>
      <c r="AC20" s="428"/>
      <c r="AD20" s="428"/>
      <c r="AE20" s="428"/>
      <c r="AF20" s="428"/>
      <c r="AG20" s="428"/>
      <c r="AH20" s="428"/>
      <c r="AI20" s="429"/>
      <c r="AJ20" s="428"/>
      <c r="AK20" s="430" t="n">
        <v>1</v>
      </c>
      <c r="AM20" s="73"/>
      <c r="AN20" s="73"/>
      <c r="AO20" s="73"/>
      <c r="AQ20" s="425" t="s">
        <v>785</v>
      </c>
      <c r="AR20" s="431" t="n">
        <f aca="false">L20^2</f>
        <v>0</v>
      </c>
      <c r="AS20" s="432" t="n">
        <f aca="false">M20^2</f>
        <v>0</v>
      </c>
      <c r="AT20" s="432" t="n">
        <f aca="false">N20^2</f>
        <v>0</v>
      </c>
      <c r="AU20" s="432" t="n">
        <f aca="false">O20^2</f>
        <v>0</v>
      </c>
      <c r="AV20" s="432" t="n">
        <f aca="false">P20^2</f>
        <v>0</v>
      </c>
      <c r="AW20" s="432" t="n">
        <f aca="false">Q20^2</f>
        <v>0</v>
      </c>
      <c r="AX20" s="432" t="n">
        <f aca="false">R20^2</f>
        <v>0</v>
      </c>
      <c r="AY20" s="432" t="n">
        <f aca="false">S20^2</f>
        <v>0</v>
      </c>
      <c r="AZ20" s="432" t="n">
        <f aca="false">T20^2</f>
        <v>0</v>
      </c>
      <c r="BA20" s="432" t="n">
        <f aca="false">U20^2</f>
        <v>0</v>
      </c>
      <c r="BB20" s="432" t="n">
        <f aca="false">V20^2</f>
        <v>0.25</v>
      </c>
      <c r="BC20" s="432" t="n">
        <f aca="false">W20^2</f>
        <v>0</v>
      </c>
      <c r="BD20" s="432" t="n">
        <f aca="false">X20^2</f>
        <v>0</v>
      </c>
      <c r="BE20" s="432" t="n">
        <f aca="false">Y20^2</f>
        <v>0</v>
      </c>
      <c r="BF20" s="432" t="n">
        <f aca="false">Z20^2</f>
        <v>0</v>
      </c>
      <c r="BG20" s="432" t="n">
        <f aca="false">AA20^2</f>
        <v>0</v>
      </c>
      <c r="BH20" s="432" t="n">
        <f aca="false">AB20^2</f>
        <v>0</v>
      </c>
      <c r="BI20" s="432" t="n">
        <f aca="false">AC20^2</f>
        <v>0</v>
      </c>
      <c r="BJ20" s="432" t="n">
        <f aca="false">AD20^2</f>
        <v>0</v>
      </c>
      <c r="BK20" s="432" t="n">
        <f aca="false">AE20^2</f>
        <v>0</v>
      </c>
      <c r="BL20" s="432" t="n">
        <f aca="false">AF20^2</f>
        <v>0</v>
      </c>
      <c r="BM20" s="432" t="n">
        <f aca="false">AG20^2</f>
        <v>0</v>
      </c>
      <c r="BN20" s="432" t="n">
        <f aca="false">AH20^2</f>
        <v>0</v>
      </c>
      <c r="BO20" s="432" t="n">
        <f aca="false">AI20^2</f>
        <v>0</v>
      </c>
      <c r="BP20" s="432" t="n">
        <f aca="false">AJ20^2</f>
        <v>0</v>
      </c>
      <c r="BQ20" s="433" t="n">
        <f aca="false">-SIGN(AK20)*AK20^2</f>
        <v>-1</v>
      </c>
    </row>
    <row r="21" customFormat="false" ht="12.75" hidden="false" customHeight="false" outlineLevel="0" collapsed="false">
      <c r="A21" s="45"/>
      <c r="B21" s="44"/>
      <c r="C21" s="161" t="s">
        <v>787</v>
      </c>
      <c r="D21" s="290" t="n">
        <f aca="false">IF(F21="","",IF(H21="","",ROUND(F21-0.001*298.15*(H21-SUMPRODUCT(L21:AK21*AR$13:BQ$13)),3)))</f>
        <v>-157.22</v>
      </c>
      <c r="E21" s="137" t="n">
        <f aca="false">IF(G21="","",IF(I21="","",ROUND(2*SQRT((0.5*G21)^2+(0.001*298.15)^2*((0.5*I21)^2+SUMPRODUCT(AR21:BQ21*AR$15:BQ$15))),3)))</f>
        <v>0.072</v>
      </c>
      <c r="F21" s="291" t="s">
        <v>788</v>
      </c>
      <c r="G21" s="292" t="s">
        <v>789</v>
      </c>
      <c r="H21" s="291" t="s">
        <v>790</v>
      </c>
      <c r="I21" s="292" t="s">
        <v>728</v>
      </c>
      <c r="K21" s="342" t="s">
        <v>787</v>
      </c>
      <c r="L21" s="434"/>
      <c r="M21" s="435"/>
      <c r="N21" s="435"/>
      <c r="O21" s="435"/>
      <c r="P21" s="436"/>
      <c r="Q21" s="436"/>
      <c r="R21" s="436"/>
      <c r="S21" s="436"/>
      <c r="T21" s="436"/>
      <c r="U21" s="436"/>
      <c r="V21" s="436" t="n">
        <v>0.5</v>
      </c>
      <c r="W21" s="436"/>
      <c r="X21" s="436"/>
      <c r="Y21" s="436"/>
      <c r="Z21" s="436"/>
      <c r="AA21" s="436"/>
      <c r="AB21" s="436"/>
      <c r="AC21" s="436"/>
      <c r="AD21" s="436" t="n">
        <v>0.5</v>
      </c>
      <c r="AE21" s="436"/>
      <c r="AF21" s="436"/>
      <c r="AG21" s="436"/>
      <c r="AH21" s="436"/>
      <c r="AI21" s="437"/>
      <c r="AJ21" s="436"/>
      <c r="AK21" s="438" t="n">
        <v>-1</v>
      </c>
      <c r="AM21" s="11"/>
      <c r="AN21" s="167"/>
      <c r="AO21" s="167"/>
      <c r="AQ21" s="342" t="s">
        <v>787</v>
      </c>
      <c r="AR21" s="439" t="n">
        <f aca="false">L21^2</f>
        <v>0</v>
      </c>
      <c r="AS21" s="440" t="n">
        <f aca="false">M21^2</f>
        <v>0</v>
      </c>
      <c r="AT21" s="440" t="n">
        <f aca="false">N21^2</f>
        <v>0</v>
      </c>
      <c r="AU21" s="440" t="n">
        <f aca="false">O21^2</f>
        <v>0</v>
      </c>
      <c r="AV21" s="440" t="n">
        <f aca="false">P21^2</f>
        <v>0</v>
      </c>
      <c r="AW21" s="440" t="n">
        <f aca="false">Q21^2</f>
        <v>0</v>
      </c>
      <c r="AX21" s="440" t="n">
        <f aca="false">R21^2</f>
        <v>0</v>
      </c>
      <c r="AY21" s="440" t="n">
        <f aca="false">S21^2</f>
        <v>0</v>
      </c>
      <c r="AZ21" s="440" t="n">
        <f aca="false">T21^2</f>
        <v>0</v>
      </c>
      <c r="BA21" s="440" t="n">
        <f aca="false">U21^2</f>
        <v>0</v>
      </c>
      <c r="BB21" s="440" t="n">
        <f aca="false">V21^2</f>
        <v>0.25</v>
      </c>
      <c r="BC21" s="440" t="n">
        <f aca="false">W21^2</f>
        <v>0</v>
      </c>
      <c r="BD21" s="440" t="n">
        <f aca="false">X21^2</f>
        <v>0</v>
      </c>
      <c r="BE21" s="440" t="n">
        <f aca="false">Y21^2</f>
        <v>0</v>
      </c>
      <c r="BF21" s="440" t="n">
        <f aca="false">Z21^2</f>
        <v>0</v>
      </c>
      <c r="BG21" s="440" t="n">
        <f aca="false">AA21^2</f>
        <v>0</v>
      </c>
      <c r="BH21" s="440" t="n">
        <f aca="false">AB21^2</f>
        <v>0</v>
      </c>
      <c r="BI21" s="440" t="n">
        <f aca="false">AC21^2</f>
        <v>0</v>
      </c>
      <c r="BJ21" s="440" t="n">
        <f aca="false">AD21^2</f>
        <v>0.25</v>
      </c>
      <c r="BK21" s="440" t="n">
        <f aca="false">AE21^2</f>
        <v>0</v>
      </c>
      <c r="BL21" s="440" t="n">
        <f aca="false">AF21^2</f>
        <v>0</v>
      </c>
      <c r="BM21" s="440" t="n">
        <f aca="false">AG21^2</f>
        <v>0</v>
      </c>
      <c r="BN21" s="440" t="n">
        <f aca="false">AH21^2</f>
        <v>0</v>
      </c>
      <c r="BO21" s="440" t="n">
        <f aca="false">AI21^2</f>
        <v>0</v>
      </c>
      <c r="BP21" s="440" t="n">
        <f aca="false">AJ21^2</f>
        <v>0</v>
      </c>
      <c r="BQ21" s="441" t="n">
        <f aca="false">-SIGN(AK21)*AK21^2</f>
        <v>1</v>
      </c>
    </row>
    <row r="22" customFormat="false" ht="12.75" hidden="false" customHeight="false" outlineLevel="0" collapsed="false">
      <c r="A22" s="45"/>
      <c r="B22" s="44"/>
      <c r="C22" s="161" t="s">
        <v>794</v>
      </c>
      <c r="D22" s="290" t="n">
        <f aca="false">IF(F22="","",IF(H22="","",ROUND(F22-0.001*298.15*(H22-SUMPRODUCT(L22:AK22*AR$13:BQ$13)),3)))</f>
        <v>-237.14</v>
      </c>
      <c r="E22" s="137" t="n">
        <f aca="false">IF(G22="","",IF(I22="","",ROUND(2*SQRT((0.5*G22)^2+(0.001*298.15)^2*((0.5*I22)^2+SUMPRODUCT(AR22:BQ22*AR$15:BQ$15))),3)))</f>
        <v>0.041</v>
      </c>
      <c r="F22" s="291" t="s">
        <v>795</v>
      </c>
      <c r="G22" s="292" t="s">
        <v>789</v>
      </c>
      <c r="H22" s="291" t="s">
        <v>796</v>
      </c>
      <c r="I22" s="292" t="s">
        <v>797</v>
      </c>
      <c r="K22" s="342" t="s">
        <v>794</v>
      </c>
      <c r="L22" s="434"/>
      <c r="M22" s="435"/>
      <c r="N22" s="435"/>
      <c r="O22" s="435"/>
      <c r="P22" s="436"/>
      <c r="Q22" s="436"/>
      <c r="R22" s="436"/>
      <c r="S22" s="436"/>
      <c r="T22" s="436"/>
      <c r="U22" s="436"/>
      <c r="V22" s="436" t="n">
        <v>1</v>
      </c>
      <c r="W22" s="436"/>
      <c r="X22" s="436"/>
      <c r="Y22" s="436"/>
      <c r="Z22" s="436"/>
      <c r="AA22" s="436"/>
      <c r="AB22" s="436"/>
      <c r="AC22" s="436"/>
      <c r="AD22" s="436" t="n">
        <v>0.5</v>
      </c>
      <c r="AE22" s="436"/>
      <c r="AF22" s="436"/>
      <c r="AG22" s="436"/>
      <c r="AH22" s="436"/>
      <c r="AI22" s="437"/>
      <c r="AJ22" s="436"/>
      <c r="AK22" s="438"/>
      <c r="AM22" s="16" t="s">
        <v>20</v>
      </c>
      <c r="AN22" s="127"/>
      <c r="AO22" s="168" t="s">
        <v>725</v>
      </c>
      <c r="AQ22" s="342" t="s">
        <v>794</v>
      </c>
      <c r="AR22" s="439" t="n">
        <f aca="false">L22^2</f>
        <v>0</v>
      </c>
      <c r="AS22" s="440" t="n">
        <f aca="false">M22^2</f>
        <v>0</v>
      </c>
      <c r="AT22" s="440" t="n">
        <f aca="false">N22^2</f>
        <v>0</v>
      </c>
      <c r="AU22" s="440" t="n">
        <f aca="false">O22^2</f>
        <v>0</v>
      </c>
      <c r="AV22" s="440" t="n">
        <f aca="false">P22^2</f>
        <v>0</v>
      </c>
      <c r="AW22" s="440" t="n">
        <f aca="false">Q22^2</f>
        <v>0</v>
      </c>
      <c r="AX22" s="440" t="n">
        <f aca="false">R22^2</f>
        <v>0</v>
      </c>
      <c r="AY22" s="440" t="n">
        <f aca="false">S22^2</f>
        <v>0</v>
      </c>
      <c r="AZ22" s="440" t="n">
        <f aca="false">T22^2</f>
        <v>0</v>
      </c>
      <c r="BA22" s="440" t="n">
        <f aca="false">U22^2</f>
        <v>0</v>
      </c>
      <c r="BB22" s="440" t="n">
        <f aca="false">V22^2</f>
        <v>1</v>
      </c>
      <c r="BC22" s="440" t="n">
        <f aca="false">W22^2</f>
        <v>0</v>
      </c>
      <c r="BD22" s="440" t="n">
        <f aca="false">X22^2</f>
        <v>0</v>
      </c>
      <c r="BE22" s="440" t="n">
        <f aca="false">Y22^2</f>
        <v>0</v>
      </c>
      <c r="BF22" s="440" t="n">
        <f aca="false">Z22^2</f>
        <v>0</v>
      </c>
      <c r="BG22" s="440" t="n">
        <f aca="false">AA22^2</f>
        <v>0</v>
      </c>
      <c r="BH22" s="440" t="n">
        <f aca="false">AB22^2</f>
        <v>0</v>
      </c>
      <c r="BI22" s="440" t="n">
        <f aca="false">AC22^2</f>
        <v>0</v>
      </c>
      <c r="BJ22" s="440" t="n">
        <f aca="false">AD22^2</f>
        <v>0.25</v>
      </c>
      <c r="BK22" s="440" t="n">
        <f aca="false">AE22^2</f>
        <v>0</v>
      </c>
      <c r="BL22" s="440" t="n">
        <f aca="false">AF22^2</f>
        <v>0</v>
      </c>
      <c r="BM22" s="440" t="n">
        <f aca="false">AG22^2</f>
        <v>0</v>
      </c>
      <c r="BN22" s="440" t="n">
        <f aca="false">AH22^2</f>
        <v>0</v>
      </c>
      <c r="BO22" s="440" t="n">
        <f aca="false">AI22^2</f>
        <v>0</v>
      </c>
      <c r="BP22" s="440" t="n">
        <f aca="false">AJ22^2</f>
        <v>0</v>
      </c>
      <c r="BQ22" s="441" t="n">
        <f aca="false">-SIGN(AK22)*AK22^2</f>
        <v>-0</v>
      </c>
    </row>
    <row r="23" customFormat="false" ht="12.75" hidden="false" customHeight="false" outlineLevel="0" collapsed="false">
      <c r="A23" s="45"/>
      <c r="B23" s="44"/>
      <c r="C23" s="161" t="s">
        <v>802</v>
      </c>
      <c r="D23" s="290" t="n">
        <f aca="false">IF(F23="","",IF(H23="","",ROUND(F23-0.001*298.15*(H23-SUMPRODUCT(L23:AK23*AR$13:BQ$13)),3)))</f>
        <v>-281.523</v>
      </c>
      <c r="E23" s="137" t="n">
        <f aca="false">IF(G23="","",IF(I23="","",ROUND(2*SQRT((0.5*G23)^2+(0.001*298.15)^2*((0.5*I23)^2+SUMPRODUCT(AR23:BQ23*AR$15:BQ$15))),3)))</f>
        <v>0.692</v>
      </c>
      <c r="F23" s="291" t="s">
        <v>803</v>
      </c>
      <c r="G23" s="292" t="s">
        <v>804</v>
      </c>
      <c r="H23" s="291" t="s">
        <v>805</v>
      </c>
      <c r="I23" s="292" t="s">
        <v>806</v>
      </c>
      <c r="K23" s="342" t="s">
        <v>802</v>
      </c>
      <c r="L23" s="434"/>
      <c r="M23" s="435"/>
      <c r="N23" s="435"/>
      <c r="O23" s="435"/>
      <c r="P23" s="436"/>
      <c r="Q23" s="436"/>
      <c r="R23" s="436"/>
      <c r="S23" s="436"/>
      <c r="T23" s="436" t="n">
        <v>0.5</v>
      </c>
      <c r="U23" s="436"/>
      <c r="V23" s="436"/>
      <c r="W23" s="436"/>
      <c r="X23" s="436"/>
      <c r="Y23" s="436"/>
      <c r="Z23" s="436"/>
      <c r="AA23" s="436"/>
      <c r="AB23" s="436"/>
      <c r="AC23" s="436"/>
      <c r="AD23" s="436"/>
      <c r="AE23" s="436"/>
      <c r="AF23" s="436"/>
      <c r="AG23" s="436"/>
      <c r="AH23" s="436"/>
      <c r="AI23" s="437"/>
      <c r="AJ23" s="436"/>
      <c r="AK23" s="438" t="n">
        <v>-1</v>
      </c>
      <c r="AM23" s="16" t="s">
        <v>17</v>
      </c>
      <c r="AN23" s="168" t="s">
        <v>726</v>
      </c>
      <c r="AO23" s="168" t="s">
        <v>727</v>
      </c>
      <c r="AQ23" s="342" t="s">
        <v>802</v>
      </c>
      <c r="AR23" s="439" t="n">
        <f aca="false">L23^2</f>
        <v>0</v>
      </c>
      <c r="AS23" s="440" t="n">
        <f aca="false">M23^2</f>
        <v>0</v>
      </c>
      <c r="AT23" s="440" t="n">
        <f aca="false">N23^2</f>
        <v>0</v>
      </c>
      <c r="AU23" s="440" t="n">
        <f aca="false">O23^2</f>
        <v>0</v>
      </c>
      <c r="AV23" s="440" t="n">
        <f aca="false">P23^2</f>
        <v>0</v>
      </c>
      <c r="AW23" s="440" t="n">
        <f aca="false">Q23^2</f>
        <v>0</v>
      </c>
      <c r="AX23" s="440" t="n">
        <f aca="false">R23^2</f>
        <v>0</v>
      </c>
      <c r="AY23" s="440" t="n">
        <f aca="false">S23^2</f>
        <v>0</v>
      </c>
      <c r="AZ23" s="440" t="n">
        <f aca="false">T23^2</f>
        <v>0.25</v>
      </c>
      <c r="BA23" s="440" t="n">
        <f aca="false">U23^2</f>
        <v>0</v>
      </c>
      <c r="BB23" s="440" t="n">
        <f aca="false">V23^2</f>
        <v>0</v>
      </c>
      <c r="BC23" s="440" t="n">
        <f aca="false">W23^2</f>
        <v>0</v>
      </c>
      <c r="BD23" s="440" t="n">
        <f aca="false">X23^2</f>
        <v>0</v>
      </c>
      <c r="BE23" s="440" t="n">
        <f aca="false">Y23^2</f>
        <v>0</v>
      </c>
      <c r="BF23" s="440" t="n">
        <f aca="false">Z23^2</f>
        <v>0</v>
      </c>
      <c r="BG23" s="440" t="n">
        <f aca="false">AA23^2</f>
        <v>0</v>
      </c>
      <c r="BH23" s="440" t="n">
        <f aca="false">AB23^2</f>
        <v>0</v>
      </c>
      <c r="BI23" s="440" t="n">
        <f aca="false">AC23^2</f>
        <v>0</v>
      </c>
      <c r="BJ23" s="440" t="n">
        <f aca="false">AD23^2</f>
        <v>0</v>
      </c>
      <c r="BK23" s="440" t="n">
        <f aca="false">AE23^2</f>
        <v>0</v>
      </c>
      <c r="BL23" s="440" t="n">
        <f aca="false">AF23^2</f>
        <v>0</v>
      </c>
      <c r="BM23" s="440" t="n">
        <f aca="false">AG23^2</f>
        <v>0</v>
      </c>
      <c r="BN23" s="440" t="n">
        <f aca="false">AH23^2</f>
        <v>0</v>
      </c>
      <c r="BO23" s="440" t="n">
        <f aca="false">AI23^2</f>
        <v>0</v>
      </c>
      <c r="BP23" s="440" t="n">
        <f aca="false">AJ23^2</f>
        <v>0</v>
      </c>
      <c r="BQ23" s="441" t="n">
        <f aca="false">-SIGN(AK23)*AK23^2</f>
        <v>1</v>
      </c>
    </row>
    <row r="24" customFormat="false" ht="13.5" hidden="false" customHeight="false" outlineLevel="0" collapsed="false">
      <c r="A24" s="45"/>
      <c r="B24" s="44"/>
      <c r="C24" s="161" t="s">
        <v>812</v>
      </c>
      <c r="D24" s="290" t="n">
        <f aca="false">IF(F24="","",IF(H24="","",ROUND(F24-0.001*298.15*(H24-SUMPRODUCT(L24:AK24*AR$13:BQ$13)),3)))</f>
        <v>-131.218</v>
      </c>
      <c r="E24" s="137" t="n">
        <f aca="false">IF(G24="","",IF(I24="","",ROUND(2*SQRT((0.5*G24)^2+(0.001*298.15)^2*((0.5*I24)^2+SUMPRODUCT(AR24:BQ24*AR$15:BQ$15))),3)))</f>
        <v>0.116</v>
      </c>
      <c r="F24" s="291" t="s">
        <v>813</v>
      </c>
      <c r="G24" s="292" t="s">
        <v>730</v>
      </c>
      <c r="H24" s="291" t="s">
        <v>814</v>
      </c>
      <c r="I24" s="292" t="s">
        <v>728</v>
      </c>
      <c r="K24" s="342" t="s">
        <v>812</v>
      </c>
      <c r="L24" s="434"/>
      <c r="M24" s="435"/>
      <c r="N24" s="435"/>
      <c r="O24" s="435"/>
      <c r="P24" s="436"/>
      <c r="Q24" s="436"/>
      <c r="R24" s="436" t="n">
        <v>0.5</v>
      </c>
      <c r="S24" s="436"/>
      <c r="T24" s="436"/>
      <c r="U24" s="436"/>
      <c r="V24" s="436"/>
      <c r="W24" s="436"/>
      <c r="X24" s="436"/>
      <c r="Y24" s="436"/>
      <c r="Z24" s="436"/>
      <c r="AA24" s="436"/>
      <c r="AB24" s="436"/>
      <c r="AC24" s="436"/>
      <c r="AD24" s="436"/>
      <c r="AE24" s="436"/>
      <c r="AF24" s="436"/>
      <c r="AG24" s="436"/>
      <c r="AH24" s="436"/>
      <c r="AI24" s="437"/>
      <c r="AJ24" s="436"/>
      <c r="AK24" s="438" t="n">
        <v>-1</v>
      </c>
      <c r="AM24" s="21" t="s">
        <v>29</v>
      </c>
      <c r="AN24" s="442" t="s">
        <v>710</v>
      </c>
      <c r="AO24" s="442" t="s">
        <v>710</v>
      </c>
      <c r="AQ24" s="342" t="s">
        <v>812</v>
      </c>
      <c r="AR24" s="439" t="n">
        <f aca="false">L24^2</f>
        <v>0</v>
      </c>
      <c r="AS24" s="440" t="n">
        <f aca="false">M24^2</f>
        <v>0</v>
      </c>
      <c r="AT24" s="440" t="n">
        <f aca="false">N24^2</f>
        <v>0</v>
      </c>
      <c r="AU24" s="440" t="n">
        <f aca="false">O24^2</f>
        <v>0</v>
      </c>
      <c r="AV24" s="440" t="n">
        <f aca="false">P24^2</f>
        <v>0</v>
      </c>
      <c r="AW24" s="440" t="n">
        <f aca="false">Q24^2</f>
        <v>0</v>
      </c>
      <c r="AX24" s="440" t="n">
        <f aca="false">R24^2</f>
        <v>0.25</v>
      </c>
      <c r="AY24" s="440" t="n">
        <f aca="false">S24^2</f>
        <v>0</v>
      </c>
      <c r="AZ24" s="440" t="n">
        <f aca="false">T24^2</f>
        <v>0</v>
      </c>
      <c r="BA24" s="440" t="n">
        <f aca="false">U24^2</f>
        <v>0</v>
      </c>
      <c r="BB24" s="440" t="n">
        <f aca="false">V24^2</f>
        <v>0</v>
      </c>
      <c r="BC24" s="440" t="n">
        <f aca="false">W24^2</f>
        <v>0</v>
      </c>
      <c r="BD24" s="440" t="n">
        <f aca="false">X24^2</f>
        <v>0</v>
      </c>
      <c r="BE24" s="440" t="n">
        <f aca="false">Y24^2</f>
        <v>0</v>
      </c>
      <c r="BF24" s="440" t="n">
        <f aca="false">Z24^2</f>
        <v>0</v>
      </c>
      <c r="BG24" s="440" t="n">
        <f aca="false">AA24^2</f>
        <v>0</v>
      </c>
      <c r="BH24" s="440" t="n">
        <f aca="false">AB24^2</f>
        <v>0</v>
      </c>
      <c r="BI24" s="440" t="n">
        <f aca="false">AC24^2</f>
        <v>0</v>
      </c>
      <c r="BJ24" s="440" t="n">
        <f aca="false">AD24^2</f>
        <v>0</v>
      </c>
      <c r="BK24" s="440" t="n">
        <f aca="false">AE24^2</f>
        <v>0</v>
      </c>
      <c r="BL24" s="440" t="n">
        <f aca="false">AF24^2</f>
        <v>0</v>
      </c>
      <c r="BM24" s="440" t="n">
        <f aca="false">AG24^2</f>
        <v>0</v>
      </c>
      <c r="BN24" s="440" t="n">
        <f aca="false">AH24^2</f>
        <v>0</v>
      </c>
      <c r="BO24" s="440" t="n">
        <f aca="false">AI24^2</f>
        <v>0</v>
      </c>
      <c r="BP24" s="440" t="n">
        <f aca="false">AJ24^2</f>
        <v>0</v>
      </c>
      <c r="BQ24" s="441" t="n">
        <f aca="false">-SIGN(AK24)*AK24^2</f>
        <v>1</v>
      </c>
    </row>
    <row r="25" customFormat="false" ht="12.75" hidden="false" customHeight="false" outlineLevel="0" collapsed="false">
      <c r="A25" s="45"/>
      <c r="B25" s="44"/>
      <c r="C25" s="161" t="s">
        <v>818</v>
      </c>
      <c r="D25" s="290" t="n">
        <f aca="false">IF(F25="","",IF(H25="","",ROUND(F25-0.001*298.15*(H25-SUMPRODUCT(L25:AK25*AR$13:BQ$13)),3)))</f>
        <v>-103.85</v>
      </c>
      <c r="E25" s="137" t="n">
        <f aca="false">IF(G25="","",IF(I25="","",ROUND(2*SQRT((0.5*G25)^2+(0.001*298.15)^2*((0.5*I25)^2+SUMPRODUCT(AR25:BQ25*AR$15:BQ$15))),3)))</f>
        <v>0.167</v>
      </c>
      <c r="F25" s="291" t="s">
        <v>819</v>
      </c>
      <c r="G25" s="292" t="s">
        <v>744</v>
      </c>
      <c r="H25" s="291" t="s">
        <v>820</v>
      </c>
      <c r="I25" s="292" t="s">
        <v>728</v>
      </c>
      <c r="K25" s="342" t="s">
        <v>818</v>
      </c>
      <c r="L25" s="434"/>
      <c r="M25" s="435"/>
      <c r="N25" s="435"/>
      <c r="O25" s="435" t="n">
        <v>0.5</v>
      </c>
      <c r="P25" s="436"/>
      <c r="Q25" s="436"/>
      <c r="R25" s="436"/>
      <c r="S25" s="436"/>
      <c r="T25" s="436"/>
      <c r="U25" s="436"/>
      <c r="V25" s="436"/>
      <c r="W25" s="436"/>
      <c r="X25" s="436"/>
      <c r="Y25" s="436"/>
      <c r="Z25" s="436"/>
      <c r="AA25" s="436"/>
      <c r="AB25" s="436"/>
      <c r="AC25" s="436"/>
      <c r="AD25" s="436"/>
      <c r="AE25" s="436"/>
      <c r="AF25" s="436"/>
      <c r="AG25" s="436"/>
      <c r="AH25" s="436"/>
      <c r="AI25" s="437"/>
      <c r="AJ25" s="436"/>
      <c r="AK25" s="438" t="n">
        <v>-1</v>
      </c>
      <c r="AM25" s="31" t="s">
        <v>32</v>
      </c>
      <c r="AN25" s="443" t="n">
        <v>28.3</v>
      </c>
      <c r="AO25" s="443" t="n">
        <v>0.1</v>
      </c>
      <c r="AQ25" s="342" t="s">
        <v>818</v>
      </c>
      <c r="AR25" s="439" t="n">
        <f aca="false">L25^2</f>
        <v>0</v>
      </c>
      <c r="AS25" s="440" t="n">
        <f aca="false">M25^2</f>
        <v>0</v>
      </c>
      <c r="AT25" s="440" t="n">
        <f aca="false">N25^2</f>
        <v>0</v>
      </c>
      <c r="AU25" s="440" t="n">
        <f aca="false">O25^2</f>
        <v>0.25</v>
      </c>
      <c r="AV25" s="440" t="n">
        <f aca="false">P25^2</f>
        <v>0</v>
      </c>
      <c r="AW25" s="440" t="n">
        <f aca="false">Q25^2</f>
        <v>0</v>
      </c>
      <c r="AX25" s="440" t="n">
        <f aca="false">R25^2</f>
        <v>0</v>
      </c>
      <c r="AY25" s="440" t="n">
        <f aca="false">S25^2</f>
        <v>0</v>
      </c>
      <c r="AZ25" s="440" t="n">
        <f aca="false">T25^2</f>
        <v>0</v>
      </c>
      <c r="BA25" s="440" t="n">
        <f aca="false">U25^2</f>
        <v>0</v>
      </c>
      <c r="BB25" s="440" t="n">
        <f aca="false">V25^2</f>
        <v>0</v>
      </c>
      <c r="BC25" s="440" t="n">
        <f aca="false">W25^2</f>
        <v>0</v>
      </c>
      <c r="BD25" s="440" t="n">
        <f aca="false">X25^2</f>
        <v>0</v>
      </c>
      <c r="BE25" s="440" t="n">
        <f aca="false">Y25^2</f>
        <v>0</v>
      </c>
      <c r="BF25" s="440" t="n">
        <f aca="false">Z25^2</f>
        <v>0</v>
      </c>
      <c r="BG25" s="440" t="n">
        <f aca="false">AA25^2</f>
        <v>0</v>
      </c>
      <c r="BH25" s="440" t="n">
        <f aca="false">AB25^2</f>
        <v>0</v>
      </c>
      <c r="BI25" s="440" t="n">
        <f aca="false">AC25^2</f>
        <v>0</v>
      </c>
      <c r="BJ25" s="440" t="n">
        <f aca="false">AD25^2</f>
        <v>0</v>
      </c>
      <c r="BK25" s="440" t="n">
        <f aca="false">AE25^2</f>
        <v>0</v>
      </c>
      <c r="BL25" s="440" t="n">
        <f aca="false">AF25^2</f>
        <v>0</v>
      </c>
      <c r="BM25" s="440" t="n">
        <f aca="false">AG25^2</f>
        <v>0</v>
      </c>
      <c r="BN25" s="440" t="n">
        <f aca="false">AH25^2</f>
        <v>0</v>
      </c>
      <c r="BO25" s="440" t="n">
        <f aca="false">AI25^2</f>
        <v>0</v>
      </c>
      <c r="BP25" s="440" t="n">
        <f aca="false">AJ25^2</f>
        <v>0</v>
      </c>
      <c r="BQ25" s="441" t="n">
        <f aca="false">-SIGN(AK25)*AK25^2</f>
        <v>1</v>
      </c>
    </row>
    <row r="26" customFormat="false" ht="12.75" hidden="false" customHeight="false" outlineLevel="0" collapsed="false">
      <c r="A26" s="45"/>
      <c r="B26" s="44"/>
      <c r="C26" s="161" t="s">
        <v>825</v>
      </c>
      <c r="D26" s="290" t="n">
        <f aca="false">IF(F26="","",IF(H26="","",ROUND(F26-0.001*298.15*(H26-SUMPRODUCT(L26:AK26*AR$13:BQ$13)),3)))</f>
        <v>-51.723</v>
      </c>
      <c r="E26" s="137" t="n">
        <f aca="false">IF(G26="","",IF(I26="","",ROUND(2*SQRT((0.5*G26)^2+(0.001*298.15)^2*((0.5*I26)^2+SUMPRODUCT(AR26:BQ26*AR$15:BQ$15))),3)))</f>
        <v>0.112</v>
      </c>
      <c r="F26" s="291" t="s">
        <v>826</v>
      </c>
      <c r="G26" s="292" t="s">
        <v>827</v>
      </c>
      <c r="H26" s="291" t="s">
        <v>828</v>
      </c>
      <c r="I26" s="292" t="s">
        <v>740</v>
      </c>
      <c r="K26" s="342" t="s">
        <v>825</v>
      </c>
      <c r="L26" s="434"/>
      <c r="M26" s="435"/>
      <c r="N26" s="435"/>
      <c r="O26" s="435"/>
      <c r="P26" s="436"/>
      <c r="Q26" s="436"/>
      <c r="R26" s="436"/>
      <c r="S26" s="436"/>
      <c r="T26" s="436"/>
      <c r="U26" s="436"/>
      <c r="V26" s="436"/>
      <c r="W26" s="436" t="n">
        <v>0.5</v>
      </c>
      <c r="X26" s="436"/>
      <c r="Y26" s="436"/>
      <c r="Z26" s="436"/>
      <c r="AA26" s="436"/>
      <c r="AB26" s="436"/>
      <c r="AC26" s="436"/>
      <c r="AD26" s="436"/>
      <c r="AE26" s="436"/>
      <c r="AF26" s="436"/>
      <c r="AG26" s="436"/>
      <c r="AH26" s="436"/>
      <c r="AI26" s="437"/>
      <c r="AJ26" s="436"/>
      <c r="AK26" s="438" t="n">
        <v>-1</v>
      </c>
      <c r="AM26" s="31" t="s">
        <v>40</v>
      </c>
      <c r="AN26" s="443" t="n">
        <v>5.9</v>
      </c>
      <c r="AO26" s="443" t="n">
        <v>0.08</v>
      </c>
      <c r="AQ26" s="342" t="s">
        <v>825</v>
      </c>
      <c r="AR26" s="439" t="n">
        <f aca="false">L26^2</f>
        <v>0</v>
      </c>
      <c r="AS26" s="440" t="n">
        <f aca="false">M26^2</f>
        <v>0</v>
      </c>
      <c r="AT26" s="440" t="n">
        <f aca="false">N26^2</f>
        <v>0</v>
      </c>
      <c r="AU26" s="440" t="n">
        <f aca="false">O26^2</f>
        <v>0</v>
      </c>
      <c r="AV26" s="440" t="n">
        <f aca="false">P26^2</f>
        <v>0</v>
      </c>
      <c r="AW26" s="440" t="n">
        <f aca="false">Q26^2</f>
        <v>0</v>
      </c>
      <c r="AX26" s="440" t="n">
        <f aca="false">R26^2</f>
        <v>0</v>
      </c>
      <c r="AY26" s="440" t="n">
        <f aca="false">S26^2</f>
        <v>0</v>
      </c>
      <c r="AZ26" s="440" t="n">
        <f aca="false">T26^2</f>
        <v>0</v>
      </c>
      <c r="BA26" s="440" t="n">
        <f aca="false">U26^2</f>
        <v>0</v>
      </c>
      <c r="BB26" s="440" t="n">
        <f aca="false">V26^2</f>
        <v>0</v>
      </c>
      <c r="BC26" s="440" t="n">
        <f aca="false">W26^2</f>
        <v>0.25</v>
      </c>
      <c r="BD26" s="440" t="n">
        <f aca="false">X26^2</f>
        <v>0</v>
      </c>
      <c r="BE26" s="440" t="n">
        <f aca="false">Y26^2</f>
        <v>0</v>
      </c>
      <c r="BF26" s="440" t="n">
        <f aca="false">Z26^2</f>
        <v>0</v>
      </c>
      <c r="BG26" s="440" t="n">
        <f aca="false">AA26^2</f>
        <v>0</v>
      </c>
      <c r="BH26" s="440" t="n">
        <f aca="false">AB26^2</f>
        <v>0</v>
      </c>
      <c r="BI26" s="440" t="n">
        <f aca="false">AC26^2</f>
        <v>0</v>
      </c>
      <c r="BJ26" s="440" t="n">
        <f aca="false">AD26^2</f>
        <v>0</v>
      </c>
      <c r="BK26" s="440" t="n">
        <f aca="false">AE26^2</f>
        <v>0</v>
      </c>
      <c r="BL26" s="440" t="n">
        <f aca="false">AF26^2</f>
        <v>0</v>
      </c>
      <c r="BM26" s="440" t="n">
        <f aca="false">AG26^2</f>
        <v>0</v>
      </c>
      <c r="BN26" s="440" t="n">
        <f aca="false">AH26^2</f>
        <v>0</v>
      </c>
      <c r="BO26" s="440" t="n">
        <f aca="false">AI26^2</f>
        <v>0</v>
      </c>
      <c r="BP26" s="440" t="n">
        <f aca="false">AJ26^2</f>
        <v>0</v>
      </c>
      <c r="BQ26" s="441" t="n">
        <f aca="false">-SIGN(AK26)*AK26^2</f>
        <v>1</v>
      </c>
    </row>
    <row r="27" customFormat="false" ht="12.75" hidden="false" customHeight="false" outlineLevel="0" collapsed="false">
      <c r="A27" s="45"/>
      <c r="B27" s="44"/>
      <c r="C27" s="161" t="s">
        <v>833</v>
      </c>
      <c r="D27" s="290" t="n">
        <f aca="false">IF(F27="","",IF(H27="","",ROUND(F27-0.001*298.15*(H27-SUMPRODUCT(L27:AK27*AR$13:BQ$13)),3)))</f>
        <v>-744.004</v>
      </c>
      <c r="E27" s="137" t="n">
        <f aca="false">IF(G27="","",IF(I27="","",ROUND(2*SQRT((0.5*G27)^2+(0.001*298.15)^2*((0.5*I27)^2+SUMPRODUCT(AR27:BQ27*AR$15:BQ$15))),3)))</f>
        <v>0.418</v>
      </c>
      <c r="F27" s="291" t="s">
        <v>834</v>
      </c>
      <c r="G27" s="292" t="s">
        <v>742</v>
      </c>
      <c r="H27" s="291" t="s">
        <v>835</v>
      </c>
      <c r="I27" s="292" t="s">
        <v>742</v>
      </c>
      <c r="K27" s="342" t="s">
        <v>833</v>
      </c>
      <c r="L27" s="434"/>
      <c r="M27" s="435"/>
      <c r="N27" s="435"/>
      <c r="O27" s="435"/>
      <c r="P27" s="436"/>
      <c r="Q27" s="436"/>
      <c r="R27" s="436"/>
      <c r="S27" s="436"/>
      <c r="T27" s="436"/>
      <c r="U27" s="436"/>
      <c r="V27" s="436"/>
      <c r="W27" s="436"/>
      <c r="X27" s="436"/>
      <c r="Y27" s="436"/>
      <c r="Z27" s="436"/>
      <c r="AA27" s="436"/>
      <c r="AB27" s="436"/>
      <c r="AC27" s="436"/>
      <c r="AD27" s="436" t="n">
        <v>2</v>
      </c>
      <c r="AE27" s="436"/>
      <c r="AF27" s="436"/>
      <c r="AG27" s="436"/>
      <c r="AH27" s="436" t="n">
        <v>1</v>
      </c>
      <c r="AI27" s="437"/>
      <c r="AJ27" s="436"/>
      <c r="AK27" s="438" t="n">
        <v>-2</v>
      </c>
      <c r="AM27" s="38" t="s">
        <v>41</v>
      </c>
      <c r="AN27" s="443"/>
      <c r="AO27" s="443"/>
      <c r="AQ27" s="342" t="s">
        <v>833</v>
      </c>
      <c r="AR27" s="439" t="n">
        <f aca="false">L27^2</f>
        <v>0</v>
      </c>
      <c r="AS27" s="440" t="n">
        <f aca="false">M27^2</f>
        <v>0</v>
      </c>
      <c r="AT27" s="440" t="n">
        <f aca="false">N27^2</f>
        <v>0</v>
      </c>
      <c r="AU27" s="440" t="n">
        <f aca="false">O27^2</f>
        <v>0</v>
      </c>
      <c r="AV27" s="440" t="n">
        <f aca="false">P27^2</f>
        <v>0</v>
      </c>
      <c r="AW27" s="440" t="n">
        <f aca="false">Q27^2</f>
        <v>0</v>
      </c>
      <c r="AX27" s="440" t="n">
        <f aca="false">R27^2</f>
        <v>0</v>
      </c>
      <c r="AY27" s="440" t="n">
        <f aca="false">S27^2</f>
        <v>0</v>
      </c>
      <c r="AZ27" s="440" t="n">
        <f aca="false">T27^2</f>
        <v>0</v>
      </c>
      <c r="BA27" s="440" t="n">
        <f aca="false">U27^2</f>
        <v>0</v>
      </c>
      <c r="BB27" s="440" t="n">
        <f aca="false">V27^2</f>
        <v>0</v>
      </c>
      <c r="BC27" s="440" t="n">
        <f aca="false">W27^2</f>
        <v>0</v>
      </c>
      <c r="BD27" s="440" t="n">
        <f aca="false">X27^2</f>
        <v>0</v>
      </c>
      <c r="BE27" s="440" t="n">
        <f aca="false">Y27^2</f>
        <v>0</v>
      </c>
      <c r="BF27" s="440" t="n">
        <f aca="false">Z27^2</f>
        <v>0</v>
      </c>
      <c r="BG27" s="440" t="n">
        <f aca="false">AA27^2</f>
        <v>0</v>
      </c>
      <c r="BH27" s="440" t="n">
        <f aca="false">AB27^2</f>
        <v>0</v>
      </c>
      <c r="BI27" s="440" t="n">
        <f aca="false">AC27^2</f>
        <v>0</v>
      </c>
      <c r="BJ27" s="440" t="n">
        <f aca="false">AD27^2</f>
        <v>4</v>
      </c>
      <c r="BK27" s="440" t="n">
        <f aca="false">AE27^2</f>
        <v>0</v>
      </c>
      <c r="BL27" s="440" t="n">
        <f aca="false">AF27^2</f>
        <v>0</v>
      </c>
      <c r="BM27" s="440" t="n">
        <f aca="false">AG27^2</f>
        <v>0</v>
      </c>
      <c r="BN27" s="440" t="n">
        <f aca="false">AH27^2</f>
        <v>1</v>
      </c>
      <c r="BO27" s="440" t="n">
        <f aca="false">AI27^2</f>
        <v>0</v>
      </c>
      <c r="BP27" s="440" t="n">
        <f aca="false">AJ27^2</f>
        <v>0</v>
      </c>
      <c r="BQ27" s="441" t="n">
        <f aca="false">-SIGN(AK27)*AK27^2</f>
        <v>4</v>
      </c>
    </row>
    <row r="28" customFormat="false" ht="12.75" hidden="false" customHeight="false" outlineLevel="0" collapsed="false">
      <c r="A28" s="45"/>
      <c r="B28" s="44"/>
      <c r="C28" s="161" t="s">
        <v>840</v>
      </c>
      <c r="D28" s="290" t="n">
        <f aca="false">IF(F28="","",IF(H28="","",ROUND(F28-0.001*298.15*(H28-SUMPRODUCT(L28:AK28*AR$13:BQ$13)),3)))</f>
        <v>12.243</v>
      </c>
      <c r="E28" s="137" t="n">
        <f aca="false">IF(G28="","",IF(I28="","",ROUND(2*SQRT((0.5*G28)^2+(0.001*298.15)^2*((0.5*I28)^2+SUMPRODUCT(AR28:BQ28*AR$15:BQ$15))),3)))</f>
        <v>2.115</v>
      </c>
      <c r="F28" s="291" t="s">
        <v>841</v>
      </c>
      <c r="G28" s="292" t="s">
        <v>842</v>
      </c>
      <c r="H28" s="291" t="s">
        <v>843</v>
      </c>
      <c r="I28" s="292" t="s">
        <v>844</v>
      </c>
      <c r="K28" s="342" t="s">
        <v>840</v>
      </c>
      <c r="L28" s="434"/>
      <c r="M28" s="435"/>
      <c r="N28" s="435"/>
      <c r="O28" s="435"/>
      <c r="P28" s="436"/>
      <c r="Q28" s="436"/>
      <c r="R28" s="436"/>
      <c r="S28" s="436"/>
      <c r="T28" s="436"/>
      <c r="U28" s="436"/>
      <c r="V28" s="436" t="n">
        <v>0.5</v>
      </c>
      <c r="W28" s="436"/>
      <c r="X28" s="436"/>
      <c r="Y28" s="436"/>
      <c r="Z28" s="436"/>
      <c r="AA28" s="436"/>
      <c r="AB28" s="436"/>
      <c r="AC28" s="436"/>
      <c r="AD28" s="436"/>
      <c r="AE28" s="436"/>
      <c r="AF28" s="436"/>
      <c r="AG28" s="436"/>
      <c r="AH28" s="436" t="n">
        <v>1</v>
      </c>
      <c r="AI28" s="437"/>
      <c r="AJ28" s="436"/>
      <c r="AK28" s="438" t="n">
        <v>-1</v>
      </c>
      <c r="AM28" s="38" t="s">
        <v>46</v>
      </c>
      <c r="AN28" s="443" t="n">
        <v>152.21</v>
      </c>
      <c r="AO28" s="443" t="n">
        <v>0.3</v>
      </c>
      <c r="AQ28" s="342" t="s">
        <v>840</v>
      </c>
      <c r="AR28" s="439" t="n">
        <f aca="false">L28^2</f>
        <v>0</v>
      </c>
      <c r="AS28" s="440" t="n">
        <f aca="false">M28^2</f>
        <v>0</v>
      </c>
      <c r="AT28" s="440" t="n">
        <f aca="false">N28^2</f>
        <v>0</v>
      </c>
      <c r="AU28" s="440" t="n">
        <f aca="false">O28^2</f>
        <v>0</v>
      </c>
      <c r="AV28" s="440" t="n">
        <f aca="false">P28^2</f>
        <v>0</v>
      </c>
      <c r="AW28" s="440" t="n">
        <f aca="false">Q28^2</f>
        <v>0</v>
      </c>
      <c r="AX28" s="440" t="n">
        <f aca="false">R28^2</f>
        <v>0</v>
      </c>
      <c r="AY28" s="440" t="n">
        <f aca="false">S28^2</f>
        <v>0</v>
      </c>
      <c r="AZ28" s="440" t="n">
        <f aca="false">T28^2</f>
        <v>0</v>
      </c>
      <c r="BA28" s="440" t="n">
        <f aca="false">U28^2</f>
        <v>0</v>
      </c>
      <c r="BB28" s="440" t="n">
        <f aca="false">V28^2</f>
        <v>0.25</v>
      </c>
      <c r="BC28" s="440" t="n">
        <f aca="false">W28^2</f>
        <v>0</v>
      </c>
      <c r="BD28" s="440" t="n">
        <f aca="false">X28^2</f>
        <v>0</v>
      </c>
      <c r="BE28" s="440" t="n">
        <f aca="false">Y28^2</f>
        <v>0</v>
      </c>
      <c r="BF28" s="440" t="n">
        <f aca="false">Z28^2</f>
        <v>0</v>
      </c>
      <c r="BG28" s="440" t="n">
        <f aca="false">AA28^2</f>
        <v>0</v>
      </c>
      <c r="BH28" s="440" t="n">
        <f aca="false">AB28^2</f>
        <v>0</v>
      </c>
      <c r="BI28" s="440" t="n">
        <f aca="false">AC28^2</f>
        <v>0</v>
      </c>
      <c r="BJ28" s="440" t="n">
        <f aca="false">AD28^2</f>
        <v>0</v>
      </c>
      <c r="BK28" s="440" t="n">
        <f aca="false">AE28^2</f>
        <v>0</v>
      </c>
      <c r="BL28" s="440" t="n">
        <f aca="false">AF28^2</f>
        <v>0</v>
      </c>
      <c r="BM28" s="440" t="n">
        <f aca="false">AG28^2</f>
        <v>0</v>
      </c>
      <c r="BN28" s="440" t="n">
        <f aca="false">AH28^2</f>
        <v>1</v>
      </c>
      <c r="BO28" s="440" t="n">
        <f aca="false">AI28^2</f>
        <v>0</v>
      </c>
      <c r="BP28" s="440" t="n">
        <f aca="false">AJ28^2</f>
        <v>0</v>
      </c>
      <c r="BQ28" s="441" t="n">
        <f aca="false">-SIGN(AK28)*AK28^2</f>
        <v>1</v>
      </c>
    </row>
    <row r="29" customFormat="false" ht="12.75" hidden="false" customHeight="false" outlineLevel="0" collapsed="false">
      <c r="A29" s="45"/>
      <c r="B29" s="45"/>
      <c r="C29" s="161" t="s">
        <v>851</v>
      </c>
      <c r="D29" s="290" t="n">
        <f aca="false">IF(F29="","",IF(H29="","",ROUND(F29-0.001*298.15*(H29-SUMPRODUCT(L29:AK29*AR$13:BQ$13)),3)))</f>
        <v>-110.794</v>
      </c>
      <c r="E29" s="137" t="n">
        <f aca="false">IF(G29="","",IF(I29="","",ROUND(2*SQRT((0.5*G29)^2+(0.001*298.15)^2*((0.5*I29)^2+SUMPRODUCT(AR29:BQ29*AR$15:BQ$15))),3)))</f>
        <v>0.417</v>
      </c>
      <c r="F29" s="291" t="s">
        <v>852</v>
      </c>
      <c r="G29" s="292" t="s">
        <v>742</v>
      </c>
      <c r="H29" s="291" t="s">
        <v>853</v>
      </c>
      <c r="I29" s="292" t="s">
        <v>742</v>
      </c>
      <c r="K29" s="342" t="s">
        <v>851</v>
      </c>
      <c r="L29" s="434"/>
      <c r="M29" s="435"/>
      <c r="N29" s="435"/>
      <c r="O29" s="435"/>
      <c r="P29" s="436"/>
      <c r="Q29" s="436"/>
      <c r="R29" s="436"/>
      <c r="S29" s="436"/>
      <c r="T29" s="436"/>
      <c r="U29" s="436"/>
      <c r="V29" s="436"/>
      <c r="W29" s="436"/>
      <c r="X29" s="436"/>
      <c r="Y29" s="436"/>
      <c r="Z29" s="436"/>
      <c r="AA29" s="436" t="n">
        <v>0.5</v>
      </c>
      <c r="AB29" s="436"/>
      <c r="AC29" s="436"/>
      <c r="AD29" s="436" t="n">
        <v>1.5</v>
      </c>
      <c r="AE29" s="436"/>
      <c r="AF29" s="436"/>
      <c r="AG29" s="436"/>
      <c r="AH29" s="436"/>
      <c r="AI29" s="437"/>
      <c r="AJ29" s="436"/>
      <c r="AK29" s="438" t="n">
        <v>-1</v>
      </c>
      <c r="AM29" s="31" t="s">
        <v>48</v>
      </c>
      <c r="AN29" s="444" t="n">
        <v>5.74</v>
      </c>
      <c r="AO29" s="443" t="n">
        <v>0.1</v>
      </c>
      <c r="AQ29" s="342" t="s">
        <v>851</v>
      </c>
      <c r="AR29" s="439" t="n">
        <f aca="false">L29^2</f>
        <v>0</v>
      </c>
      <c r="AS29" s="440" t="n">
        <f aca="false">M29^2</f>
        <v>0</v>
      </c>
      <c r="AT29" s="440" t="n">
        <f aca="false">N29^2</f>
        <v>0</v>
      </c>
      <c r="AU29" s="440" t="n">
        <f aca="false">O29^2</f>
        <v>0</v>
      </c>
      <c r="AV29" s="440" t="n">
        <f aca="false">P29^2</f>
        <v>0</v>
      </c>
      <c r="AW29" s="440" t="n">
        <f aca="false">Q29^2</f>
        <v>0</v>
      </c>
      <c r="AX29" s="440" t="n">
        <f aca="false">R29^2</f>
        <v>0</v>
      </c>
      <c r="AY29" s="440" t="n">
        <f aca="false">S29^2</f>
        <v>0</v>
      </c>
      <c r="AZ29" s="440" t="n">
        <f aca="false">T29^2</f>
        <v>0</v>
      </c>
      <c r="BA29" s="440" t="n">
        <f aca="false">U29^2</f>
        <v>0</v>
      </c>
      <c r="BB29" s="440" t="n">
        <f aca="false">V29^2</f>
        <v>0</v>
      </c>
      <c r="BC29" s="440" t="n">
        <f aca="false">W29^2</f>
        <v>0</v>
      </c>
      <c r="BD29" s="440" t="n">
        <f aca="false">X29^2</f>
        <v>0</v>
      </c>
      <c r="BE29" s="440" t="n">
        <f aca="false">Y29^2</f>
        <v>0</v>
      </c>
      <c r="BF29" s="440" t="n">
        <f aca="false">Z29^2</f>
        <v>0</v>
      </c>
      <c r="BG29" s="440" t="n">
        <f aca="false">AA29^2</f>
        <v>0.25</v>
      </c>
      <c r="BH29" s="440" t="n">
        <f aca="false">AB29^2</f>
        <v>0</v>
      </c>
      <c r="BI29" s="440" t="n">
        <f aca="false">AC29^2</f>
        <v>0</v>
      </c>
      <c r="BJ29" s="440" t="n">
        <f aca="false">AD29^2</f>
        <v>2.25</v>
      </c>
      <c r="BK29" s="440" t="n">
        <f aca="false">AE29^2</f>
        <v>0</v>
      </c>
      <c r="BL29" s="440" t="n">
        <f aca="false">AF29^2</f>
        <v>0</v>
      </c>
      <c r="BM29" s="440" t="n">
        <f aca="false">AG29^2</f>
        <v>0</v>
      </c>
      <c r="BN29" s="440" t="n">
        <f aca="false">AH29^2</f>
        <v>0</v>
      </c>
      <c r="BO29" s="440" t="n">
        <f aca="false">AI29^2</f>
        <v>0</v>
      </c>
      <c r="BP29" s="440" t="n">
        <f aca="false">AJ29^2</f>
        <v>0</v>
      </c>
      <c r="BQ29" s="441" t="n">
        <f aca="false">-SIGN(AK29)*AK29^2</f>
        <v>1</v>
      </c>
    </row>
    <row r="30" customFormat="false" ht="12.75" hidden="false" customHeight="false" outlineLevel="0" collapsed="false">
      <c r="A30" s="45"/>
      <c r="B30" s="44"/>
      <c r="C30" s="161" t="s">
        <v>858</v>
      </c>
      <c r="D30" s="290" t="str">
        <f aca="false">IF(F30="","",IF(H30="","",ROUND(F30-0.001*298.15*(H30-SUMPRODUCT(L30:AK30*AR$13:BQ$13)),3)))</f>
        <v/>
      </c>
      <c r="E30" s="137" t="str">
        <f aca="false">IF(G30="","",IF(I30="","",ROUND(2*SQRT((0.5*G30)^2+(0.001*298.15)^2*((0.5*I30)^2+SUMPRODUCT(AR30:BQ30*AR$15:BQ$15))),3)))</f>
        <v/>
      </c>
      <c r="F30" s="291"/>
      <c r="G30" s="292"/>
      <c r="H30" s="291"/>
      <c r="I30" s="292"/>
      <c r="K30" s="342" t="s">
        <v>858</v>
      </c>
      <c r="L30" s="434"/>
      <c r="M30" s="435"/>
      <c r="N30" s="435"/>
      <c r="O30" s="435"/>
      <c r="P30" s="436"/>
      <c r="Q30" s="436"/>
      <c r="R30" s="436"/>
      <c r="S30" s="436"/>
      <c r="T30" s="436"/>
      <c r="U30" s="436"/>
      <c r="V30" s="436" t="n">
        <v>1.5</v>
      </c>
      <c r="W30" s="436"/>
      <c r="X30" s="436"/>
      <c r="Y30" s="436"/>
      <c r="Z30" s="436"/>
      <c r="AA30" s="436" t="n">
        <v>0.5</v>
      </c>
      <c r="AB30" s="436"/>
      <c r="AC30" s="436"/>
      <c r="AD30" s="436"/>
      <c r="AE30" s="436"/>
      <c r="AF30" s="436"/>
      <c r="AG30" s="436"/>
      <c r="AH30" s="436"/>
      <c r="AI30" s="437"/>
      <c r="AJ30" s="436"/>
      <c r="AK30" s="438"/>
      <c r="AM30" s="31" t="s">
        <v>49</v>
      </c>
      <c r="AN30" s="444" t="n">
        <v>41.59</v>
      </c>
      <c r="AO30" s="443" t="n">
        <v>0.4</v>
      </c>
      <c r="AQ30" s="342" t="s">
        <v>858</v>
      </c>
      <c r="AR30" s="439" t="n">
        <f aca="false">L30^2</f>
        <v>0</v>
      </c>
      <c r="AS30" s="440" t="n">
        <f aca="false">M30^2</f>
        <v>0</v>
      </c>
      <c r="AT30" s="440" t="n">
        <f aca="false">N30^2</f>
        <v>0</v>
      </c>
      <c r="AU30" s="440" t="n">
        <f aca="false">O30^2</f>
        <v>0</v>
      </c>
      <c r="AV30" s="440" t="n">
        <f aca="false">P30^2</f>
        <v>0</v>
      </c>
      <c r="AW30" s="440" t="n">
        <f aca="false">Q30^2</f>
        <v>0</v>
      </c>
      <c r="AX30" s="440" t="n">
        <f aca="false">R30^2</f>
        <v>0</v>
      </c>
      <c r="AY30" s="440" t="n">
        <f aca="false">S30^2</f>
        <v>0</v>
      </c>
      <c r="AZ30" s="440" t="n">
        <f aca="false">T30^2</f>
        <v>0</v>
      </c>
      <c r="BA30" s="440" t="n">
        <f aca="false">U30^2</f>
        <v>0</v>
      </c>
      <c r="BB30" s="440" t="n">
        <f aca="false">V30^2</f>
        <v>2.25</v>
      </c>
      <c r="BC30" s="440" t="n">
        <f aca="false">W30^2</f>
        <v>0</v>
      </c>
      <c r="BD30" s="440" t="n">
        <f aca="false">X30^2</f>
        <v>0</v>
      </c>
      <c r="BE30" s="440" t="n">
        <f aca="false">Y30^2</f>
        <v>0</v>
      </c>
      <c r="BF30" s="440" t="n">
        <f aca="false">Z30^2</f>
        <v>0</v>
      </c>
      <c r="BG30" s="440" t="n">
        <f aca="false">AA30^2</f>
        <v>0.25</v>
      </c>
      <c r="BH30" s="440" t="n">
        <f aca="false">AB30^2</f>
        <v>0</v>
      </c>
      <c r="BI30" s="440" t="n">
        <f aca="false">AC30^2</f>
        <v>0</v>
      </c>
      <c r="BJ30" s="440" t="n">
        <f aca="false">AD30^2</f>
        <v>0</v>
      </c>
      <c r="BK30" s="440" t="n">
        <f aca="false">AE30^2</f>
        <v>0</v>
      </c>
      <c r="BL30" s="440" t="n">
        <f aca="false">AF30^2</f>
        <v>0</v>
      </c>
      <c r="BM30" s="440" t="n">
        <f aca="false">AG30^2</f>
        <v>0</v>
      </c>
      <c r="BN30" s="440" t="n">
        <f aca="false">AH30^2</f>
        <v>0</v>
      </c>
      <c r="BO30" s="440" t="n">
        <f aca="false">AI30^2</f>
        <v>0</v>
      </c>
      <c r="BP30" s="440" t="n">
        <f aca="false">AJ30^2</f>
        <v>0</v>
      </c>
      <c r="BQ30" s="441" t="n">
        <f aca="false">-SIGN(AK30)*AK30^2</f>
        <v>-0</v>
      </c>
    </row>
    <row r="31" customFormat="false" ht="12.75" hidden="false" customHeight="false" outlineLevel="0" collapsed="false">
      <c r="A31" s="45"/>
      <c r="B31" s="44"/>
      <c r="C31" s="161" t="s">
        <v>865</v>
      </c>
      <c r="D31" s="290" t="n">
        <f aca="false">IF(F31="","",IF(H31="","",ROUND(F31-0.001*298.15*(H31-SUMPRODUCT(L31:AK31*AR$13:BQ$13)),3)))</f>
        <v>-79.398</v>
      </c>
      <c r="E31" s="137" t="n">
        <f aca="false">IF(G31="","",IF(I31="","",ROUND(2*SQRT((0.5*G31)^2+(0.001*298.15)^2*((0.5*I31)^2+SUMPRODUCT(AR31:BQ31*AR$15:BQ$15))),3)))</f>
        <v>0.277</v>
      </c>
      <c r="F31" s="291" t="s">
        <v>866</v>
      </c>
      <c r="G31" s="292" t="s">
        <v>761</v>
      </c>
      <c r="H31" s="291" t="s">
        <v>867</v>
      </c>
      <c r="I31" s="292" t="s">
        <v>742</v>
      </c>
      <c r="K31" s="342" t="s">
        <v>865</v>
      </c>
      <c r="L31" s="434"/>
      <c r="M31" s="435"/>
      <c r="N31" s="435"/>
      <c r="O31" s="435"/>
      <c r="P31" s="436"/>
      <c r="Q31" s="436"/>
      <c r="R31" s="436"/>
      <c r="S31" s="436"/>
      <c r="T31" s="436"/>
      <c r="U31" s="436"/>
      <c r="V31" s="436" t="n">
        <v>2</v>
      </c>
      <c r="W31" s="436"/>
      <c r="X31" s="436"/>
      <c r="Y31" s="436"/>
      <c r="Z31" s="436"/>
      <c r="AA31" s="436" t="n">
        <v>0.5</v>
      </c>
      <c r="AB31" s="436"/>
      <c r="AC31" s="436"/>
      <c r="AD31" s="436"/>
      <c r="AE31" s="436"/>
      <c r="AF31" s="436"/>
      <c r="AG31" s="436"/>
      <c r="AH31" s="436"/>
      <c r="AI31" s="437"/>
      <c r="AJ31" s="436"/>
      <c r="AK31" s="438" t="n">
        <v>1</v>
      </c>
      <c r="AM31" s="38" t="s">
        <v>54</v>
      </c>
      <c r="AN31" s="443" t="n">
        <v>223.081</v>
      </c>
      <c r="AO31" s="443" t="n">
        <v>0.01</v>
      </c>
      <c r="AQ31" s="342" t="s">
        <v>865</v>
      </c>
      <c r="AR31" s="439" t="n">
        <f aca="false">L31^2</f>
        <v>0</v>
      </c>
      <c r="AS31" s="440" t="n">
        <f aca="false">M31^2</f>
        <v>0</v>
      </c>
      <c r="AT31" s="440" t="n">
        <f aca="false">N31^2</f>
        <v>0</v>
      </c>
      <c r="AU31" s="440" t="n">
        <f aca="false">O31^2</f>
        <v>0</v>
      </c>
      <c r="AV31" s="440" t="n">
        <f aca="false">P31^2</f>
        <v>0</v>
      </c>
      <c r="AW31" s="440" t="n">
        <f aca="false">Q31^2</f>
        <v>0</v>
      </c>
      <c r="AX31" s="440" t="n">
        <f aca="false">R31^2</f>
        <v>0</v>
      </c>
      <c r="AY31" s="440" t="n">
        <f aca="false">S31^2</f>
        <v>0</v>
      </c>
      <c r="AZ31" s="440" t="n">
        <f aca="false">T31^2</f>
        <v>0</v>
      </c>
      <c r="BA31" s="440" t="n">
        <f aca="false">U31^2</f>
        <v>0</v>
      </c>
      <c r="BB31" s="440" t="n">
        <f aca="false">V31^2</f>
        <v>4</v>
      </c>
      <c r="BC31" s="440" t="n">
        <f aca="false">W31^2</f>
        <v>0</v>
      </c>
      <c r="BD31" s="440" t="n">
        <f aca="false">X31^2</f>
        <v>0</v>
      </c>
      <c r="BE31" s="440" t="n">
        <f aca="false">Y31^2</f>
        <v>0</v>
      </c>
      <c r="BF31" s="440" t="n">
        <f aca="false">Z31^2</f>
        <v>0</v>
      </c>
      <c r="BG31" s="440" t="n">
        <f aca="false">AA31^2</f>
        <v>0.25</v>
      </c>
      <c r="BH31" s="440" t="n">
        <f aca="false">AB31^2</f>
        <v>0</v>
      </c>
      <c r="BI31" s="440" t="n">
        <f aca="false">AC31^2</f>
        <v>0</v>
      </c>
      <c r="BJ31" s="440" t="n">
        <f aca="false">AD31^2</f>
        <v>0</v>
      </c>
      <c r="BK31" s="440" t="n">
        <f aca="false">AE31^2</f>
        <v>0</v>
      </c>
      <c r="BL31" s="440" t="n">
        <f aca="false">AF31^2</f>
        <v>0</v>
      </c>
      <c r="BM31" s="440" t="n">
        <f aca="false">AG31^2</f>
        <v>0</v>
      </c>
      <c r="BN31" s="440" t="n">
        <f aca="false">AH31^2</f>
        <v>0</v>
      </c>
      <c r="BO31" s="440" t="n">
        <f aca="false">AI31^2</f>
        <v>0</v>
      </c>
      <c r="BP31" s="440" t="n">
        <f aca="false">AJ31^2</f>
        <v>0</v>
      </c>
      <c r="BQ31" s="441" t="n">
        <f aca="false">-SIGN(AK31)*AK31^2</f>
        <v>-1</v>
      </c>
    </row>
    <row r="32" customFormat="false" ht="12.75" hidden="false" customHeight="false" outlineLevel="0" collapsed="false">
      <c r="A32" s="45"/>
      <c r="B32" s="45"/>
      <c r="C32" s="161" t="s">
        <v>872</v>
      </c>
      <c r="D32" s="290" t="n">
        <f aca="false">IF(F32="","",IF(H32="","",ROUND(F32-0.001*298.15*(H32-SUMPRODUCT(L32:AK32*AR$13:BQ$13)),3)))</f>
        <v>-1095.985</v>
      </c>
      <c r="E32" s="137" t="n">
        <f aca="false">IF(G32="","",IF(I32="","",ROUND(2*SQRT((0.5*G32)^2+(0.001*298.15)^2*((0.5*I32)^2+SUMPRODUCT(AR32:BQ32*AR$15:BQ$15))),3)))</f>
        <v>1.567</v>
      </c>
      <c r="F32" s="291" t="s">
        <v>873</v>
      </c>
      <c r="G32" s="292" t="s">
        <v>842</v>
      </c>
      <c r="H32" s="291" t="s">
        <v>874</v>
      </c>
      <c r="I32" s="292" t="s">
        <v>842</v>
      </c>
      <c r="K32" s="342" t="s">
        <v>872</v>
      </c>
      <c r="L32" s="434"/>
      <c r="M32" s="435"/>
      <c r="N32" s="435"/>
      <c r="O32" s="435"/>
      <c r="P32" s="436"/>
      <c r="Q32" s="436"/>
      <c r="R32" s="436"/>
      <c r="S32" s="436"/>
      <c r="T32" s="436"/>
      <c r="U32" s="436"/>
      <c r="V32" s="436" t="n">
        <v>0.5</v>
      </c>
      <c r="W32" s="436"/>
      <c r="X32" s="436"/>
      <c r="Y32" s="436"/>
      <c r="Z32" s="436"/>
      <c r="AA32" s="436"/>
      <c r="AB32" s="436"/>
      <c r="AC32" s="436"/>
      <c r="AD32" s="436" t="n">
        <v>2</v>
      </c>
      <c r="AE32" s="436" t="n">
        <v>1</v>
      </c>
      <c r="AF32" s="436"/>
      <c r="AG32" s="436"/>
      <c r="AH32" s="436"/>
      <c r="AI32" s="437"/>
      <c r="AJ32" s="436"/>
      <c r="AK32" s="438" t="n">
        <v>-2</v>
      </c>
      <c r="AM32" s="38" t="s">
        <v>59</v>
      </c>
      <c r="AN32" s="444" t="n">
        <v>85.23</v>
      </c>
      <c r="AO32" s="443" t="n">
        <v>0.4</v>
      </c>
      <c r="AQ32" s="342" t="s">
        <v>872</v>
      </c>
      <c r="AR32" s="439" t="n">
        <f aca="false">L32^2</f>
        <v>0</v>
      </c>
      <c r="AS32" s="440" t="n">
        <f aca="false">M32^2</f>
        <v>0</v>
      </c>
      <c r="AT32" s="440" t="n">
        <f aca="false">N32^2</f>
        <v>0</v>
      </c>
      <c r="AU32" s="440" t="n">
        <f aca="false">O32^2</f>
        <v>0</v>
      </c>
      <c r="AV32" s="440" t="n">
        <f aca="false">P32^2</f>
        <v>0</v>
      </c>
      <c r="AW32" s="440" t="n">
        <f aca="false">Q32^2</f>
        <v>0</v>
      </c>
      <c r="AX32" s="440" t="n">
        <f aca="false">R32^2</f>
        <v>0</v>
      </c>
      <c r="AY32" s="440" t="n">
        <f aca="false">S32^2</f>
        <v>0</v>
      </c>
      <c r="AZ32" s="440" t="n">
        <f aca="false">T32^2</f>
        <v>0</v>
      </c>
      <c r="BA32" s="440" t="n">
        <f aca="false">U32^2</f>
        <v>0</v>
      </c>
      <c r="BB32" s="440" t="n">
        <f aca="false">V32^2</f>
        <v>0.25</v>
      </c>
      <c r="BC32" s="440" t="n">
        <f aca="false">W32^2</f>
        <v>0</v>
      </c>
      <c r="BD32" s="440" t="n">
        <f aca="false">X32^2</f>
        <v>0</v>
      </c>
      <c r="BE32" s="440" t="n">
        <f aca="false">Y32^2</f>
        <v>0</v>
      </c>
      <c r="BF32" s="440" t="n">
        <f aca="false">Z32^2</f>
        <v>0</v>
      </c>
      <c r="BG32" s="440" t="n">
        <f aca="false">AA32^2</f>
        <v>0</v>
      </c>
      <c r="BH32" s="440" t="n">
        <f aca="false">AB32^2</f>
        <v>0</v>
      </c>
      <c r="BI32" s="440" t="n">
        <f aca="false">AC32^2</f>
        <v>0</v>
      </c>
      <c r="BJ32" s="440" t="n">
        <f aca="false">AD32^2</f>
        <v>4</v>
      </c>
      <c r="BK32" s="440" t="n">
        <f aca="false">AE32^2</f>
        <v>1</v>
      </c>
      <c r="BL32" s="440" t="n">
        <f aca="false">AF32^2</f>
        <v>0</v>
      </c>
      <c r="BM32" s="440" t="n">
        <f aca="false">AG32^2</f>
        <v>0</v>
      </c>
      <c r="BN32" s="440" t="n">
        <f aca="false">AH32^2</f>
        <v>0</v>
      </c>
      <c r="BO32" s="440" t="n">
        <f aca="false">AI32^2</f>
        <v>0</v>
      </c>
      <c r="BP32" s="440" t="n">
        <f aca="false">AJ32^2</f>
        <v>0</v>
      </c>
      <c r="BQ32" s="441" t="n">
        <f aca="false">-SIGN(AK32)*AK32^2</f>
        <v>4</v>
      </c>
    </row>
    <row r="33" customFormat="false" ht="12.75" hidden="false" customHeight="false" outlineLevel="0" collapsed="false">
      <c r="A33" s="45"/>
      <c r="B33" s="44"/>
      <c r="C33" s="161" t="s">
        <v>879</v>
      </c>
      <c r="D33" s="290" t="n">
        <f aca="false">IF(F33="","",IF(H33="","",ROUND(F33-0.001*298.15*(H33-SUMPRODUCT(L33:AK33*AR$13:BQ$13)),3)))</f>
        <v>-1137.152</v>
      </c>
      <c r="E33" s="137" t="n">
        <f aca="false">IF(G33="","",IF(I33="","",ROUND(2*SQRT((0.5*G33)^2+(0.001*298.15)^2*((0.5*I33)^2+SUMPRODUCT(AR33:BQ33*AR$15:BQ$15))),3)))</f>
        <v>1.567</v>
      </c>
      <c r="F33" s="291" t="s">
        <v>880</v>
      </c>
      <c r="G33" s="292" t="s">
        <v>842</v>
      </c>
      <c r="H33" s="291" t="s">
        <v>881</v>
      </c>
      <c r="I33" s="292" t="s">
        <v>842</v>
      </c>
      <c r="J33" s="10"/>
      <c r="K33" s="342" t="s">
        <v>879</v>
      </c>
      <c r="L33" s="434"/>
      <c r="M33" s="435"/>
      <c r="N33" s="435"/>
      <c r="O33" s="435"/>
      <c r="P33" s="436"/>
      <c r="Q33" s="436"/>
      <c r="R33" s="436"/>
      <c r="S33" s="436"/>
      <c r="T33" s="436"/>
      <c r="U33" s="436"/>
      <c r="V33" s="436" t="n">
        <v>1</v>
      </c>
      <c r="W33" s="436"/>
      <c r="X33" s="436"/>
      <c r="Y33" s="436"/>
      <c r="Z33" s="436"/>
      <c r="AA33" s="436"/>
      <c r="AB33" s="436"/>
      <c r="AC33" s="436"/>
      <c r="AD33" s="436" t="n">
        <v>2</v>
      </c>
      <c r="AE33" s="436" t="n">
        <v>1</v>
      </c>
      <c r="AF33" s="436"/>
      <c r="AG33" s="436"/>
      <c r="AH33" s="436"/>
      <c r="AI33" s="437"/>
      <c r="AJ33" s="436"/>
      <c r="AK33" s="438" t="n">
        <v>-1</v>
      </c>
      <c r="AM33" s="38" t="s">
        <v>66</v>
      </c>
      <c r="AN33" s="443" t="n">
        <v>202.791</v>
      </c>
      <c r="AO33" s="443" t="n">
        <v>0.005</v>
      </c>
      <c r="AQ33" s="342" t="s">
        <v>879</v>
      </c>
      <c r="AR33" s="439" t="n">
        <f aca="false">L33^2</f>
        <v>0</v>
      </c>
      <c r="AS33" s="440" t="n">
        <f aca="false">M33^2</f>
        <v>0</v>
      </c>
      <c r="AT33" s="440" t="n">
        <f aca="false">N33^2</f>
        <v>0</v>
      </c>
      <c r="AU33" s="440" t="n">
        <f aca="false">O33^2</f>
        <v>0</v>
      </c>
      <c r="AV33" s="440" t="n">
        <f aca="false">P33^2</f>
        <v>0</v>
      </c>
      <c r="AW33" s="440" t="n">
        <f aca="false">Q33^2</f>
        <v>0</v>
      </c>
      <c r="AX33" s="440" t="n">
        <f aca="false">R33^2</f>
        <v>0</v>
      </c>
      <c r="AY33" s="440" t="n">
        <f aca="false">S33^2</f>
        <v>0</v>
      </c>
      <c r="AZ33" s="440" t="n">
        <f aca="false">T33^2</f>
        <v>0</v>
      </c>
      <c r="BA33" s="440" t="n">
        <f aca="false">U33^2</f>
        <v>0</v>
      </c>
      <c r="BB33" s="440" t="n">
        <f aca="false">V33^2</f>
        <v>1</v>
      </c>
      <c r="BC33" s="440" t="n">
        <f aca="false">W33^2</f>
        <v>0</v>
      </c>
      <c r="BD33" s="440" t="n">
        <f aca="false">X33^2</f>
        <v>0</v>
      </c>
      <c r="BE33" s="440" t="n">
        <f aca="false">Y33^2</f>
        <v>0</v>
      </c>
      <c r="BF33" s="440" t="n">
        <f aca="false">Z33^2</f>
        <v>0</v>
      </c>
      <c r="BG33" s="440" t="n">
        <f aca="false">AA33^2</f>
        <v>0</v>
      </c>
      <c r="BH33" s="440" t="n">
        <f aca="false">AB33^2</f>
        <v>0</v>
      </c>
      <c r="BI33" s="440" t="n">
        <f aca="false">AC33^2</f>
        <v>0</v>
      </c>
      <c r="BJ33" s="440" t="n">
        <f aca="false">AD33^2</f>
        <v>4</v>
      </c>
      <c r="BK33" s="440" t="n">
        <f aca="false">AE33^2</f>
        <v>1</v>
      </c>
      <c r="BL33" s="440" t="n">
        <f aca="false">AF33^2</f>
        <v>0</v>
      </c>
      <c r="BM33" s="440" t="n">
        <f aca="false">AG33^2</f>
        <v>0</v>
      </c>
      <c r="BN33" s="440" t="n">
        <f aca="false">AH33^2</f>
        <v>0</v>
      </c>
      <c r="BO33" s="440" t="n">
        <f aca="false">AI33^2</f>
        <v>0</v>
      </c>
      <c r="BP33" s="440" t="n">
        <f aca="false">AJ33^2</f>
        <v>0</v>
      </c>
      <c r="BQ33" s="441" t="n">
        <f aca="false">-SIGN(AK33)*AK33^2</f>
        <v>1</v>
      </c>
    </row>
    <row r="34" customFormat="false" ht="12.75" hidden="false" customHeight="false" outlineLevel="0" collapsed="false">
      <c r="A34" s="45"/>
      <c r="B34" s="44"/>
      <c r="C34" s="161" t="s">
        <v>885</v>
      </c>
      <c r="D34" s="290" t="n">
        <f aca="false">IF(F34="","",IF(H34="","",ROUND(F34-0.001*298.15*(H34-SUMPRODUCT(L34:AK34*AR$13:BQ$13)),3)))</f>
        <v>-385.97</v>
      </c>
      <c r="E34" s="137" t="n">
        <f aca="false">IF(G34="","",IF(I34="","",ROUND(2*SQRT((0.5*G34)^2+(0.001*298.15)^2*((0.5*I34)^2+SUMPRODUCT(AR34:BQ34*AR$15:BQ$15))),3)))</f>
        <v>0.27</v>
      </c>
      <c r="F34" s="291" t="s">
        <v>886</v>
      </c>
      <c r="G34" s="292" t="s">
        <v>728</v>
      </c>
      <c r="H34" s="291" t="s">
        <v>887</v>
      </c>
      <c r="I34" s="292" t="s">
        <v>888</v>
      </c>
      <c r="J34" s="10"/>
      <c r="K34" s="342" t="s">
        <v>885</v>
      </c>
      <c r="L34" s="434"/>
      <c r="M34" s="435"/>
      <c r="N34" s="435"/>
      <c r="O34" s="435"/>
      <c r="P34" s="436" t="n">
        <v>1</v>
      </c>
      <c r="Q34" s="436"/>
      <c r="R34" s="436"/>
      <c r="S34" s="436"/>
      <c r="T34" s="436"/>
      <c r="U34" s="436"/>
      <c r="V34" s="436"/>
      <c r="W34" s="436"/>
      <c r="X34" s="436"/>
      <c r="Y34" s="436"/>
      <c r="Z34" s="436"/>
      <c r="AA34" s="436"/>
      <c r="AB34" s="436"/>
      <c r="AC34" s="436"/>
      <c r="AD34" s="436" t="n">
        <v>1</v>
      </c>
      <c r="AE34" s="436"/>
      <c r="AF34" s="436"/>
      <c r="AG34" s="436"/>
      <c r="AH34" s="436"/>
      <c r="AI34" s="437"/>
      <c r="AJ34" s="436"/>
      <c r="AK34" s="438"/>
      <c r="AM34" s="38" t="s">
        <v>68</v>
      </c>
      <c r="AN34" s="444"/>
      <c r="AO34" s="443"/>
      <c r="AQ34" s="342" t="s">
        <v>885</v>
      </c>
      <c r="AR34" s="439" t="n">
        <f aca="false">L34^2</f>
        <v>0</v>
      </c>
      <c r="AS34" s="440" t="n">
        <f aca="false">M34^2</f>
        <v>0</v>
      </c>
      <c r="AT34" s="440" t="n">
        <f aca="false">N34^2</f>
        <v>0</v>
      </c>
      <c r="AU34" s="440" t="n">
        <f aca="false">O34^2</f>
        <v>0</v>
      </c>
      <c r="AV34" s="440" t="n">
        <f aca="false">P34^2</f>
        <v>1</v>
      </c>
      <c r="AW34" s="440" t="n">
        <f aca="false">Q34^2</f>
        <v>0</v>
      </c>
      <c r="AX34" s="440" t="n">
        <f aca="false">R34^2</f>
        <v>0</v>
      </c>
      <c r="AY34" s="440" t="n">
        <f aca="false">S34^2</f>
        <v>0</v>
      </c>
      <c r="AZ34" s="440" t="n">
        <f aca="false">T34^2</f>
        <v>0</v>
      </c>
      <c r="BA34" s="440" t="n">
        <f aca="false">U34^2</f>
        <v>0</v>
      </c>
      <c r="BB34" s="440" t="n">
        <f aca="false">V34^2</f>
        <v>0</v>
      </c>
      <c r="BC34" s="440" t="n">
        <f aca="false">W34^2</f>
        <v>0</v>
      </c>
      <c r="BD34" s="440" t="n">
        <f aca="false">X34^2</f>
        <v>0</v>
      </c>
      <c r="BE34" s="440" t="n">
        <f aca="false">Y34^2</f>
        <v>0</v>
      </c>
      <c r="BF34" s="440" t="n">
        <f aca="false">Z34^2</f>
        <v>0</v>
      </c>
      <c r="BG34" s="440" t="n">
        <f aca="false">AA34^2</f>
        <v>0</v>
      </c>
      <c r="BH34" s="440" t="n">
        <f aca="false">AB34^2</f>
        <v>0</v>
      </c>
      <c r="BI34" s="440" t="n">
        <f aca="false">AC34^2</f>
        <v>0</v>
      </c>
      <c r="BJ34" s="440" t="n">
        <f aca="false">AD34^2</f>
        <v>1</v>
      </c>
      <c r="BK34" s="440" t="n">
        <f aca="false">AE34^2</f>
        <v>0</v>
      </c>
      <c r="BL34" s="440" t="n">
        <f aca="false">AF34^2</f>
        <v>0</v>
      </c>
      <c r="BM34" s="440" t="n">
        <f aca="false">AG34^2</f>
        <v>0</v>
      </c>
      <c r="BN34" s="440" t="n">
        <f aca="false">AH34^2</f>
        <v>0</v>
      </c>
      <c r="BO34" s="440" t="n">
        <f aca="false">AI34^2</f>
        <v>0</v>
      </c>
      <c r="BP34" s="440" t="n">
        <f aca="false">AJ34^2</f>
        <v>0</v>
      </c>
      <c r="BQ34" s="441" t="n">
        <f aca="false">-SIGN(AK34)*AK34^2</f>
        <v>-0</v>
      </c>
    </row>
    <row r="35" customFormat="false" ht="12.75" hidden="false" customHeight="false" outlineLevel="0" collapsed="false">
      <c r="A35" s="45"/>
      <c r="B35" s="45"/>
      <c r="C35" s="161" t="s">
        <v>893</v>
      </c>
      <c r="D35" s="290" t="n">
        <f aca="false">IF(F35="","",IF(H35="","",ROUND(F35-0.001*298.15*(H35-SUMPRODUCT(L35:AK35*AR$13:BQ$13)),3)))</f>
        <v>-527.9</v>
      </c>
      <c r="E35" s="137" t="n">
        <f aca="false">IF(G35="","",IF(I35="","",ROUND(2*SQRT((0.5*G35)^2+(0.001*298.15)^2*((0.5*I35)^2+SUMPRODUCT(AR35:BQ35*AR$15:BQ$15))),3)))</f>
        <v>0.39</v>
      </c>
      <c r="F35" s="291" t="s">
        <v>894</v>
      </c>
      <c r="G35" s="292" t="s">
        <v>761</v>
      </c>
      <c r="H35" s="291" t="s">
        <v>895</v>
      </c>
      <c r="I35" s="292" t="s">
        <v>896</v>
      </c>
      <c r="J35" s="10"/>
      <c r="K35" s="342" t="s">
        <v>893</v>
      </c>
      <c r="L35" s="434"/>
      <c r="M35" s="435"/>
      <c r="N35" s="435"/>
      <c r="O35" s="435"/>
      <c r="P35" s="436" t="n">
        <v>1</v>
      </c>
      <c r="Q35" s="436"/>
      <c r="R35" s="436"/>
      <c r="S35" s="436"/>
      <c r="T35" s="436"/>
      <c r="U35" s="436"/>
      <c r="V35" s="436"/>
      <c r="W35" s="436"/>
      <c r="X35" s="436"/>
      <c r="Y35" s="436"/>
      <c r="Z35" s="436"/>
      <c r="AA35" s="436"/>
      <c r="AB35" s="436"/>
      <c r="AC35" s="436"/>
      <c r="AD35" s="436" t="n">
        <v>1.5</v>
      </c>
      <c r="AE35" s="436"/>
      <c r="AF35" s="436"/>
      <c r="AG35" s="436"/>
      <c r="AH35" s="436"/>
      <c r="AI35" s="437"/>
      <c r="AJ35" s="436"/>
      <c r="AK35" s="438" t="n">
        <v>-2</v>
      </c>
      <c r="AM35" s="38" t="s">
        <v>75</v>
      </c>
      <c r="AN35" s="443" t="n">
        <v>130.68</v>
      </c>
      <c r="AO35" s="443" t="n">
        <v>0.003</v>
      </c>
      <c r="AQ35" s="342" t="s">
        <v>893</v>
      </c>
      <c r="AR35" s="439" t="n">
        <f aca="false">L35^2</f>
        <v>0</v>
      </c>
      <c r="AS35" s="440" t="n">
        <f aca="false">M35^2</f>
        <v>0</v>
      </c>
      <c r="AT35" s="440" t="n">
        <f aca="false">N35^2</f>
        <v>0</v>
      </c>
      <c r="AU35" s="440" t="n">
        <f aca="false">O35^2</f>
        <v>0</v>
      </c>
      <c r="AV35" s="440" t="n">
        <f aca="false">P35^2</f>
        <v>1</v>
      </c>
      <c r="AW35" s="440" t="n">
        <f aca="false">Q35^2</f>
        <v>0</v>
      </c>
      <c r="AX35" s="440" t="n">
        <f aca="false">R35^2</f>
        <v>0</v>
      </c>
      <c r="AY35" s="440" t="n">
        <f aca="false">S35^2</f>
        <v>0</v>
      </c>
      <c r="AZ35" s="440" t="n">
        <f aca="false">T35^2</f>
        <v>0</v>
      </c>
      <c r="BA35" s="440" t="n">
        <f aca="false">U35^2</f>
        <v>0</v>
      </c>
      <c r="BB35" s="440" t="n">
        <f aca="false">V35^2</f>
        <v>0</v>
      </c>
      <c r="BC35" s="440" t="n">
        <f aca="false">W35^2</f>
        <v>0</v>
      </c>
      <c r="BD35" s="440" t="n">
        <f aca="false">X35^2</f>
        <v>0</v>
      </c>
      <c r="BE35" s="440" t="n">
        <f aca="false">Y35^2</f>
        <v>0</v>
      </c>
      <c r="BF35" s="440" t="n">
        <f aca="false">Z35^2</f>
        <v>0</v>
      </c>
      <c r="BG35" s="440" t="n">
        <f aca="false">AA35^2</f>
        <v>0</v>
      </c>
      <c r="BH35" s="440" t="n">
        <f aca="false">AB35^2</f>
        <v>0</v>
      </c>
      <c r="BI35" s="440" t="n">
        <f aca="false">AC35^2</f>
        <v>0</v>
      </c>
      <c r="BJ35" s="440" t="n">
        <f aca="false">AD35^2</f>
        <v>2.25</v>
      </c>
      <c r="BK35" s="440" t="n">
        <f aca="false">AE35^2</f>
        <v>0</v>
      </c>
      <c r="BL35" s="440" t="n">
        <f aca="false">AF35^2</f>
        <v>0</v>
      </c>
      <c r="BM35" s="440" t="n">
        <f aca="false">AG35^2</f>
        <v>0</v>
      </c>
      <c r="BN35" s="440" t="n">
        <f aca="false">AH35^2</f>
        <v>0</v>
      </c>
      <c r="BO35" s="440" t="n">
        <f aca="false">AI35^2</f>
        <v>0</v>
      </c>
      <c r="BP35" s="440" t="n">
        <f aca="false">AJ35^2</f>
        <v>0</v>
      </c>
      <c r="BQ35" s="441" t="n">
        <f aca="false">-SIGN(AK35)*AK35^2</f>
        <v>4</v>
      </c>
    </row>
    <row r="36" customFormat="false" ht="12.75" hidden="false" customHeight="false" outlineLevel="0" collapsed="false">
      <c r="A36" s="45"/>
      <c r="B36" s="45"/>
      <c r="C36" s="161" t="s">
        <v>902</v>
      </c>
      <c r="D36" s="290" t="n">
        <f aca="false">IF(F36="","",IF(H36="","",ROUND(F36-0.001*298.15*(H36-SUMPRODUCT(L36:AK36*AR$13:BQ$13)),3)))</f>
        <v>-586.845</v>
      </c>
      <c r="E36" s="137" t="n">
        <f aca="false">IF(G36="","",IF(I36="","",ROUND(2*SQRT((0.5*G36)^2+(0.001*298.15)^2*((0.5*I36)^2+SUMPRODUCT(AR36:BQ36*AR$15:BQ$15))),3)))</f>
        <v>0.251</v>
      </c>
      <c r="F36" s="291" t="s">
        <v>903</v>
      </c>
      <c r="G36" s="292" t="s">
        <v>728</v>
      </c>
      <c r="H36" s="291" t="s">
        <v>904</v>
      </c>
      <c r="I36" s="292" t="s">
        <v>767</v>
      </c>
      <c r="K36" s="342" t="s">
        <v>902</v>
      </c>
      <c r="L36" s="434"/>
      <c r="M36" s="435"/>
      <c r="N36" s="435"/>
      <c r="O36" s="435"/>
      <c r="P36" s="436" t="n">
        <v>1</v>
      </c>
      <c r="Q36" s="436"/>
      <c r="R36" s="436"/>
      <c r="S36" s="436"/>
      <c r="T36" s="436"/>
      <c r="U36" s="436"/>
      <c r="V36" s="436" t="n">
        <v>0.5</v>
      </c>
      <c r="W36" s="436"/>
      <c r="X36" s="436"/>
      <c r="Y36" s="436"/>
      <c r="Z36" s="436"/>
      <c r="AA36" s="436"/>
      <c r="AB36" s="436"/>
      <c r="AC36" s="436"/>
      <c r="AD36" s="436" t="n">
        <v>1.5</v>
      </c>
      <c r="AE36" s="436"/>
      <c r="AF36" s="436"/>
      <c r="AG36" s="436"/>
      <c r="AH36" s="436"/>
      <c r="AI36" s="437"/>
      <c r="AJ36" s="436"/>
      <c r="AK36" s="438" t="n">
        <v>-1</v>
      </c>
      <c r="AM36" s="38" t="s">
        <v>82</v>
      </c>
      <c r="AN36" s="443" t="n">
        <v>116.14</v>
      </c>
      <c r="AO36" s="443" t="n">
        <v>0.3</v>
      </c>
      <c r="AQ36" s="342" t="s">
        <v>902</v>
      </c>
      <c r="AR36" s="439" t="n">
        <f aca="false">L36^2</f>
        <v>0</v>
      </c>
      <c r="AS36" s="440" t="n">
        <f aca="false">M36^2</f>
        <v>0</v>
      </c>
      <c r="AT36" s="440" t="n">
        <f aca="false">N36^2</f>
        <v>0</v>
      </c>
      <c r="AU36" s="440" t="n">
        <f aca="false">O36^2</f>
        <v>0</v>
      </c>
      <c r="AV36" s="440" t="n">
        <f aca="false">P36^2</f>
        <v>1</v>
      </c>
      <c r="AW36" s="440" t="n">
        <f aca="false">Q36^2</f>
        <v>0</v>
      </c>
      <c r="AX36" s="440" t="n">
        <f aca="false">R36^2</f>
        <v>0</v>
      </c>
      <c r="AY36" s="440" t="n">
        <f aca="false">S36^2</f>
        <v>0</v>
      </c>
      <c r="AZ36" s="440" t="n">
        <f aca="false">T36^2</f>
        <v>0</v>
      </c>
      <c r="BA36" s="440" t="n">
        <f aca="false">U36^2</f>
        <v>0</v>
      </c>
      <c r="BB36" s="440" t="n">
        <f aca="false">V36^2</f>
        <v>0.25</v>
      </c>
      <c r="BC36" s="440" t="n">
        <f aca="false">W36^2</f>
        <v>0</v>
      </c>
      <c r="BD36" s="440" t="n">
        <f aca="false">X36^2</f>
        <v>0</v>
      </c>
      <c r="BE36" s="440" t="n">
        <f aca="false">Y36^2</f>
        <v>0</v>
      </c>
      <c r="BF36" s="440" t="n">
        <f aca="false">Z36^2</f>
        <v>0</v>
      </c>
      <c r="BG36" s="440" t="n">
        <f aca="false">AA36^2</f>
        <v>0</v>
      </c>
      <c r="BH36" s="440" t="n">
        <f aca="false">AB36^2</f>
        <v>0</v>
      </c>
      <c r="BI36" s="440" t="n">
        <f aca="false">AC36^2</f>
        <v>0</v>
      </c>
      <c r="BJ36" s="440" t="n">
        <f aca="false">AD36^2</f>
        <v>2.25</v>
      </c>
      <c r="BK36" s="440" t="n">
        <f aca="false">AE36^2</f>
        <v>0</v>
      </c>
      <c r="BL36" s="440" t="n">
        <f aca="false">AF36^2</f>
        <v>0</v>
      </c>
      <c r="BM36" s="440" t="n">
        <f aca="false">AG36^2</f>
        <v>0</v>
      </c>
      <c r="BN36" s="440" t="n">
        <f aca="false">AH36^2</f>
        <v>0</v>
      </c>
      <c r="BO36" s="440" t="n">
        <f aca="false">AI36^2</f>
        <v>0</v>
      </c>
      <c r="BP36" s="440" t="n">
        <f aca="false">AJ36^2</f>
        <v>0</v>
      </c>
      <c r="BQ36" s="441" t="n">
        <f aca="false">-SIGN(AK36)*AK36^2</f>
        <v>1</v>
      </c>
    </row>
    <row r="37" customFormat="false" ht="12.75" hidden="false" customHeight="false" outlineLevel="0" collapsed="false">
      <c r="A37" s="45"/>
      <c r="B37" s="45"/>
      <c r="C37" s="161" t="s">
        <v>909</v>
      </c>
      <c r="D37" s="290" t="str">
        <f aca="false">IF(F37="","",IF(H37="","",ROUND(F37-0.001*298.15*(H37-SUMPRODUCT(L37:AK37*AR$13:BQ$13)),3)))</f>
        <v/>
      </c>
      <c r="E37" s="137" t="str">
        <f aca="false">IF(G37="","",IF(I37="","",ROUND(2*SQRT((0.5*G37)^2+(0.001*298.15)^2*((0.5*I37)^2+SUMPRODUCT(AR37:BQ37*AR$15:BQ$15))),3)))</f>
        <v/>
      </c>
      <c r="F37" s="291"/>
      <c r="G37" s="292"/>
      <c r="H37" s="291"/>
      <c r="I37" s="292"/>
      <c r="J37" s="10"/>
      <c r="K37" s="342" t="s">
        <v>909</v>
      </c>
      <c r="L37" s="434"/>
      <c r="M37" s="435"/>
      <c r="N37" s="435"/>
      <c r="O37" s="435"/>
      <c r="P37" s="436"/>
      <c r="Q37" s="436"/>
      <c r="R37" s="436"/>
      <c r="S37" s="436"/>
      <c r="T37" s="436"/>
      <c r="U37" s="436"/>
      <c r="V37" s="436" t="n">
        <v>2</v>
      </c>
      <c r="W37" s="436"/>
      <c r="X37" s="436"/>
      <c r="Y37" s="436"/>
      <c r="Z37" s="436"/>
      <c r="AA37" s="436"/>
      <c r="AB37" s="436"/>
      <c r="AC37" s="436"/>
      <c r="AD37" s="436" t="n">
        <v>2</v>
      </c>
      <c r="AE37" s="436"/>
      <c r="AF37" s="436"/>
      <c r="AG37" s="436"/>
      <c r="AH37" s="436"/>
      <c r="AI37" s="437" t="n">
        <v>1</v>
      </c>
      <c r="AJ37" s="436"/>
      <c r="AK37" s="438"/>
      <c r="AM37" s="38" t="s">
        <v>86</v>
      </c>
      <c r="AN37" s="444" t="n">
        <v>64.68</v>
      </c>
      <c r="AO37" s="443" t="n">
        <v>0.2</v>
      </c>
      <c r="AQ37" s="342" t="s">
        <v>909</v>
      </c>
      <c r="AR37" s="439" t="n">
        <f aca="false">L37^2</f>
        <v>0</v>
      </c>
      <c r="AS37" s="440" t="n">
        <f aca="false">M37^2</f>
        <v>0</v>
      </c>
      <c r="AT37" s="440" t="n">
        <f aca="false">N37^2</f>
        <v>0</v>
      </c>
      <c r="AU37" s="440" t="n">
        <f aca="false">O37^2</f>
        <v>0</v>
      </c>
      <c r="AV37" s="440" t="n">
        <f aca="false">P37^2</f>
        <v>0</v>
      </c>
      <c r="AW37" s="440" t="n">
        <f aca="false">Q37^2</f>
        <v>0</v>
      </c>
      <c r="AX37" s="440" t="n">
        <f aca="false">R37^2</f>
        <v>0</v>
      </c>
      <c r="AY37" s="440" t="n">
        <f aca="false">S37^2</f>
        <v>0</v>
      </c>
      <c r="AZ37" s="440" t="n">
        <f aca="false">T37^2</f>
        <v>0</v>
      </c>
      <c r="BA37" s="440" t="n">
        <f aca="false">U37^2</f>
        <v>0</v>
      </c>
      <c r="BB37" s="440" t="n">
        <f aca="false">V37^2</f>
        <v>4</v>
      </c>
      <c r="BC37" s="440" t="n">
        <f aca="false">W37^2</f>
        <v>0</v>
      </c>
      <c r="BD37" s="440" t="n">
        <f aca="false">X37^2</f>
        <v>0</v>
      </c>
      <c r="BE37" s="440" t="n">
        <f aca="false">Y37^2</f>
        <v>0</v>
      </c>
      <c r="BF37" s="440" t="n">
        <f aca="false">Z37^2</f>
        <v>0</v>
      </c>
      <c r="BG37" s="440" t="n">
        <f aca="false">AA37^2</f>
        <v>0</v>
      </c>
      <c r="BH37" s="440" t="n">
        <f aca="false">AB37^2</f>
        <v>0</v>
      </c>
      <c r="BI37" s="440" t="n">
        <f aca="false">AC37^2</f>
        <v>0</v>
      </c>
      <c r="BJ37" s="440" t="n">
        <f aca="false">AD37^2</f>
        <v>4</v>
      </c>
      <c r="BK37" s="440" t="n">
        <f aca="false">AE37^2</f>
        <v>0</v>
      </c>
      <c r="BL37" s="440" t="n">
        <f aca="false">AF37^2</f>
        <v>0</v>
      </c>
      <c r="BM37" s="440" t="n">
        <f aca="false">AG37^2</f>
        <v>0</v>
      </c>
      <c r="BN37" s="440" t="n">
        <f aca="false">AH37^2</f>
        <v>0</v>
      </c>
      <c r="BO37" s="440" t="n">
        <f aca="false">AI37^2</f>
        <v>1</v>
      </c>
      <c r="BP37" s="440" t="n">
        <f aca="false">AJ37^2</f>
        <v>0</v>
      </c>
      <c r="BQ37" s="441" t="n">
        <f aca="false">-SIGN(AK37)*AK37^2</f>
        <v>-0</v>
      </c>
    </row>
    <row r="38" customFormat="false" ht="12.75" hidden="false" customHeight="false" outlineLevel="0" collapsed="false">
      <c r="A38" s="45"/>
      <c r="B38" s="45"/>
      <c r="C38" s="161" t="s">
        <v>916</v>
      </c>
      <c r="D38" s="290" t="n">
        <f aca="false">IF(F38="","",IF(H38="","",ROUND(F38-0.001*298.15*(H38-SUMPRODUCT(L38:AK38*AR$13:BQ$13)),3)))</f>
        <v>-969.268</v>
      </c>
      <c r="E38" s="137" t="n">
        <f aca="false">IF(G38="","",IF(I38="","",ROUND(2*SQRT((0.5*G38)^2+(0.001*298.15)^2*((0.5*I38)^2+SUMPRODUCT(AR38:BQ38*AR$15:BQ$15))),3)))</f>
        <v>0.82</v>
      </c>
      <c r="F38" s="291" t="s">
        <v>917</v>
      </c>
      <c r="G38" s="292" t="s">
        <v>806</v>
      </c>
      <c r="H38" s="291" t="s">
        <v>918</v>
      </c>
      <c r="I38" s="292" t="s">
        <v>888</v>
      </c>
      <c r="J38" s="10"/>
      <c r="K38" s="342" t="s">
        <v>916</v>
      </c>
      <c r="L38" s="434"/>
      <c r="M38" s="435" t="n">
        <v>1</v>
      </c>
      <c r="N38" s="435"/>
      <c r="O38" s="435"/>
      <c r="P38" s="436"/>
      <c r="Q38" s="436"/>
      <c r="R38" s="436"/>
      <c r="S38" s="436"/>
      <c r="T38" s="436"/>
      <c r="U38" s="436"/>
      <c r="V38" s="436" t="n">
        <v>1.5</v>
      </c>
      <c r="W38" s="436"/>
      <c r="X38" s="436"/>
      <c r="Y38" s="436"/>
      <c r="Z38" s="436"/>
      <c r="AA38" s="436"/>
      <c r="AB38" s="436"/>
      <c r="AC38" s="436"/>
      <c r="AD38" s="436" t="n">
        <v>1.5</v>
      </c>
      <c r="AE38" s="436"/>
      <c r="AF38" s="436"/>
      <c r="AG38" s="436"/>
      <c r="AH38" s="436"/>
      <c r="AI38" s="437"/>
      <c r="AJ38" s="436"/>
      <c r="AK38" s="438"/>
      <c r="AM38" s="38" t="s">
        <v>89</v>
      </c>
      <c r="AN38" s="444" t="n">
        <v>29.12</v>
      </c>
      <c r="AO38" s="443" t="n">
        <v>0.2</v>
      </c>
      <c r="AQ38" s="342" t="s">
        <v>916</v>
      </c>
      <c r="AR38" s="439" t="n">
        <f aca="false">L38^2</f>
        <v>0</v>
      </c>
      <c r="AS38" s="440" t="n">
        <f aca="false">M38^2</f>
        <v>1</v>
      </c>
      <c r="AT38" s="440" t="n">
        <f aca="false">N38^2</f>
        <v>0</v>
      </c>
      <c r="AU38" s="440" t="n">
        <f aca="false">O38^2</f>
        <v>0</v>
      </c>
      <c r="AV38" s="440" t="n">
        <f aca="false">P38^2</f>
        <v>0</v>
      </c>
      <c r="AW38" s="440" t="n">
        <f aca="false">Q38^2</f>
        <v>0</v>
      </c>
      <c r="AX38" s="440" t="n">
        <f aca="false">R38^2</f>
        <v>0</v>
      </c>
      <c r="AY38" s="440" t="n">
        <f aca="false">S38^2</f>
        <v>0</v>
      </c>
      <c r="AZ38" s="440" t="n">
        <f aca="false">T38^2</f>
        <v>0</v>
      </c>
      <c r="BA38" s="440" t="n">
        <f aca="false">U38^2</f>
        <v>0</v>
      </c>
      <c r="BB38" s="440" t="n">
        <f aca="false">V38^2</f>
        <v>2.25</v>
      </c>
      <c r="BC38" s="440" t="n">
        <f aca="false">W38^2</f>
        <v>0</v>
      </c>
      <c r="BD38" s="440" t="n">
        <f aca="false">X38^2</f>
        <v>0</v>
      </c>
      <c r="BE38" s="440" t="n">
        <f aca="false">Y38^2</f>
        <v>0</v>
      </c>
      <c r="BF38" s="440" t="n">
        <f aca="false">Z38^2</f>
        <v>0</v>
      </c>
      <c r="BG38" s="440" t="n">
        <f aca="false">AA38^2</f>
        <v>0</v>
      </c>
      <c r="BH38" s="440" t="n">
        <f aca="false">AB38^2</f>
        <v>0</v>
      </c>
      <c r="BI38" s="440" t="n">
        <f aca="false">AC38^2</f>
        <v>0</v>
      </c>
      <c r="BJ38" s="440" t="n">
        <f aca="false">AD38^2</f>
        <v>2.25</v>
      </c>
      <c r="BK38" s="440" t="n">
        <f aca="false">AE38^2</f>
        <v>0</v>
      </c>
      <c r="BL38" s="440" t="n">
        <f aca="false">AF38^2</f>
        <v>0</v>
      </c>
      <c r="BM38" s="440" t="n">
        <f aca="false">AG38^2</f>
        <v>0</v>
      </c>
      <c r="BN38" s="440" t="n">
        <f aca="false">AH38^2</f>
        <v>0</v>
      </c>
      <c r="BO38" s="440" t="n">
        <f aca="false">AI38^2</f>
        <v>0</v>
      </c>
      <c r="BP38" s="440" t="n">
        <f aca="false">AJ38^2</f>
        <v>0</v>
      </c>
      <c r="BQ38" s="441" t="n">
        <f aca="false">-SIGN(AK38)*AK38^2</f>
        <v>-0</v>
      </c>
    </row>
    <row r="39" customFormat="false" ht="12.75" hidden="false" customHeight="false" outlineLevel="0" collapsed="false">
      <c r="A39" s="45"/>
      <c r="B39" s="45"/>
      <c r="C39" s="161" t="s">
        <v>923</v>
      </c>
      <c r="D39" s="290" t="str">
        <f aca="false">IF(F39="","",IF(H39="","",ROUND(F39-0.001*298.15*(H39-SUMPRODUCT(L39:AK39*AR$13:BQ$13)),3)))</f>
        <v/>
      </c>
      <c r="E39" s="137" t="str">
        <f aca="false">IF(G39="","",IF(I39="","",ROUND(2*SQRT((0.5*G39)^2+(0.001*298.15)^2*((0.5*I39)^2+SUMPRODUCT(AR39:BQ39*AR$15:BQ$15))),3)))</f>
        <v/>
      </c>
      <c r="F39" s="295"/>
      <c r="G39" s="297"/>
      <c r="H39" s="295"/>
      <c r="I39" s="297"/>
      <c r="J39" s="10"/>
      <c r="K39" s="161" t="s">
        <v>923</v>
      </c>
      <c r="L39" s="445"/>
      <c r="M39" s="446" t="n">
        <v>1</v>
      </c>
      <c r="N39" s="446"/>
      <c r="O39" s="446"/>
      <c r="P39" s="436"/>
      <c r="Q39" s="436"/>
      <c r="R39" s="436"/>
      <c r="S39" s="436"/>
      <c r="T39" s="436"/>
      <c r="U39" s="436"/>
      <c r="V39" s="436" t="n">
        <v>2</v>
      </c>
      <c r="W39" s="436"/>
      <c r="X39" s="436"/>
      <c r="Y39" s="436"/>
      <c r="Z39" s="436"/>
      <c r="AA39" s="436"/>
      <c r="AB39" s="436"/>
      <c r="AC39" s="436"/>
      <c r="AD39" s="436" t="n">
        <v>2</v>
      </c>
      <c r="AE39" s="436"/>
      <c r="AF39" s="436"/>
      <c r="AG39" s="436"/>
      <c r="AH39" s="436"/>
      <c r="AI39" s="437"/>
      <c r="AJ39" s="436"/>
      <c r="AK39" s="438" t="n">
        <v>-1</v>
      </c>
      <c r="AM39" s="31" t="s">
        <v>93</v>
      </c>
      <c r="AN39" s="444" t="n">
        <v>32.67</v>
      </c>
      <c r="AO39" s="443" t="n">
        <v>0.1</v>
      </c>
      <c r="AQ39" s="161" t="s">
        <v>923</v>
      </c>
      <c r="AR39" s="439" t="n">
        <f aca="false">L39^2</f>
        <v>0</v>
      </c>
      <c r="AS39" s="440" t="n">
        <f aca="false">M39^2</f>
        <v>1</v>
      </c>
      <c r="AT39" s="440" t="n">
        <f aca="false">N39^2</f>
        <v>0</v>
      </c>
      <c r="AU39" s="440" t="n">
        <f aca="false">O39^2</f>
        <v>0</v>
      </c>
      <c r="AV39" s="440" t="n">
        <f aca="false">P39^2</f>
        <v>0</v>
      </c>
      <c r="AW39" s="440" t="n">
        <f aca="false">Q39^2</f>
        <v>0</v>
      </c>
      <c r="AX39" s="440" t="n">
        <f aca="false">R39^2</f>
        <v>0</v>
      </c>
      <c r="AY39" s="440" t="n">
        <f aca="false">S39^2</f>
        <v>0</v>
      </c>
      <c r="AZ39" s="440" t="n">
        <f aca="false">T39^2</f>
        <v>0</v>
      </c>
      <c r="BA39" s="440" t="n">
        <f aca="false">U39^2</f>
        <v>0</v>
      </c>
      <c r="BB39" s="440" t="n">
        <f aca="false">V39^2</f>
        <v>4</v>
      </c>
      <c r="BC39" s="440" t="n">
        <f aca="false">W39^2</f>
        <v>0</v>
      </c>
      <c r="BD39" s="440" t="n">
        <f aca="false">X39^2</f>
        <v>0</v>
      </c>
      <c r="BE39" s="440" t="n">
        <f aca="false">Y39^2</f>
        <v>0</v>
      </c>
      <c r="BF39" s="440" t="n">
        <f aca="false">Z39^2</f>
        <v>0</v>
      </c>
      <c r="BG39" s="440" t="n">
        <f aca="false">AA39^2</f>
        <v>0</v>
      </c>
      <c r="BH39" s="440" t="n">
        <f aca="false">AB39^2</f>
        <v>0</v>
      </c>
      <c r="BI39" s="440" t="n">
        <f aca="false">AC39^2</f>
        <v>0</v>
      </c>
      <c r="BJ39" s="440" t="n">
        <f aca="false">AD39^2</f>
        <v>4</v>
      </c>
      <c r="BK39" s="440" t="n">
        <f aca="false">AE39^2</f>
        <v>0</v>
      </c>
      <c r="BL39" s="440" t="n">
        <f aca="false">AF39^2</f>
        <v>0</v>
      </c>
      <c r="BM39" s="440" t="n">
        <f aca="false">AG39^2</f>
        <v>0</v>
      </c>
      <c r="BN39" s="440" t="n">
        <f aca="false">AH39^2</f>
        <v>0</v>
      </c>
      <c r="BO39" s="440" t="n">
        <f aca="false">AI39^2</f>
        <v>0</v>
      </c>
      <c r="BP39" s="440" t="n">
        <f aca="false">AJ39^2</f>
        <v>0</v>
      </c>
      <c r="BQ39" s="441" t="n">
        <f aca="false">-SIGN(AK39)*AK39^2</f>
        <v>1</v>
      </c>
    </row>
    <row r="40" customFormat="false" ht="12.75" hidden="false" customHeight="false" outlineLevel="0" collapsed="false">
      <c r="A40" s="45"/>
      <c r="B40" s="44"/>
      <c r="C40" s="161" t="s">
        <v>924</v>
      </c>
      <c r="D40" s="290" t="n">
        <f aca="false">IF(F40="","",IF(H40="","",ROUND(F40-0.001*298.15*(H40-SUMPRODUCT(L40:AK40*AR$13:BQ$13)),3)))</f>
        <v>-490.115</v>
      </c>
      <c r="E40" s="137" t="n">
        <f aca="false">IF(G40="","",IF(I40="","",ROUND(2*SQRT((0.5*G40)^2+(0.001*298.15)^2*((0.5*I40)^2+SUMPRODUCT(AR40:BQ40*AR$15:BQ$15))),3)))</f>
        <v>1.623</v>
      </c>
      <c r="F40" s="291" t="n">
        <v>-538.35</v>
      </c>
      <c r="G40" s="292" t="n">
        <v>0.862167810425171</v>
      </c>
      <c r="H40" s="291" t="n">
        <v>-329.5</v>
      </c>
      <c r="I40" s="292" t="n">
        <v>4.60977222864644</v>
      </c>
      <c r="K40" s="342" t="s">
        <v>924</v>
      </c>
      <c r="L40" s="434" t="n">
        <v>1</v>
      </c>
      <c r="M40" s="435"/>
      <c r="N40" s="435"/>
      <c r="O40" s="435"/>
      <c r="P40" s="436"/>
      <c r="Q40" s="436"/>
      <c r="R40" s="436"/>
      <c r="S40" s="436"/>
      <c r="T40" s="436"/>
      <c r="U40" s="436"/>
      <c r="V40" s="436"/>
      <c r="W40" s="436"/>
      <c r="X40" s="436"/>
      <c r="Y40" s="436"/>
      <c r="Z40" s="436"/>
      <c r="AA40" s="436"/>
      <c r="AB40" s="436"/>
      <c r="AC40" s="436"/>
      <c r="AD40" s="436"/>
      <c r="AE40" s="436"/>
      <c r="AF40" s="436"/>
      <c r="AG40" s="436"/>
      <c r="AH40" s="436"/>
      <c r="AI40" s="437"/>
      <c r="AJ40" s="436"/>
      <c r="AK40" s="438" t="n">
        <v>3</v>
      </c>
      <c r="AM40" s="38" t="s">
        <v>97</v>
      </c>
      <c r="AN40" s="443" t="n">
        <v>191.609</v>
      </c>
      <c r="AO40" s="443" t="n">
        <v>0.004</v>
      </c>
      <c r="AQ40" s="342" t="s">
        <v>924</v>
      </c>
      <c r="AR40" s="439" t="n">
        <f aca="false">L40^2</f>
        <v>1</v>
      </c>
      <c r="AS40" s="440" t="n">
        <f aca="false">M40^2</f>
        <v>0</v>
      </c>
      <c r="AT40" s="440" t="n">
        <f aca="false">N40^2</f>
        <v>0</v>
      </c>
      <c r="AU40" s="440" t="n">
        <f aca="false">O40^2</f>
        <v>0</v>
      </c>
      <c r="AV40" s="440" t="n">
        <f aca="false">P40^2</f>
        <v>0</v>
      </c>
      <c r="AW40" s="440" t="n">
        <f aca="false">Q40^2</f>
        <v>0</v>
      </c>
      <c r="AX40" s="440" t="n">
        <f aca="false">R40^2</f>
        <v>0</v>
      </c>
      <c r="AY40" s="440" t="n">
        <f aca="false">S40^2</f>
        <v>0</v>
      </c>
      <c r="AZ40" s="440" t="n">
        <f aca="false">T40^2</f>
        <v>0</v>
      </c>
      <c r="BA40" s="440" t="n">
        <f aca="false">U40^2</f>
        <v>0</v>
      </c>
      <c r="BB40" s="440" t="n">
        <f aca="false">V40^2</f>
        <v>0</v>
      </c>
      <c r="BC40" s="440" t="n">
        <f aca="false">W40^2</f>
        <v>0</v>
      </c>
      <c r="BD40" s="440" t="n">
        <f aca="false">X40^2</f>
        <v>0</v>
      </c>
      <c r="BE40" s="440" t="n">
        <f aca="false">Y40^2</f>
        <v>0</v>
      </c>
      <c r="BF40" s="440" t="n">
        <f aca="false">Z40^2</f>
        <v>0</v>
      </c>
      <c r="BG40" s="440" t="n">
        <f aca="false">AA40^2</f>
        <v>0</v>
      </c>
      <c r="BH40" s="440" t="n">
        <f aca="false">AB40^2</f>
        <v>0</v>
      </c>
      <c r="BI40" s="440" t="n">
        <f aca="false">AC40^2</f>
        <v>0</v>
      </c>
      <c r="BJ40" s="440" t="n">
        <f aca="false">AD40^2</f>
        <v>0</v>
      </c>
      <c r="BK40" s="440" t="n">
        <f aca="false">AE40^2</f>
        <v>0</v>
      </c>
      <c r="BL40" s="440" t="n">
        <f aca="false">AF40^2</f>
        <v>0</v>
      </c>
      <c r="BM40" s="440" t="n">
        <f aca="false">AG40^2</f>
        <v>0</v>
      </c>
      <c r="BN40" s="440" t="n">
        <f aca="false">AH40^2</f>
        <v>0</v>
      </c>
      <c r="BO40" s="440" t="n">
        <f aca="false">AI40^2</f>
        <v>0</v>
      </c>
      <c r="BP40" s="440" t="n">
        <f aca="false">AJ40^2</f>
        <v>0</v>
      </c>
      <c r="BQ40" s="441" t="n">
        <f aca="false">-SIGN(AK40)*AK40^2</f>
        <v>-9</v>
      </c>
    </row>
    <row r="41" customFormat="false" ht="12.75" hidden="false" customHeight="false" outlineLevel="0" collapsed="false">
      <c r="A41" s="45"/>
      <c r="B41" s="45"/>
      <c r="C41" s="161" t="s">
        <v>933</v>
      </c>
      <c r="D41" s="290" t="str">
        <f aca="false">IF(F41="","",IF(H41="","",ROUND(F41-0.001*298.15*(H41-SUMPRODUCT(L41:AK41*AR$13:BQ$13)),3)))</f>
        <v/>
      </c>
      <c r="E41" s="137" t="str">
        <f aca="false">IF(G41="","",IF(I41="","",ROUND(2*SQRT((0.5*G41)^2+(0.001*298.15)^2*((0.5*I41)^2+SUMPRODUCT(AR41:BQ41*AR$15:BQ$15))),3)))</f>
        <v/>
      </c>
      <c r="F41" s="295"/>
      <c r="G41" s="297"/>
      <c r="H41" s="295"/>
      <c r="I41" s="297"/>
      <c r="K41" s="342" t="s">
        <v>933</v>
      </c>
      <c r="L41" s="445" t="n">
        <v>1</v>
      </c>
      <c r="M41" s="446"/>
      <c r="N41" s="446"/>
      <c r="O41" s="446"/>
      <c r="P41" s="436"/>
      <c r="Q41" s="436"/>
      <c r="R41" s="436"/>
      <c r="S41" s="436"/>
      <c r="T41" s="436"/>
      <c r="U41" s="436"/>
      <c r="V41" s="436"/>
      <c r="W41" s="436"/>
      <c r="X41" s="436"/>
      <c r="Y41" s="436"/>
      <c r="Z41" s="436"/>
      <c r="AA41" s="436"/>
      <c r="AB41" s="436"/>
      <c r="AC41" s="436"/>
      <c r="AD41" s="436" t="n">
        <v>2</v>
      </c>
      <c r="AE41" s="436"/>
      <c r="AF41" s="436"/>
      <c r="AG41" s="436"/>
      <c r="AH41" s="436"/>
      <c r="AI41" s="437"/>
      <c r="AJ41" s="436"/>
      <c r="AK41" s="438" t="n">
        <v>-1</v>
      </c>
      <c r="AM41" s="38" t="s">
        <v>99</v>
      </c>
      <c r="AN41" s="443" t="n">
        <v>51.3</v>
      </c>
      <c r="AO41" s="443" t="n">
        <v>0.2</v>
      </c>
      <c r="AQ41" s="342" t="s">
        <v>933</v>
      </c>
      <c r="AR41" s="439" t="n">
        <f aca="false">L41^2</f>
        <v>1</v>
      </c>
      <c r="AS41" s="440" t="n">
        <f aca="false">M41^2</f>
        <v>0</v>
      </c>
      <c r="AT41" s="440" t="n">
        <f aca="false">N41^2</f>
        <v>0</v>
      </c>
      <c r="AU41" s="440" t="n">
        <f aca="false">O41^2</f>
        <v>0</v>
      </c>
      <c r="AV41" s="440" t="n">
        <f aca="false">P41^2</f>
        <v>0</v>
      </c>
      <c r="AW41" s="440" t="n">
        <f aca="false">Q41^2</f>
        <v>0</v>
      </c>
      <c r="AX41" s="440" t="n">
        <f aca="false">R41^2</f>
        <v>0</v>
      </c>
      <c r="AY41" s="440" t="n">
        <f aca="false">S41^2</f>
        <v>0</v>
      </c>
      <c r="AZ41" s="440" t="n">
        <f aca="false">T41^2</f>
        <v>0</v>
      </c>
      <c r="BA41" s="440" t="n">
        <f aca="false">U41^2</f>
        <v>0</v>
      </c>
      <c r="BB41" s="440" t="n">
        <f aca="false">V41^2</f>
        <v>0</v>
      </c>
      <c r="BC41" s="440" t="n">
        <f aca="false">W41^2</f>
        <v>0</v>
      </c>
      <c r="BD41" s="440" t="n">
        <f aca="false">X41^2</f>
        <v>0</v>
      </c>
      <c r="BE41" s="440" t="n">
        <f aca="false">Y41^2</f>
        <v>0</v>
      </c>
      <c r="BF41" s="440" t="n">
        <f aca="false">Z41^2</f>
        <v>0</v>
      </c>
      <c r="BG41" s="440" t="n">
        <f aca="false">AA41^2</f>
        <v>0</v>
      </c>
      <c r="BH41" s="440" t="n">
        <f aca="false">AB41^2</f>
        <v>0</v>
      </c>
      <c r="BI41" s="440" t="n">
        <f aca="false">AC41^2</f>
        <v>0</v>
      </c>
      <c r="BJ41" s="440" t="n">
        <f aca="false">AD41^2</f>
        <v>4</v>
      </c>
      <c r="BK41" s="440" t="n">
        <f aca="false">AE41^2</f>
        <v>0</v>
      </c>
      <c r="BL41" s="440" t="n">
        <f aca="false">AF41^2</f>
        <v>0</v>
      </c>
      <c r="BM41" s="440" t="n">
        <f aca="false">AG41^2</f>
        <v>0</v>
      </c>
      <c r="BN41" s="440" t="n">
        <f aca="false">AH41^2</f>
        <v>0</v>
      </c>
      <c r="BO41" s="440" t="n">
        <f aca="false">AI41^2</f>
        <v>0</v>
      </c>
      <c r="BP41" s="440" t="n">
        <f aca="false">AJ41^2</f>
        <v>0</v>
      </c>
      <c r="BQ41" s="441" t="n">
        <f aca="false">-SIGN(AK41)*AK41^2</f>
        <v>1</v>
      </c>
    </row>
    <row r="42" customFormat="false" ht="12.75" hidden="false" customHeight="false" outlineLevel="0" collapsed="false">
      <c r="A42" s="45"/>
      <c r="B42" s="44"/>
      <c r="C42" s="38" t="s">
        <v>934</v>
      </c>
      <c r="D42" s="290" t="str">
        <f aca="false">IF(F42="","",IF(H42="","",ROUND(F42-0.001*298.15*(H42-SUMPRODUCT(L42:AK42*AR$13:BQ$13)),3)))</f>
        <v/>
      </c>
      <c r="E42" s="137" t="str">
        <f aca="false">IF(G42="","",IF(I42="","",ROUND(2*SQRT((0.5*G42)^2+(0.001*298.15)^2*((0.5*I42)^2+SUMPRODUCT(AR42:BQ42*AR$15:BQ$15))),3)))</f>
        <v/>
      </c>
      <c r="F42" s="291"/>
      <c r="G42" s="292"/>
      <c r="H42" s="291"/>
      <c r="I42" s="292"/>
      <c r="K42" s="140" t="s">
        <v>934</v>
      </c>
      <c r="L42" s="434"/>
      <c r="M42" s="435"/>
      <c r="N42" s="435"/>
      <c r="O42" s="435"/>
      <c r="P42" s="436"/>
      <c r="Q42" s="436"/>
      <c r="R42" s="436"/>
      <c r="S42" s="436"/>
      <c r="T42" s="436"/>
      <c r="U42" s="436"/>
      <c r="V42" s="436"/>
      <c r="W42" s="436"/>
      <c r="X42" s="436"/>
      <c r="Y42" s="436"/>
      <c r="Z42" s="436"/>
      <c r="AA42" s="436"/>
      <c r="AB42" s="436"/>
      <c r="AC42" s="436" t="n">
        <v>1</v>
      </c>
      <c r="AD42" s="436"/>
      <c r="AE42" s="436"/>
      <c r="AF42" s="436"/>
      <c r="AG42" s="436"/>
      <c r="AH42" s="436"/>
      <c r="AI42" s="437"/>
      <c r="AJ42" s="436"/>
      <c r="AK42" s="438" t="n">
        <v>2</v>
      </c>
      <c r="AM42" s="31" t="s">
        <v>103</v>
      </c>
      <c r="AN42" s="444"/>
      <c r="AO42" s="443"/>
      <c r="AQ42" s="140" t="s">
        <v>934</v>
      </c>
      <c r="AR42" s="439" t="n">
        <f aca="false">L42^2</f>
        <v>0</v>
      </c>
      <c r="AS42" s="440" t="n">
        <f aca="false">M42^2</f>
        <v>0</v>
      </c>
      <c r="AT42" s="440" t="n">
        <f aca="false">N42^2</f>
        <v>0</v>
      </c>
      <c r="AU42" s="440" t="n">
        <f aca="false">O42^2</f>
        <v>0</v>
      </c>
      <c r="AV42" s="440" t="n">
        <f aca="false">P42^2</f>
        <v>0</v>
      </c>
      <c r="AW42" s="440" t="n">
        <f aca="false">Q42^2</f>
        <v>0</v>
      </c>
      <c r="AX42" s="440" t="n">
        <f aca="false">R42^2</f>
        <v>0</v>
      </c>
      <c r="AY42" s="440" t="n">
        <f aca="false">S42^2</f>
        <v>0</v>
      </c>
      <c r="AZ42" s="440" t="n">
        <f aca="false">T42^2</f>
        <v>0</v>
      </c>
      <c r="BA42" s="440" t="n">
        <f aca="false">U42^2</f>
        <v>0</v>
      </c>
      <c r="BB42" s="440" t="n">
        <f aca="false">V42^2</f>
        <v>0</v>
      </c>
      <c r="BC42" s="440" t="n">
        <f aca="false">W42^2</f>
        <v>0</v>
      </c>
      <c r="BD42" s="440" t="n">
        <f aca="false">X42^2</f>
        <v>0</v>
      </c>
      <c r="BE42" s="440" t="n">
        <f aca="false">Y42^2</f>
        <v>0</v>
      </c>
      <c r="BF42" s="440" t="n">
        <f aca="false">Z42^2</f>
        <v>0</v>
      </c>
      <c r="BG42" s="440" t="n">
        <f aca="false">AA42^2</f>
        <v>0</v>
      </c>
      <c r="BH42" s="440" t="n">
        <f aca="false">AB42^2</f>
        <v>0</v>
      </c>
      <c r="BI42" s="440" t="n">
        <f aca="false">AC42^2</f>
        <v>1</v>
      </c>
      <c r="BJ42" s="440" t="n">
        <f aca="false">AD42^2</f>
        <v>0</v>
      </c>
      <c r="BK42" s="440" t="n">
        <f aca="false">AE42^2</f>
        <v>0</v>
      </c>
      <c r="BL42" s="440" t="n">
        <f aca="false">AF42^2</f>
        <v>0</v>
      </c>
      <c r="BM42" s="440" t="n">
        <f aca="false">AG42^2</f>
        <v>0</v>
      </c>
      <c r="BN42" s="440" t="n">
        <f aca="false">AH42^2</f>
        <v>0</v>
      </c>
      <c r="BO42" s="440" t="n">
        <f aca="false">AI42^2</f>
        <v>0</v>
      </c>
      <c r="BP42" s="440" t="n">
        <f aca="false">AJ42^2</f>
        <v>0</v>
      </c>
      <c r="BQ42" s="441" t="n">
        <f aca="false">-SIGN(AK42)*AK42^2</f>
        <v>-4</v>
      </c>
    </row>
    <row r="43" customFormat="false" ht="12.75" hidden="false" customHeight="false" outlineLevel="0" collapsed="false">
      <c r="A43" s="45"/>
      <c r="B43" s="45"/>
      <c r="C43" s="161" t="s">
        <v>941</v>
      </c>
      <c r="D43" s="290" t="str">
        <f aca="false">IF(F43="","",IF(H43="","",ROUND(F43-0.001*298.15*(H43-SUMPRODUCT(L43:AK43*AR$13:BQ$13)),3)))</f>
        <v/>
      </c>
      <c r="E43" s="137" t="str">
        <f aca="false">IF(G43="","",IF(I43="","",ROUND(2*SQRT((0.5*G43)^2+(0.001*298.15)^2*((0.5*I43)^2+SUMPRODUCT(AR43:BQ43*AR$15:BQ$15))),3)))</f>
        <v/>
      </c>
      <c r="F43" s="291"/>
      <c r="G43" s="292"/>
      <c r="H43" s="291"/>
      <c r="I43" s="292"/>
      <c r="J43" s="10"/>
      <c r="K43" s="342" t="s">
        <v>941</v>
      </c>
      <c r="L43" s="434"/>
      <c r="M43" s="435"/>
      <c r="N43" s="435"/>
      <c r="O43" s="435"/>
      <c r="P43" s="436"/>
      <c r="Q43" s="436"/>
      <c r="R43" s="436"/>
      <c r="S43" s="436"/>
      <c r="T43" s="436"/>
      <c r="U43" s="436" t="n">
        <v>1</v>
      </c>
      <c r="V43" s="436"/>
      <c r="W43" s="436"/>
      <c r="X43" s="436"/>
      <c r="Y43" s="436"/>
      <c r="Z43" s="436"/>
      <c r="AA43" s="436"/>
      <c r="AB43" s="436"/>
      <c r="AC43" s="436"/>
      <c r="AD43" s="436"/>
      <c r="AE43" s="436"/>
      <c r="AF43" s="436"/>
      <c r="AG43" s="436"/>
      <c r="AH43" s="436"/>
      <c r="AI43" s="437"/>
      <c r="AJ43" s="436"/>
      <c r="AK43" s="438" t="n">
        <v>2</v>
      </c>
      <c r="AM43" s="38" t="s">
        <v>107</v>
      </c>
      <c r="AN43" s="443" t="n">
        <v>205.152</v>
      </c>
      <c r="AO43" s="443" t="n">
        <v>0.005</v>
      </c>
      <c r="AQ43" s="342" t="s">
        <v>941</v>
      </c>
      <c r="AR43" s="439" t="n">
        <f aca="false">L43^2</f>
        <v>0</v>
      </c>
      <c r="AS43" s="440" t="n">
        <f aca="false">M43^2</f>
        <v>0</v>
      </c>
      <c r="AT43" s="440" t="n">
        <f aca="false">N43^2</f>
        <v>0</v>
      </c>
      <c r="AU43" s="440" t="n">
        <f aca="false">O43^2</f>
        <v>0</v>
      </c>
      <c r="AV43" s="440" t="n">
        <f aca="false">P43^2</f>
        <v>0</v>
      </c>
      <c r="AW43" s="440" t="n">
        <f aca="false">Q43^2</f>
        <v>0</v>
      </c>
      <c r="AX43" s="440" t="n">
        <f aca="false">R43^2</f>
        <v>0</v>
      </c>
      <c r="AY43" s="440" t="n">
        <f aca="false">S43^2</f>
        <v>0</v>
      </c>
      <c r="AZ43" s="440" t="n">
        <f aca="false">T43^2</f>
        <v>0</v>
      </c>
      <c r="BA43" s="440" t="n">
        <f aca="false">U43^2</f>
        <v>1</v>
      </c>
      <c r="BB43" s="440" t="n">
        <f aca="false">V43^2</f>
        <v>0</v>
      </c>
      <c r="BC43" s="440" t="n">
        <f aca="false">W43^2</f>
        <v>0</v>
      </c>
      <c r="BD43" s="440" t="n">
        <f aca="false">X43^2</f>
        <v>0</v>
      </c>
      <c r="BE43" s="440" t="n">
        <f aca="false">Y43^2</f>
        <v>0</v>
      </c>
      <c r="BF43" s="440" t="n">
        <f aca="false">Z43^2</f>
        <v>0</v>
      </c>
      <c r="BG43" s="440" t="n">
        <f aca="false">AA43^2</f>
        <v>0</v>
      </c>
      <c r="BH43" s="440" t="n">
        <f aca="false">AB43^2</f>
        <v>0</v>
      </c>
      <c r="BI43" s="440" t="n">
        <f aca="false">AC43^2</f>
        <v>0</v>
      </c>
      <c r="BJ43" s="440" t="n">
        <f aca="false">AD43^2</f>
        <v>0</v>
      </c>
      <c r="BK43" s="440" t="n">
        <f aca="false">AE43^2</f>
        <v>0</v>
      </c>
      <c r="BL43" s="440" t="n">
        <f aca="false">AF43^2</f>
        <v>0</v>
      </c>
      <c r="BM43" s="440" t="n">
        <f aca="false">AG43^2</f>
        <v>0</v>
      </c>
      <c r="BN43" s="440" t="n">
        <f aca="false">AH43^2</f>
        <v>0</v>
      </c>
      <c r="BO43" s="440" t="n">
        <f aca="false">AI43^2</f>
        <v>0</v>
      </c>
      <c r="BP43" s="440" t="n">
        <f aca="false">AJ43^2</f>
        <v>0</v>
      </c>
      <c r="BQ43" s="441" t="n">
        <f aca="false">-SIGN(AK43)*AK43^2</f>
        <v>-4</v>
      </c>
    </row>
    <row r="44" customFormat="false" ht="12.75" hidden="false" customHeight="false" outlineLevel="0" collapsed="false">
      <c r="A44" s="45"/>
      <c r="B44" s="45"/>
      <c r="C44" s="161" t="s">
        <v>948</v>
      </c>
      <c r="D44" s="290" t="str">
        <f aca="false">IF(F44="","",IF(H44="","",ROUND(F44-0.001*298.15*(H44-SUMPRODUCT(L44:AK44*AR$13:BQ$13)),3)))</f>
        <v/>
      </c>
      <c r="E44" s="137" t="str">
        <f aca="false">IF(G44="","",IF(I44="","",ROUND(2*SQRT((0.5*G44)^2+(0.001*298.15)^2*((0.5*I44)^2+SUMPRODUCT(AR44:BQ44*AR$15:BQ$15))),3)))</f>
        <v/>
      </c>
      <c r="F44" s="291"/>
      <c r="G44" s="292"/>
      <c r="H44" s="291"/>
      <c r="I44" s="292"/>
      <c r="J44" s="10"/>
      <c r="K44" s="342" t="s">
        <v>948</v>
      </c>
      <c r="L44" s="434"/>
      <c r="M44" s="435"/>
      <c r="N44" s="435"/>
      <c r="O44" s="435"/>
      <c r="P44" s="436"/>
      <c r="Q44" s="436"/>
      <c r="R44" s="436"/>
      <c r="S44" s="436"/>
      <c r="T44" s="436"/>
      <c r="U44" s="436" t="n">
        <v>1</v>
      </c>
      <c r="V44" s="436"/>
      <c r="W44" s="436"/>
      <c r="X44" s="436"/>
      <c r="Y44" s="436"/>
      <c r="Z44" s="436"/>
      <c r="AA44" s="436"/>
      <c r="AB44" s="436"/>
      <c r="AC44" s="436"/>
      <c r="AD44" s="436"/>
      <c r="AE44" s="436"/>
      <c r="AF44" s="436"/>
      <c r="AG44" s="436"/>
      <c r="AH44" s="436"/>
      <c r="AI44" s="437"/>
      <c r="AJ44" s="436"/>
      <c r="AK44" s="438" t="n">
        <v>3</v>
      </c>
      <c r="AM44" s="31" t="s">
        <v>110</v>
      </c>
      <c r="AN44" s="444" t="n">
        <v>41.09</v>
      </c>
      <c r="AO44" s="443" t="n">
        <v>0.25</v>
      </c>
      <c r="AQ44" s="342" t="s">
        <v>948</v>
      </c>
      <c r="AR44" s="439" t="n">
        <f aca="false">L44^2</f>
        <v>0</v>
      </c>
      <c r="AS44" s="440" t="n">
        <f aca="false">M44^2</f>
        <v>0</v>
      </c>
      <c r="AT44" s="440" t="n">
        <f aca="false">N44^2</f>
        <v>0</v>
      </c>
      <c r="AU44" s="440" t="n">
        <f aca="false">O44^2</f>
        <v>0</v>
      </c>
      <c r="AV44" s="440" t="n">
        <f aca="false">P44^2</f>
        <v>0</v>
      </c>
      <c r="AW44" s="440" t="n">
        <f aca="false">Q44^2</f>
        <v>0</v>
      </c>
      <c r="AX44" s="440" t="n">
        <f aca="false">R44^2</f>
        <v>0</v>
      </c>
      <c r="AY44" s="440" t="n">
        <f aca="false">S44^2</f>
        <v>0</v>
      </c>
      <c r="AZ44" s="440" t="n">
        <f aca="false">T44^2</f>
        <v>0</v>
      </c>
      <c r="BA44" s="440" t="n">
        <f aca="false">U44^2</f>
        <v>1</v>
      </c>
      <c r="BB44" s="440" t="n">
        <f aca="false">V44^2</f>
        <v>0</v>
      </c>
      <c r="BC44" s="440" t="n">
        <f aca="false">W44^2</f>
        <v>0</v>
      </c>
      <c r="BD44" s="440" t="n">
        <f aca="false">X44^2</f>
        <v>0</v>
      </c>
      <c r="BE44" s="440" t="n">
        <f aca="false">Y44^2</f>
        <v>0</v>
      </c>
      <c r="BF44" s="440" t="n">
        <f aca="false">Z44^2</f>
        <v>0</v>
      </c>
      <c r="BG44" s="440" t="n">
        <f aca="false">AA44^2</f>
        <v>0</v>
      </c>
      <c r="BH44" s="440" t="n">
        <f aca="false">AB44^2</f>
        <v>0</v>
      </c>
      <c r="BI44" s="440" t="n">
        <f aca="false">AC44^2</f>
        <v>0</v>
      </c>
      <c r="BJ44" s="440" t="n">
        <f aca="false">AD44^2</f>
        <v>0</v>
      </c>
      <c r="BK44" s="440" t="n">
        <f aca="false">AE44^2</f>
        <v>0</v>
      </c>
      <c r="BL44" s="440" t="n">
        <f aca="false">AF44^2</f>
        <v>0</v>
      </c>
      <c r="BM44" s="440" t="n">
        <f aca="false">AG44^2</f>
        <v>0</v>
      </c>
      <c r="BN44" s="440" t="n">
        <f aca="false">AH44^2</f>
        <v>0</v>
      </c>
      <c r="BO44" s="440" t="n">
        <f aca="false">AI44^2</f>
        <v>0</v>
      </c>
      <c r="BP44" s="440" t="n">
        <f aca="false">AJ44^2</f>
        <v>0</v>
      </c>
      <c r="BQ44" s="441" t="n">
        <f aca="false">-SIGN(AK44)*AK44^2</f>
        <v>-9</v>
      </c>
    </row>
    <row r="45" customFormat="false" ht="12.75" hidden="false" customHeight="false" outlineLevel="0" collapsed="false">
      <c r="A45" s="45"/>
      <c r="B45" s="45"/>
      <c r="C45" s="161" t="s">
        <v>954</v>
      </c>
      <c r="D45" s="290" t="n">
        <f aca="false">IF(F45="","",IF(H45="","",ROUND(F45-0.001*298.15*(H45-SUMPRODUCT(L45:AK45*AR$13:BQ$13)),3)))</f>
        <v>-455.375</v>
      </c>
      <c r="E45" s="137" t="n">
        <f aca="false">IF(G45="","",IF(I45="","",ROUND(2*SQRT((0.5*G45)^2+(0.001*298.15)^2*((0.5*I45)^2+SUMPRODUCT(AR45:BQ45*AR$15:BQ$15))),3)))</f>
        <v>1.335</v>
      </c>
      <c r="F45" s="291" t="s">
        <v>955</v>
      </c>
      <c r="G45" s="292" t="s">
        <v>888</v>
      </c>
      <c r="H45" s="291" t="s">
        <v>956</v>
      </c>
      <c r="I45" s="292" t="s">
        <v>957</v>
      </c>
      <c r="K45" s="342" t="s">
        <v>954</v>
      </c>
      <c r="L45" s="434"/>
      <c r="M45" s="435"/>
      <c r="N45" s="435"/>
      <c r="O45" s="435"/>
      <c r="P45" s="436"/>
      <c r="Q45" s="436"/>
      <c r="R45" s="436"/>
      <c r="S45" s="436"/>
      <c r="T45" s="436"/>
      <c r="U45" s="436"/>
      <c r="V45" s="436"/>
      <c r="W45" s="436"/>
      <c r="X45" s="436"/>
      <c r="Y45" s="436"/>
      <c r="Z45" s="436" t="n">
        <v>1</v>
      </c>
      <c r="AA45" s="436"/>
      <c r="AB45" s="436"/>
      <c r="AC45" s="436"/>
      <c r="AD45" s="436"/>
      <c r="AE45" s="436"/>
      <c r="AF45" s="436"/>
      <c r="AG45" s="436"/>
      <c r="AH45" s="436"/>
      <c r="AI45" s="437"/>
      <c r="AJ45" s="436"/>
      <c r="AK45" s="438" t="n">
        <v>2</v>
      </c>
      <c r="AM45" s="38" t="s">
        <v>119</v>
      </c>
      <c r="AN45" s="444"/>
      <c r="AO45" s="443"/>
      <c r="AQ45" s="342" t="s">
        <v>954</v>
      </c>
      <c r="AR45" s="439" t="n">
        <f aca="false">L45^2</f>
        <v>0</v>
      </c>
      <c r="AS45" s="440" t="n">
        <f aca="false">M45^2</f>
        <v>0</v>
      </c>
      <c r="AT45" s="440" t="n">
        <f aca="false">N45^2</f>
        <v>0</v>
      </c>
      <c r="AU45" s="440" t="n">
        <f aca="false">O45^2</f>
        <v>0</v>
      </c>
      <c r="AV45" s="440" t="n">
        <f aca="false">P45^2</f>
        <v>0</v>
      </c>
      <c r="AW45" s="440" t="n">
        <f aca="false">Q45^2</f>
        <v>0</v>
      </c>
      <c r="AX45" s="440" t="n">
        <f aca="false">R45^2</f>
        <v>0</v>
      </c>
      <c r="AY45" s="440" t="n">
        <f aca="false">S45^2</f>
        <v>0</v>
      </c>
      <c r="AZ45" s="440" t="n">
        <f aca="false">T45^2</f>
        <v>0</v>
      </c>
      <c r="BA45" s="440" t="n">
        <f aca="false">U45^2</f>
        <v>0</v>
      </c>
      <c r="BB45" s="440" t="n">
        <f aca="false">V45^2</f>
        <v>0</v>
      </c>
      <c r="BC45" s="440" t="n">
        <f aca="false">W45^2</f>
        <v>0</v>
      </c>
      <c r="BD45" s="440" t="n">
        <f aca="false">X45^2</f>
        <v>0</v>
      </c>
      <c r="BE45" s="440" t="n">
        <f aca="false">Y45^2</f>
        <v>0</v>
      </c>
      <c r="BF45" s="440" t="n">
        <f aca="false">Z45^2</f>
        <v>1</v>
      </c>
      <c r="BG45" s="440" t="n">
        <f aca="false">AA45^2</f>
        <v>0</v>
      </c>
      <c r="BH45" s="440" t="n">
        <f aca="false">AB45^2</f>
        <v>0</v>
      </c>
      <c r="BI45" s="440" t="n">
        <f aca="false">AC45^2</f>
        <v>0</v>
      </c>
      <c r="BJ45" s="440" t="n">
        <f aca="false">AD45^2</f>
        <v>0</v>
      </c>
      <c r="BK45" s="440" t="n">
        <f aca="false">AE45^2</f>
        <v>0</v>
      </c>
      <c r="BL45" s="440" t="n">
        <f aca="false">AF45^2</f>
        <v>0</v>
      </c>
      <c r="BM45" s="440" t="n">
        <f aca="false">AG45^2</f>
        <v>0</v>
      </c>
      <c r="BN45" s="440" t="n">
        <f aca="false">AH45^2</f>
        <v>0</v>
      </c>
      <c r="BO45" s="440" t="n">
        <f aca="false">AI45^2</f>
        <v>0</v>
      </c>
      <c r="BP45" s="440" t="n">
        <f aca="false">AJ45^2</f>
        <v>0</v>
      </c>
      <c r="BQ45" s="441" t="n">
        <f aca="false">-SIGN(AK45)*AK45^2</f>
        <v>-4</v>
      </c>
    </row>
    <row r="46" customFormat="false" ht="12.75" hidden="false" customHeight="false" outlineLevel="0" collapsed="false">
      <c r="A46" s="45"/>
      <c r="B46" s="44"/>
      <c r="C46" s="161" t="s">
        <v>963</v>
      </c>
      <c r="D46" s="290" t="n">
        <f aca="false">IF(F46="","",IF(H46="","",ROUND(F46-0.001*298.15*(H46-SUMPRODUCT(L46:AK46*AR$13:BQ$13)),3)))</f>
        <v>-552.806</v>
      </c>
      <c r="E46" s="137" t="n">
        <f aca="false">IF(G46="","",IF(I46="","",ROUND(2*SQRT((0.5*G46)^2+(0.001*298.15)^2*((0.5*I46)^2+SUMPRODUCT(AR46:BQ46*AR$15:BQ$15))),3)))</f>
        <v>1.05</v>
      </c>
      <c r="F46" s="291" t="s">
        <v>964</v>
      </c>
      <c r="G46" s="292" t="s">
        <v>896</v>
      </c>
      <c r="H46" s="291" t="s">
        <v>965</v>
      </c>
      <c r="I46" s="292" t="s">
        <v>896</v>
      </c>
      <c r="K46" s="342" t="s">
        <v>963</v>
      </c>
      <c r="L46" s="434"/>
      <c r="M46" s="435"/>
      <c r="N46" s="435"/>
      <c r="O46" s="435"/>
      <c r="P46" s="436"/>
      <c r="Q46" s="436" t="n">
        <v>1</v>
      </c>
      <c r="R46" s="436"/>
      <c r="S46" s="436"/>
      <c r="T46" s="436"/>
      <c r="U46" s="436"/>
      <c r="V46" s="436"/>
      <c r="W46" s="436"/>
      <c r="X46" s="436"/>
      <c r="Y46" s="436"/>
      <c r="Z46" s="436"/>
      <c r="AA46" s="436"/>
      <c r="AB46" s="436"/>
      <c r="AC46" s="436"/>
      <c r="AD46" s="436"/>
      <c r="AE46" s="436"/>
      <c r="AF46" s="436"/>
      <c r="AG46" s="436"/>
      <c r="AH46" s="436"/>
      <c r="AI46" s="437"/>
      <c r="AJ46" s="436"/>
      <c r="AK46" s="438" t="n">
        <v>2</v>
      </c>
      <c r="AM46" s="38" t="s">
        <v>120</v>
      </c>
      <c r="AN46" s="444" t="n">
        <v>76.78</v>
      </c>
      <c r="AO46" s="443" t="n">
        <v>0.3</v>
      </c>
      <c r="AQ46" s="342" t="s">
        <v>963</v>
      </c>
      <c r="AR46" s="439" t="n">
        <f aca="false">L46^2</f>
        <v>0</v>
      </c>
      <c r="AS46" s="440" t="n">
        <f aca="false">M46^2</f>
        <v>0</v>
      </c>
      <c r="AT46" s="440" t="n">
        <f aca="false">N46^2</f>
        <v>0</v>
      </c>
      <c r="AU46" s="440" t="n">
        <f aca="false">O46^2</f>
        <v>0</v>
      </c>
      <c r="AV46" s="440" t="n">
        <f aca="false">P46^2</f>
        <v>0</v>
      </c>
      <c r="AW46" s="440" t="n">
        <f aca="false">Q46^2</f>
        <v>1</v>
      </c>
      <c r="AX46" s="440" t="n">
        <f aca="false">R46^2</f>
        <v>0</v>
      </c>
      <c r="AY46" s="440" t="n">
        <f aca="false">S46^2</f>
        <v>0</v>
      </c>
      <c r="AZ46" s="440" t="n">
        <f aca="false">T46^2</f>
        <v>0</v>
      </c>
      <c r="BA46" s="440" t="n">
        <f aca="false">U46^2</f>
        <v>0</v>
      </c>
      <c r="BB46" s="440" t="n">
        <f aca="false">V46^2</f>
        <v>0</v>
      </c>
      <c r="BC46" s="440" t="n">
        <f aca="false">W46^2</f>
        <v>0</v>
      </c>
      <c r="BD46" s="440" t="n">
        <f aca="false">X46^2</f>
        <v>0</v>
      </c>
      <c r="BE46" s="440" t="n">
        <f aca="false">Y46^2</f>
        <v>0</v>
      </c>
      <c r="BF46" s="440" t="n">
        <f aca="false">Z46^2</f>
        <v>0</v>
      </c>
      <c r="BG46" s="440" t="n">
        <f aca="false">AA46^2</f>
        <v>0</v>
      </c>
      <c r="BH46" s="440" t="n">
        <f aca="false">AB46^2</f>
        <v>0</v>
      </c>
      <c r="BI46" s="440" t="n">
        <f aca="false">AC46^2</f>
        <v>0</v>
      </c>
      <c r="BJ46" s="440" t="n">
        <f aca="false">AD46^2</f>
        <v>0</v>
      </c>
      <c r="BK46" s="440" t="n">
        <f aca="false">AE46^2</f>
        <v>0</v>
      </c>
      <c r="BL46" s="440" t="n">
        <f aca="false">AF46^2</f>
        <v>0</v>
      </c>
      <c r="BM46" s="440" t="n">
        <f aca="false">AG46^2</f>
        <v>0</v>
      </c>
      <c r="BN46" s="440" t="n">
        <f aca="false">AH46^2</f>
        <v>0</v>
      </c>
      <c r="BO46" s="440" t="n">
        <f aca="false">AI46^2</f>
        <v>0</v>
      </c>
      <c r="BP46" s="440" t="n">
        <f aca="false">AJ46^2</f>
        <v>0</v>
      </c>
      <c r="BQ46" s="441" t="n">
        <f aca="false">-SIGN(AK46)*AK46^2</f>
        <v>-4</v>
      </c>
    </row>
    <row r="47" customFormat="false" ht="12.75" hidden="false" customHeight="false" outlineLevel="0" collapsed="false">
      <c r="A47" s="45"/>
      <c r="B47" s="44"/>
      <c r="C47" s="161" t="s">
        <v>970</v>
      </c>
      <c r="D47" s="290" t="str">
        <f aca="false">IF(F47="","",IF(H47="","",ROUND(F47-0.001*298.15*(H47-SUMPRODUCT(L47:AK47*AR$13:BQ$13)),3)))</f>
        <v/>
      </c>
      <c r="E47" s="137" t="str">
        <f aca="false">IF(G47="","",IF(I47="","",ROUND(2*SQRT((0.5*G47)^2+(0.001*298.15)^2*((0.5*I47)^2+SUMPRODUCT(AR47:BQ47*AR$15:BQ$15))),3)))</f>
        <v/>
      </c>
      <c r="F47" s="291"/>
      <c r="G47" s="292"/>
      <c r="H47" s="291"/>
      <c r="I47" s="292"/>
      <c r="J47" s="10"/>
      <c r="K47" s="342" t="s">
        <v>970</v>
      </c>
      <c r="L47" s="434"/>
      <c r="M47" s="435"/>
      <c r="N47" s="435"/>
      <c r="O47" s="435"/>
      <c r="P47" s="436"/>
      <c r="Q47" s="436"/>
      <c r="R47" s="436"/>
      <c r="S47" s="436"/>
      <c r="T47" s="436"/>
      <c r="U47" s="436"/>
      <c r="V47" s="436"/>
      <c r="W47" s="436"/>
      <c r="X47" s="436"/>
      <c r="Y47" s="436"/>
      <c r="Z47" s="436"/>
      <c r="AA47" s="436"/>
      <c r="AB47" s="436"/>
      <c r="AC47" s="436"/>
      <c r="AD47" s="436"/>
      <c r="AE47" s="436"/>
      <c r="AF47" s="436"/>
      <c r="AG47" s="436"/>
      <c r="AH47" s="436"/>
      <c r="AI47" s="437"/>
      <c r="AJ47" s="436" t="n">
        <v>1</v>
      </c>
      <c r="AK47" s="438" t="n">
        <v>2</v>
      </c>
      <c r="AM47" s="38" t="s">
        <v>125</v>
      </c>
      <c r="AN47" s="444" t="n">
        <v>32.054</v>
      </c>
      <c r="AO47" s="443" t="n">
        <v>0.05</v>
      </c>
      <c r="AQ47" s="342" t="s">
        <v>970</v>
      </c>
      <c r="AR47" s="439" t="n">
        <f aca="false">L47^2</f>
        <v>0</v>
      </c>
      <c r="AS47" s="440" t="n">
        <f aca="false">M47^2</f>
        <v>0</v>
      </c>
      <c r="AT47" s="440" t="n">
        <f aca="false">N47^2</f>
        <v>0</v>
      </c>
      <c r="AU47" s="440" t="n">
        <f aca="false">O47^2</f>
        <v>0</v>
      </c>
      <c r="AV47" s="440" t="n">
        <f aca="false">P47^2</f>
        <v>0</v>
      </c>
      <c r="AW47" s="440" t="n">
        <f aca="false">Q47^2</f>
        <v>0</v>
      </c>
      <c r="AX47" s="440" t="n">
        <f aca="false">R47^2</f>
        <v>0</v>
      </c>
      <c r="AY47" s="440" t="n">
        <f aca="false">S47^2</f>
        <v>0</v>
      </c>
      <c r="AZ47" s="440" t="n">
        <f aca="false">T47^2</f>
        <v>0</v>
      </c>
      <c r="BA47" s="440" t="n">
        <f aca="false">U47^2</f>
        <v>0</v>
      </c>
      <c r="BB47" s="440" t="n">
        <f aca="false">V47^2</f>
        <v>0</v>
      </c>
      <c r="BC47" s="440" t="n">
        <f aca="false">W47^2</f>
        <v>0</v>
      </c>
      <c r="BD47" s="440" t="n">
        <f aca="false">X47^2</f>
        <v>0</v>
      </c>
      <c r="BE47" s="440" t="n">
        <f aca="false">Y47^2</f>
        <v>0</v>
      </c>
      <c r="BF47" s="440" t="n">
        <f aca="false">Z47^2</f>
        <v>0</v>
      </c>
      <c r="BG47" s="440" t="n">
        <f aca="false">AA47^2</f>
        <v>0</v>
      </c>
      <c r="BH47" s="440" t="n">
        <f aca="false">AB47^2</f>
        <v>0</v>
      </c>
      <c r="BI47" s="440" t="n">
        <f aca="false">AC47^2</f>
        <v>0</v>
      </c>
      <c r="BJ47" s="440" t="n">
        <f aca="false">AD47^2</f>
        <v>0</v>
      </c>
      <c r="BK47" s="440" t="n">
        <f aca="false">AE47^2</f>
        <v>0</v>
      </c>
      <c r="BL47" s="440" t="n">
        <f aca="false">AF47^2</f>
        <v>0</v>
      </c>
      <c r="BM47" s="440" t="n">
        <f aca="false">AG47^2</f>
        <v>0</v>
      </c>
      <c r="BN47" s="440" t="n">
        <f aca="false">AH47^2</f>
        <v>0</v>
      </c>
      <c r="BO47" s="440" t="n">
        <f aca="false">AI47^2</f>
        <v>0</v>
      </c>
      <c r="BP47" s="440" t="n">
        <f aca="false">AJ47^2</f>
        <v>1</v>
      </c>
      <c r="BQ47" s="441" t="n">
        <f aca="false">-SIGN(AK47)*AK47^2</f>
        <v>-4</v>
      </c>
    </row>
    <row r="48" customFormat="false" ht="12.75" hidden="false" customHeight="false" outlineLevel="0" collapsed="false">
      <c r="A48" s="45"/>
      <c r="B48" s="45"/>
      <c r="C48" s="161" t="s">
        <v>975</v>
      </c>
      <c r="D48" s="290" t="str">
        <f aca="false">IF(F48="","",IF(H48="","",ROUND(F48-0.001*298.15*(H48-SUMPRODUCT(L48:AK48*AR$13:BQ$13)),3)))</f>
        <v/>
      </c>
      <c r="E48" s="137" t="str">
        <f aca="false">IF(G48="","",IF(I48="","",ROUND(2*SQRT((0.5*G48)^2+(0.001*298.15)^2*((0.5*I48)^2+SUMPRODUCT(AR48:BQ48*AR$15:BQ$15))),3)))</f>
        <v/>
      </c>
      <c r="F48" s="291"/>
      <c r="G48" s="292"/>
      <c r="H48" s="291"/>
      <c r="I48" s="292"/>
      <c r="J48" s="10"/>
      <c r="K48" s="342" t="s">
        <v>975</v>
      </c>
      <c r="L48" s="434"/>
      <c r="M48" s="435" t="n">
        <v>1</v>
      </c>
      <c r="N48" s="435"/>
      <c r="O48" s="435"/>
      <c r="P48" s="436"/>
      <c r="Q48" s="436"/>
      <c r="R48" s="436"/>
      <c r="S48" s="436"/>
      <c r="T48" s="436"/>
      <c r="U48" s="436"/>
      <c r="V48" s="436"/>
      <c r="W48" s="436"/>
      <c r="X48" s="436"/>
      <c r="Y48" s="436"/>
      <c r="Z48" s="436"/>
      <c r="AA48" s="436"/>
      <c r="AB48" s="436"/>
      <c r="AC48" s="436"/>
      <c r="AD48" s="436"/>
      <c r="AE48" s="436"/>
      <c r="AF48" s="436"/>
      <c r="AG48" s="436"/>
      <c r="AH48" s="436"/>
      <c r="AI48" s="437"/>
      <c r="AJ48" s="436"/>
      <c r="AK48" s="438" t="n">
        <v>2</v>
      </c>
      <c r="AM48" s="31" t="s">
        <v>129</v>
      </c>
      <c r="AN48" s="444" t="n">
        <v>18.81</v>
      </c>
      <c r="AO48" s="443" t="n">
        <v>0.08</v>
      </c>
      <c r="AQ48" s="342" t="s">
        <v>975</v>
      </c>
      <c r="AR48" s="439" t="n">
        <f aca="false">L48^2</f>
        <v>0</v>
      </c>
      <c r="AS48" s="440" t="n">
        <f aca="false">M48^2</f>
        <v>1</v>
      </c>
      <c r="AT48" s="440" t="n">
        <f aca="false">N48^2</f>
        <v>0</v>
      </c>
      <c r="AU48" s="440" t="n">
        <f aca="false">O48^2</f>
        <v>0</v>
      </c>
      <c r="AV48" s="440" t="n">
        <f aca="false">P48^2</f>
        <v>0</v>
      </c>
      <c r="AW48" s="440" t="n">
        <f aca="false">Q48^2</f>
        <v>0</v>
      </c>
      <c r="AX48" s="440" t="n">
        <f aca="false">R48^2</f>
        <v>0</v>
      </c>
      <c r="AY48" s="440" t="n">
        <f aca="false">S48^2</f>
        <v>0</v>
      </c>
      <c r="AZ48" s="440" t="n">
        <f aca="false">T48^2</f>
        <v>0</v>
      </c>
      <c r="BA48" s="440" t="n">
        <f aca="false">U48^2</f>
        <v>0</v>
      </c>
      <c r="BB48" s="440" t="n">
        <f aca="false">V48^2</f>
        <v>0</v>
      </c>
      <c r="BC48" s="440" t="n">
        <f aca="false">W48^2</f>
        <v>0</v>
      </c>
      <c r="BD48" s="440" t="n">
        <f aca="false">X48^2</f>
        <v>0</v>
      </c>
      <c r="BE48" s="440" t="n">
        <f aca="false">Y48^2</f>
        <v>0</v>
      </c>
      <c r="BF48" s="440" t="n">
        <f aca="false">Z48^2</f>
        <v>0</v>
      </c>
      <c r="BG48" s="440" t="n">
        <f aca="false">AA48^2</f>
        <v>0</v>
      </c>
      <c r="BH48" s="440" t="n">
        <f aca="false">AB48^2</f>
        <v>0</v>
      </c>
      <c r="BI48" s="440" t="n">
        <f aca="false">AC48^2</f>
        <v>0</v>
      </c>
      <c r="BJ48" s="440" t="n">
        <f aca="false">AD48^2</f>
        <v>0</v>
      </c>
      <c r="BK48" s="440" t="n">
        <f aca="false">AE48^2</f>
        <v>0</v>
      </c>
      <c r="BL48" s="440" t="n">
        <f aca="false">AF48^2</f>
        <v>0</v>
      </c>
      <c r="BM48" s="440" t="n">
        <f aca="false">AG48^2</f>
        <v>0</v>
      </c>
      <c r="BN48" s="440" t="n">
        <f aca="false">AH48^2</f>
        <v>0</v>
      </c>
      <c r="BO48" s="440" t="n">
        <f aca="false">AI48^2</f>
        <v>0</v>
      </c>
      <c r="BP48" s="440" t="n">
        <f aca="false">AJ48^2</f>
        <v>0</v>
      </c>
      <c r="BQ48" s="441" t="n">
        <f aca="false">-SIGN(AK48)*AK48^2</f>
        <v>-4</v>
      </c>
    </row>
    <row r="49" customFormat="false" ht="12.75" hidden="false" customHeight="false" outlineLevel="0" collapsed="false">
      <c r="A49" s="45"/>
      <c r="B49" s="45"/>
      <c r="C49" s="161" t="s">
        <v>981</v>
      </c>
      <c r="D49" s="290" t="str">
        <f aca="false">IF(F49="","",IF(H49="","",ROUND(F49-0.001*298.15*(H49-SUMPRODUCT(L49:AK49*AR$13:BQ$13)),3)))</f>
        <v/>
      </c>
      <c r="E49" s="137" t="str">
        <f aca="false">IF(G49="","",IF(I49="","",ROUND(2*SQRT((0.5*G49)^2+(0.001*298.15)^2*((0.5*I49)^2+SUMPRODUCT(AR49:BQ49*AR$15:BQ$15))),3)))</f>
        <v/>
      </c>
      <c r="F49" s="295"/>
      <c r="G49" s="297"/>
      <c r="H49" s="295"/>
      <c r="I49" s="297"/>
      <c r="J49" s="10"/>
      <c r="K49" s="342" t="s">
        <v>981</v>
      </c>
      <c r="L49" s="445"/>
      <c r="M49" s="446"/>
      <c r="N49" s="446"/>
      <c r="O49" s="446"/>
      <c r="P49" s="436"/>
      <c r="Q49" s="436"/>
      <c r="R49" s="436"/>
      <c r="S49" s="436"/>
      <c r="T49" s="436"/>
      <c r="U49" s="436"/>
      <c r="V49" s="436"/>
      <c r="W49" s="436"/>
      <c r="X49" s="436"/>
      <c r="Y49" s="436"/>
      <c r="Z49" s="436"/>
      <c r="AA49" s="436"/>
      <c r="AB49" s="436"/>
      <c r="AC49" s="436"/>
      <c r="AD49" s="436"/>
      <c r="AE49" s="436"/>
      <c r="AF49" s="436" t="n">
        <v>1</v>
      </c>
      <c r="AG49" s="436"/>
      <c r="AH49" s="436"/>
      <c r="AI49" s="437"/>
      <c r="AJ49" s="436"/>
      <c r="AK49" s="438" t="n">
        <v>2</v>
      </c>
      <c r="AM49" s="38" t="s">
        <v>132</v>
      </c>
      <c r="AN49" s="444"/>
      <c r="AO49" s="443"/>
      <c r="AQ49" s="342" t="s">
        <v>981</v>
      </c>
      <c r="AR49" s="439" t="n">
        <f aca="false">L49^2</f>
        <v>0</v>
      </c>
      <c r="AS49" s="440" t="n">
        <f aca="false">M49^2</f>
        <v>0</v>
      </c>
      <c r="AT49" s="440" t="n">
        <f aca="false">N49^2</f>
        <v>0</v>
      </c>
      <c r="AU49" s="440" t="n">
        <f aca="false">O49^2</f>
        <v>0</v>
      </c>
      <c r="AV49" s="440" t="n">
        <f aca="false">P49^2</f>
        <v>0</v>
      </c>
      <c r="AW49" s="440" t="n">
        <f aca="false">Q49^2</f>
        <v>0</v>
      </c>
      <c r="AX49" s="440" t="n">
        <f aca="false">R49^2</f>
        <v>0</v>
      </c>
      <c r="AY49" s="440" t="n">
        <f aca="false">S49^2</f>
        <v>0</v>
      </c>
      <c r="AZ49" s="440" t="n">
        <f aca="false">T49^2</f>
        <v>0</v>
      </c>
      <c r="BA49" s="440" t="n">
        <f aca="false">U49^2</f>
        <v>0</v>
      </c>
      <c r="BB49" s="440" t="n">
        <f aca="false">V49^2</f>
        <v>0</v>
      </c>
      <c r="BC49" s="440" t="n">
        <f aca="false">W49^2</f>
        <v>0</v>
      </c>
      <c r="BD49" s="440" t="n">
        <f aca="false">X49^2</f>
        <v>0</v>
      </c>
      <c r="BE49" s="440" t="n">
        <f aca="false">Y49^2</f>
        <v>0</v>
      </c>
      <c r="BF49" s="440" t="n">
        <f aca="false">Z49^2</f>
        <v>0</v>
      </c>
      <c r="BG49" s="440" t="n">
        <f aca="false">AA49^2</f>
        <v>0</v>
      </c>
      <c r="BH49" s="440" t="n">
        <f aca="false">AB49^2</f>
        <v>0</v>
      </c>
      <c r="BI49" s="440" t="n">
        <f aca="false">AC49^2</f>
        <v>0</v>
      </c>
      <c r="BJ49" s="440" t="n">
        <f aca="false">AD49^2</f>
        <v>0</v>
      </c>
      <c r="BK49" s="440" t="n">
        <f aca="false">AE49^2</f>
        <v>0</v>
      </c>
      <c r="BL49" s="440" t="n">
        <f aca="false">AF49^2</f>
        <v>1</v>
      </c>
      <c r="BM49" s="440" t="n">
        <f aca="false">AG49^2</f>
        <v>0</v>
      </c>
      <c r="BN49" s="440" t="n">
        <f aca="false">AH49^2</f>
        <v>0</v>
      </c>
      <c r="BO49" s="440" t="n">
        <f aca="false">AI49^2</f>
        <v>0</v>
      </c>
      <c r="BP49" s="440" t="n">
        <f aca="false">AJ49^2</f>
        <v>0</v>
      </c>
      <c r="BQ49" s="441" t="n">
        <f aca="false">-SIGN(AK49)*AK49^2</f>
        <v>-4</v>
      </c>
    </row>
    <row r="50" customFormat="false" ht="12.75" hidden="false" customHeight="false" outlineLevel="0" collapsed="false">
      <c r="A50" s="45"/>
      <c r="B50" s="44"/>
      <c r="C50" s="161" t="s">
        <v>982</v>
      </c>
      <c r="D50" s="290" t="n">
        <f aca="false">IF(F50="","",IF(H50="","",ROUND(F50-0.001*298.15*(H50-SUMPRODUCT(L50:AK50*AR$13:BQ$13)),3)))</f>
        <v>-292.918</v>
      </c>
      <c r="E50" s="137" t="n">
        <f aca="false">IF(G50="","",IF(I50="","",ROUND(2*SQRT((0.5*G50)^2+(0.001*298.15)^2*((0.5*I50)^2+SUMPRODUCT(AR50:BQ50*AR$15:BQ$15))),3)))</f>
        <v>0.109</v>
      </c>
      <c r="F50" s="291" t="s">
        <v>983</v>
      </c>
      <c r="G50" s="292" t="s">
        <v>736</v>
      </c>
      <c r="H50" s="291" t="s">
        <v>984</v>
      </c>
      <c r="I50" s="292" t="s">
        <v>744</v>
      </c>
      <c r="J50" s="10"/>
      <c r="K50" s="342" t="s">
        <v>982</v>
      </c>
      <c r="L50" s="434"/>
      <c r="M50" s="435"/>
      <c r="N50" s="435"/>
      <c r="O50" s="435"/>
      <c r="P50" s="436"/>
      <c r="Q50" s="436"/>
      <c r="R50" s="436"/>
      <c r="S50" s="436"/>
      <c r="T50" s="436"/>
      <c r="U50" s="436"/>
      <c r="V50" s="436"/>
      <c r="W50" s="436"/>
      <c r="X50" s="436"/>
      <c r="Y50" s="436" t="n">
        <v>1</v>
      </c>
      <c r="Z50" s="436"/>
      <c r="AA50" s="436"/>
      <c r="AB50" s="436"/>
      <c r="AC50" s="436"/>
      <c r="AD50" s="436"/>
      <c r="AE50" s="436"/>
      <c r="AF50" s="436"/>
      <c r="AG50" s="436"/>
      <c r="AH50" s="436"/>
      <c r="AI50" s="437"/>
      <c r="AJ50" s="436"/>
      <c r="AK50" s="438" t="n">
        <v>1</v>
      </c>
      <c r="AQ50" s="342" t="s">
        <v>982</v>
      </c>
      <c r="AR50" s="439" t="n">
        <f aca="false">L50^2</f>
        <v>0</v>
      </c>
      <c r="AS50" s="440" t="n">
        <f aca="false">M50^2</f>
        <v>0</v>
      </c>
      <c r="AT50" s="440" t="n">
        <f aca="false">N50^2</f>
        <v>0</v>
      </c>
      <c r="AU50" s="440" t="n">
        <f aca="false">O50^2</f>
        <v>0</v>
      </c>
      <c r="AV50" s="440" t="n">
        <f aca="false">P50^2</f>
        <v>0</v>
      </c>
      <c r="AW50" s="440" t="n">
        <f aca="false">Q50^2</f>
        <v>0</v>
      </c>
      <c r="AX50" s="440" t="n">
        <f aca="false">R50^2</f>
        <v>0</v>
      </c>
      <c r="AY50" s="440" t="n">
        <f aca="false">S50^2</f>
        <v>0</v>
      </c>
      <c r="AZ50" s="440" t="n">
        <f aca="false">T50^2</f>
        <v>0</v>
      </c>
      <c r="BA50" s="440" t="n">
        <f aca="false">U50^2</f>
        <v>0</v>
      </c>
      <c r="BB50" s="440" t="n">
        <f aca="false">V50^2</f>
        <v>0</v>
      </c>
      <c r="BC50" s="440" t="n">
        <f aca="false">W50^2</f>
        <v>0</v>
      </c>
      <c r="BD50" s="440" t="n">
        <f aca="false">X50^2</f>
        <v>0</v>
      </c>
      <c r="BE50" s="440" t="n">
        <f aca="false">Y50^2</f>
        <v>1</v>
      </c>
      <c r="BF50" s="440" t="n">
        <f aca="false">Z50^2</f>
        <v>0</v>
      </c>
      <c r="BG50" s="440" t="n">
        <f aca="false">AA50^2</f>
        <v>0</v>
      </c>
      <c r="BH50" s="440" t="n">
        <f aca="false">AB50^2</f>
        <v>0</v>
      </c>
      <c r="BI50" s="440" t="n">
        <f aca="false">AC50^2</f>
        <v>0</v>
      </c>
      <c r="BJ50" s="440" t="n">
        <f aca="false">AD50^2</f>
        <v>0</v>
      </c>
      <c r="BK50" s="440" t="n">
        <f aca="false">AE50^2</f>
        <v>0</v>
      </c>
      <c r="BL50" s="440" t="n">
        <f aca="false">AF50^2</f>
        <v>0</v>
      </c>
      <c r="BM50" s="440" t="n">
        <f aca="false">AG50^2</f>
        <v>0</v>
      </c>
      <c r="BN50" s="440" t="n">
        <f aca="false">AH50^2</f>
        <v>0</v>
      </c>
      <c r="BO50" s="440" t="n">
        <f aca="false">AI50^2</f>
        <v>0</v>
      </c>
      <c r="BP50" s="440" t="n">
        <f aca="false">AJ50^2</f>
        <v>0</v>
      </c>
      <c r="BQ50" s="441" t="n">
        <f aca="false">-SIGN(AK50)*AK50^2</f>
        <v>-1</v>
      </c>
    </row>
    <row r="51" customFormat="false" ht="12.75" hidden="false" customHeight="false" outlineLevel="0" collapsed="false">
      <c r="A51" s="45"/>
      <c r="B51" s="44"/>
      <c r="C51" s="161" t="s">
        <v>989</v>
      </c>
      <c r="D51" s="290" t="n">
        <f aca="false">IF(F51="","",IF(H51="","",ROUND(F51-0.001*298.15*(H51-SUMPRODUCT(L51:AK51*AR$13:BQ$13)),3)))</f>
        <v>-261.953</v>
      </c>
      <c r="E51" s="137" t="n">
        <f aca="false">IF(G51="","",IF(I51="","",ROUND(2*SQRT((0.5*G51)^2+(0.001*298.15)^2*((0.5*I51)^2+SUMPRODUCT(AR51:BQ51*AR$15:BQ$15))),3)))</f>
        <v>0.096</v>
      </c>
      <c r="F51" s="291" t="s">
        <v>990</v>
      </c>
      <c r="G51" s="292" t="s">
        <v>991</v>
      </c>
      <c r="H51" s="291" t="s">
        <v>992</v>
      </c>
      <c r="I51" s="292" t="s">
        <v>744</v>
      </c>
      <c r="K51" s="342" t="s">
        <v>989</v>
      </c>
      <c r="L51" s="434"/>
      <c r="M51" s="435"/>
      <c r="N51" s="435"/>
      <c r="O51" s="435"/>
      <c r="P51" s="436"/>
      <c r="Q51" s="436"/>
      <c r="R51" s="436"/>
      <c r="S51" s="436"/>
      <c r="T51" s="436"/>
      <c r="U51" s="436"/>
      <c r="V51" s="436"/>
      <c r="W51" s="436"/>
      <c r="X51" s="436"/>
      <c r="Y51" s="436"/>
      <c r="Z51" s="436"/>
      <c r="AA51" s="436"/>
      <c r="AB51" s="436" t="n">
        <v>1</v>
      </c>
      <c r="AC51" s="436"/>
      <c r="AD51" s="436"/>
      <c r="AE51" s="436"/>
      <c r="AF51" s="436"/>
      <c r="AG51" s="436"/>
      <c r="AH51" s="436"/>
      <c r="AI51" s="437"/>
      <c r="AJ51" s="436"/>
      <c r="AK51" s="438" t="n">
        <v>1</v>
      </c>
      <c r="AQ51" s="342" t="s">
        <v>989</v>
      </c>
      <c r="AR51" s="439" t="n">
        <f aca="false">L51^2</f>
        <v>0</v>
      </c>
      <c r="AS51" s="440" t="n">
        <f aca="false">M51^2</f>
        <v>0</v>
      </c>
      <c r="AT51" s="440" t="n">
        <f aca="false">N51^2</f>
        <v>0</v>
      </c>
      <c r="AU51" s="440" t="n">
        <f aca="false">O51^2</f>
        <v>0</v>
      </c>
      <c r="AV51" s="440" t="n">
        <f aca="false">P51^2</f>
        <v>0</v>
      </c>
      <c r="AW51" s="440" t="n">
        <f aca="false">Q51^2</f>
        <v>0</v>
      </c>
      <c r="AX51" s="440" t="n">
        <f aca="false">R51^2</f>
        <v>0</v>
      </c>
      <c r="AY51" s="440" t="n">
        <f aca="false">S51^2</f>
        <v>0</v>
      </c>
      <c r="AZ51" s="440" t="n">
        <f aca="false">T51^2</f>
        <v>0</v>
      </c>
      <c r="BA51" s="440" t="n">
        <f aca="false">U51^2</f>
        <v>0</v>
      </c>
      <c r="BB51" s="440" t="n">
        <f aca="false">V51^2</f>
        <v>0</v>
      </c>
      <c r="BC51" s="440" t="n">
        <f aca="false">W51^2</f>
        <v>0</v>
      </c>
      <c r="BD51" s="440" t="n">
        <f aca="false">X51^2</f>
        <v>0</v>
      </c>
      <c r="BE51" s="440" t="n">
        <f aca="false">Y51^2</f>
        <v>0</v>
      </c>
      <c r="BF51" s="440" t="n">
        <f aca="false">Z51^2</f>
        <v>0</v>
      </c>
      <c r="BG51" s="440" t="n">
        <f aca="false">AA51^2</f>
        <v>0</v>
      </c>
      <c r="BH51" s="440" t="n">
        <f aca="false">AB51^2</f>
        <v>1</v>
      </c>
      <c r="BI51" s="440" t="n">
        <f aca="false">AC51^2</f>
        <v>0</v>
      </c>
      <c r="BJ51" s="440" t="n">
        <f aca="false">AD51^2</f>
        <v>0</v>
      </c>
      <c r="BK51" s="440" t="n">
        <f aca="false">AE51^2</f>
        <v>0</v>
      </c>
      <c r="BL51" s="440" t="n">
        <f aca="false">AF51^2</f>
        <v>0</v>
      </c>
      <c r="BM51" s="440" t="n">
        <f aca="false">AG51^2</f>
        <v>0</v>
      </c>
      <c r="BN51" s="440" t="n">
        <f aca="false">AH51^2</f>
        <v>0</v>
      </c>
      <c r="BO51" s="440" t="n">
        <f aca="false">AI51^2</f>
        <v>0</v>
      </c>
      <c r="BP51" s="440" t="n">
        <f aca="false">AJ51^2</f>
        <v>0</v>
      </c>
      <c r="BQ51" s="441" t="n">
        <f aca="false">-SIGN(AK51)*AK51^2</f>
        <v>-1</v>
      </c>
    </row>
    <row r="52" customFormat="false" ht="12.75" hidden="false" customHeight="false" outlineLevel="0" collapsed="false">
      <c r="A52" s="45"/>
      <c r="B52" s="44"/>
      <c r="C52" s="299" t="s">
        <v>998</v>
      </c>
      <c r="D52" s="290" t="n">
        <f aca="false">IF(F52="","",IF(H52="","",ROUND(F52-0.001*298.15*(H52-SUMPRODUCT(L52:AK52*AR$13:BQ$13)),3)))</f>
        <v>-282.51</v>
      </c>
      <c r="E52" s="137" t="n">
        <f aca="false">IF(G52="","",IF(I52="","",ROUND(2*SQRT((0.5*G52)^2+(0.001*298.15)^2*((0.5*I52)^2+SUMPRODUCT(AR52:BQ52*AR$15:BQ$15))),3)))</f>
        <v>0.116</v>
      </c>
      <c r="F52" s="300" t="s">
        <v>999</v>
      </c>
      <c r="G52" s="301" t="s">
        <v>736</v>
      </c>
      <c r="H52" s="300" t="s">
        <v>1000</v>
      </c>
      <c r="I52" s="301" t="s">
        <v>728</v>
      </c>
      <c r="K52" s="353" t="s">
        <v>998</v>
      </c>
      <c r="L52" s="434"/>
      <c r="M52" s="435"/>
      <c r="N52" s="435"/>
      <c r="O52" s="435"/>
      <c r="P52" s="436"/>
      <c r="Q52" s="436"/>
      <c r="R52" s="436"/>
      <c r="S52" s="436"/>
      <c r="T52" s="436"/>
      <c r="U52" s="436"/>
      <c r="V52" s="436"/>
      <c r="W52" s="436"/>
      <c r="X52" s="436" t="n">
        <v>1</v>
      </c>
      <c r="Y52" s="436"/>
      <c r="Z52" s="436"/>
      <c r="AA52" s="436"/>
      <c r="AB52" s="436"/>
      <c r="AC52" s="436"/>
      <c r="AD52" s="436"/>
      <c r="AE52" s="436"/>
      <c r="AF52" s="436"/>
      <c r="AG52" s="436"/>
      <c r="AH52" s="436"/>
      <c r="AI52" s="437"/>
      <c r="AJ52" s="436"/>
      <c r="AK52" s="438" t="n">
        <v>1</v>
      </c>
      <c r="AQ52" s="353" t="s">
        <v>998</v>
      </c>
      <c r="AR52" s="439" t="n">
        <f aca="false">L52^2</f>
        <v>0</v>
      </c>
      <c r="AS52" s="440" t="n">
        <f aca="false">M52^2</f>
        <v>0</v>
      </c>
      <c r="AT52" s="440" t="n">
        <f aca="false">N52^2</f>
        <v>0</v>
      </c>
      <c r="AU52" s="440" t="n">
        <f aca="false">O52^2</f>
        <v>0</v>
      </c>
      <c r="AV52" s="440" t="n">
        <f aca="false">P52^2</f>
        <v>0</v>
      </c>
      <c r="AW52" s="440" t="n">
        <f aca="false">Q52^2</f>
        <v>0</v>
      </c>
      <c r="AX52" s="440" t="n">
        <f aca="false">R52^2</f>
        <v>0</v>
      </c>
      <c r="AY52" s="440" t="n">
        <f aca="false">S52^2</f>
        <v>0</v>
      </c>
      <c r="AZ52" s="440" t="n">
        <f aca="false">T52^2</f>
        <v>0</v>
      </c>
      <c r="BA52" s="440" t="n">
        <f aca="false">U52^2</f>
        <v>0</v>
      </c>
      <c r="BB52" s="440" t="n">
        <f aca="false">V52^2</f>
        <v>0</v>
      </c>
      <c r="BC52" s="440" t="n">
        <f aca="false">W52^2</f>
        <v>0</v>
      </c>
      <c r="BD52" s="440" t="n">
        <f aca="false">X52^2</f>
        <v>1</v>
      </c>
      <c r="BE52" s="440" t="n">
        <f aca="false">Y52^2</f>
        <v>0</v>
      </c>
      <c r="BF52" s="440" t="n">
        <f aca="false">Z52^2</f>
        <v>0</v>
      </c>
      <c r="BG52" s="440" t="n">
        <f aca="false">AA52^2</f>
        <v>0</v>
      </c>
      <c r="BH52" s="440" t="n">
        <f aca="false">AB52^2</f>
        <v>0</v>
      </c>
      <c r="BI52" s="440" t="n">
        <f aca="false">AC52^2</f>
        <v>0</v>
      </c>
      <c r="BJ52" s="440" t="n">
        <f aca="false">AD52^2</f>
        <v>0</v>
      </c>
      <c r="BK52" s="440" t="n">
        <f aca="false">AE52^2</f>
        <v>0</v>
      </c>
      <c r="BL52" s="440" t="n">
        <f aca="false">AF52^2</f>
        <v>0</v>
      </c>
      <c r="BM52" s="440" t="n">
        <f aca="false">AG52^2</f>
        <v>0</v>
      </c>
      <c r="BN52" s="440" t="n">
        <f aca="false">AH52^2</f>
        <v>0</v>
      </c>
      <c r="BO52" s="440" t="n">
        <f aca="false">AI52^2</f>
        <v>0</v>
      </c>
      <c r="BP52" s="440" t="n">
        <f aca="false">AJ52^2</f>
        <v>0</v>
      </c>
      <c r="BQ52" s="441" t="n">
        <f aca="false">-SIGN(AK52)*AK52^2</f>
        <v>-1</v>
      </c>
    </row>
    <row r="53" customFormat="false" ht="12.75" hidden="false" customHeight="false" outlineLevel="0" collapsed="false">
      <c r="A53" s="45"/>
      <c r="B53" s="44"/>
      <c r="C53" s="299" t="s">
        <v>1005</v>
      </c>
      <c r="D53" s="290" t="n">
        <f aca="false">IF(F53="","",IF(H53="","",ROUND(F53-0.001*298.15*(H53-SUMPRODUCT(L53:AK53*AR$13:BQ$13)),3)))</f>
        <v>-284.009</v>
      </c>
      <c r="E53" s="137" t="n">
        <f aca="false">IF(G53="","",IF(I53="","",ROUND(2*SQRT((0.5*G53)^2+(0.001*298.15)^2*((0.5*I53)^2+SUMPRODUCT(AR53:BQ53*AR$15:BQ$15))),3)))</f>
        <v>0.153</v>
      </c>
      <c r="F53" s="291" t="s">
        <v>1006</v>
      </c>
      <c r="G53" s="292" t="s">
        <v>730</v>
      </c>
      <c r="H53" s="291" t="s">
        <v>1007</v>
      </c>
      <c r="I53" s="292" t="s">
        <v>761</v>
      </c>
      <c r="K53" s="353" t="s">
        <v>1005</v>
      </c>
      <c r="L53" s="434"/>
      <c r="M53" s="435"/>
      <c r="N53" s="435"/>
      <c r="O53" s="435"/>
      <c r="P53" s="436"/>
      <c r="Q53" s="436"/>
      <c r="R53" s="436"/>
      <c r="S53" s="436"/>
      <c r="T53" s="436"/>
      <c r="U53" s="436"/>
      <c r="V53" s="436"/>
      <c r="W53" s="436"/>
      <c r="X53" s="436"/>
      <c r="Y53" s="436"/>
      <c r="Z53" s="436"/>
      <c r="AA53" s="436"/>
      <c r="AB53" s="436"/>
      <c r="AC53" s="436"/>
      <c r="AD53" s="436"/>
      <c r="AE53" s="436"/>
      <c r="AF53" s="436"/>
      <c r="AG53" s="436" t="n">
        <v>1</v>
      </c>
      <c r="AH53" s="436"/>
      <c r="AI53" s="437"/>
      <c r="AJ53" s="436"/>
      <c r="AK53" s="438" t="n">
        <v>1</v>
      </c>
      <c r="AQ53" s="353" t="s">
        <v>1005</v>
      </c>
      <c r="AR53" s="439" t="n">
        <f aca="false">L53^2</f>
        <v>0</v>
      </c>
      <c r="AS53" s="440" t="n">
        <f aca="false">M53^2</f>
        <v>0</v>
      </c>
      <c r="AT53" s="440" t="n">
        <f aca="false">N53^2</f>
        <v>0</v>
      </c>
      <c r="AU53" s="440" t="n">
        <f aca="false">O53^2</f>
        <v>0</v>
      </c>
      <c r="AV53" s="440" t="n">
        <f aca="false">P53^2</f>
        <v>0</v>
      </c>
      <c r="AW53" s="440" t="n">
        <f aca="false">Q53^2</f>
        <v>0</v>
      </c>
      <c r="AX53" s="440" t="n">
        <f aca="false">R53^2</f>
        <v>0</v>
      </c>
      <c r="AY53" s="440" t="n">
        <f aca="false">S53^2</f>
        <v>0</v>
      </c>
      <c r="AZ53" s="440" t="n">
        <f aca="false">T53^2</f>
        <v>0</v>
      </c>
      <c r="BA53" s="440" t="n">
        <f aca="false">U53^2</f>
        <v>0</v>
      </c>
      <c r="BB53" s="440" t="n">
        <f aca="false">V53^2</f>
        <v>0</v>
      </c>
      <c r="BC53" s="440" t="n">
        <f aca="false">W53^2</f>
        <v>0</v>
      </c>
      <c r="BD53" s="440" t="n">
        <f aca="false">X53^2</f>
        <v>0</v>
      </c>
      <c r="BE53" s="440" t="n">
        <f aca="false">Y53^2</f>
        <v>0</v>
      </c>
      <c r="BF53" s="440" t="n">
        <f aca="false">Z53^2</f>
        <v>0</v>
      </c>
      <c r="BG53" s="440" t="n">
        <f aca="false">AA53^2</f>
        <v>0</v>
      </c>
      <c r="BH53" s="440" t="n">
        <f aca="false">AB53^2</f>
        <v>0</v>
      </c>
      <c r="BI53" s="440" t="n">
        <f aca="false">AC53^2</f>
        <v>0</v>
      </c>
      <c r="BJ53" s="440" t="n">
        <f aca="false">AD53^2</f>
        <v>0</v>
      </c>
      <c r="BK53" s="440" t="n">
        <f aca="false">AE53^2</f>
        <v>0</v>
      </c>
      <c r="BL53" s="440" t="n">
        <f aca="false">AF53^2</f>
        <v>0</v>
      </c>
      <c r="BM53" s="440" t="n">
        <f aca="false">AG53^2</f>
        <v>1</v>
      </c>
      <c r="BN53" s="440" t="n">
        <f aca="false">AH53^2</f>
        <v>0</v>
      </c>
      <c r="BO53" s="440" t="n">
        <f aca="false">AI53^2</f>
        <v>0</v>
      </c>
      <c r="BP53" s="440" t="n">
        <f aca="false">AJ53^2</f>
        <v>0</v>
      </c>
      <c r="BQ53" s="441" t="n">
        <f aca="false">-SIGN(AK53)*AK53^2</f>
        <v>-1</v>
      </c>
    </row>
    <row r="54" customFormat="false" ht="13.5" hidden="false" customHeight="false" outlineLevel="0" collapsed="false">
      <c r="A54" s="45"/>
      <c r="B54" s="44"/>
      <c r="C54" s="304" t="s">
        <v>1012</v>
      </c>
      <c r="D54" s="305" t="n">
        <f aca="false">IF(F54="","",IF(H54="","",ROUND(F54-0.001*298.15*(H54-SUMPRODUCT(L54:AK54*AR$13:BQ$13)),3)))</f>
        <v>-291.455</v>
      </c>
      <c r="E54" s="145" t="n">
        <f aca="false">IF(G54="","",IF(I54="","",ROUND(2*SQRT((0.5*G54)^2+(0.001*298.15)^2*((0.5*I54)^2+SUMPRODUCT(AR54:BQ54*AR$15:BQ$15))),3)))</f>
        <v>0.535</v>
      </c>
      <c r="F54" s="306" t="s">
        <v>1013</v>
      </c>
      <c r="G54" s="307" t="s">
        <v>1014</v>
      </c>
      <c r="H54" s="306" t="s">
        <v>1015</v>
      </c>
      <c r="I54" s="307" t="s">
        <v>767</v>
      </c>
      <c r="K54" s="374" t="s">
        <v>1012</v>
      </c>
      <c r="L54" s="447"/>
      <c r="M54" s="448"/>
      <c r="N54" s="448"/>
      <c r="O54" s="448"/>
      <c r="P54" s="449"/>
      <c r="Q54" s="449"/>
      <c r="R54" s="449"/>
      <c r="S54" s="449" t="n">
        <v>1</v>
      </c>
      <c r="T54" s="449"/>
      <c r="U54" s="449"/>
      <c r="V54" s="449"/>
      <c r="W54" s="449"/>
      <c r="X54" s="449"/>
      <c r="Y54" s="449"/>
      <c r="Z54" s="449"/>
      <c r="AA54" s="449"/>
      <c r="AB54" s="449"/>
      <c r="AC54" s="449"/>
      <c r="AD54" s="449"/>
      <c r="AE54" s="449"/>
      <c r="AF54" s="449"/>
      <c r="AG54" s="449"/>
      <c r="AH54" s="449"/>
      <c r="AI54" s="450"/>
      <c r="AJ54" s="449"/>
      <c r="AK54" s="451" t="n">
        <v>1</v>
      </c>
      <c r="AQ54" s="374" t="s">
        <v>1012</v>
      </c>
      <c r="AR54" s="452" t="n">
        <f aca="false">L54^2</f>
        <v>0</v>
      </c>
      <c r="AS54" s="453" t="n">
        <f aca="false">M54^2</f>
        <v>0</v>
      </c>
      <c r="AT54" s="453" t="n">
        <f aca="false">N54^2</f>
        <v>0</v>
      </c>
      <c r="AU54" s="453" t="n">
        <f aca="false">O54^2</f>
        <v>0</v>
      </c>
      <c r="AV54" s="453" t="n">
        <f aca="false">P54^2</f>
        <v>0</v>
      </c>
      <c r="AW54" s="453" t="n">
        <f aca="false">Q54^2</f>
        <v>0</v>
      </c>
      <c r="AX54" s="453" t="n">
        <f aca="false">R54^2</f>
        <v>0</v>
      </c>
      <c r="AY54" s="453" t="n">
        <f aca="false">S54^2</f>
        <v>1</v>
      </c>
      <c r="AZ54" s="453" t="n">
        <f aca="false">T54^2</f>
        <v>0</v>
      </c>
      <c r="BA54" s="453" t="n">
        <f aca="false">U54^2</f>
        <v>0</v>
      </c>
      <c r="BB54" s="453" t="n">
        <f aca="false">V54^2</f>
        <v>0</v>
      </c>
      <c r="BC54" s="453" t="n">
        <f aca="false">W54^2</f>
        <v>0</v>
      </c>
      <c r="BD54" s="453" t="n">
        <f aca="false">X54^2</f>
        <v>0</v>
      </c>
      <c r="BE54" s="453" t="n">
        <f aca="false">Y54^2</f>
        <v>0</v>
      </c>
      <c r="BF54" s="453" t="n">
        <f aca="false">Z54^2</f>
        <v>0</v>
      </c>
      <c r="BG54" s="453" t="n">
        <f aca="false">AA54^2</f>
        <v>0</v>
      </c>
      <c r="BH54" s="453" t="n">
        <f aca="false">AB54^2</f>
        <v>0</v>
      </c>
      <c r="BI54" s="453" t="n">
        <f aca="false">AC54^2</f>
        <v>0</v>
      </c>
      <c r="BJ54" s="453" t="n">
        <f aca="false">AD54^2</f>
        <v>0</v>
      </c>
      <c r="BK54" s="453" t="n">
        <f aca="false">AE54^2</f>
        <v>0</v>
      </c>
      <c r="BL54" s="453" t="n">
        <f aca="false">AF54^2</f>
        <v>0</v>
      </c>
      <c r="BM54" s="453" t="n">
        <f aca="false">AG54^2</f>
        <v>0</v>
      </c>
      <c r="BN54" s="453" t="n">
        <f aca="false">AH54^2</f>
        <v>0</v>
      </c>
      <c r="BO54" s="453" t="n">
        <f aca="false">AI54^2</f>
        <v>0</v>
      </c>
      <c r="BP54" s="453" t="n">
        <f aca="false">AJ54^2</f>
        <v>0</v>
      </c>
      <c r="BQ54" s="454" t="n">
        <f aca="false">-SIGN(AK54)*AK54^2</f>
        <v>-1</v>
      </c>
    </row>
    <row r="55" customFormat="false" ht="12.75" hidden="false" customHeight="false" outlineLevel="0" collapsed="false">
      <c r="C55" s="273"/>
      <c r="D55" s="273"/>
      <c r="E55" s="273"/>
      <c r="F55" s="273"/>
      <c r="G55" s="273"/>
      <c r="H55" s="273"/>
      <c r="I55" s="273"/>
      <c r="K55" s="66"/>
      <c r="L55" s="66"/>
      <c r="M55" s="66"/>
      <c r="N55" s="66"/>
      <c r="O55" s="66"/>
      <c r="AQ55" s="66"/>
      <c r="AR55" s="66"/>
      <c r="AS55" s="66"/>
      <c r="AT55" s="66"/>
      <c r="AU55" s="66"/>
    </row>
    <row r="56" customFormat="false" ht="12.75" hidden="false" customHeight="false" outlineLevel="0" collapsed="false">
      <c r="B56" s="455"/>
      <c r="C56" s="273"/>
      <c r="D56" s="273"/>
      <c r="E56" s="273"/>
      <c r="F56" s="273"/>
      <c r="G56" s="273"/>
      <c r="H56" s="273"/>
      <c r="I56" s="273"/>
      <c r="K56" s="66"/>
      <c r="L56" s="66"/>
      <c r="M56" s="66"/>
      <c r="N56" s="66"/>
      <c r="O56" s="66"/>
      <c r="AQ56" s="66"/>
      <c r="AR56" s="66"/>
      <c r="AS56" s="66"/>
      <c r="AT56" s="66"/>
      <c r="AU56" s="66"/>
    </row>
    <row r="57" customFormat="false" ht="13.5" hidden="false" customHeight="false" outlineLevel="0" collapsed="false">
      <c r="B57" s="455"/>
      <c r="C57" s="273"/>
      <c r="D57" s="273"/>
      <c r="E57" s="273"/>
      <c r="F57" s="273"/>
      <c r="G57" s="273"/>
      <c r="H57" s="273"/>
      <c r="I57" s="273"/>
      <c r="K57" s="66"/>
      <c r="L57" s="66"/>
      <c r="M57" s="66"/>
      <c r="N57" s="66"/>
      <c r="O57" s="66"/>
      <c r="AQ57" s="66"/>
      <c r="AR57" s="66"/>
      <c r="AS57" s="66"/>
      <c r="AT57" s="66"/>
      <c r="AU57" s="66"/>
    </row>
    <row r="58" customFormat="false" ht="15" hidden="false" customHeight="false" outlineLevel="0" collapsed="false">
      <c r="C58" s="15"/>
      <c r="D58" s="283" t="s">
        <v>779</v>
      </c>
      <c r="E58" s="284"/>
      <c r="F58" s="283" t="s">
        <v>780</v>
      </c>
      <c r="G58" s="284"/>
      <c r="H58" s="283" t="s">
        <v>781</v>
      </c>
      <c r="I58" s="284"/>
      <c r="K58" s="282"/>
      <c r="L58" s="282"/>
      <c r="M58" s="282"/>
      <c r="N58" s="282"/>
      <c r="O58" s="282"/>
      <c r="AQ58" s="282"/>
      <c r="AR58" s="282"/>
      <c r="AS58" s="282"/>
      <c r="AT58" s="282"/>
      <c r="AU58" s="282"/>
    </row>
    <row r="59" customFormat="false" ht="13.5" hidden="false" customHeight="false" outlineLevel="0" collapsed="false">
      <c r="C59" s="16" t="s">
        <v>1020</v>
      </c>
      <c r="D59" s="50"/>
      <c r="E59" s="50" t="s">
        <v>725</v>
      </c>
      <c r="F59" s="50"/>
      <c r="G59" s="50" t="s">
        <v>725</v>
      </c>
      <c r="H59" s="50"/>
      <c r="I59" s="50" t="s">
        <v>725</v>
      </c>
      <c r="K59" s="52"/>
      <c r="L59" s="52"/>
      <c r="M59" s="52"/>
      <c r="N59" s="52"/>
      <c r="O59" s="52"/>
      <c r="AQ59" s="52"/>
      <c r="AR59" s="52"/>
      <c r="AS59" s="52"/>
      <c r="AT59" s="52"/>
      <c r="AU59" s="52"/>
    </row>
    <row r="60" customFormat="false" ht="13.5" hidden="false" customHeight="false" outlineLevel="0" collapsed="false">
      <c r="C60" s="16" t="s">
        <v>782</v>
      </c>
      <c r="D60" s="53" t="s">
        <v>726</v>
      </c>
      <c r="E60" s="53" t="s">
        <v>727</v>
      </c>
      <c r="F60" s="53" t="s">
        <v>726</v>
      </c>
      <c r="G60" s="53" t="s">
        <v>727</v>
      </c>
      <c r="H60" s="53" t="s">
        <v>726</v>
      </c>
      <c r="I60" s="53" t="s">
        <v>727</v>
      </c>
      <c r="K60" s="11"/>
      <c r="L60" s="412" t="s">
        <v>1193</v>
      </c>
      <c r="M60" s="413"/>
      <c r="N60" s="413"/>
      <c r="O60" s="413"/>
      <c r="P60" s="414"/>
      <c r="Q60" s="414"/>
      <c r="R60" s="414"/>
      <c r="S60" s="414"/>
      <c r="T60" s="414"/>
      <c r="U60" s="414"/>
      <c r="V60" s="414"/>
      <c r="W60" s="414"/>
      <c r="X60" s="414"/>
      <c r="Y60" s="414"/>
      <c r="Z60" s="414"/>
      <c r="AA60" s="414"/>
      <c r="AB60" s="414"/>
      <c r="AC60" s="414"/>
      <c r="AD60" s="414"/>
      <c r="AE60" s="414"/>
      <c r="AF60" s="414"/>
      <c r="AG60" s="414"/>
      <c r="AH60" s="414"/>
      <c r="AI60" s="414"/>
      <c r="AJ60" s="414"/>
      <c r="AK60" s="279"/>
      <c r="AQ60" s="11"/>
      <c r="AR60" s="412" t="s">
        <v>1193</v>
      </c>
      <c r="AS60" s="413"/>
      <c r="AT60" s="413"/>
      <c r="AU60" s="413"/>
      <c r="AV60" s="414"/>
      <c r="AW60" s="414"/>
      <c r="AX60" s="414"/>
      <c r="AY60" s="414"/>
      <c r="AZ60" s="414"/>
      <c r="BA60" s="414"/>
      <c r="BB60" s="414"/>
      <c r="BC60" s="414"/>
      <c r="BD60" s="414"/>
      <c r="BE60" s="414"/>
      <c r="BF60" s="414"/>
      <c r="BG60" s="414"/>
      <c r="BH60" s="414"/>
      <c r="BI60" s="414"/>
      <c r="BJ60" s="414"/>
      <c r="BK60" s="414"/>
      <c r="BL60" s="414"/>
      <c r="BM60" s="414"/>
      <c r="BN60" s="414"/>
      <c r="BO60" s="414"/>
      <c r="BP60" s="414"/>
      <c r="BQ60" s="279"/>
    </row>
    <row r="61" customFormat="false" ht="15" hidden="false" customHeight="false" outlineLevel="0" collapsed="false">
      <c r="C61" s="21" t="s">
        <v>783</v>
      </c>
      <c r="D61" s="55" t="s">
        <v>784</v>
      </c>
      <c r="E61" s="55" t="s">
        <v>784</v>
      </c>
      <c r="F61" s="55" t="s">
        <v>784</v>
      </c>
      <c r="G61" s="55" t="s">
        <v>784</v>
      </c>
      <c r="H61" s="55" t="s">
        <v>167</v>
      </c>
      <c r="I61" s="55" t="s">
        <v>167</v>
      </c>
      <c r="K61" s="415" t="s">
        <v>783</v>
      </c>
      <c r="L61" s="416" t="s">
        <v>32</v>
      </c>
      <c r="M61" s="417" t="s">
        <v>40</v>
      </c>
      <c r="N61" s="418" t="s">
        <v>41</v>
      </c>
      <c r="O61" s="418" t="s">
        <v>46</v>
      </c>
      <c r="P61" s="417" t="s">
        <v>48</v>
      </c>
      <c r="Q61" s="417" t="s">
        <v>49</v>
      </c>
      <c r="R61" s="418" t="s">
        <v>54</v>
      </c>
      <c r="S61" s="418" t="s">
        <v>59</v>
      </c>
      <c r="T61" s="418" t="s">
        <v>66</v>
      </c>
      <c r="U61" s="418" t="s">
        <v>68</v>
      </c>
      <c r="V61" s="418" t="s">
        <v>75</v>
      </c>
      <c r="W61" s="418" t="s">
        <v>82</v>
      </c>
      <c r="X61" s="418" t="s">
        <v>86</v>
      </c>
      <c r="Y61" s="418" t="s">
        <v>89</v>
      </c>
      <c r="Z61" s="417" t="s">
        <v>93</v>
      </c>
      <c r="AA61" s="418" t="s">
        <v>97</v>
      </c>
      <c r="AB61" s="418" t="s">
        <v>99</v>
      </c>
      <c r="AC61" s="417" t="s">
        <v>103</v>
      </c>
      <c r="AD61" s="418" t="s">
        <v>107</v>
      </c>
      <c r="AE61" s="417" t="s">
        <v>110</v>
      </c>
      <c r="AF61" s="418" t="s">
        <v>119</v>
      </c>
      <c r="AG61" s="418" t="s">
        <v>120</v>
      </c>
      <c r="AH61" s="418" t="s">
        <v>125</v>
      </c>
      <c r="AI61" s="417" t="s">
        <v>129</v>
      </c>
      <c r="AJ61" s="418" t="s">
        <v>132</v>
      </c>
      <c r="AK61" s="419" t="s">
        <v>1187</v>
      </c>
      <c r="AQ61" s="415" t="s">
        <v>783</v>
      </c>
      <c r="AR61" s="416" t="s">
        <v>32</v>
      </c>
      <c r="AS61" s="417" t="s">
        <v>40</v>
      </c>
      <c r="AT61" s="418" t="s">
        <v>41</v>
      </c>
      <c r="AU61" s="418" t="s">
        <v>46</v>
      </c>
      <c r="AV61" s="417" t="s">
        <v>48</v>
      </c>
      <c r="AW61" s="417" t="s">
        <v>49</v>
      </c>
      <c r="AX61" s="418" t="s">
        <v>54</v>
      </c>
      <c r="AY61" s="418" t="s">
        <v>59</v>
      </c>
      <c r="AZ61" s="418" t="s">
        <v>66</v>
      </c>
      <c r="BA61" s="418" t="s">
        <v>68</v>
      </c>
      <c r="BB61" s="418" t="s">
        <v>75</v>
      </c>
      <c r="BC61" s="418" t="s">
        <v>82</v>
      </c>
      <c r="BD61" s="418" t="s">
        <v>86</v>
      </c>
      <c r="BE61" s="418" t="s">
        <v>89</v>
      </c>
      <c r="BF61" s="417" t="s">
        <v>93</v>
      </c>
      <c r="BG61" s="418" t="s">
        <v>97</v>
      </c>
      <c r="BH61" s="418" t="s">
        <v>99</v>
      </c>
      <c r="BI61" s="417" t="s">
        <v>103</v>
      </c>
      <c r="BJ61" s="418" t="s">
        <v>107</v>
      </c>
      <c r="BK61" s="417" t="s">
        <v>110</v>
      </c>
      <c r="BL61" s="418" t="s">
        <v>119</v>
      </c>
      <c r="BM61" s="418" t="s">
        <v>120</v>
      </c>
      <c r="BN61" s="418" t="s">
        <v>125</v>
      </c>
      <c r="BO61" s="417" t="s">
        <v>129</v>
      </c>
      <c r="BP61" s="418" t="s">
        <v>132</v>
      </c>
      <c r="BQ61" s="419" t="s">
        <v>1187</v>
      </c>
    </row>
    <row r="62" customFormat="false" ht="12.75" hidden="false" customHeight="false" outlineLevel="0" collapsed="false">
      <c r="C62" s="310" t="s">
        <v>1021</v>
      </c>
      <c r="D62" s="285" t="str">
        <f aca="false">IF(F62="","",IF(H62="","",ROUND(F62-0.001*298.15*(H62-SUMPRODUCT(L62:AK62*AR$13:BQ$13)),3)))</f>
        <v/>
      </c>
      <c r="E62" s="131" t="str">
        <f aca="false">IF(G62="","",IF(I62="","",ROUND(2*SQRT((0.5*G62)^2+(0.001*298.15)^2*((0.5*I62)^2+SUMPRODUCT(AR62:BQ62*AR$15:BQ$15))),3)))</f>
        <v/>
      </c>
      <c r="F62" s="311"/>
      <c r="G62" s="312"/>
      <c r="H62" s="311"/>
      <c r="I62" s="312"/>
      <c r="K62" s="310" t="s">
        <v>1021</v>
      </c>
      <c r="L62" s="426"/>
      <c r="M62" s="427"/>
      <c r="N62" s="427"/>
      <c r="O62" s="427"/>
      <c r="P62" s="428"/>
      <c r="Q62" s="428"/>
      <c r="R62" s="428"/>
      <c r="S62" s="428"/>
      <c r="T62" s="428"/>
      <c r="U62" s="428"/>
      <c r="V62" s="428"/>
      <c r="W62" s="428"/>
      <c r="X62" s="428"/>
      <c r="Y62" s="428"/>
      <c r="Z62" s="428"/>
      <c r="AA62" s="428"/>
      <c r="AB62" s="428"/>
      <c r="AC62" s="428"/>
      <c r="AD62" s="428" t="n">
        <v>1</v>
      </c>
      <c r="AE62" s="428"/>
      <c r="AF62" s="428"/>
      <c r="AG62" s="428"/>
      <c r="AH62" s="428"/>
      <c r="AI62" s="429" t="n">
        <v>1</v>
      </c>
      <c r="AJ62" s="428"/>
      <c r="AK62" s="430"/>
      <c r="AO62" s="10"/>
      <c r="AQ62" s="310" t="s">
        <v>1021</v>
      </c>
      <c r="AR62" s="431" t="n">
        <f aca="false">L62^2</f>
        <v>0</v>
      </c>
      <c r="AS62" s="432" t="n">
        <f aca="false">M62^2</f>
        <v>0</v>
      </c>
      <c r="AT62" s="432" t="n">
        <f aca="false">N62^2</f>
        <v>0</v>
      </c>
      <c r="AU62" s="432" t="n">
        <f aca="false">O62^2</f>
        <v>0</v>
      </c>
      <c r="AV62" s="432" t="n">
        <f aca="false">P62^2</f>
        <v>0</v>
      </c>
      <c r="AW62" s="432" t="n">
        <f aca="false">Q62^2</f>
        <v>0</v>
      </c>
      <c r="AX62" s="432" t="n">
        <f aca="false">R62^2</f>
        <v>0</v>
      </c>
      <c r="AY62" s="432" t="n">
        <f aca="false">S62^2</f>
        <v>0</v>
      </c>
      <c r="AZ62" s="432" t="n">
        <f aca="false">T62^2</f>
        <v>0</v>
      </c>
      <c r="BA62" s="432" t="n">
        <f aca="false">U62^2</f>
        <v>0</v>
      </c>
      <c r="BB62" s="432" t="n">
        <f aca="false">V62^2</f>
        <v>0</v>
      </c>
      <c r="BC62" s="432" t="n">
        <f aca="false">W62^2</f>
        <v>0</v>
      </c>
      <c r="BD62" s="432" t="n">
        <f aca="false">X62^2</f>
        <v>0</v>
      </c>
      <c r="BE62" s="432" t="n">
        <f aca="false">Y62^2</f>
        <v>0</v>
      </c>
      <c r="BF62" s="432" t="n">
        <f aca="false">Z62^2</f>
        <v>0</v>
      </c>
      <c r="BG62" s="432" t="n">
        <f aca="false">AA62^2</f>
        <v>0</v>
      </c>
      <c r="BH62" s="432" t="n">
        <f aca="false">AB62^2</f>
        <v>0</v>
      </c>
      <c r="BI62" s="432" t="n">
        <f aca="false">AC62^2</f>
        <v>0</v>
      </c>
      <c r="BJ62" s="432" t="n">
        <f aca="false">AD62^2</f>
        <v>1</v>
      </c>
      <c r="BK62" s="432" t="n">
        <f aca="false">AE62^2</f>
        <v>0</v>
      </c>
      <c r="BL62" s="432" t="n">
        <f aca="false">AF62^2</f>
        <v>0</v>
      </c>
      <c r="BM62" s="432" t="n">
        <f aca="false">AG62^2</f>
        <v>0</v>
      </c>
      <c r="BN62" s="432" t="n">
        <f aca="false">AH62^2</f>
        <v>0</v>
      </c>
      <c r="BO62" s="432" t="n">
        <f aca="false">AI62^2</f>
        <v>1</v>
      </c>
      <c r="BP62" s="432" t="n">
        <f aca="false">AJ62^2</f>
        <v>0</v>
      </c>
      <c r="BQ62" s="433" t="n">
        <f aca="false">-SIGN(AK62)*AK62^2</f>
        <v>0</v>
      </c>
    </row>
    <row r="63" customFormat="false" ht="12.75" hidden="false" customHeight="false" outlineLevel="0" collapsed="false">
      <c r="C63" s="313" t="s">
        <v>1022</v>
      </c>
      <c r="D63" s="290" t="str">
        <f aca="false">IF(F63="","",IF(H63="","",ROUND(F63-0.001*298.15*(H63-SUMPRODUCT(L63:AK63*AR$13:BQ$13)),3)))</f>
        <v/>
      </c>
      <c r="E63" s="137" t="str">
        <f aca="false">IF(G63="","",IF(I63="","",ROUND(2*SQRT((0.5*G63)^2+(0.001*298.15)^2*((0.5*I63)^2+SUMPRODUCT(AR63:BQ63*AR$15:BQ$15))),3)))</f>
        <v/>
      </c>
      <c r="F63" s="314"/>
      <c r="G63" s="315"/>
      <c r="H63" s="314"/>
      <c r="I63" s="315"/>
      <c r="K63" s="313" t="s">
        <v>1022</v>
      </c>
      <c r="L63" s="434"/>
      <c r="M63" s="435" t="n">
        <v>1</v>
      </c>
      <c r="N63" s="435"/>
      <c r="O63" s="435"/>
      <c r="P63" s="436"/>
      <c r="Q63" s="436"/>
      <c r="R63" s="436"/>
      <c r="S63" s="436"/>
      <c r="T63" s="436"/>
      <c r="U63" s="436"/>
      <c r="V63" s="436"/>
      <c r="W63" s="436"/>
      <c r="X63" s="436"/>
      <c r="Y63" s="436"/>
      <c r="Z63" s="436"/>
      <c r="AA63" s="436"/>
      <c r="AB63" s="436"/>
      <c r="AC63" s="436"/>
      <c r="AD63" s="436" t="n">
        <v>1</v>
      </c>
      <c r="AE63" s="436"/>
      <c r="AF63" s="436"/>
      <c r="AG63" s="436"/>
      <c r="AH63" s="436"/>
      <c r="AI63" s="437"/>
      <c r="AJ63" s="436"/>
      <c r="AK63" s="438" t="n">
        <v>-1</v>
      </c>
      <c r="AQ63" s="313" t="s">
        <v>1022</v>
      </c>
      <c r="AR63" s="439" t="n">
        <f aca="false">L63^2</f>
        <v>0</v>
      </c>
      <c r="AS63" s="440" t="n">
        <f aca="false">M63^2</f>
        <v>1</v>
      </c>
      <c r="AT63" s="440" t="n">
        <f aca="false">N63^2</f>
        <v>0</v>
      </c>
      <c r="AU63" s="440" t="n">
        <f aca="false">O63^2</f>
        <v>0</v>
      </c>
      <c r="AV63" s="440" t="n">
        <f aca="false">P63^2</f>
        <v>0</v>
      </c>
      <c r="AW63" s="440" t="n">
        <f aca="false">Q63^2</f>
        <v>0</v>
      </c>
      <c r="AX63" s="440" t="n">
        <f aca="false">R63^2</f>
        <v>0</v>
      </c>
      <c r="AY63" s="440" t="n">
        <f aca="false">S63^2</f>
        <v>0</v>
      </c>
      <c r="AZ63" s="440" t="n">
        <f aca="false">T63^2</f>
        <v>0</v>
      </c>
      <c r="BA63" s="440" t="n">
        <f aca="false">U63^2</f>
        <v>0</v>
      </c>
      <c r="BB63" s="440" t="n">
        <f aca="false">V63^2</f>
        <v>0</v>
      </c>
      <c r="BC63" s="440" t="n">
        <f aca="false">W63^2</f>
        <v>0</v>
      </c>
      <c r="BD63" s="440" t="n">
        <f aca="false">X63^2</f>
        <v>0</v>
      </c>
      <c r="BE63" s="440" t="n">
        <f aca="false">Y63^2</f>
        <v>0</v>
      </c>
      <c r="BF63" s="440" t="n">
        <f aca="false">Z63^2</f>
        <v>0</v>
      </c>
      <c r="BG63" s="440" t="n">
        <f aca="false">AA63^2</f>
        <v>0</v>
      </c>
      <c r="BH63" s="440" t="n">
        <f aca="false">AB63^2</f>
        <v>0</v>
      </c>
      <c r="BI63" s="440" t="n">
        <f aca="false">AC63^2</f>
        <v>0</v>
      </c>
      <c r="BJ63" s="440" t="n">
        <f aca="false">AD63^2</f>
        <v>1</v>
      </c>
      <c r="BK63" s="440" t="n">
        <f aca="false">AE63^2</f>
        <v>0</v>
      </c>
      <c r="BL63" s="440" t="n">
        <f aca="false">AF63^2</f>
        <v>0</v>
      </c>
      <c r="BM63" s="440" t="n">
        <f aca="false">AG63^2</f>
        <v>0</v>
      </c>
      <c r="BN63" s="440" t="n">
        <f aca="false">AH63^2</f>
        <v>0</v>
      </c>
      <c r="BO63" s="440" t="n">
        <f aca="false">AI63^2</f>
        <v>0</v>
      </c>
      <c r="BP63" s="440" t="n">
        <f aca="false">AJ63^2</f>
        <v>0</v>
      </c>
      <c r="BQ63" s="441" t="n">
        <f aca="false">-SIGN(AK63)*AK63^2</f>
        <v>1</v>
      </c>
    </row>
    <row r="64" customFormat="false" ht="13.5" hidden="false" customHeight="false" outlineLevel="0" collapsed="false">
      <c r="C64" s="317" t="s">
        <v>1023</v>
      </c>
      <c r="D64" s="305" t="str">
        <f aca="false">IF(F64="","",IF(H64="","",ROUND(F64-0.001*298.15*(H64-SUMPRODUCT(L64:AK64*AR$13:BQ$13)),3)))</f>
        <v/>
      </c>
      <c r="E64" s="145" t="str">
        <f aca="false">IF(G64="","",IF(I64="","",ROUND(2*SQRT((0.5*G64)^2+(0.001*298.15)^2*((0.5*I64)^2+SUMPRODUCT(AR64:BQ64*AR$15:BQ$15))),3)))</f>
        <v/>
      </c>
      <c r="F64" s="318"/>
      <c r="G64" s="319"/>
      <c r="H64" s="318"/>
      <c r="I64" s="319"/>
      <c r="K64" s="317" t="s">
        <v>1023</v>
      </c>
      <c r="L64" s="447" t="n">
        <v>1</v>
      </c>
      <c r="M64" s="448"/>
      <c r="N64" s="448"/>
      <c r="O64" s="448"/>
      <c r="P64" s="449"/>
      <c r="Q64" s="449"/>
      <c r="R64" s="449"/>
      <c r="S64" s="449"/>
      <c r="T64" s="449"/>
      <c r="U64" s="449"/>
      <c r="V64" s="449"/>
      <c r="W64" s="449"/>
      <c r="X64" s="449"/>
      <c r="Y64" s="449"/>
      <c r="Z64" s="449"/>
      <c r="AA64" s="449"/>
      <c r="AB64" s="449"/>
      <c r="AC64" s="449"/>
      <c r="AD64" s="449" t="n">
        <v>1</v>
      </c>
      <c r="AE64" s="449"/>
      <c r="AF64" s="449"/>
      <c r="AG64" s="449"/>
      <c r="AH64" s="449"/>
      <c r="AI64" s="450"/>
      <c r="AJ64" s="449"/>
      <c r="AK64" s="451" t="n">
        <v>-1</v>
      </c>
      <c r="AQ64" s="317" t="s">
        <v>1023</v>
      </c>
      <c r="AR64" s="452" t="n">
        <f aca="false">L64^2</f>
        <v>1</v>
      </c>
      <c r="AS64" s="453" t="n">
        <f aca="false">M64^2</f>
        <v>0</v>
      </c>
      <c r="AT64" s="453" t="n">
        <f aca="false">N64^2</f>
        <v>0</v>
      </c>
      <c r="AU64" s="453" t="n">
        <f aca="false">O64^2</f>
        <v>0</v>
      </c>
      <c r="AV64" s="453" t="n">
        <f aca="false">P64^2</f>
        <v>0</v>
      </c>
      <c r="AW64" s="453" t="n">
        <f aca="false">Q64^2</f>
        <v>0</v>
      </c>
      <c r="AX64" s="453" t="n">
        <f aca="false">R64^2</f>
        <v>0</v>
      </c>
      <c r="AY64" s="453" t="n">
        <f aca="false">S64^2</f>
        <v>0</v>
      </c>
      <c r="AZ64" s="453" t="n">
        <f aca="false">T64^2</f>
        <v>0</v>
      </c>
      <c r="BA64" s="453" t="n">
        <f aca="false">U64^2</f>
        <v>0</v>
      </c>
      <c r="BB64" s="453" t="n">
        <f aca="false">V64^2</f>
        <v>0</v>
      </c>
      <c r="BC64" s="453" t="n">
        <f aca="false">W64^2</f>
        <v>0</v>
      </c>
      <c r="BD64" s="453" t="n">
        <f aca="false">X64^2</f>
        <v>0</v>
      </c>
      <c r="BE64" s="453" t="n">
        <f aca="false">Y64^2</f>
        <v>0</v>
      </c>
      <c r="BF64" s="453" t="n">
        <f aca="false">Z64^2</f>
        <v>0</v>
      </c>
      <c r="BG64" s="453" t="n">
        <f aca="false">AA64^2</f>
        <v>0</v>
      </c>
      <c r="BH64" s="453" t="n">
        <f aca="false">AB64^2</f>
        <v>0</v>
      </c>
      <c r="BI64" s="453" t="n">
        <f aca="false">AC64^2</f>
        <v>0</v>
      </c>
      <c r="BJ64" s="453" t="n">
        <f aca="false">AD64^2</f>
        <v>1</v>
      </c>
      <c r="BK64" s="453" t="n">
        <f aca="false">AE64^2</f>
        <v>0</v>
      </c>
      <c r="BL64" s="453" t="n">
        <f aca="false">AF64^2</f>
        <v>0</v>
      </c>
      <c r="BM64" s="453" t="n">
        <f aca="false">AG64^2</f>
        <v>0</v>
      </c>
      <c r="BN64" s="453" t="n">
        <f aca="false">AH64^2</f>
        <v>0</v>
      </c>
      <c r="BO64" s="453" t="n">
        <f aca="false">AI64^2</f>
        <v>0</v>
      </c>
      <c r="BP64" s="453" t="n">
        <f aca="false">AJ64^2</f>
        <v>0</v>
      </c>
      <c r="BQ64" s="454" t="n">
        <f aca="false">-SIGN(AK64)*AK64^2</f>
        <v>1</v>
      </c>
    </row>
    <row r="65" customFormat="false" ht="12.75" hidden="false" customHeight="false" outlineLevel="0" collapsed="false">
      <c r="C65" s="192"/>
      <c r="D65" s="214"/>
      <c r="E65" s="214"/>
      <c r="F65" s="214"/>
      <c r="G65" s="214"/>
      <c r="H65" s="214"/>
      <c r="I65" s="214"/>
      <c r="K65" s="214"/>
      <c r="L65" s="214"/>
      <c r="M65" s="214"/>
      <c r="N65" s="214"/>
      <c r="O65" s="214"/>
      <c r="AQ65" s="214"/>
      <c r="AR65" s="214"/>
      <c r="AS65" s="214"/>
      <c r="AT65" s="214"/>
      <c r="AU65" s="214"/>
    </row>
    <row r="66" customFormat="false" ht="12.75" hidden="false" customHeight="false" outlineLevel="0" collapsed="false">
      <c r="C66" s="112"/>
      <c r="D66" s="66"/>
      <c r="E66" s="66"/>
      <c r="F66" s="66"/>
      <c r="G66" s="66"/>
      <c r="H66" s="66"/>
      <c r="I66" s="66"/>
      <c r="K66" s="66"/>
      <c r="L66" s="66"/>
      <c r="M66" s="66"/>
      <c r="N66" s="66"/>
      <c r="O66" s="66"/>
      <c r="AQ66" s="66"/>
      <c r="AR66" s="66"/>
      <c r="AS66" s="66"/>
      <c r="AT66" s="66"/>
      <c r="AU66" s="66"/>
    </row>
    <row r="67" customFormat="false" ht="13.5" hidden="false" customHeight="false" outlineLevel="0" collapsed="false">
      <c r="C67" s="112"/>
      <c r="D67" s="66"/>
      <c r="E67" s="66"/>
      <c r="F67" s="66"/>
      <c r="G67" s="66"/>
      <c r="H67" s="66"/>
      <c r="I67" s="66"/>
      <c r="K67" s="66"/>
      <c r="L67" s="66"/>
      <c r="M67" s="66"/>
      <c r="N67" s="66"/>
      <c r="O67" s="66"/>
      <c r="AQ67" s="66"/>
      <c r="AR67" s="66"/>
      <c r="AS67" s="66"/>
      <c r="AT67" s="66"/>
      <c r="AU67" s="66"/>
    </row>
    <row r="68" customFormat="false" ht="15" hidden="false" customHeight="false" outlineLevel="0" collapsed="false">
      <c r="C68" s="15"/>
      <c r="D68" s="283" t="s">
        <v>779</v>
      </c>
      <c r="E68" s="284"/>
      <c r="F68" s="283" t="s">
        <v>780</v>
      </c>
      <c r="G68" s="284"/>
      <c r="H68" s="283" t="s">
        <v>781</v>
      </c>
      <c r="I68" s="284"/>
      <c r="K68" s="282"/>
      <c r="L68" s="282"/>
      <c r="M68" s="282"/>
      <c r="N68" s="282"/>
      <c r="O68" s="282"/>
      <c r="AQ68" s="282"/>
      <c r="AR68" s="282"/>
      <c r="AS68" s="282"/>
      <c r="AT68" s="282"/>
      <c r="AU68" s="282"/>
    </row>
    <row r="69" customFormat="false" ht="13.5" hidden="false" customHeight="false" outlineLevel="0" collapsed="false">
      <c r="C69" s="16"/>
      <c r="D69" s="50"/>
      <c r="E69" s="50" t="s">
        <v>725</v>
      </c>
      <c r="F69" s="50"/>
      <c r="G69" s="50" t="s">
        <v>725</v>
      </c>
      <c r="H69" s="50"/>
      <c r="I69" s="50" t="s">
        <v>725</v>
      </c>
      <c r="K69" s="52"/>
      <c r="L69" s="52"/>
      <c r="M69" s="52"/>
      <c r="N69" s="52"/>
      <c r="O69" s="52"/>
      <c r="AQ69" s="52"/>
      <c r="AR69" s="52"/>
      <c r="AS69" s="52"/>
      <c r="AT69" s="52"/>
      <c r="AU69" s="52"/>
    </row>
    <row r="70" customFormat="false" ht="13.5" hidden="false" customHeight="false" outlineLevel="0" collapsed="false">
      <c r="C70" s="16" t="s">
        <v>1024</v>
      </c>
      <c r="D70" s="53" t="s">
        <v>726</v>
      </c>
      <c r="E70" s="53" t="s">
        <v>727</v>
      </c>
      <c r="F70" s="53" t="s">
        <v>726</v>
      </c>
      <c r="G70" s="53" t="s">
        <v>727</v>
      </c>
      <c r="H70" s="53" t="s">
        <v>726</v>
      </c>
      <c r="I70" s="53" t="s">
        <v>727</v>
      </c>
      <c r="K70" s="11"/>
      <c r="L70" s="412" t="s">
        <v>1193</v>
      </c>
      <c r="M70" s="413"/>
      <c r="N70" s="413"/>
      <c r="O70" s="413"/>
      <c r="P70" s="414"/>
      <c r="Q70" s="414"/>
      <c r="R70" s="414"/>
      <c r="S70" s="414"/>
      <c r="T70" s="414"/>
      <c r="U70" s="414"/>
      <c r="V70" s="414"/>
      <c r="W70" s="414"/>
      <c r="X70" s="414"/>
      <c r="Y70" s="414"/>
      <c r="Z70" s="414"/>
      <c r="AA70" s="414"/>
      <c r="AB70" s="414"/>
      <c r="AC70" s="414"/>
      <c r="AD70" s="414"/>
      <c r="AE70" s="414"/>
      <c r="AF70" s="414"/>
      <c r="AG70" s="414"/>
      <c r="AH70" s="414"/>
      <c r="AI70" s="414"/>
      <c r="AJ70" s="414"/>
      <c r="AK70" s="279"/>
      <c r="AQ70" s="11"/>
      <c r="AR70" s="412" t="s">
        <v>1193</v>
      </c>
      <c r="AS70" s="413"/>
      <c r="AT70" s="413"/>
      <c r="AU70" s="413"/>
      <c r="AV70" s="414"/>
      <c r="AW70" s="414"/>
      <c r="AX70" s="414"/>
      <c r="AY70" s="414"/>
      <c r="AZ70" s="414"/>
      <c r="BA70" s="414"/>
      <c r="BB70" s="414"/>
      <c r="BC70" s="414"/>
      <c r="BD70" s="414"/>
      <c r="BE70" s="414"/>
      <c r="BF70" s="414"/>
      <c r="BG70" s="414"/>
      <c r="BH70" s="414"/>
      <c r="BI70" s="414"/>
      <c r="BJ70" s="414"/>
      <c r="BK70" s="414"/>
      <c r="BL70" s="414"/>
      <c r="BM70" s="414"/>
      <c r="BN70" s="414"/>
      <c r="BO70" s="414"/>
      <c r="BP70" s="414"/>
      <c r="BQ70" s="279"/>
    </row>
    <row r="71" customFormat="false" ht="15" hidden="false" customHeight="false" outlineLevel="0" collapsed="false">
      <c r="C71" s="21" t="s">
        <v>783</v>
      </c>
      <c r="D71" s="55" t="s">
        <v>784</v>
      </c>
      <c r="E71" s="55" t="s">
        <v>784</v>
      </c>
      <c r="F71" s="55" t="s">
        <v>784</v>
      </c>
      <c r="G71" s="55" t="s">
        <v>784</v>
      </c>
      <c r="H71" s="55" t="s">
        <v>167</v>
      </c>
      <c r="I71" s="55" t="s">
        <v>167</v>
      </c>
      <c r="K71" s="415" t="s">
        <v>783</v>
      </c>
      <c r="L71" s="416" t="s">
        <v>32</v>
      </c>
      <c r="M71" s="417" t="s">
        <v>40</v>
      </c>
      <c r="N71" s="418" t="s">
        <v>41</v>
      </c>
      <c r="O71" s="418" t="s">
        <v>46</v>
      </c>
      <c r="P71" s="417" t="s">
        <v>48</v>
      </c>
      <c r="Q71" s="417" t="s">
        <v>49</v>
      </c>
      <c r="R71" s="418" t="s">
        <v>54</v>
      </c>
      <c r="S71" s="418" t="s">
        <v>59</v>
      </c>
      <c r="T71" s="418" t="s">
        <v>66</v>
      </c>
      <c r="U71" s="418" t="s">
        <v>68</v>
      </c>
      <c r="V71" s="418" t="s">
        <v>75</v>
      </c>
      <c r="W71" s="418" t="s">
        <v>82</v>
      </c>
      <c r="X71" s="418" t="s">
        <v>86</v>
      </c>
      <c r="Y71" s="418" t="s">
        <v>89</v>
      </c>
      <c r="Z71" s="417" t="s">
        <v>93</v>
      </c>
      <c r="AA71" s="418" t="s">
        <v>97</v>
      </c>
      <c r="AB71" s="418" t="s">
        <v>99</v>
      </c>
      <c r="AC71" s="417" t="s">
        <v>103</v>
      </c>
      <c r="AD71" s="418" t="s">
        <v>107</v>
      </c>
      <c r="AE71" s="417" t="s">
        <v>110</v>
      </c>
      <c r="AF71" s="418" t="s">
        <v>119</v>
      </c>
      <c r="AG71" s="418" t="s">
        <v>120</v>
      </c>
      <c r="AH71" s="418" t="s">
        <v>125</v>
      </c>
      <c r="AI71" s="417" t="s">
        <v>129</v>
      </c>
      <c r="AJ71" s="418" t="s">
        <v>132</v>
      </c>
      <c r="AK71" s="419" t="s">
        <v>1187</v>
      </c>
      <c r="AQ71" s="415" t="s">
        <v>783</v>
      </c>
      <c r="AR71" s="416" t="s">
        <v>32</v>
      </c>
      <c r="AS71" s="417" t="s">
        <v>40</v>
      </c>
      <c r="AT71" s="418" t="s">
        <v>41</v>
      </c>
      <c r="AU71" s="418" t="s">
        <v>46</v>
      </c>
      <c r="AV71" s="417" t="s">
        <v>48</v>
      </c>
      <c r="AW71" s="417" t="s">
        <v>49</v>
      </c>
      <c r="AX71" s="418" t="s">
        <v>54</v>
      </c>
      <c r="AY71" s="418" t="s">
        <v>59</v>
      </c>
      <c r="AZ71" s="418" t="s">
        <v>66</v>
      </c>
      <c r="BA71" s="418" t="s">
        <v>68</v>
      </c>
      <c r="BB71" s="418" t="s">
        <v>75</v>
      </c>
      <c r="BC71" s="418" t="s">
        <v>82</v>
      </c>
      <c r="BD71" s="418" t="s">
        <v>86</v>
      </c>
      <c r="BE71" s="418" t="s">
        <v>89</v>
      </c>
      <c r="BF71" s="417" t="s">
        <v>93</v>
      </c>
      <c r="BG71" s="418" t="s">
        <v>97</v>
      </c>
      <c r="BH71" s="418" t="s">
        <v>99</v>
      </c>
      <c r="BI71" s="417" t="s">
        <v>103</v>
      </c>
      <c r="BJ71" s="418" t="s">
        <v>107</v>
      </c>
      <c r="BK71" s="417" t="s">
        <v>110</v>
      </c>
      <c r="BL71" s="418" t="s">
        <v>119</v>
      </c>
      <c r="BM71" s="418" t="s">
        <v>120</v>
      </c>
      <c r="BN71" s="418" t="s">
        <v>125</v>
      </c>
      <c r="BO71" s="417" t="s">
        <v>129</v>
      </c>
      <c r="BP71" s="418" t="s">
        <v>132</v>
      </c>
      <c r="BQ71" s="419" t="s">
        <v>1187</v>
      </c>
    </row>
    <row r="72" customFormat="false" ht="12.75" hidden="false" customHeight="false" outlineLevel="0" collapsed="false">
      <c r="C72" s="456" t="s">
        <v>1025</v>
      </c>
      <c r="D72" s="285" t="n">
        <f aca="false">IF(F72="","",IF(H72="","",ROUND(F72-0.001*298.15*(H72-SUMPRODUCT(L72:AK72*AR$13:BQ$13)),3)))</f>
        <v>0</v>
      </c>
      <c r="E72" s="131" t="str">
        <f aca="false">IF(G72="","",IF(I72="","",ROUND(2*SQRT((0.5*G72)^2+(0.001*298.15)^2*((0.5*I72)^2+SUMPRODUCT(AR72:BQ72*AR$15:BQ$15))),3)))</f>
        <v/>
      </c>
      <c r="F72" s="322" t="s">
        <v>786</v>
      </c>
      <c r="G72" s="323"/>
      <c r="H72" s="322" t="s">
        <v>760</v>
      </c>
      <c r="I72" s="323" t="s">
        <v>749</v>
      </c>
      <c r="K72" s="425" t="s">
        <v>1025</v>
      </c>
      <c r="L72" s="426"/>
      <c r="M72" s="427"/>
      <c r="N72" s="427"/>
      <c r="O72" s="427"/>
      <c r="P72" s="428"/>
      <c r="Q72" s="428"/>
      <c r="R72" s="428"/>
      <c r="S72" s="428"/>
      <c r="T72" s="428"/>
      <c r="U72" s="428"/>
      <c r="V72" s="428"/>
      <c r="W72" s="428"/>
      <c r="X72" s="428"/>
      <c r="Y72" s="428"/>
      <c r="Z72" s="428"/>
      <c r="AA72" s="428"/>
      <c r="AB72" s="428"/>
      <c r="AC72" s="428"/>
      <c r="AD72" s="428" t="n">
        <v>1</v>
      </c>
      <c r="AE72" s="428"/>
      <c r="AF72" s="428"/>
      <c r="AG72" s="428"/>
      <c r="AH72" s="428"/>
      <c r="AI72" s="429"/>
      <c r="AJ72" s="428"/>
      <c r="AK72" s="430"/>
      <c r="AQ72" s="425" t="s">
        <v>1025</v>
      </c>
      <c r="AR72" s="431" t="n">
        <f aca="false">L72^2</f>
        <v>0</v>
      </c>
      <c r="AS72" s="432" t="n">
        <f aca="false">M72^2</f>
        <v>0</v>
      </c>
      <c r="AT72" s="432" t="n">
        <f aca="false">N72^2</f>
        <v>0</v>
      </c>
      <c r="AU72" s="432" t="n">
        <f aca="false">O72^2</f>
        <v>0</v>
      </c>
      <c r="AV72" s="432" t="n">
        <f aca="false">P72^2</f>
        <v>0</v>
      </c>
      <c r="AW72" s="432" t="n">
        <f aca="false">Q72^2</f>
        <v>0</v>
      </c>
      <c r="AX72" s="432" t="n">
        <f aca="false">R72^2</f>
        <v>0</v>
      </c>
      <c r="AY72" s="432" t="n">
        <f aca="false">S72^2</f>
        <v>0</v>
      </c>
      <c r="AZ72" s="432" t="n">
        <f aca="false">T72^2</f>
        <v>0</v>
      </c>
      <c r="BA72" s="432" t="n">
        <f aca="false">U72^2</f>
        <v>0</v>
      </c>
      <c r="BB72" s="432" t="n">
        <f aca="false">V72^2</f>
        <v>0</v>
      </c>
      <c r="BC72" s="432" t="n">
        <f aca="false">W72^2</f>
        <v>0</v>
      </c>
      <c r="BD72" s="432" t="n">
        <f aca="false">X72^2</f>
        <v>0</v>
      </c>
      <c r="BE72" s="432" t="n">
        <f aca="false">Y72^2</f>
        <v>0</v>
      </c>
      <c r="BF72" s="432" t="n">
        <f aca="false">Z72^2</f>
        <v>0</v>
      </c>
      <c r="BG72" s="432" t="n">
        <f aca="false">AA72^2</f>
        <v>0</v>
      </c>
      <c r="BH72" s="432" t="n">
        <f aca="false">AB72^2</f>
        <v>0</v>
      </c>
      <c r="BI72" s="432" t="n">
        <f aca="false">AC72^2</f>
        <v>0</v>
      </c>
      <c r="BJ72" s="432" t="n">
        <f aca="false">AD72^2</f>
        <v>1</v>
      </c>
      <c r="BK72" s="432" t="n">
        <f aca="false">AE72^2</f>
        <v>0</v>
      </c>
      <c r="BL72" s="432" t="n">
        <f aca="false">AF72^2</f>
        <v>0</v>
      </c>
      <c r="BM72" s="432" t="n">
        <f aca="false">AG72^2</f>
        <v>0</v>
      </c>
      <c r="BN72" s="432" t="n">
        <f aca="false">AH72^2</f>
        <v>0</v>
      </c>
      <c r="BO72" s="432" t="n">
        <f aca="false">AI72^2</f>
        <v>0</v>
      </c>
      <c r="BP72" s="432" t="n">
        <f aca="false">AJ72^2</f>
        <v>0</v>
      </c>
      <c r="BQ72" s="433" t="n">
        <f aca="false">-SIGN(AK72)*AK72^2</f>
        <v>0</v>
      </c>
    </row>
    <row r="73" customFormat="false" ht="12.75" hidden="false" customHeight="false" outlineLevel="0" collapsed="false">
      <c r="C73" s="354" t="s">
        <v>1026</v>
      </c>
      <c r="D73" s="290" t="n">
        <f aca="false">IF(F73="","",IF(H73="","",ROUND(F73-0.001*298.15*(H73-SUMPRODUCT(L73:AK73*AR$13:BQ$13)),3)))</f>
        <v>0</v>
      </c>
      <c r="E73" s="137" t="str">
        <f aca="false">IF(G73="","",IF(I73="","",ROUND(2*SQRT((0.5*G73)^2+(0.001*298.15)^2*((0.5*I73)^2+SUMPRODUCT(AR73:BQ73*AR$15:BQ$15))),3)))</f>
        <v/>
      </c>
      <c r="F73" s="300" t="s">
        <v>786</v>
      </c>
      <c r="G73" s="301"/>
      <c r="H73" s="300" t="s">
        <v>623</v>
      </c>
      <c r="I73" s="301" t="s">
        <v>734</v>
      </c>
      <c r="K73" s="342" t="s">
        <v>1026</v>
      </c>
      <c r="L73" s="434"/>
      <c r="M73" s="435"/>
      <c r="N73" s="435"/>
      <c r="O73" s="435"/>
      <c r="P73" s="436"/>
      <c r="Q73" s="436"/>
      <c r="R73" s="436"/>
      <c r="S73" s="436"/>
      <c r="T73" s="436"/>
      <c r="U73" s="436"/>
      <c r="V73" s="436" t="n">
        <v>1</v>
      </c>
      <c r="W73" s="436"/>
      <c r="X73" s="436"/>
      <c r="Y73" s="436"/>
      <c r="Z73" s="436"/>
      <c r="AA73" s="436"/>
      <c r="AB73" s="436"/>
      <c r="AC73" s="436"/>
      <c r="AD73" s="436"/>
      <c r="AE73" s="436"/>
      <c r="AF73" s="436"/>
      <c r="AG73" s="436"/>
      <c r="AH73" s="436"/>
      <c r="AI73" s="437"/>
      <c r="AJ73" s="436"/>
      <c r="AK73" s="438"/>
      <c r="AQ73" s="342" t="s">
        <v>1026</v>
      </c>
      <c r="AR73" s="439" t="n">
        <f aca="false">L73^2</f>
        <v>0</v>
      </c>
      <c r="AS73" s="440" t="n">
        <f aca="false">M73^2</f>
        <v>0</v>
      </c>
      <c r="AT73" s="440" t="n">
        <f aca="false">N73^2</f>
        <v>0</v>
      </c>
      <c r="AU73" s="440" t="n">
        <f aca="false">O73^2</f>
        <v>0</v>
      </c>
      <c r="AV73" s="440" t="n">
        <f aca="false">P73^2</f>
        <v>0</v>
      </c>
      <c r="AW73" s="440" t="n">
        <f aca="false">Q73^2</f>
        <v>0</v>
      </c>
      <c r="AX73" s="440" t="n">
        <f aca="false">R73^2</f>
        <v>0</v>
      </c>
      <c r="AY73" s="440" t="n">
        <f aca="false">S73^2</f>
        <v>0</v>
      </c>
      <c r="AZ73" s="440" t="n">
        <f aca="false">T73^2</f>
        <v>0</v>
      </c>
      <c r="BA73" s="440" t="n">
        <f aca="false">U73^2</f>
        <v>0</v>
      </c>
      <c r="BB73" s="440" t="n">
        <f aca="false">V73^2</f>
        <v>1</v>
      </c>
      <c r="BC73" s="440" t="n">
        <f aca="false">W73^2</f>
        <v>0</v>
      </c>
      <c r="BD73" s="440" t="n">
        <f aca="false">X73^2</f>
        <v>0</v>
      </c>
      <c r="BE73" s="440" t="n">
        <f aca="false">Y73^2</f>
        <v>0</v>
      </c>
      <c r="BF73" s="440" t="n">
        <f aca="false">Z73^2</f>
        <v>0</v>
      </c>
      <c r="BG73" s="440" t="n">
        <f aca="false">AA73^2</f>
        <v>0</v>
      </c>
      <c r="BH73" s="440" t="n">
        <f aca="false">AB73^2</f>
        <v>0</v>
      </c>
      <c r="BI73" s="440" t="n">
        <f aca="false">AC73^2</f>
        <v>0</v>
      </c>
      <c r="BJ73" s="440" t="n">
        <f aca="false">AD73^2</f>
        <v>0</v>
      </c>
      <c r="BK73" s="440" t="n">
        <f aca="false">AE73^2</f>
        <v>0</v>
      </c>
      <c r="BL73" s="440" t="n">
        <f aca="false">AF73^2</f>
        <v>0</v>
      </c>
      <c r="BM73" s="440" t="n">
        <f aca="false">AG73^2</f>
        <v>0</v>
      </c>
      <c r="BN73" s="440" t="n">
        <f aca="false">AH73^2</f>
        <v>0</v>
      </c>
      <c r="BO73" s="440" t="n">
        <f aca="false">AI73^2</f>
        <v>0</v>
      </c>
      <c r="BP73" s="440" t="n">
        <f aca="false">AJ73^2</f>
        <v>0</v>
      </c>
      <c r="BQ73" s="441" t="n">
        <f aca="false">-SIGN(AK73)*AK73^2</f>
        <v>-0</v>
      </c>
    </row>
    <row r="74" customFormat="false" ht="12.75" hidden="false" customHeight="false" outlineLevel="0" collapsed="false">
      <c r="C74" s="345" t="s">
        <v>1027</v>
      </c>
      <c r="D74" s="290" t="n">
        <f aca="false">IF(F74="","",IF(H74="","",ROUND(F74-0.001*298.15*(H74-SUMPRODUCT(L74:AK74*AR$13:BQ$13)),3)))</f>
        <v>-228.582</v>
      </c>
      <c r="E74" s="137" t="n">
        <f aca="false">IF(G74="","",IF(I74="","",ROUND(2*SQRT((0.5*G74)^2+(0.001*298.15)^2*((0.5*I74)^2+SUMPRODUCT(AR74:BQ74*AR$15:BQ$15))),3)))</f>
        <v>0.04</v>
      </c>
      <c r="F74" s="291" t="s">
        <v>1028</v>
      </c>
      <c r="G74" s="292" t="s">
        <v>789</v>
      </c>
      <c r="H74" s="291" t="s">
        <v>1029</v>
      </c>
      <c r="I74" s="292" t="s">
        <v>747</v>
      </c>
      <c r="K74" s="342" t="s">
        <v>1027</v>
      </c>
      <c r="L74" s="434"/>
      <c r="M74" s="435"/>
      <c r="N74" s="435"/>
      <c r="O74" s="435"/>
      <c r="P74" s="436"/>
      <c r="Q74" s="436"/>
      <c r="R74" s="436"/>
      <c r="S74" s="436"/>
      <c r="T74" s="436"/>
      <c r="U74" s="436"/>
      <c r="V74" s="436" t="n">
        <v>1</v>
      </c>
      <c r="W74" s="436"/>
      <c r="X74" s="436"/>
      <c r="Y74" s="436"/>
      <c r="Z74" s="436"/>
      <c r="AA74" s="436"/>
      <c r="AB74" s="436"/>
      <c r="AC74" s="436"/>
      <c r="AD74" s="436" t="n">
        <v>0.5</v>
      </c>
      <c r="AE74" s="436"/>
      <c r="AF74" s="436"/>
      <c r="AG74" s="436"/>
      <c r="AH74" s="436"/>
      <c r="AI74" s="437"/>
      <c r="AJ74" s="436"/>
      <c r="AK74" s="438"/>
      <c r="AQ74" s="342" t="s">
        <v>1027</v>
      </c>
      <c r="AR74" s="439" t="n">
        <f aca="false">L74^2</f>
        <v>0</v>
      </c>
      <c r="AS74" s="440" t="n">
        <f aca="false">M74^2</f>
        <v>0</v>
      </c>
      <c r="AT74" s="440" t="n">
        <f aca="false">N74^2</f>
        <v>0</v>
      </c>
      <c r="AU74" s="440" t="n">
        <f aca="false">O74^2</f>
        <v>0</v>
      </c>
      <c r="AV74" s="440" t="n">
        <f aca="false">P74^2</f>
        <v>0</v>
      </c>
      <c r="AW74" s="440" t="n">
        <f aca="false">Q74^2</f>
        <v>0</v>
      </c>
      <c r="AX74" s="440" t="n">
        <f aca="false">R74^2</f>
        <v>0</v>
      </c>
      <c r="AY74" s="440" t="n">
        <f aca="false">S74^2</f>
        <v>0</v>
      </c>
      <c r="AZ74" s="440" t="n">
        <f aca="false">T74^2</f>
        <v>0</v>
      </c>
      <c r="BA74" s="440" t="n">
        <f aca="false">U74^2</f>
        <v>0</v>
      </c>
      <c r="BB74" s="440" t="n">
        <f aca="false">V74^2</f>
        <v>1</v>
      </c>
      <c r="BC74" s="440" t="n">
        <f aca="false">W74^2</f>
        <v>0</v>
      </c>
      <c r="BD74" s="440" t="n">
        <f aca="false">X74^2</f>
        <v>0</v>
      </c>
      <c r="BE74" s="440" t="n">
        <f aca="false">Y74^2</f>
        <v>0</v>
      </c>
      <c r="BF74" s="440" t="n">
        <f aca="false">Z74^2</f>
        <v>0</v>
      </c>
      <c r="BG74" s="440" t="n">
        <f aca="false">AA74^2</f>
        <v>0</v>
      </c>
      <c r="BH74" s="440" t="n">
        <f aca="false">AB74^2</f>
        <v>0</v>
      </c>
      <c r="BI74" s="440" t="n">
        <f aca="false">AC74^2</f>
        <v>0</v>
      </c>
      <c r="BJ74" s="440" t="n">
        <f aca="false">AD74^2</f>
        <v>0.25</v>
      </c>
      <c r="BK74" s="440" t="n">
        <f aca="false">AE74^2</f>
        <v>0</v>
      </c>
      <c r="BL74" s="440" t="n">
        <f aca="false">AF74^2</f>
        <v>0</v>
      </c>
      <c r="BM74" s="440" t="n">
        <f aca="false">AG74^2</f>
        <v>0</v>
      </c>
      <c r="BN74" s="440" t="n">
        <f aca="false">AH74^2</f>
        <v>0</v>
      </c>
      <c r="BO74" s="440" t="n">
        <f aca="false">AI74^2</f>
        <v>0</v>
      </c>
      <c r="BP74" s="440" t="n">
        <f aca="false">AJ74^2</f>
        <v>0</v>
      </c>
      <c r="BQ74" s="441" t="n">
        <f aca="false">-SIGN(AK74)*AK74^2</f>
        <v>-0</v>
      </c>
    </row>
    <row r="75" customFormat="false" ht="13.5" hidden="false" customHeight="false" outlineLevel="0" collapsed="false">
      <c r="C75" s="375" t="s">
        <v>1031</v>
      </c>
      <c r="D75" s="305" t="n">
        <f aca="false">IF(F75="","",IF(H75="","",ROUND(F75-0.001*298.15*(H75-SUMPRODUCT(L75:AK75*AR$13:BQ$13)),3)))</f>
        <v>-394.373</v>
      </c>
      <c r="E75" s="145" t="n">
        <f aca="false">IF(G75="","",IF(I75="","",ROUND(2*SQRT((0.5*G75)^2+(0.001*298.15)^2*((0.5*I75)^2+SUMPRODUCT(AR75:BQ75*AR$15:BQ$15))),3)))</f>
        <v>0.133</v>
      </c>
      <c r="F75" s="306" t="s">
        <v>1032</v>
      </c>
      <c r="G75" s="307" t="s">
        <v>1033</v>
      </c>
      <c r="H75" s="306" t="s">
        <v>1034</v>
      </c>
      <c r="I75" s="307" t="s">
        <v>747</v>
      </c>
      <c r="K75" s="374" t="s">
        <v>1031</v>
      </c>
      <c r="L75" s="447"/>
      <c r="M75" s="448"/>
      <c r="N75" s="448"/>
      <c r="O75" s="448"/>
      <c r="P75" s="449" t="n">
        <v>1</v>
      </c>
      <c r="Q75" s="449"/>
      <c r="R75" s="449"/>
      <c r="S75" s="449"/>
      <c r="T75" s="449"/>
      <c r="U75" s="449"/>
      <c r="V75" s="449"/>
      <c r="W75" s="449"/>
      <c r="X75" s="449"/>
      <c r="Y75" s="449"/>
      <c r="Z75" s="449"/>
      <c r="AA75" s="449"/>
      <c r="AB75" s="449"/>
      <c r="AC75" s="449"/>
      <c r="AD75" s="449" t="n">
        <v>1</v>
      </c>
      <c r="AE75" s="449"/>
      <c r="AF75" s="449"/>
      <c r="AG75" s="449"/>
      <c r="AH75" s="449"/>
      <c r="AI75" s="450"/>
      <c r="AJ75" s="449"/>
      <c r="AK75" s="451"/>
      <c r="AQ75" s="374" t="s">
        <v>1031</v>
      </c>
      <c r="AR75" s="452" t="n">
        <f aca="false">L75^2</f>
        <v>0</v>
      </c>
      <c r="AS75" s="453" t="n">
        <f aca="false">M75^2</f>
        <v>0</v>
      </c>
      <c r="AT75" s="453" t="n">
        <f aca="false">N75^2</f>
        <v>0</v>
      </c>
      <c r="AU75" s="453" t="n">
        <f aca="false">O75^2</f>
        <v>0</v>
      </c>
      <c r="AV75" s="453" t="n">
        <f aca="false">P75^2</f>
        <v>1</v>
      </c>
      <c r="AW75" s="453" t="n">
        <f aca="false">Q75^2</f>
        <v>0</v>
      </c>
      <c r="AX75" s="453" t="n">
        <f aca="false">R75^2</f>
        <v>0</v>
      </c>
      <c r="AY75" s="453" t="n">
        <f aca="false">S75^2</f>
        <v>0</v>
      </c>
      <c r="AZ75" s="453" t="n">
        <f aca="false">T75^2</f>
        <v>0</v>
      </c>
      <c r="BA75" s="453" t="n">
        <f aca="false">U75^2</f>
        <v>0</v>
      </c>
      <c r="BB75" s="453" t="n">
        <f aca="false">V75^2</f>
        <v>0</v>
      </c>
      <c r="BC75" s="453" t="n">
        <f aca="false">W75^2</f>
        <v>0</v>
      </c>
      <c r="BD75" s="453" t="n">
        <f aca="false">X75^2</f>
        <v>0</v>
      </c>
      <c r="BE75" s="453" t="n">
        <f aca="false">Y75^2</f>
        <v>0</v>
      </c>
      <c r="BF75" s="453" t="n">
        <f aca="false">Z75^2</f>
        <v>0</v>
      </c>
      <c r="BG75" s="453" t="n">
        <f aca="false">AA75^2</f>
        <v>0</v>
      </c>
      <c r="BH75" s="453" t="n">
        <f aca="false">AB75^2</f>
        <v>0</v>
      </c>
      <c r="BI75" s="453" t="n">
        <f aca="false">AC75^2</f>
        <v>0</v>
      </c>
      <c r="BJ75" s="453" t="n">
        <f aca="false">AD75^2</f>
        <v>1</v>
      </c>
      <c r="BK75" s="453" t="n">
        <f aca="false">AE75^2</f>
        <v>0</v>
      </c>
      <c r="BL75" s="453" t="n">
        <f aca="false">AF75^2</f>
        <v>0</v>
      </c>
      <c r="BM75" s="453" t="n">
        <f aca="false">AG75^2</f>
        <v>0</v>
      </c>
      <c r="BN75" s="453" t="n">
        <f aca="false">AH75^2</f>
        <v>0</v>
      </c>
      <c r="BO75" s="453" t="n">
        <f aca="false">AI75^2</f>
        <v>0</v>
      </c>
      <c r="BP75" s="453" t="n">
        <f aca="false">AJ75^2</f>
        <v>0</v>
      </c>
      <c r="BQ75" s="454" t="n">
        <f aca="false">-SIGN(AK75)*AK75^2</f>
        <v>-0</v>
      </c>
    </row>
    <row r="76" customFormat="false" ht="12.75" hidden="false" customHeight="false" outlineLevel="0" collapsed="false">
      <c r="C76" s="112"/>
      <c r="D76" s="66"/>
      <c r="E76" s="66"/>
      <c r="F76" s="66"/>
      <c r="G76" s="66"/>
      <c r="H76" s="66"/>
      <c r="I76" s="66"/>
      <c r="K76" s="66"/>
      <c r="L76" s="66"/>
      <c r="M76" s="66"/>
      <c r="N76" s="66"/>
      <c r="O76" s="66"/>
      <c r="AQ76" s="66"/>
      <c r="AR76" s="66"/>
      <c r="AS76" s="66"/>
      <c r="AT76" s="66"/>
      <c r="AU76" s="66"/>
    </row>
    <row r="77" customFormat="false" ht="12.75" hidden="false" customHeight="false" outlineLevel="0" collapsed="false">
      <c r="C77" s="112"/>
      <c r="D77" s="66"/>
      <c r="E77" s="66"/>
      <c r="F77" s="66"/>
      <c r="G77" s="66"/>
      <c r="H77" s="66"/>
      <c r="I77" s="66"/>
      <c r="K77" s="66"/>
      <c r="L77" s="66"/>
      <c r="M77" s="66"/>
      <c r="N77" s="66"/>
      <c r="O77" s="66"/>
      <c r="AQ77" s="66"/>
      <c r="AR77" s="66"/>
      <c r="AS77" s="66"/>
      <c r="AT77" s="66"/>
      <c r="AU77" s="66"/>
    </row>
    <row r="78" customFormat="false" ht="14.25" hidden="false" customHeight="true" outlineLevel="0" collapsed="false">
      <c r="C78" s="112"/>
      <c r="D78" s="66"/>
      <c r="E78" s="66"/>
      <c r="F78" s="66"/>
      <c r="G78" s="66"/>
      <c r="H78" s="66"/>
      <c r="I78" s="66"/>
      <c r="K78" s="66"/>
      <c r="L78" s="66"/>
      <c r="M78" s="66"/>
      <c r="N78" s="66"/>
      <c r="O78" s="66"/>
      <c r="AQ78" s="66"/>
      <c r="AR78" s="66"/>
      <c r="AS78" s="66"/>
      <c r="AT78" s="66"/>
      <c r="AU78" s="66"/>
    </row>
    <row r="79" customFormat="false" ht="15" hidden="false" customHeight="false" outlineLevel="0" collapsed="false">
      <c r="B79" s="15"/>
      <c r="C79" s="15"/>
      <c r="D79" s="283" t="s">
        <v>779</v>
      </c>
      <c r="E79" s="284"/>
      <c r="F79" s="283" t="s">
        <v>780</v>
      </c>
      <c r="G79" s="284"/>
      <c r="H79" s="283" t="s">
        <v>781</v>
      </c>
      <c r="I79" s="284"/>
      <c r="K79" s="282"/>
      <c r="L79" s="282"/>
      <c r="M79" s="282"/>
      <c r="N79" s="282"/>
      <c r="O79" s="282"/>
      <c r="AQ79" s="282"/>
      <c r="AR79" s="282"/>
      <c r="AS79" s="282"/>
      <c r="AT79" s="282"/>
      <c r="AU79" s="282"/>
    </row>
    <row r="80" customFormat="false" ht="13.5" hidden="false" customHeight="false" outlineLevel="0" collapsed="false">
      <c r="B80" s="16"/>
      <c r="C80" s="16"/>
      <c r="D80" s="50"/>
      <c r="E80" s="50" t="s">
        <v>725</v>
      </c>
      <c r="F80" s="50"/>
      <c r="G80" s="50" t="s">
        <v>725</v>
      </c>
      <c r="H80" s="50"/>
      <c r="I80" s="50" t="s">
        <v>725</v>
      </c>
      <c r="K80" s="52"/>
      <c r="L80" s="52"/>
      <c r="M80" s="52"/>
      <c r="N80" s="52"/>
      <c r="O80" s="52"/>
      <c r="AQ80" s="52"/>
      <c r="AR80" s="52"/>
      <c r="AS80" s="52"/>
      <c r="AT80" s="52"/>
      <c r="AU80" s="52"/>
    </row>
    <row r="81" customFormat="false" ht="13.5" hidden="false" customHeight="false" outlineLevel="0" collapsed="false">
      <c r="B81" s="16" t="s">
        <v>1039</v>
      </c>
      <c r="C81" s="16" t="s">
        <v>1039</v>
      </c>
      <c r="D81" s="53" t="s">
        <v>726</v>
      </c>
      <c r="E81" s="53" t="s">
        <v>727</v>
      </c>
      <c r="F81" s="53" t="s">
        <v>726</v>
      </c>
      <c r="G81" s="53" t="s">
        <v>727</v>
      </c>
      <c r="H81" s="53" t="s">
        <v>726</v>
      </c>
      <c r="I81" s="53" t="s">
        <v>727</v>
      </c>
      <c r="K81" s="11"/>
      <c r="L81" s="412" t="s">
        <v>1193</v>
      </c>
      <c r="M81" s="413"/>
      <c r="N81" s="413"/>
      <c r="O81" s="413"/>
      <c r="P81" s="414"/>
      <c r="Q81" s="414"/>
      <c r="R81" s="414"/>
      <c r="S81" s="414"/>
      <c r="T81" s="414"/>
      <c r="U81" s="414"/>
      <c r="V81" s="414"/>
      <c r="W81" s="414"/>
      <c r="X81" s="414"/>
      <c r="Y81" s="414"/>
      <c r="Z81" s="414"/>
      <c r="AA81" s="414"/>
      <c r="AB81" s="414"/>
      <c r="AC81" s="414"/>
      <c r="AD81" s="414"/>
      <c r="AE81" s="414"/>
      <c r="AF81" s="414"/>
      <c r="AG81" s="414"/>
      <c r="AH81" s="414"/>
      <c r="AI81" s="414"/>
      <c r="AJ81" s="414"/>
      <c r="AK81" s="279"/>
      <c r="AQ81" s="11"/>
      <c r="AR81" s="412" t="s">
        <v>1193</v>
      </c>
      <c r="AS81" s="413"/>
      <c r="AT81" s="413"/>
      <c r="AU81" s="413"/>
      <c r="AV81" s="414"/>
      <c r="AW81" s="414"/>
      <c r="AX81" s="414"/>
      <c r="AY81" s="414"/>
      <c r="AZ81" s="414"/>
      <c r="BA81" s="414"/>
      <c r="BB81" s="414"/>
      <c r="BC81" s="414"/>
      <c r="BD81" s="414"/>
      <c r="BE81" s="414"/>
      <c r="BF81" s="414"/>
      <c r="BG81" s="414"/>
      <c r="BH81" s="414"/>
      <c r="BI81" s="414"/>
      <c r="BJ81" s="414"/>
      <c r="BK81" s="414"/>
      <c r="BL81" s="414"/>
      <c r="BM81" s="414"/>
      <c r="BN81" s="414"/>
      <c r="BO81" s="414"/>
      <c r="BP81" s="414"/>
      <c r="BQ81" s="279"/>
    </row>
    <row r="82" customFormat="false" ht="15" hidden="false" customHeight="false" outlineLevel="0" collapsed="false">
      <c r="B82" s="21" t="s">
        <v>1040</v>
      </c>
      <c r="C82" s="21" t="s">
        <v>783</v>
      </c>
      <c r="D82" s="55" t="s">
        <v>784</v>
      </c>
      <c r="E82" s="55" t="s">
        <v>784</v>
      </c>
      <c r="F82" s="55" t="s">
        <v>784</v>
      </c>
      <c r="G82" s="55" t="s">
        <v>784</v>
      </c>
      <c r="H82" s="55" t="s">
        <v>167</v>
      </c>
      <c r="I82" s="55" t="s">
        <v>167</v>
      </c>
      <c r="K82" s="415" t="s">
        <v>783</v>
      </c>
      <c r="L82" s="416" t="s">
        <v>32</v>
      </c>
      <c r="M82" s="417" t="s">
        <v>40</v>
      </c>
      <c r="N82" s="418" t="s">
        <v>41</v>
      </c>
      <c r="O82" s="418" t="s">
        <v>46</v>
      </c>
      <c r="P82" s="417" t="s">
        <v>48</v>
      </c>
      <c r="Q82" s="417" t="s">
        <v>49</v>
      </c>
      <c r="R82" s="418" t="s">
        <v>54</v>
      </c>
      <c r="S82" s="418" t="s">
        <v>59</v>
      </c>
      <c r="T82" s="418" t="s">
        <v>66</v>
      </c>
      <c r="U82" s="418" t="s">
        <v>68</v>
      </c>
      <c r="V82" s="418" t="s">
        <v>75</v>
      </c>
      <c r="W82" s="418" t="s">
        <v>82</v>
      </c>
      <c r="X82" s="418" t="s">
        <v>86</v>
      </c>
      <c r="Y82" s="418" t="s">
        <v>89</v>
      </c>
      <c r="Z82" s="417" t="s">
        <v>93</v>
      </c>
      <c r="AA82" s="418" t="s">
        <v>97</v>
      </c>
      <c r="AB82" s="418" t="s">
        <v>99</v>
      </c>
      <c r="AC82" s="417" t="s">
        <v>103</v>
      </c>
      <c r="AD82" s="418" t="s">
        <v>107</v>
      </c>
      <c r="AE82" s="417" t="s">
        <v>110</v>
      </c>
      <c r="AF82" s="418" t="s">
        <v>119</v>
      </c>
      <c r="AG82" s="418" t="s">
        <v>120</v>
      </c>
      <c r="AH82" s="418" t="s">
        <v>125</v>
      </c>
      <c r="AI82" s="417" t="s">
        <v>129</v>
      </c>
      <c r="AJ82" s="418" t="s">
        <v>132</v>
      </c>
      <c r="AK82" s="419" t="s">
        <v>1187</v>
      </c>
      <c r="AQ82" s="415" t="s">
        <v>783</v>
      </c>
      <c r="AR82" s="416" t="s">
        <v>32</v>
      </c>
      <c r="AS82" s="417" t="s">
        <v>40</v>
      </c>
      <c r="AT82" s="418" t="s">
        <v>41</v>
      </c>
      <c r="AU82" s="418" t="s">
        <v>46</v>
      </c>
      <c r="AV82" s="417" t="s">
        <v>48</v>
      </c>
      <c r="AW82" s="417" t="s">
        <v>49</v>
      </c>
      <c r="AX82" s="418" t="s">
        <v>54</v>
      </c>
      <c r="AY82" s="418" t="s">
        <v>59</v>
      </c>
      <c r="AZ82" s="418" t="s">
        <v>66</v>
      </c>
      <c r="BA82" s="418" t="s">
        <v>68</v>
      </c>
      <c r="BB82" s="418" t="s">
        <v>75</v>
      </c>
      <c r="BC82" s="418" t="s">
        <v>82</v>
      </c>
      <c r="BD82" s="418" t="s">
        <v>86</v>
      </c>
      <c r="BE82" s="418" t="s">
        <v>89</v>
      </c>
      <c r="BF82" s="417" t="s">
        <v>93</v>
      </c>
      <c r="BG82" s="418" t="s">
        <v>97</v>
      </c>
      <c r="BH82" s="418" t="s">
        <v>99</v>
      </c>
      <c r="BI82" s="417" t="s">
        <v>103</v>
      </c>
      <c r="BJ82" s="418" t="s">
        <v>107</v>
      </c>
      <c r="BK82" s="417" t="s">
        <v>110</v>
      </c>
      <c r="BL82" s="418" t="s">
        <v>119</v>
      </c>
      <c r="BM82" s="418" t="s">
        <v>120</v>
      </c>
      <c r="BN82" s="418" t="s">
        <v>125</v>
      </c>
      <c r="BO82" s="417" t="s">
        <v>129</v>
      </c>
      <c r="BP82" s="418" t="s">
        <v>132</v>
      </c>
      <c r="BQ82" s="419" t="s">
        <v>1187</v>
      </c>
    </row>
    <row r="83" customFormat="false" ht="12.75" hidden="false" customHeight="false" outlineLevel="0" collapsed="false">
      <c r="B83" s="335" t="s">
        <v>187</v>
      </c>
      <c r="C83" s="335" t="s">
        <v>187</v>
      </c>
      <c r="D83" s="285" t="n">
        <f aca="false">IF(F83="","",IF(H83="","",ROUND(F83-0.001*298.15*(H83-SUMPRODUCT(L83:AK83*AR$13:BQ$13)),3)))</f>
        <v>0</v>
      </c>
      <c r="E83" s="131" t="str">
        <f aca="false">IF(G83="","",IF(I83="","",ROUND(2*SQRT((0.5*G83)^2+(0.001*298.15)^2*((0.5*I83)^2+SUMPRODUCT(AR83:BQ83*AR$15:BQ$15))),3)))</f>
        <v/>
      </c>
      <c r="F83" s="336" t="s">
        <v>786</v>
      </c>
      <c r="G83" s="337"/>
      <c r="H83" s="336" t="s">
        <v>554</v>
      </c>
      <c r="I83" s="337" t="s">
        <v>761</v>
      </c>
      <c r="K83" s="335" t="s">
        <v>187</v>
      </c>
      <c r="L83" s="426"/>
      <c r="M83" s="427"/>
      <c r="N83" s="427"/>
      <c r="O83" s="427"/>
      <c r="P83" s="428"/>
      <c r="Q83" s="428"/>
      <c r="R83" s="428"/>
      <c r="S83" s="428"/>
      <c r="T83" s="428"/>
      <c r="U83" s="428"/>
      <c r="V83" s="428"/>
      <c r="W83" s="428"/>
      <c r="X83" s="428"/>
      <c r="Y83" s="428"/>
      <c r="Z83" s="428"/>
      <c r="AA83" s="428"/>
      <c r="AB83" s="428"/>
      <c r="AC83" s="428"/>
      <c r="AD83" s="428"/>
      <c r="AE83" s="428" t="n">
        <v>1</v>
      </c>
      <c r="AF83" s="428"/>
      <c r="AG83" s="428"/>
      <c r="AH83" s="428"/>
      <c r="AI83" s="429"/>
      <c r="AJ83" s="428"/>
      <c r="AK83" s="430"/>
      <c r="AQ83" s="335" t="s">
        <v>187</v>
      </c>
      <c r="AR83" s="431" t="n">
        <f aca="false">L83^2</f>
        <v>0</v>
      </c>
      <c r="AS83" s="432" t="n">
        <f aca="false">M83^2</f>
        <v>0</v>
      </c>
      <c r="AT83" s="432" t="n">
        <f aca="false">N83^2</f>
        <v>0</v>
      </c>
      <c r="AU83" s="432" t="n">
        <f aca="false">O83^2</f>
        <v>0</v>
      </c>
      <c r="AV83" s="432" t="n">
        <f aca="false">P83^2</f>
        <v>0</v>
      </c>
      <c r="AW83" s="432" t="n">
        <f aca="false">Q83^2</f>
        <v>0</v>
      </c>
      <c r="AX83" s="432" t="n">
        <f aca="false">R83^2</f>
        <v>0</v>
      </c>
      <c r="AY83" s="432" t="n">
        <f aca="false">S83^2</f>
        <v>0</v>
      </c>
      <c r="AZ83" s="432" t="n">
        <f aca="false">T83^2</f>
        <v>0</v>
      </c>
      <c r="BA83" s="432" t="n">
        <f aca="false">U83^2</f>
        <v>0</v>
      </c>
      <c r="BB83" s="432" t="n">
        <f aca="false">V83^2</f>
        <v>0</v>
      </c>
      <c r="BC83" s="432" t="n">
        <f aca="false">W83^2</f>
        <v>0</v>
      </c>
      <c r="BD83" s="432" t="n">
        <f aca="false">X83^2</f>
        <v>0</v>
      </c>
      <c r="BE83" s="432" t="n">
        <f aca="false">Y83^2</f>
        <v>0</v>
      </c>
      <c r="BF83" s="432" t="n">
        <f aca="false">Z83^2</f>
        <v>0</v>
      </c>
      <c r="BG83" s="432" t="n">
        <f aca="false">AA83^2</f>
        <v>0</v>
      </c>
      <c r="BH83" s="432" t="n">
        <f aca="false">AB83^2</f>
        <v>0</v>
      </c>
      <c r="BI83" s="432" t="n">
        <f aca="false">AC83^2</f>
        <v>0</v>
      </c>
      <c r="BJ83" s="432" t="n">
        <f aca="false">AD83^2</f>
        <v>0</v>
      </c>
      <c r="BK83" s="432" t="n">
        <f aca="false">AE83^2</f>
        <v>1</v>
      </c>
      <c r="BL83" s="432" t="n">
        <f aca="false">AF83^2</f>
        <v>0</v>
      </c>
      <c r="BM83" s="432" t="n">
        <f aca="false">AG83^2</f>
        <v>0</v>
      </c>
      <c r="BN83" s="432" t="n">
        <f aca="false">AH83^2</f>
        <v>0</v>
      </c>
      <c r="BO83" s="432" t="n">
        <f aca="false">AI83^2</f>
        <v>0</v>
      </c>
      <c r="BP83" s="432" t="n">
        <f aca="false">AJ83^2</f>
        <v>0</v>
      </c>
      <c r="BQ83" s="433" t="n">
        <f aca="false">-SIGN(AK83)*AK83^2</f>
        <v>0</v>
      </c>
    </row>
    <row r="84" customFormat="false" ht="12.75" hidden="false" customHeight="false" outlineLevel="0" collapsed="false">
      <c r="B84" s="342" t="s">
        <v>188</v>
      </c>
      <c r="C84" s="342" t="s">
        <v>188</v>
      </c>
      <c r="D84" s="290" t="str">
        <f aca="false">IF(F84="","",IF(H84="","",ROUND(F84-0.001*298.15*(H84-SUMPRODUCT(L84:AK84*AR$13:BQ$13)),3)))</f>
        <v/>
      </c>
      <c r="E84" s="137" t="str">
        <f aca="false">IF(G84="","",IF(I84="","",ROUND(2*SQRT((0.5*G84)^2+(0.001*298.15)^2*((0.5*I84)^2+SUMPRODUCT(AR84:BQ84*AR$15:BQ$15))),3)))</f>
        <v/>
      </c>
      <c r="F84" s="291"/>
      <c r="G84" s="292"/>
      <c r="H84" s="295"/>
      <c r="I84" s="297"/>
      <c r="K84" s="342" t="s">
        <v>188</v>
      </c>
      <c r="L84" s="434"/>
      <c r="M84" s="435"/>
      <c r="N84" s="435"/>
      <c r="O84" s="435"/>
      <c r="P84" s="436"/>
      <c r="Q84" s="436"/>
      <c r="R84" s="436"/>
      <c r="S84" s="436"/>
      <c r="T84" s="436"/>
      <c r="U84" s="436"/>
      <c r="V84" s="436"/>
      <c r="W84" s="436"/>
      <c r="X84" s="436"/>
      <c r="Y84" s="436"/>
      <c r="Z84" s="436"/>
      <c r="AA84" s="436"/>
      <c r="AB84" s="436"/>
      <c r="AC84" s="436"/>
      <c r="AD84" s="436"/>
      <c r="AE84" s="436" t="n">
        <v>1</v>
      </c>
      <c r="AF84" s="436"/>
      <c r="AG84" s="436"/>
      <c r="AH84" s="436"/>
      <c r="AI84" s="437"/>
      <c r="AJ84" s="436"/>
      <c r="AK84" s="438"/>
      <c r="AQ84" s="342" t="s">
        <v>188</v>
      </c>
      <c r="AR84" s="439" t="n">
        <f aca="false">L84^2</f>
        <v>0</v>
      </c>
      <c r="AS84" s="440" t="n">
        <f aca="false">M84^2</f>
        <v>0</v>
      </c>
      <c r="AT84" s="440" t="n">
        <f aca="false">N84^2</f>
        <v>0</v>
      </c>
      <c r="AU84" s="440" t="n">
        <f aca="false">O84^2</f>
        <v>0</v>
      </c>
      <c r="AV84" s="440" t="n">
        <f aca="false">P84^2</f>
        <v>0</v>
      </c>
      <c r="AW84" s="440" t="n">
        <f aca="false">Q84^2</f>
        <v>0</v>
      </c>
      <c r="AX84" s="440" t="n">
        <f aca="false">R84^2</f>
        <v>0</v>
      </c>
      <c r="AY84" s="440" t="n">
        <f aca="false">S84^2</f>
        <v>0</v>
      </c>
      <c r="AZ84" s="440" t="n">
        <f aca="false">T84^2</f>
        <v>0</v>
      </c>
      <c r="BA84" s="440" t="n">
        <f aca="false">U84^2</f>
        <v>0</v>
      </c>
      <c r="BB84" s="440" t="n">
        <f aca="false">V84^2</f>
        <v>0</v>
      </c>
      <c r="BC84" s="440" t="n">
        <f aca="false">W84^2</f>
        <v>0</v>
      </c>
      <c r="BD84" s="440" t="n">
        <f aca="false">X84^2</f>
        <v>0</v>
      </c>
      <c r="BE84" s="440" t="n">
        <f aca="false">Y84^2</f>
        <v>0</v>
      </c>
      <c r="BF84" s="440" t="n">
        <f aca="false">Z84^2</f>
        <v>0</v>
      </c>
      <c r="BG84" s="440" t="n">
        <f aca="false">AA84^2</f>
        <v>0</v>
      </c>
      <c r="BH84" s="440" t="n">
        <f aca="false">AB84^2</f>
        <v>0</v>
      </c>
      <c r="BI84" s="440" t="n">
        <f aca="false">AC84^2</f>
        <v>0</v>
      </c>
      <c r="BJ84" s="440" t="n">
        <f aca="false">AD84^2</f>
        <v>0</v>
      </c>
      <c r="BK84" s="440" t="n">
        <f aca="false">AE84^2</f>
        <v>1</v>
      </c>
      <c r="BL84" s="440" t="n">
        <f aca="false">AF84^2</f>
        <v>0</v>
      </c>
      <c r="BM84" s="440" t="n">
        <f aca="false">AG84^2</f>
        <v>0</v>
      </c>
      <c r="BN84" s="440" t="n">
        <f aca="false">AH84^2</f>
        <v>0</v>
      </c>
      <c r="BO84" s="440" t="n">
        <f aca="false">AI84^2</f>
        <v>0</v>
      </c>
      <c r="BP84" s="440" t="n">
        <f aca="false">AJ84^2</f>
        <v>0</v>
      </c>
      <c r="BQ84" s="441" t="n">
        <f aca="false">-SIGN(AK84)*AK84^2</f>
        <v>-0</v>
      </c>
    </row>
    <row r="85" customFormat="false" ht="12.75" hidden="false" customHeight="false" outlineLevel="0" collapsed="false">
      <c r="B85" s="345" t="s">
        <v>1041</v>
      </c>
      <c r="C85" s="345" t="s">
        <v>1041</v>
      </c>
      <c r="D85" s="290" t="str">
        <f aca="false">IF(F85="","",IF(H85="","",ROUND(F85-0.001*298.15*(H85-SUMPRODUCT(L85:AK85*AR$13:BQ$13)),3)))</f>
        <v/>
      </c>
      <c r="E85" s="137" t="str">
        <f aca="false">IF(G85="","",IF(I85="","",ROUND(2*SQRT((0.5*G85)^2+(0.001*298.15)^2*((0.5*I85)^2+SUMPRODUCT(AR85:BQ85*AR$15:BQ$15))),3)))</f>
        <v/>
      </c>
      <c r="F85" s="291"/>
      <c r="G85" s="292"/>
      <c r="H85" s="291"/>
      <c r="I85" s="292"/>
      <c r="K85" s="342" t="s">
        <v>1041</v>
      </c>
      <c r="L85" s="434"/>
      <c r="M85" s="435"/>
      <c r="N85" s="435"/>
      <c r="O85" s="435"/>
      <c r="P85" s="436"/>
      <c r="Q85" s="436"/>
      <c r="R85" s="436"/>
      <c r="S85" s="436"/>
      <c r="T85" s="436"/>
      <c r="U85" s="436"/>
      <c r="V85" s="436"/>
      <c r="W85" s="436"/>
      <c r="X85" s="436"/>
      <c r="Y85" s="436"/>
      <c r="Z85" s="436"/>
      <c r="AA85" s="436"/>
      <c r="AB85" s="436"/>
      <c r="AC85" s="436"/>
      <c r="AD85" s="436" t="n">
        <v>5</v>
      </c>
      <c r="AE85" s="436" t="n">
        <v>4</v>
      </c>
      <c r="AF85" s="436"/>
      <c r="AG85" s="436"/>
      <c r="AH85" s="436"/>
      <c r="AI85" s="437"/>
      <c r="AJ85" s="436"/>
      <c r="AK85" s="438"/>
      <c r="AQ85" s="342" t="s">
        <v>1041</v>
      </c>
      <c r="AR85" s="439" t="n">
        <f aca="false">L85^2</f>
        <v>0</v>
      </c>
      <c r="AS85" s="440" t="n">
        <f aca="false">M85^2</f>
        <v>0</v>
      </c>
      <c r="AT85" s="440" t="n">
        <f aca="false">N85^2</f>
        <v>0</v>
      </c>
      <c r="AU85" s="440" t="n">
        <f aca="false">O85^2</f>
        <v>0</v>
      </c>
      <c r="AV85" s="440" t="n">
        <f aca="false">P85^2</f>
        <v>0</v>
      </c>
      <c r="AW85" s="440" t="n">
        <f aca="false">Q85^2</f>
        <v>0</v>
      </c>
      <c r="AX85" s="440" t="n">
        <f aca="false">R85^2</f>
        <v>0</v>
      </c>
      <c r="AY85" s="440" t="n">
        <f aca="false">S85^2</f>
        <v>0</v>
      </c>
      <c r="AZ85" s="440" t="n">
        <f aca="false">T85^2</f>
        <v>0</v>
      </c>
      <c r="BA85" s="440" t="n">
        <f aca="false">U85^2</f>
        <v>0</v>
      </c>
      <c r="BB85" s="440" t="n">
        <f aca="false">V85^2</f>
        <v>0</v>
      </c>
      <c r="BC85" s="440" t="n">
        <f aca="false">W85^2</f>
        <v>0</v>
      </c>
      <c r="BD85" s="440" t="n">
        <f aca="false">X85^2</f>
        <v>0</v>
      </c>
      <c r="BE85" s="440" t="n">
        <f aca="false">Y85^2</f>
        <v>0</v>
      </c>
      <c r="BF85" s="440" t="n">
        <f aca="false">Z85^2</f>
        <v>0</v>
      </c>
      <c r="BG85" s="440" t="n">
        <f aca="false">AA85^2</f>
        <v>0</v>
      </c>
      <c r="BH85" s="440" t="n">
        <f aca="false">AB85^2</f>
        <v>0</v>
      </c>
      <c r="BI85" s="440" t="n">
        <f aca="false">AC85^2</f>
        <v>0</v>
      </c>
      <c r="BJ85" s="440" t="n">
        <f aca="false">AD85^2</f>
        <v>25</v>
      </c>
      <c r="BK85" s="440" t="n">
        <f aca="false">AE85^2</f>
        <v>16</v>
      </c>
      <c r="BL85" s="440" t="n">
        <f aca="false">AF85^2</f>
        <v>0</v>
      </c>
      <c r="BM85" s="440" t="n">
        <f aca="false">AG85^2</f>
        <v>0</v>
      </c>
      <c r="BN85" s="440" t="n">
        <f aca="false">AH85^2</f>
        <v>0</v>
      </c>
      <c r="BO85" s="440" t="n">
        <f aca="false">AI85^2</f>
        <v>0</v>
      </c>
      <c r="BP85" s="440" t="n">
        <f aca="false">AJ85^2</f>
        <v>0</v>
      </c>
      <c r="BQ85" s="441" t="n">
        <f aca="false">-SIGN(AK85)*AK85^2</f>
        <v>-0</v>
      </c>
    </row>
    <row r="86" customFormat="false" ht="12.75" hidden="false" customHeight="false" outlineLevel="0" collapsed="false">
      <c r="A86" s="10"/>
      <c r="B86" s="342" t="s">
        <v>1042</v>
      </c>
      <c r="C86" s="345" t="s">
        <v>1043</v>
      </c>
      <c r="D86" s="290" t="n">
        <f aca="false">IF(F86="","",IF(H86="","",ROUND(F86-0.001*298.15*(H86-SUMPRODUCT(L86:AK86*AR$13:BQ$13)),3)))</f>
        <v>-856.287</v>
      </c>
      <c r="E86" s="137" t="n">
        <f aca="false">IF(G86="","",IF(I86="","",ROUND(2*SQRT((0.5*G86)^2+(0.001*298.15)^2*((0.5*I86)^2+SUMPRODUCT(AR86:BQ86*AR$15:BQ$15))),3)))</f>
        <v>1.002</v>
      </c>
      <c r="F86" s="291" t="s">
        <v>1044</v>
      </c>
      <c r="G86" s="292" t="s">
        <v>896</v>
      </c>
      <c r="H86" s="291" t="s">
        <v>1045</v>
      </c>
      <c r="I86" s="292" t="s">
        <v>728</v>
      </c>
      <c r="J86" s="10"/>
      <c r="K86" s="342" t="s">
        <v>1043</v>
      </c>
      <c r="L86" s="434"/>
      <c r="M86" s="435"/>
      <c r="N86" s="435"/>
      <c r="O86" s="435"/>
      <c r="P86" s="436"/>
      <c r="Q86" s="436"/>
      <c r="R86" s="436"/>
      <c r="S86" s="436"/>
      <c r="T86" s="436"/>
      <c r="U86" s="436"/>
      <c r="V86" s="436"/>
      <c r="W86" s="436"/>
      <c r="X86" s="436"/>
      <c r="Y86" s="436"/>
      <c r="Z86" s="436"/>
      <c r="AA86" s="436"/>
      <c r="AB86" s="436"/>
      <c r="AC86" s="436"/>
      <c r="AD86" s="436" t="n">
        <v>1</v>
      </c>
      <c r="AE86" s="436"/>
      <c r="AF86" s="436"/>
      <c r="AG86" s="436"/>
      <c r="AH86" s="436"/>
      <c r="AI86" s="437" t="n">
        <v>1</v>
      </c>
      <c r="AJ86" s="436"/>
      <c r="AK86" s="438"/>
      <c r="AQ86" s="342" t="s">
        <v>1043</v>
      </c>
      <c r="AR86" s="439" t="n">
        <f aca="false">L86^2</f>
        <v>0</v>
      </c>
      <c r="AS86" s="440" t="n">
        <f aca="false">M86^2</f>
        <v>0</v>
      </c>
      <c r="AT86" s="440" t="n">
        <f aca="false">N86^2</f>
        <v>0</v>
      </c>
      <c r="AU86" s="440" t="n">
        <f aca="false">O86^2</f>
        <v>0</v>
      </c>
      <c r="AV86" s="440" t="n">
        <f aca="false">P86^2</f>
        <v>0</v>
      </c>
      <c r="AW86" s="440" t="n">
        <f aca="false">Q86^2</f>
        <v>0</v>
      </c>
      <c r="AX86" s="440" t="n">
        <f aca="false">R86^2</f>
        <v>0</v>
      </c>
      <c r="AY86" s="440" t="n">
        <f aca="false">S86^2</f>
        <v>0</v>
      </c>
      <c r="AZ86" s="440" t="n">
        <f aca="false">T86^2</f>
        <v>0</v>
      </c>
      <c r="BA86" s="440" t="n">
        <f aca="false">U86^2</f>
        <v>0</v>
      </c>
      <c r="BB86" s="440" t="n">
        <f aca="false">V86^2</f>
        <v>0</v>
      </c>
      <c r="BC86" s="440" t="n">
        <f aca="false">W86^2</f>
        <v>0</v>
      </c>
      <c r="BD86" s="440" t="n">
        <f aca="false">X86^2</f>
        <v>0</v>
      </c>
      <c r="BE86" s="440" t="n">
        <f aca="false">Y86^2</f>
        <v>0</v>
      </c>
      <c r="BF86" s="440" t="n">
        <f aca="false">Z86^2</f>
        <v>0</v>
      </c>
      <c r="BG86" s="440" t="n">
        <f aca="false">AA86^2</f>
        <v>0</v>
      </c>
      <c r="BH86" s="440" t="n">
        <f aca="false">AB86^2</f>
        <v>0</v>
      </c>
      <c r="BI86" s="440" t="n">
        <f aca="false">AC86^2</f>
        <v>0</v>
      </c>
      <c r="BJ86" s="440" t="n">
        <f aca="false">AD86^2</f>
        <v>1</v>
      </c>
      <c r="BK86" s="440" t="n">
        <f aca="false">AE86^2</f>
        <v>0</v>
      </c>
      <c r="BL86" s="440" t="n">
        <f aca="false">AF86^2</f>
        <v>0</v>
      </c>
      <c r="BM86" s="440" t="n">
        <f aca="false">AG86^2</f>
        <v>0</v>
      </c>
      <c r="BN86" s="440" t="n">
        <f aca="false">AH86^2</f>
        <v>0</v>
      </c>
      <c r="BO86" s="440" t="n">
        <f aca="false">AI86^2</f>
        <v>1</v>
      </c>
      <c r="BP86" s="440" t="n">
        <f aca="false">AJ86^2</f>
        <v>0</v>
      </c>
      <c r="BQ86" s="441" t="n">
        <f aca="false">-SIGN(AK86)*AK86^2</f>
        <v>-0</v>
      </c>
    </row>
    <row r="87" customFormat="false" ht="12.75" hidden="false" customHeight="false" outlineLevel="0" collapsed="false">
      <c r="A87" s="10"/>
      <c r="B87" s="345" t="s">
        <v>1050</v>
      </c>
      <c r="C87" s="345" t="s">
        <v>1050</v>
      </c>
      <c r="D87" s="290" t="n">
        <f aca="false">IF(F87="","",IF(H87="","",ROUND(F87-0.001*298.15*(H87-SUMPRODUCT(L87:AK87*AR$13:BQ$13)),3)))</f>
        <v>-1194.324</v>
      </c>
      <c r="E87" s="137" t="n">
        <f aca="false">IF(G87="","",IF(I87="","",ROUND(2*SQRT((0.5*G87)^2+(0.001*298.15)^2*((0.5*I87)^2+SUMPRODUCT(AR87:BQ87*AR$15:BQ$15))),3)))</f>
        <v>1.404</v>
      </c>
      <c r="F87" s="291" t="s">
        <v>1051</v>
      </c>
      <c r="G87" s="292" t="s">
        <v>1052</v>
      </c>
      <c r="H87" s="291" t="s">
        <v>1053</v>
      </c>
      <c r="I87" s="292" t="s">
        <v>740</v>
      </c>
      <c r="J87" s="10"/>
      <c r="K87" s="342" t="s">
        <v>1050</v>
      </c>
      <c r="L87" s="434"/>
      <c r="M87" s="435" t="n">
        <v>2</v>
      </c>
      <c r="N87" s="435"/>
      <c r="O87" s="435"/>
      <c r="P87" s="436"/>
      <c r="Q87" s="436"/>
      <c r="R87" s="436"/>
      <c r="S87" s="436"/>
      <c r="T87" s="436"/>
      <c r="U87" s="436"/>
      <c r="V87" s="436"/>
      <c r="W87" s="436"/>
      <c r="X87" s="436"/>
      <c r="Y87" s="436"/>
      <c r="Z87" s="436"/>
      <c r="AA87" s="436"/>
      <c r="AB87" s="436"/>
      <c r="AC87" s="436"/>
      <c r="AD87" s="436" t="n">
        <v>1.5</v>
      </c>
      <c r="AE87" s="436"/>
      <c r="AF87" s="436"/>
      <c r="AG87" s="436"/>
      <c r="AH87" s="436"/>
      <c r="AI87" s="437"/>
      <c r="AJ87" s="436"/>
      <c r="AK87" s="438"/>
      <c r="AQ87" s="342" t="s">
        <v>1050</v>
      </c>
      <c r="AR87" s="439" t="n">
        <f aca="false">L87^2</f>
        <v>0</v>
      </c>
      <c r="AS87" s="440" t="n">
        <f aca="false">M87^2</f>
        <v>4</v>
      </c>
      <c r="AT87" s="440" t="n">
        <f aca="false">N87^2</f>
        <v>0</v>
      </c>
      <c r="AU87" s="440" t="n">
        <f aca="false">O87^2</f>
        <v>0</v>
      </c>
      <c r="AV87" s="440" t="n">
        <f aca="false">P87^2</f>
        <v>0</v>
      </c>
      <c r="AW87" s="440" t="n">
        <f aca="false">Q87^2</f>
        <v>0</v>
      </c>
      <c r="AX87" s="440" t="n">
        <f aca="false">R87^2</f>
        <v>0</v>
      </c>
      <c r="AY87" s="440" t="n">
        <f aca="false">S87^2</f>
        <v>0</v>
      </c>
      <c r="AZ87" s="440" t="n">
        <f aca="false">T87^2</f>
        <v>0</v>
      </c>
      <c r="BA87" s="440" t="n">
        <f aca="false">U87^2</f>
        <v>0</v>
      </c>
      <c r="BB87" s="440" t="n">
        <f aca="false">V87^2</f>
        <v>0</v>
      </c>
      <c r="BC87" s="440" t="n">
        <f aca="false">W87^2</f>
        <v>0</v>
      </c>
      <c r="BD87" s="440" t="n">
        <f aca="false">X87^2</f>
        <v>0</v>
      </c>
      <c r="BE87" s="440" t="n">
        <f aca="false">Y87^2</f>
        <v>0</v>
      </c>
      <c r="BF87" s="440" t="n">
        <f aca="false">Z87^2</f>
        <v>0</v>
      </c>
      <c r="BG87" s="440" t="n">
        <f aca="false">AA87^2</f>
        <v>0</v>
      </c>
      <c r="BH87" s="440" t="n">
        <f aca="false">AB87^2</f>
        <v>0</v>
      </c>
      <c r="BI87" s="440" t="n">
        <f aca="false">AC87^2</f>
        <v>0</v>
      </c>
      <c r="BJ87" s="440" t="n">
        <f aca="false">AD87^2</f>
        <v>2.25</v>
      </c>
      <c r="BK87" s="440" t="n">
        <f aca="false">AE87^2</f>
        <v>0</v>
      </c>
      <c r="BL87" s="440" t="n">
        <f aca="false">AF87^2</f>
        <v>0</v>
      </c>
      <c r="BM87" s="440" t="n">
        <f aca="false">AG87^2</f>
        <v>0</v>
      </c>
      <c r="BN87" s="440" t="n">
        <f aca="false">AH87^2</f>
        <v>0</v>
      </c>
      <c r="BO87" s="440" t="n">
        <f aca="false">AI87^2</f>
        <v>0</v>
      </c>
      <c r="BP87" s="440" t="n">
        <f aca="false">AJ87^2</f>
        <v>0</v>
      </c>
      <c r="BQ87" s="441" t="n">
        <f aca="false">-SIGN(AK87)*AK87^2</f>
        <v>-0</v>
      </c>
    </row>
    <row r="88" customFormat="false" ht="12.75" hidden="false" customHeight="false" outlineLevel="0" collapsed="false">
      <c r="A88" s="10"/>
      <c r="B88" s="345" t="s">
        <v>1058</v>
      </c>
      <c r="C88" s="345" t="s">
        <v>1059</v>
      </c>
      <c r="D88" s="290" t="n">
        <f aca="false">IF(F88="","",IF(H88="","",ROUND(F88-0.001*298.15*(H88-SUMPRODUCT(L88:AK88*AR$13:BQ$13)),3)))</f>
        <v>-969.667</v>
      </c>
      <c r="E88" s="137" t="n">
        <f aca="false">IF(G88="","",IF(I88="","",ROUND(2*SQRT((0.5*G88)^2+(0.001*298.15)^2*((0.5*I88)^2+SUMPRODUCT(AR88:BQ88*AR$15:BQ$15))),3)))</f>
        <v>0.82</v>
      </c>
      <c r="F88" s="291" t="s">
        <v>1060</v>
      </c>
      <c r="G88" s="292" t="s">
        <v>806</v>
      </c>
      <c r="H88" s="291" t="s">
        <v>1061</v>
      </c>
      <c r="I88" s="292" t="s">
        <v>1062</v>
      </c>
      <c r="J88" s="10"/>
      <c r="K88" s="342" t="s">
        <v>1059</v>
      </c>
      <c r="L88" s="434"/>
      <c r="M88" s="435" t="n">
        <v>1</v>
      </c>
      <c r="N88" s="435"/>
      <c r="O88" s="435"/>
      <c r="P88" s="436"/>
      <c r="Q88" s="436"/>
      <c r="R88" s="436"/>
      <c r="S88" s="436"/>
      <c r="T88" s="436"/>
      <c r="U88" s="436"/>
      <c r="V88" s="436" t="n">
        <v>1.5</v>
      </c>
      <c r="W88" s="436"/>
      <c r="X88" s="436"/>
      <c r="Y88" s="436"/>
      <c r="Z88" s="436"/>
      <c r="AA88" s="436"/>
      <c r="AB88" s="436"/>
      <c r="AC88" s="436"/>
      <c r="AD88" s="436" t="n">
        <v>1.5</v>
      </c>
      <c r="AE88" s="436"/>
      <c r="AF88" s="436"/>
      <c r="AG88" s="436"/>
      <c r="AH88" s="436"/>
      <c r="AI88" s="437"/>
      <c r="AJ88" s="436"/>
      <c r="AK88" s="438"/>
      <c r="AQ88" s="342" t="s">
        <v>1059</v>
      </c>
      <c r="AR88" s="439" t="n">
        <f aca="false">L88^2</f>
        <v>0</v>
      </c>
      <c r="AS88" s="440" t="n">
        <f aca="false">M88^2</f>
        <v>1</v>
      </c>
      <c r="AT88" s="440" t="n">
        <f aca="false">N88^2</f>
        <v>0</v>
      </c>
      <c r="AU88" s="440" t="n">
        <f aca="false">O88^2</f>
        <v>0</v>
      </c>
      <c r="AV88" s="440" t="n">
        <f aca="false">P88^2</f>
        <v>0</v>
      </c>
      <c r="AW88" s="440" t="n">
        <f aca="false">Q88^2</f>
        <v>0</v>
      </c>
      <c r="AX88" s="440" t="n">
        <f aca="false">R88^2</f>
        <v>0</v>
      </c>
      <c r="AY88" s="440" t="n">
        <f aca="false">S88^2</f>
        <v>0</v>
      </c>
      <c r="AZ88" s="440" t="n">
        <f aca="false">T88^2</f>
        <v>0</v>
      </c>
      <c r="BA88" s="440" t="n">
        <f aca="false">U88^2</f>
        <v>0</v>
      </c>
      <c r="BB88" s="440" t="n">
        <f aca="false">V88^2</f>
        <v>2.25</v>
      </c>
      <c r="BC88" s="440" t="n">
        <f aca="false">W88^2</f>
        <v>0</v>
      </c>
      <c r="BD88" s="440" t="n">
        <f aca="false">X88^2</f>
        <v>0</v>
      </c>
      <c r="BE88" s="440" t="n">
        <f aca="false">Y88^2</f>
        <v>0</v>
      </c>
      <c r="BF88" s="440" t="n">
        <f aca="false">Z88^2</f>
        <v>0</v>
      </c>
      <c r="BG88" s="440" t="n">
        <f aca="false">AA88^2</f>
        <v>0</v>
      </c>
      <c r="BH88" s="440" t="n">
        <f aca="false">AB88^2</f>
        <v>0</v>
      </c>
      <c r="BI88" s="440" t="n">
        <f aca="false">AC88^2</f>
        <v>0</v>
      </c>
      <c r="BJ88" s="440" t="n">
        <f aca="false">AD88^2</f>
        <v>2.25</v>
      </c>
      <c r="BK88" s="440" t="n">
        <f aca="false">AE88^2</f>
        <v>0</v>
      </c>
      <c r="BL88" s="440" t="n">
        <f aca="false">AF88^2</f>
        <v>0</v>
      </c>
      <c r="BM88" s="440" t="n">
        <f aca="false">AG88^2</f>
        <v>0</v>
      </c>
      <c r="BN88" s="440" t="n">
        <f aca="false">AH88^2</f>
        <v>0</v>
      </c>
      <c r="BO88" s="440" t="n">
        <f aca="false">AI88^2</f>
        <v>0</v>
      </c>
      <c r="BP88" s="440" t="n">
        <f aca="false">AJ88^2</f>
        <v>0</v>
      </c>
      <c r="BQ88" s="441" t="n">
        <f aca="false">-SIGN(AK88)*AK88^2</f>
        <v>-0</v>
      </c>
    </row>
    <row r="89" customFormat="false" ht="12.75" hidden="false" customHeight="false" outlineLevel="0" collapsed="false">
      <c r="B89" s="342" t="s">
        <v>1066</v>
      </c>
      <c r="C89" s="345" t="s">
        <v>1067</v>
      </c>
      <c r="D89" s="290" t="n">
        <f aca="false">IF(F89="","",IF(H89="","",ROUND(F89-0.001*298.15*(H89-SUMPRODUCT(L89:AK89*AR$13:BQ$13)),3)))</f>
        <v>-1582.257</v>
      </c>
      <c r="E89" s="137" t="n">
        <f aca="false">IF(G89="","",IF(I89="","",ROUND(2*SQRT((0.5*G89)^2+(0.001*298.15)^2*((0.5*I89)^2+SUMPRODUCT(AR89:BQ89*AR$15:BQ$15))),3)))</f>
        <v>1.302</v>
      </c>
      <c r="F89" s="291" t="s">
        <v>1068</v>
      </c>
      <c r="G89" s="292" t="s">
        <v>265</v>
      </c>
      <c r="H89" s="291" t="s">
        <v>1069</v>
      </c>
      <c r="I89" s="292" t="s">
        <v>730</v>
      </c>
      <c r="J89" s="10"/>
      <c r="K89" s="342" t="s">
        <v>1067</v>
      </c>
      <c r="L89" s="434" t="n">
        <v>2</v>
      </c>
      <c r="M89" s="435"/>
      <c r="N89" s="435"/>
      <c r="O89" s="435"/>
      <c r="P89" s="436"/>
      <c r="Q89" s="436"/>
      <c r="R89" s="436"/>
      <c r="S89" s="436"/>
      <c r="T89" s="436"/>
      <c r="U89" s="436"/>
      <c r="V89" s="436"/>
      <c r="W89" s="436"/>
      <c r="X89" s="436"/>
      <c r="Y89" s="436"/>
      <c r="Z89" s="436"/>
      <c r="AA89" s="436"/>
      <c r="AB89" s="436"/>
      <c r="AC89" s="436"/>
      <c r="AD89" s="436" t="n">
        <v>1.5</v>
      </c>
      <c r="AE89" s="436"/>
      <c r="AF89" s="436"/>
      <c r="AG89" s="436"/>
      <c r="AH89" s="436"/>
      <c r="AI89" s="437"/>
      <c r="AJ89" s="436"/>
      <c r="AK89" s="438"/>
      <c r="AQ89" s="342" t="s">
        <v>1067</v>
      </c>
      <c r="AR89" s="439" t="n">
        <f aca="false">L89^2</f>
        <v>4</v>
      </c>
      <c r="AS89" s="440" t="n">
        <f aca="false">M89^2</f>
        <v>0</v>
      </c>
      <c r="AT89" s="440" t="n">
        <f aca="false">N89^2</f>
        <v>0</v>
      </c>
      <c r="AU89" s="440" t="n">
        <f aca="false">O89^2</f>
        <v>0</v>
      </c>
      <c r="AV89" s="440" t="n">
        <f aca="false">P89^2</f>
        <v>0</v>
      </c>
      <c r="AW89" s="440" t="n">
        <f aca="false">Q89^2</f>
        <v>0</v>
      </c>
      <c r="AX89" s="440" t="n">
        <f aca="false">R89^2</f>
        <v>0</v>
      </c>
      <c r="AY89" s="440" t="n">
        <f aca="false">S89^2</f>
        <v>0</v>
      </c>
      <c r="AZ89" s="440" t="n">
        <f aca="false">T89^2</f>
        <v>0</v>
      </c>
      <c r="BA89" s="440" t="n">
        <f aca="false">U89^2</f>
        <v>0</v>
      </c>
      <c r="BB89" s="440" t="n">
        <f aca="false">V89^2</f>
        <v>0</v>
      </c>
      <c r="BC89" s="440" t="n">
        <f aca="false">W89^2</f>
        <v>0</v>
      </c>
      <c r="BD89" s="440" t="n">
        <f aca="false">X89^2</f>
        <v>0</v>
      </c>
      <c r="BE89" s="440" t="n">
        <f aca="false">Y89^2</f>
        <v>0</v>
      </c>
      <c r="BF89" s="440" t="n">
        <f aca="false">Z89^2</f>
        <v>0</v>
      </c>
      <c r="BG89" s="440" t="n">
        <f aca="false">AA89^2</f>
        <v>0</v>
      </c>
      <c r="BH89" s="440" t="n">
        <f aca="false">AB89^2</f>
        <v>0</v>
      </c>
      <c r="BI89" s="440" t="n">
        <f aca="false">AC89^2</f>
        <v>0</v>
      </c>
      <c r="BJ89" s="440" t="n">
        <f aca="false">AD89^2</f>
        <v>2.25</v>
      </c>
      <c r="BK89" s="440" t="n">
        <f aca="false">AE89^2</f>
        <v>0</v>
      </c>
      <c r="BL89" s="440" t="n">
        <f aca="false">AF89^2</f>
        <v>0</v>
      </c>
      <c r="BM89" s="440" t="n">
        <f aca="false">AG89^2</f>
        <v>0</v>
      </c>
      <c r="BN89" s="440" t="n">
        <f aca="false">AH89^2</f>
        <v>0</v>
      </c>
      <c r="BO89" s="440" t="n">
        <f aca="false">AI89^2</f>
        <v>0</v>
      </c>
      <c r="BP89" s="440" t="n">
        <f aca="false">AJ89^2</f>
        <v>0</v>
      </c>
      <c r="BQ89" s="441" t="n">
        <f aca="false">-SIGN(AK89)*AK89^2</f>
        <v>-0</v>
      </c>
    </row>
    <row r="90" customFormat="false" ht="12.75" hidden="false" customHeight="false" outlineLevel="0" collapsed="false">
      <c r="B90" s="342" t="s">
        <v>1075</v>
      </c>
      <c r="C90" s="345" t="s">
        <v>1076</v>
      </c>
      <c r="D90" s="290" t="n">
        <f aca="false">IF(F90="","",IF(H90="","",ROUND(F90-0.001*298.15*(H90-SUMPRODUCT(L90:AK90*AR$13:BQ$13)),3)))</f>
        <v>-1155.075</v>
      </c>
      <c r="E90" s="137" t="n">
        <f aca="false">IF(G90="","",IF(I90="","",ROUND(2*SQRT((0.5*G90)^2+(0.001*298.15)^2*((0.5*I90)^2+SUMPRODUCT(AR90:BQ90*AR$15:BQ$15))),3)))</f>
        <v>1.002</v>
      </c>
      <c r="F90" s="141" t="s">
        <v>1077</v>
      </c>
      <c r="G90" s="64" t="s">
        <v>896</v>
      </c>
      <c r="H90" s="141" t="s">
        <v>1078</v>
      </c>
      <c r="I90" s="64" t="s">
        <v>1079</v>
      </c>
      <c r="J90" s="10"/>
      <c r="K90" s="342" t="s">
        <v>1076</v>
      </c>
      <c r="L90" s="434" t="n">
        <v>1</v>
      </c>
      <c r="M90" s="435"/>
      <c r="N90" s="435"/>
      <c r="O90" s="435"/>
      <c r="P90" s="436"/>
      <c r="Q90" s="436"/>
      <c r="R90" s="436"/>
      <c r="S90" s="436"/>
      <c r="T90" s="436"/>
      <c r="U90" s="436"/>
      <c r="V90" s="436" t="n">
        <v>1.5</v>
      </c>
      <c r="W90" s="436"/>
      <c r="X90" s="436"/>
      <c r="Y90" s="436"/>
      <c r="Z90" s="436"/>
      <c r="AA90" s="436"/>
      <c r="AB90" s="436"/>
      <c r="AC90" s="436"/>
      <c r="AD90" s="436" t="n">
        <v>1.5</v>
      </c>
      <c r="AE90" s="436"/>
      <c r="AF90" s="436"/>
      <c r="AG90" s="436"/>
      <c r="AH90" s="436"/>
      <c r="AI90" s="437"/>
      <c r="AJ90" s="436"/>
      <c r="AK90" s="438"/>
      <c r="AQ90" s="342" t="s">
        <v>1076</v>
      </c>
      <c r="AR90" s="439" t="n">
        <f aca="false">L90^2</f>
        <v>1</v>
      </c>
      <c r="AS90" s="440" t="n">
        <f aca="false">M90^2</f>
        <v>0</v>
      </c>
      <c r="AT90" s="440" t="n">
        <f aca="false">N90^2</f>
        <v>0</v>
      </c>
      <c r="AU90" s="440" t="n">
        <f aca="false">O90^2</f>
        <v>0</v>
      </c>
      <c r="AV90" s="440" t="n">
        <f aca="false">P90^2</f>
        <v>0</v>
      </c>
      <c r="AW90" s="440" t="n">
        <f aca="false">Q90^2</f>
        <v>0</v>
      </c>
      <c r="AX90" s="440" t="n">
        <f aca="false">R90^2</f>
        <v>0</v>
      </c>
      <c r="AY90" s="440" t="n">
        <f aca="false">S90^2</f>
        <v>0</v>
      </c>
      <c r="AZ90" s="440" t="n">
        <f aca="false">T90^2</f>
        <v>0</v>
      </c>
      <c r="BA90" s="440" t="n">
        <f aca="false">U90^2</f>
        <v>0</v>
      </c>
      <c r="BB90" s="440" t="n">
        <f aca="false">V90^2</f>
        <v>2.25</v>
      </c>
      <c r="BC90" s="440" t="n">
        <f aca="false">W90^2</f>
        <v>0</v>
      </c>
      <c r="BD90" s="440" t="n">
        <f aca="false">X90^2</f>
        <v>0</v>
      </c>
      <c r="BE90" s="440" t="n">
        <f aca="false">Y90^2</f>
        <v>0</v>
      </c>
      <c r="BF90" s="440" t="n">
        <f aca="false">Z90^2</f>
        <v>0</v>
      </c>
      <c r="BG90" s="440" t="n">
        <f aca="false">AA90^2</f>
        <v>0</v>
      </c>
      <c r="BH90" s="440" t="n">
        <f aca="false">AB90^2</f>
        <v>0</v>
      </c>
      <c r="BI90" s="440" t="n">
        <f aca="false">AC90^2</f>
        <v>0</v>
      </c>
      <c r="BJ90" s="440" t="n">
        <f aca="false">AD90^2</f>
        <v>2.25</v>
      </c>
      <c r="BK90" s="440" t="n">
        <f aca="false">AE90^2</f>
        <v>0</v>
      </c>
      <c r="BL90" s="440" t="n">
        <f aca="false">AF90^2</f>
        <v>0</v>
      </c>
      <c r="BM90" s="440" t="n">
        <f aca="false">AG90^2</f>
        <v>0</v>
      </c>
      <c r="BN90" s="440" t="n">
        <f aca="false">AH90^2</f>
        <v>0</v>
      </c>
      <c r="BO90" s="440" t="n">
        <f aca="false">AI90^2</f>
        <v>0</v>
      </c>
      <c r="BP90" s="440" t="n">
        <f aca="false">AJ90^2</f>
        <v>0</v>
      </c>
      <c r="BQ90" s="441" t="n">
        <f aca="false">-SIGN(AK90)*AK90^2</f>
        <v>-0</v>
      </c>
    </row>
    <row r="91" customFormat="false" ht="12.75" hidden="false" customHeight="false" outlineLevel="0" collapsed="false">
      <c r="B91" s="342" t="s">
        <v>1080</v>
      </c>
      <c r="C91" s="345" t="s">
        <v>1080</v>
      </c>
      <c r="D91" s="290" t="n">
        <f aca="false">IF(F91="","",IF(H91="","",ROUND(F91-0.001*298.15*(H91-SUMPRODUCT(L91:AK91*AR$13:BQ$13)),3)))</f>
        <v>-2262.465</v>
      </c>
      <c r="E91" s="137" t="n">
        <f aca="false">IF(G91="","",IF(I91="","",ROUND(2*SQRT((0.5*G91)^2+(0.001*298.15)^2*((0.5*I91)^2+SUMPRODUCT(AR91:BQ91*AR$15:BQ$15))),3)))</f>
        <v>1.675</v>
      </c>
      <c r="F91" s="141" t="s">
        <v>1081</v>
      </c>
      <c r="G91" s="64" t="s">
        <v>842</v>
      </c>
      <c r="H91" s="141" t="s">
        <v>1082</v>
      </c>
      <c r="I91" s="64" t="s">
        <v>1083</v>
      </c>
      <c r="J91" s="133"/>
      <c r="K91" s="342" t="s">
        <v>1080</v>
      </c>
      <c r="L91" s="434" t="n">
        <v>1</v>
      </c>
      <c r="M91" s="435"/>
      <c r="N91" s="435"/>
      <c r="O91" s="435"/>
      <c r="P91" s="436"/>
      <c r="Q91" s="436"/>
      <c r="R91" s="436" t="n">
        <v>1.5</v>
      </c>
      <c r="S91" s="436"/>
      <c r="T91" s="436"/>
      <c r="U91" s="436"/>
      <c r="V91" s="436" t="n">
        <v>6</v>
      </c>
      <c r="W91" s="436"/>
      <c r="X91" s="436"/>
      <c r="Y91" s="436"/>
      <c r="Z91" s="436"/>
      <c r="AA91" s="436"/>
      <c r="AB91" s="436"/>
      <c r="AC91" s="436"/>
      <c r="AD91" s="436" t="n">
        <v>3</v>
      </c>
      <c r="AE91" s="436"/>
      <c r="AF91" s="436"/>
      <c r="AG91" s="436"/>
      <c r="AH91" s="436"/>
      <c r="AI91" s="437"/>
      <c r="AJ91" s="436"/>
      <c r="AK91" s="438"/>
      <c r="AQ91" s="342" t="s">
        <v>1080</v>
      </c>
      <c r="AR91" s="439" t="n">
        <f aca="false">L91^2</f>
        <v>1</v>
      </c>
      <c r="AS91" s="440" t="n">
        <f aca="false">M91^2</f>
        <v>0</v>
      </c>
      <c r="AT91" s="440" t="n">
        <f aca="false">N91^2</f>
        <v>0</v>
      </c>
      <c r="AU91" s="440" t="n">
        <f aca="false">O91^2</f>
        <v>0</v>
      </c>
      <c r="AV91" s="440" t="n">
        <f aca="false">P91^2</f>
        <v>0</v>
      </c>
      <c r="AW91" s="440" t="n">
        <f aca="false">Q91^2</f>
        <v>0</v>
      </c>
      <c r="AX91" s="440" t="n">
        <f aca="false">R91^2</f>
        <v>2.25</v>
      </c>
      <c r="AY91" s="440" t="n">
        <f aca="false">S91^2</f>
        <v>0</v>
      </c>
      <c r="AZ91" s="440" t="n">
        <f aca="false">T91^2</f>
        <v>0</v>
      </c>
      <c r="BA91" s="440" t="n">
        <f aca="false">U91^2</f>
        <v>0</v>
      </c>
      <c r="BB91" s="440" t="n">
        <f aca="false">V91^2</f>
        <v>36</v>
      </c>
      <c r="BC91" s="440" t="n">
        <f aca="false">W91^2</f>
        <v>0</v>
      </c>
      <c r="BD91" s="440" t="n">
        <f aca="false">X91^2</f>
        <v>0</v>
      </c>
      <c r="BE91" s="440" t="n">
        <f aca="false">Y91^2</f>
        <v>0</v>
      </c>
      <c r="BF91" s="440" t="n">
        <f aca="false">Z91^2</f>
        <v>0</v>
      </c>
      <c r="BG91" s="440" t="n">
        <f aca="false">AA91^2</f>
        <v>0</v>
      </c>
      <c r="BH91" s="440" t="n">
        <f aca="false">AB91^2</f>
        <v>0</v>
      </c>
      <c r="BI91" s="440" t="n">
        <f aca="false">AC91^2</f>
        <v>0</v>
      </c>
      <c r="BJ91" s="440" t="n">
        <f aca="false">AD91^2</f>
        <v>9</v>
      </c>
      <c r="BK91" s="440" t="n">
        <f aca="false">AE91^2</f>
        <v>0</v>
      </c>
      <c r="BL91" s="440" t="n">
        <f aca="false">AF91^2</f>
        <v>0</v>
      </c>
      <c r="BM91" s="440" t="n">
        <f aca="false">AG91^2</f>
        <v>0</v>
      </c>
      <c r="BN91" s="440" t="n">
        <f aca="false">AH91^2</f>
        <v>0</v>
      </c>
      <c r="BO91" s="440" t="n">
        <f aca="false">AI91^2</f>
        <v>0</v>
      </c>
      <c r="BP91" s="440" t="n">
        <f aca="false">AJ91^2</f>
        <v>0</v>
      </c>
      <c r="BQ91" s="441" t="n">
        <f aca="false">-SIGN(AK91)*AK91^2</f>
        <v>-0</v>
      </c>
    </row>
    <row r="92" customFormat="false" ht="12.75" hidden="false" customHeight="false" outlineLevel="0" collapsed="false">
      <c r="B92" s="342" t="s">
        <v>1084</v>
      </c>
      <c r="C92" s="345" t="s">
        <v>1085</v>
      </c>
      <c r="D92" s="290" t="str">
        <f aca="false">IF(F92="","",IF(H92="","",ROUND(F92-0.001*298.15*(H92-SUMPRODUCT(L92:AK92*AR$13:BQ$13)),3)))</f>
        <v/>
      </c>
      <c r="E92" s="137" t="str">
        <f aca="false">IF(G92="","",IF(I92="","",ROUND(2*SQRT((0.5*G92)^2+(0.001*298.15)^2*((0.5*I92)^2+SUMPRODUCT(AR92:BQ92*AR$15:BQ$15))),3)))</f>
        <v/>
      </c>
      <c r="F92" s="347"/>
      <c r="G92" s="348"/>
      <c r="H92" s="347"/>
      <c r="I92" s="348"/>
      <c r="J92" s="133"/>
      <c r="K92" s="342" t="s">
        <v>1085</v>
      </c>
      <c r="L92" s="434" t="n">
        <v>2</v>
      </c>
      <c r="M92" s="435"/>
      <c r="N92" s="435"/>
      <c r="O92" s="435"/>
      <c r="P92" s="436"/>
      <c r="Q92" s="436"/>
      <c r="R92" s="436"/>
      <c r="S92" s="436"/>
      <c r="T92" s="436"/>
      <c r="U92" s="436"/>
      <c r="V92" s="436"/>
      <c r="W92" s="436"/>
      <c r="X92" s="436"/>
      <c r="Y92" s="436"/>
      <c r="Z92" s="436"/>
      <c r="AA92" s="436"/>
      <c r="AB92" s="436"/>
      <c r="AC92" s="436"/>
      <c r="AD92" s="436" t="n">
        <v>2.5</v>
      </c>
      <c r="AE92" s="436"/>
      <c r="AF92" s="436"/>
      <c r="AG92" s="436"/>
      <c r="AH92" s="436"/>
      <c r="AI92" s="437" t="n">
        <v>1</v>
      </c>
      <c r="AJ92" s="436"/>
      <c r="AK92" s="438"/>
      <c r="AQ92" s="342" t="s">
        <v>1085</v>
      </c>
      <c r="AR92" s="439" t="n">
        <f aca="false">L92^2</f>
        <v>4</v>
      </c>
      <c r="AS92" s="440" t="n">
        <f aca="false">M92^2</f>
        <v>0</v>
      </c>
      <c r="AT92" s="440" t="n">
        <f aca="false">N92^2</f>
        <v>0</v>
      </c>
      <c r="AU92" s="440" t="n">
        <f aca="false">O92^2</f>
        <v>0</v>
      </c>
      <c r="AV92" s="440" t="n">
        <f aca="false">P92^2</f>
        <v>0</v>
      </c>
      <c r="AW92" s="440" t="n">
        <f aca="false">Q92^2</f>
        <v>0</v>
      </c>
      <c r="AX92" s="440" t="n">
        <f aca="false">R92^2</f>
        <v>0</v>
      </c>
      <c r="AY92" s="440" t="n">
        <f aca="false">S92^2</f>
        <v>0</v>
      </c>
      <c r="AZ92" s="440" t="n">
        <f aca="false">T92^2</f>
        <v>0</v>
      </c>
      <c r="BA92" s="440" t="n">
        <f aca="false">U92^2</f>
        <v>0</v>
      </c>
      <c r="BB92" s="440" t="n">
        <f aca="false">V92^2</f>
        <v>0</v>
      </c>
      <c r="BC92" s="440" t="n">
        <f aca="false">W92^2</f>
        <v>0</v>
      </c>
      <c r="BD92" s="440" t="n">
        <f aca="false">X92^2</f>
        <v>0</v>
      </c>
      <c r="BE92" s="440" t="n">
        <f aca="false">Y92^2</f>
        <v>0</v>
      </c>
      <c r="BF92" s="440" t="n">
        <f aca="false">Z92^2</f>
        <v>0</v>
      </c>
      <c r="BG92" s="440" t="n">
        <f aca="false">AA92^2</f>
        <v>0</v>
      </c>
      <c r="BH92" s="440" t="n">
        <f aca="false">AB92^2</f>
        <v>0</v>
      </c>
      <c r="BI92" s="440" t="n">
        <f aca="false">AC92^2</f>
        <v>0</v>
      </c>
      <c r="BJ92" s="440" t="n">
        <f aca="false">AD92^2</f>
        <v>6.25</v>
      </c>
      <c r="BK92" s="440" t="n">
        <f aca="false">AE92^2</f>
        <v>0</v>
      </c>
      <c r="BL92" s="440" t="n">
        <f aca="false">AF92^2</f>
        <v>0</v>
      </c>
      <c r="BM92" s="440" t="n">
        <f aca="false">AG92^2</f>
        <v>0</v>
      </c>
      <c r="BN92" s="440" t="n">
        <f aca="false">AH92^2</f>
        <v>0</v>
      </c>
      <c r="BO92" s="440" t="n">
        <f aca="false">AI92^2</f>
        <v>1</v>
      </c>
      <c r="BP92" s="440" t="n">
        <f aca="false">AJ92^2</f>
        <v>0</v>
      </c>
      <c r="BQ92" s="441" t="n">
        <f aca="false">-SIGN(AK92)*AK92^2</f>
        <v>-0</v>
      </c>
    </row>
    <row r="93" customFormat="false" ht="12.75" hidden="false" customHeight="false" outlineLevel="0" collapsed="false">
      <c r="B93" s="353" t="s">
        <v>1086</v>
      </c>
      <c r="C93" s="354" t="s">
        <v>1087</v>
      </c>
      <c r="D93" s="290" t="str">
        <f aca="false">IF(F93="","",IF(H93="","",ROUND(F93-0.001*298.15*(H93-SUMPRODUCT(L93:AK93*AR$13:BQ$13)),3)))</f>
        <v/>
      </c>
      <c r="E93" s="137" t="str">
        <f aca="false">IF(G93="","",IF(I93="","",ROUND(2*SQRT((0.5*G93)^2+(0.001*298.15)^2*((0.5*I93)^2+SUMPRODUCT(AR93:BQ93*AR$15:BQ$15))),3)))</f>
        <v/>
      </c>
      <c r="F93" s="300"/>
      <c r="G93" s="301"/>
      <c r="H93" s="300"/>
      <c r="I93" s="301"/>
      <c r="J93" s="133"/>
      <c r="K93" s="342" t="s">
        <v>1087</v>
      </c>
      <c r="L93" s="434"/>
      <c r="M93" s="435"/>
      <c r="N93" s="435"/>
      <c r="O93" s="435"/>
      <c r="P93" s="436"/>
      <c r="Q93" s="436"/>
      <c r="R93" s="436"/>
      <c r="S93" s="436"/>
      <c r="T93" s="436"/>
      <c r="U93" s="436" t="n">
        <v>2</v>
      </c>
      <c r="V93" s="436"/>
      <c r="W93" s="436"/>
      <c r="X93" s="436"/>
      <c r="Y93" s="436"/>
      <c r="Z93" s="436"/>
      <c r="AA93" s="436"/>
      <c r="AB93" s="436"/>
      <c r="AC93" s="436"/>
      <c r="AD93" s="436" t="n">
        <v>1.5</v>
      </c>
      <c r="AE93" s="436"/>
      <c r="AF93" s="436"/>
      <c r="AG93" s="436"/>
      <c r="AH93" s="436"/>
      <c r="AI93" s="437"/>
      <c r="AJ93" s="436"/>
      <c r="AK93" s="438"/>
      <c r="AQ93" s="342" t="s">
        <v>1087</v>
      </c>
      <c r="AR93" s="439" t="n">
        <f aca="false">L93^2</f>
        <v>0</v>
      </c>
      <c r="AS93" s="440" t="n">
        <f aca="false">M93^2</f>
        <v>0</v>
      </c>
      <c r="AT93" s="440" t="n">
        <f aca="false">N93^2</f>
        <v>0</v>
      </c>
      <c r="AU93" s="440" t="n">
        <f aca="false">O93^2</f>
        <v>0</v>
      </c>
      <c r="AV93" s="440" t="n">
        <f aca="false">P93^2</f>
        <v>0</v>
      </c>
      <c r="AW93" s="440" t="n">
        <f aca="false">Q93^2</f>
        <v>0</v>
      </c>
      <c r="AX93" s="440" t="n">
        <f aca="false">R93^2</f>
        <v>0</v>
      </c>
      <c r="AY93" s="440" t="n">
        <f aca="false">S93^2</f>
        <v>0</v>
      </c>
      <c r="AZ93" s="440" t="n">
        <f aca="false">T93^2</f>
        <v>0</v>
      </c>
      <c r="BA93" s="440" t="n">
        <f aca="false">U93^2</f>
        <v>4</v>
      </c>
      <c r="BB93" s="440" t="n">
        <f aca="false">V93^2</f>
        <v>0</v>
      </c>
      <c r="BC93" s="440" t="n">
        <f aca="false">W93^2</f>
        <v>0</v>
      </c>
      <c r="BD93" s="440" t="n">
        <f aca="false">X93^2</f>
        <v>0</v>
      </c>
      <c r="BE93" s="440" t="n">
        <f aca="false">Y93^2</f>
        <v>0</v>
      </c>
      <c r="BF93" s="440" t="n">
        <f aca="false">Z93^2</f>
        <v>0</v>
      </c>
      <c r="BG93" s="440" t="n">
        <f aca="false">AA93^2</f>
        <v>0</v>
      </c>
      <c r="BH93" s="440" t="n">
        <f aca="false">AB93^2</f>
        <v>0</v>
      </c>
      <c r="BI93" s="440" t="n">
        <f aca="false">AC93^2</f>
        <v>0</v>
      </c>
      <c r="BJ93" s="440" t="n">
        <f aca="false">AD93^2</f>
        <v>2.25</v>
      </c>
      <c r="BK93" s="440" t="n">
        <f aca="false">AE93^2</f>
        <v>0</v>
      </c>
      <c r="BL93" s="440" t="n">
        <f aca="false">AF93^2</f>
        <v>0</v>
      </c>
      <c r="BM93" s="440" t="n">
        <f aca="false">AG93^2</f>
        <v>0</v>
      </c>
      <c r="BN93" s="440" t="n">
        <f aca="false">AH93^2</f>
        <v>0</v>
      </c>
      <c r="BO93" s="440" t="n">
        <f aca="false">AI93^2</f>
        <v>0</v>
      </c>
      <c r="BP93" s="440" t="n">
        <f aca="false">AJ93^2</f>
        <v>0</v>
      </c>
      <c r="BQ93" s="441" t="n">
        <f aca="false">-SIGN(AK93)*AK93^2</f>
        <v>-0</v>
      </c>
    </row>
    <row r="94" customFormat="false" ht="12.75" hidden="false" customHeight="false" outlineLevel="0" collapsed="false">
      <c r="B94" s="353" t="s">
        <v>1093</v>
      </c>
      <c r="C94" s="354" t="s">
        <v>1094</v>
      </c>
      <c r="D94" s="290" t="str">
        <f aca="false">IF(F94="","",IF(H94="","",ROUND(F94-0.001*298.15*(H94-SUMPRODUCT(L94:AK94*AR$13:BQ$13)),3)))</f>
        <v/>
      </c>
      <c r="E94" s="137" t="str">
        <f aca="false">IF(G94="","",IF(I94="","",ROUND(2*SQRT((0.5*G94)^2+(0.001*298.15)^2*((0.5*I94)^2+SUMPRODUCT(AR94:BQ94*AR$15:BQ$15))),3)))</f>
        <v/>
      </c>
      <c r="F94" s="300"/>
      <c r="G94" s="301"/>
      <c r="H94" s="300"/>
      <c r="I94" s="301"/>
      <c r="J94" s="133"/>
      <c r="K94" s="342" t="s">
        <v>1094</v>
      </c>
      <c r="L94" s="434"/>
      <c r="M94" s="435"/>
      <c r="N94" s="435"/>
      <c r="O94" s="435"/>
      <c r="P94" s="436"/>
      <c r="Q94" s="436"/>
      <c r="R94" s="436"/>
      <c r="S94" s="436"/>
      <c r="T94" s="436"/>
      <c r="U94" s="436" t="n">
        <v>3</v>
      </c>
      <c r="V94" s="436"/>
      <c r="W94" s="436"/>
      <c r="X94" s="436"/>
      <c r="Y94" s="436"/>
      <c r="Z94" s="436"/>
      <c r="AA94" s="436"/>
      <c r="AB94" s="436"/>
      <c r="AC94" s="436"/>
      <c r="AD94" s="436" t="n">
        <v>2</v>
      </c>
      <c r="AE94" s="436"/>
      <c r="AF94" s="436"/>
      <c r="AG94" s="436"/>
      <c r="AH94" s="436"/>
      <c r="AI94" s="437"/>
      <c r="AJ94" s="436"/>
      <c r="AK94" s="438"/>
      <c r="AQ94" s="342" t="s">
        <v>1094</v>
      </c>
      <c r="AR94" s="439" t="n">
        <f aca="false">L94^2</f>
        <v>0</v>
      </c>
      <c r="AS94" s="440" t="n">
        <f aca="false">M94^2</f>
        <v>0</v>
      </c>
      <c r="AT94" s="440" t="n">
        <f aca="false">N94^2</f>
        <v>0</v>
      </c>
      <c r="AU94" s="440" t="n">
        <f aca="false">O94^2</f>
        <v>0</v>
      </c>
      <c r="AV94" s="440" t="n">
        <f aca="false">P94^2</f>
        <v>0</v>
      </c>
      <c r="AW94" s="440" t="n">
        <f aca="false">Q94^2</f>
        <v>0</v>
      </c>
      <c r="AX94" s="440" t="n">
        <f aca="false">R94^2</f>
        <v>0</v>
      </c>
      <c r="AY94" s="440" t="n">
        <f aca="false">S94^2</f>
        <v>0</v>
      </c>
      <c r="AZ94" s="440" t="n">
        <f aca="false">T94^2</f>
        <v>0</v>
      </c>
      <c r="BA94" s="440" t="n">
        <f aca="false">U94^2</f>
        <v>9</v>
      </c>
      <c r="BB94" s="440" t="n">
        <f aca="false">V94^2</f>
        <v>0</v>
      </c>
      <c r="BC94" s="440" t="n">
        <f aca="false">W94^2</f>
        <v>0</v>
      </c>
      <c r="BD94" s="440" t="n">
        <f aca="false">X94^2</f>
        <v>0</v>
      </c>
      <c r="BE94" s="440" t="n">
        <f aca="false">Y94^2</f>
        <v>0</v>
      </c>
      <c r="BF94" s="440" t="n">
        <f aca="false">Z94^2</f>
        <v>0</v>
      </c>
      <c r="BG94" s="440" t="n">
        <f aca="false">AA94^2</f>
        <v>0</v>
      </c>
      <c r="BH94" s="440" t="n">
        <f aca="false">AB94^2</f>
        <v>0</v>
      </c>
      <c r="BI94" s="440" t="n">
        <f aca="false">AC94^2</f>
        <v>0</v>
      </c>
      <c r="BJ94" s="440" t="n">
        <f aca="false">AD94^2</f>
        <v>4</v>
      </c>
      <c r="BK94" s="440" t="n">
        <f aca="false">AE94^2</f>
        <v>0</v>
      </c>
      <c r="BL94" s="440" t="n">
        <f aca="false">AF94^2</f>
        <v>0</v>
      </c>
      <c r="BM94" s="440" t="n">
        <f aca="false">AG94^2</f>
        <v>0</v>
      </c>
      <c r="BN94" s="440" t="n">
        <f aca="false">AH94^2</f>
        <v>0</v>
      </c>
      <c r="BO94" s="440" t="n">
        <f aca="false">AI94^2</f>
        <v>0</v>
      </c>
      <c r="BP94" s="440" t="n">
        <f aca="false">AJ94^2</f>
        <v>0</v>
      </c>
      <c r="BQ94" s="441" t="n">
        <f aca="false">-SIGN(AK94)*AK94^2</f>
        <v>-0</v>
      </c>
    </row>
    <row r="95" customFormat="false" ht="12.75" hidden="false" customHeight="false" outlineLevel="0" collapsed="false">
      <c r="B95" s="353" t="s">
        <v>1100</v>
      </c>
      <c r="C95" s="354" t="s">
        <v>1101</v>
      </c>
      <c r="D95" s="290" t="str">
        <f aca="false">IF(F95="","",IF(H95="","",ROUND(F95-0.001*298.15*(H95-SUMPRODUCT(L95:AK95*AR$13:BQ$13)),3)))</f>
        <v/>
      </c>
      <c r="E95" s="137" t="str">
        <f aca="false">IF(G95="","",IF(I95="","",ROUND(2*SQRT((0.5*G95)^2+(0.001*298.15)^2*((0.5*I95)^2+SUMPRODUCT(AR95:BQ95*AR$15:BQ$15))),3)))</f>
        <v/>
      </c>
      <c r="F95" s="300"/>
      <c r="G95" s="301"/>
      <c r="H95" s="300"/>
      <c r="I95" s="301"/>
      <c r="J95" s="133"/>
      <c r="K95" s="342" t="s">
        <v>1101</v>
      </c>
      <c r="L95" s="434"/>
      <c r="M95" s="435"/>
      <c r="N95" s="435"/>
      <c r="O95" s="435"/>
      <c r="P95" s="436"/>
      <c r="Q95" s="436"/>
      <c r="R95" s="436"/>
      <c r="S95" s="436"/>
      <c r="T95" s="436"/>
      <c r="U95" s="436" t="n">
        <v>2</v>
      </c>
      <c r="V95" s="436"/>
      <c r="W95" s="436"/>
      <c r="X95" s="436"/>
      <c r="Y95" s="436"/>
      <c r="Z95" s="436"/>
      <c r="AA95" s="436"/>
      <c r="AB95" s="436"/>
      <c r="AC95" s="436"/>
      <c r="AD95" s="436" t="n">
        <v>2</v>
      </c>
      <c r="AE95" s="436"/>
      <c r="AF95" s="436"/>
      <c r="AG95" s="436"/>
      <c r="AH95" s="436"/>
      <c r="AI95" s="437" t="n">
        <v>1</v>
      </c>
      <c r="AJ95" s="436"/>
      <c r="AK95" s="438"/>
      <c r="AQ95" s="342" t="s">
        <v>1101</v>
      </c>
      <c r="AR95" s="439" t="n">
        <f aca="false">L95^2</f>
        <v>0</v>
      </c>
      <c r="AS95" s="440" t="n">
        <f aca="false">M95^2</f>
        <v>0</v>
      </c>
      <c r="AT95" s="440" t="n">
        <f aca="false">N95^2</f>
        <v>0</v>
      </c>
      <c r="AU95" s="440" t="n">
        <f aca="false">O95^2</f>
        <v>0</v>
      </c>
      <c r="AV95" s="440" t="n">
        <f aca="false">P95^2</f>
        <v>0</v>
      </c>
      <c r="AW95" s="440" t="n">
        <f aca="false">Q95^2</f>
        <v>0</v>
      </c>
      <c r="AX95" s="440" t="n">
        <f aca="false">R95^2</f>
        <v>0</v>
      </c>
      <c r="AY95" s="440" t="n">
        <f aca="false">S95^2</f>
        <v>0</v>
      </c>
      <c r="AZ95" s="440" t="n">
        <f aca="false">T95^2</f>
        <v>0</v>
      </c>
      <c r="BA95" s="440" t="n">
        <f aca="false">U95^2</f>
        <v>4</v>
      </c>
      <c r="BB95" s="440" t="n">
        <f aca="false">V95^2</f>
        <v>0</v>
      </c>
      <c r="BC95" s="440" t="n">
        <f aca="false">W95^2</f>
        <v>0</v>
      </c>
      <c r="BD95" s="440" t="n">
        <f aca="false">X95^2</f>
        <v>0</v>
      </c>
      <c r="BE95" s="440" t="n">
        <f aca="false">Y95^2</f>
        <v>0</v>
      </c>
      <c r="BF95" s="440" t="n">
        <f aca="false">Z95^2</f>
        <v>0</v>
      </c>
      <c r="BG95" s="440" t="n">
        <f aca="false">AA95^2</f>
        <v>0</v>
      </c>
      <c r="BH95" s="440" t="n">
        <f aca="false">AB95^2</f>
        <v>0</v>
      </c>
      <c r="BI95" s="440" t="n">
        <f aca="false">AC95^2</f>
        <v>0</v>
      </c>
      <c r="BJ95" s="440" t="n">
        <f aca="false">AD95^2</f>
        <v>4</v>
      </c>
      <c r="BK95" s="440" t="n">
        <f aca="false">AE95^2</f>
        <v>0</v>
      </c>
      <c r="BL95" s="440" t="n">
        <f aca="false">AF95^2</f>
        <v>0</v>
      </c>
      <c r="BM95" s="440" t="n">
        <f aca="false">AG95^2</f>
        <v>0</v>
      </c>
      <c r="BN95" s="440" t="n">
        <f aca="false">AH95^2</f>
        <v>0</v>
      </c>
      <c r="BO95" s="440" t="n">
        <f aca="false">AI95^2</f>
        <v>1</v>
      </c>
      <c r="BP95" s="440" t="n">
        <f aca="false">AJ95^2</f>
        <v>0</v>
      </c>
      <c r="BQ95" s="441" t="n">
        <f aca="false">-SIGN(AK95)*AK95^2</f>
        <v>-0</v>
      </c>
    </row>
    <row r="96" customFormat="false" ht="12.75" hidden="false" customHeight="false" outlineLevel="0" collapsed="false">
      <c r="B96" s="353" t="s">
        <v>1107</v>
      </c>
      <c r="C96" s="354" t="s">
        <v>1108</v>
      </c>
      <c r="D96" s="290" t="n">
        <f aca="false">IF(F96="","",IF(H96="","",ROUND(F96-0.001*298.15*(H96-SUMPRODUCT(L96:AK96*AR$13:BQ$13)),3)))</f>
        <v>-569.312</v>
      </c>
      <c r="E96" s="137" t="n">
        <f aca="false">IF(G96="","",IF(I96="","",ROUND(2*SQRT((0.5*G96)^2+(0.001*298.15)^2*((0.5*I96)^2+SUMPRODUCT(AR96:BQ96*AR$15:BQ$15))),3)))</f>
        <v>0.305</v>
      </c>
      <c r="F96" s="291" t="s">
        <v>1109</v>
      </c>
      <c r="G96" s="292" t="s">
        <v>740</v>
      </c>
      <c r="H96" s="291" t="s">
        <v>1110</v>
      </c>
      <c r="I96" s="292" t="s">
        <v>744</v>
      </c>
      <c r="J96" s="133"/>
      <c r="K96" s="342" t="s">
        <v>1108</v>
      </c>
      <c r="L96" s="434"/>
      <c r="M96" s="435"/>
      <c r="N96" s="435"/>
      <c r="O96" s="435"/>
      <c r="P96" s="436"/>
      <c r="Q96" s="436"/>
      <c r="R96" s="436"/>
      <c r="S96" s="436"/>
      <c r="T96" s="436"/>
      <c r="U96" s="436"/>
      <c r="V96" s="436"/>
      <c r="W96" s="436"/>
      <c r="X96" s="436"/>
      <c r="Y96" s="436"/>
      <c r="Z96" s="436" t="n">
        <v>1</v>
      </c>
      <c r="AA96" s="436"/>
      <c r="AB96" s="436"/>
      <c r="AC96" s="436"/>
      <c r="AD96" s="436" t="n">
        <v>0.5</v>
      </c>
      <c r="AE96" s="436"/>
      <c r="AF96" s="436"/>
      <c r="AG96" s="436"/>
      <c r="AH96" s="436"/>
      <c r="AI96" s="437"/>
      <c r="AJ96" s="436"/>
      <c r="AK96" s="438"/>
      <c r="AQ96" s="342" t="s">
        <v>1108</v>
      </c>
      <c r="AR96" s="439" t="n">
        <f aca="false">L96^2</f>
        <v>0</v>
      </c>
      <c r="AS96" s="440" t="n">
        <f aca="false">M96^2</f>
        <v>0</v>
      </c>
      <c r="AT96" s="440" t="n">
        <f aca="false">N96^2</f>
        <v>0</v>
      </c>
      <c r="AU96" s="440" t="n">
        <f aca="false">O96^2</f>
        <v>0</v>
      </c>
      <c r="AV96" s="440" t="n">
        <f aca="false">P96^2</f>
        <v>0</v>
      </c>
      <c r="AW96" s="440" t="n">
        <f aca="false">Q96^2</f>
        <v>0</v>
      </c>
      <c r="AX96" s="440" t="n">
        <f aca="false">R96^2</f>
        <v>0</v>
      </c>
      <c r="AY96" s="440" t="n">
        <f aca="false">S96^2</f>
        <v>0</v>
      </c>
      <c r="AZ96" s="440" t="n">
        <f aca="false">T96^2</f>
        <v>0</v>
      </c>
      <c r="BA96" s="440" t="n">
        <f aca="false">U96^2</f>
        <v>0</v>
      </c>
      <c r="BB96" s="440" t="n">
        <f aca="false">V96^2</f>
        <v>0</v>
      </c>
      <c r="BC96" s="440" t="n">
        <f aca="false">W96^2</f>
        <v>0</v>
      </c>
      <c r="BD96" s="440" t="n">
        <f aca="false">X96^2</f>
        <v>0</v>
      </c>
      <c r="BE96" s="440" t="n">
        <f aca="false">Y96^2</f>
        <v>0</v>
      </c>
      <c r="BF96" s="440" t="n">
        <f aca="false">Z96^2</f>
        <v>1</v>
      </c>
      <c r="BG96" s="440" t="n">
        <f aca="false">AA96^2</f>
        <v>0</v>
      </c>
      <c r="BH96" s="440" t="n">
        <f aca="false">AB96^2</f>
        <v>0</v>
      </c>
      <c r="BI96" s="440" t="n">
        <f aca="false">AC96^2</f>
        <v>0</v>
      </c>
      <c r="BJ96" s="440" t="n">
        <f aca="false">AD96^2</f>
        <v>0.25</v>
      </c>
      <c r="BK96" s="440" t="n">
        <f aca="false">AE96^2</f>
        <v>0</v>
      </c>
      <c r="BL96" s="440" t="n">
        <f aca="false">AF96^2</f>
        <v>0</v>
      </c>
      <c r="BM96" s="440" t="n">
        <f aca="false">AG96^2</f>
        <v>0</v>
      </c>
      <c r="BN96" s="440" t="n">
        <f aca="false">AH96^2</f>
        <v>0</v>
      </c>
      <c r="BO96" s="440" t="n">
        <f aca="false">AI96^2</f>
        <v>0</v>
      </c>
      <c r="BP96" s="440" t="n">
        <f aca="false">AJ96^2</f>
        <v>0</v>
      </c>
      <c r="BQ96" s="441" t="n">
        <f aca="false">-SIGN(AK96)*AK96^2</f>
        <v>-0</v>
      </c>
    </row>
    <row r="97" customFormat="false" ht="12.75" hidden="false" customHeight="false" outlineLevel="0" collapsed="false">
      <c r="B97" s="353" t="s">
        <v>1114</v>
      </c>
      <c r="C97" s="354" t="s">
        <v>1115</v>
      </c>
      <c r="D97" s="290" t="n">
        <f aca="false">IF(F97="","",IF(H97="","",ROUND(F97-0.001*298.15*(H97-SUMPRODUCT(L97:AK97*AR$13:BQ$13)),3)))</f>
        <v>-833.418</v>
      </c>
      <c r="E97" s="137" t="n">
        <f aca="false">IF(G97="","",IF(I97="","",ROUND(2*SQRT((0.5*G97)^2+(0.001*298.15)^2*((0.5*I97)^2+SUMPRODUCT(AR97:BQ97*AR$15:BQ$15))),3)))</f>
        <v>0.373</v>
      </c>
      <c r="F97" s="355" t="s">
        <v>1116</v>
      </c>
      <c r="G97" s="356" t="s">
        <v>1117</v>
      </c>
      <c r="H97" s="357" t="s">
        <v>1118</v>
      </c>
      <c r="I97" s="358" t="s">
        <v>742</v>
      </c>
      <c r="J97" s="133"/>
      <c r="K97" s="342" t="s">
        <v>1115</v>
      </c>
      <c r="L97" s="434"/>
      <c r="M97" s="435"/>
      <c r="N97" s="435"/>
      <c r="O97" s="435"/>
      <c r="P97" s="436"/>
      <c r="Q97" s="436"/>
      <c r="R97" s="436"/>
      <c r="S97" s="436"/>
      <c r="T97" s="436"/>
      <c r="U97" s="436"/>
      <c r="V97" s="436" t="n">
        <v>1</v>
      </c>
      <c r="W97" s="436"/>
      <c r="X97" s="436"/>
      <c r="Y97" s="436"/>
      <c r="Z97" s="436" t="n">
        <v>1</v>
      </c>
      <c r="AA97" s="436"/>
      <c r="AB97" s="436"/>
      <c r="AC97" s="436"/>
      <c r="AD97" s="436" t="n">
        <v>1</v>
      </c>
      <c r="AE97" s="436"/>
      <c r="AF97" s="436"/>
      <c r="AG97" s="436"/>
      <c r="AH97" s="436"/>
      <c r="AI97" s="437"/>
      <c r="AJ97" s="436"/>
      <c r="AK97" s="438"/>
      <c r="AQ97" s="342" t="s">
        <v>1115</v>
      </c>
      <c r="AR97" s="439" t="n">
        <f aca="false">L97^2</f>
        <v>0</v>
      </c>
      <c r="AS97" s="440" t="n">
        <f aca="false">M97^2</f>
        <v>0</v>
      </c>
      <c r="AT97" s="440" t="n">
        <f aca="false">N97^2</f>
        <v>0</v>
      </c>
      <c r="AU97" s="440" t="n">
        <f aca="false">O97^2</f>
        <v>0</v>
      </c>
      <c r="AV97" s="440" t="n">
        <f aca="false">P97^2</f>
        <v>0</v>
      </c>
      <c r="AW97" s="440" t="n">
        <f aca="false">Q97^2</f>
        <v>0</v>
      </c>
      <c r="AX97" s="440" t="n">
        <f aca="false">R97^2</f>
        <v>0</v>
      </c>
      <c r="AY97" s="440" t="n">
        <f aca="false">S97^2</f>
        <v>0</v>
      </c>
      <c r="AZ97" s="440" t="n">
        <f aca="false">T97^2</f>
        <v>0</v>
      </c>
      <c r="BA97" s="440" t="n">
        <f aca="false">U97^2</f>
        <v>0</v>
      </c>
      <c r="BB97" s="440" t="n">
        <f aca="false">V97^2</f>
        <v>1</v>
      </c>
      <c r="BC97" s="440" t="n">
        <f aca="false">W97^2</f>
        <v>0</v>
      </c>
      <c r="BD97" s="440" t="n">
        <f aca="false">X97^2</f>
        <v>0</v>
      </c>
      <c r="BE97" s="440" t="n">
        <f aca="false">Y97^2</f>
        <v>0</v>
      </c>
      <c r="BF97" s="440" t="n">
        <f aca="false">Z97^2</f>
        <v>1</v>
      </c>
      <c r="BG97" s="440" t="n">
        <f aca="false">AA97^2</f>
        <v>0</v>
      </c>
      <c r="BH97" s="440" t="n">
        <f aca="false">AB97^2</f>
        <v>0</v>
      </c>
      <c r="BI97" s="440" t="n">
        <f aca="false">AC97^2</f>
        <v>0</v>
      </c>
      <c r="BJ97" s="440" t="n">
        <f aca="false">AD97^2</f>
        <v>1</v>
      </c>
      <c r="BK97" s="440" t="n">
        <f aca="false">AE97^2</f>
        <v>0</v>
      </c>
      <c r="BL97" s="440" t="n">
        <f aca="false">AF97^2</f>
        <v>0</v>
      </c>
      <c r="BM97" s="440" t="n">
        <f aca="false">AG97^2</f>
        <v>0</v>
      </c>
      <c r="BN97" s="440" t="n">
        <f aca="false">AH97^2</f>
        <v>0</v>
      </c>
      <c r="BO97" s="440" t="n">
        <f aca="false">AI97^2</f>
        <v>0</v>
      </c>
      <c r="BP97" s="440" t="n">
        <f aca="false">AJ97^2</f>
        <v>0</v>
      </c>
      <c r="BQ97" s="441" t="n">
        <f aca="false">-SIGN(AK97)*AK97^2</f>
        <v>-0</v>
      </c>
    </row>
    <row r="98" customFormat="false" ht="12.75" hidden="false" customHeight="false" outlineLevel="0" collapsed="false">
      <c r="B98" s="353" t="s">
        <v>1119</v>
      </c>
      <c r="C98" s="354" t="s">
        <v>1120</v>
      </c>
      <c r="D98" s="290" t="str">
        <f aca="false">IF(F98="","",IF(H98="","",ROUND(F98-0.001*298.15*(H98-SUMPRODUCT(L98:AK98*AR$13:BQ$13)),3)))</f>
        <v/>
      </c>
      <c r="E98" s="137" t="str">
        <f aca="false">IF(G98="","",IF(I98="","",ROUND(2*SQRT((0.5*G98)^2+(0.001*298.15)^2*((0.5*I98)^2+SUMPRODUCT(AR98:BQ98*AR$15:BQ$15))),3)))</f>
        <v/>
      </c>
      <c r="F98" s="300"/>
      <c r="G98" s="301"/>
      <c r="H98" s="300"/>
      <c r="I98" s="301"/>
      <c r="J98" s="133"/>
      <c r="K98" s="342" t="s">
        <v>1120</v>
      </c>
      <c r="L98" s="434"/>
      <c r="M98" s="435"/>
      <c r="N98" s="435"/>
      <c r="O98" s="435"/>
      <c r="P98" s="436" t="n">
        <v>1</v>
      </c>
      <c r="Q98" s="436"/>
      <c r="R98" s="436"/>
      <c r="S98" s="436"/>
      <c r="T98" s="436"/>
      <c r="U98" s="436"/>
      <c r="V98" s="436"/>
      <c r="W98" s="436"/>
      <c r="X98" s="436"/>
      <c r="Y98" s="436"/>
      <c r="Z98" s="436" t="n">
        <v>1</v>
      </c>
      <c r="AA98" s="436"/>
      <c r="AB98" s="436"/>
      <c r="AC98" s="436"/>
      <c r="AD98" s="436" t="n">
        <v>1.5</v>
      </c>
      <c r="AE98" s="436"/>
      <c r="AF98" s="436"/>
      <c r="AG98" s="436"/>
      <c r="AH98" s="436"/>
      <c r="AI98" s="437"/>
      <c r="AJ98" s="436"/>
      <c r="AK98" s="438"/>
      <c r="AQ98" s="342" t="s">
        <v>1120</v>
      </c>
      <c r="AR98" s="439" t="n">
        <f aca="false">L98^2</f>
        <v>0</v>
      </c>
      <c r="AS98" s="440" t="n">
        <f aca="false">M98^2</f>
        <v>0</v>
      </c>
      <c r="AT98" s="440" t="n">
        <f aca="false">N98^2</f>
        <v>0</v>
      </c>
      <c r="AU98" s="440" t="n">
        <f aca="false">O98^2</f>
        <v>0</v>
      </c>
      <c r="AV98" s="440" t="n">
        <f aca="false">P98^2</f>
        <v>1</v>
      </c>
      <c r="AW98" s="440" t="n">
        <f aca="false">Q98^2</f>
        <v>0</v>
      </c>
      <c r="AX98" s="440" t="n">
        <f aca="false">R98^2</f>
        <v>0</v>
      </c>
      <c r="AY98" s="440" t="n">
        <f aca="false">S98^2</f>
        <v>0</v>
      </c>
      <c r="AZ98" s="440" t="n">
        <f aca="false">T98^2</f>
        <v>0</v>
      </c>
      <c r="BA98" s="440" t="n">
        <f aca="false">U98^2</f>
        <v>0</v>
      </c>
      <c r="BB98" s="440" t="n">
        <f aca="false">V98^2</f>
        <v>0</v>
      </c>
      <c r="BC98" s="440" t="n">
        <f aca="false">W98^2</f>
        <v>0</v>
      </c>
      <c r="BD98" s="440" t="n">
        <f aca="false">X98^2</f>
        <v>0</v>
      </c>
      <c r="BE98" s="440" t="n">
        <f aca="false">Y98^2</f>
        <v>0</v>
      </c>
      <c r="BF98" s="440" t="n">
        <f aca="false">Z98^2</f>
        <v>1</v>
      </c>
      <c r="BG98" s="440" t="n">
        <f aca="false">AA98^2</f>
        <v>0</v>
      </c>
      <c r="BH98" s="440" t="n">
        <f aca="false">AB98^2</f>
        <v>0</v>
      </c>
      <c r="BI98" s="440" t="n">
        <f aca="false">AC98^2</f>
        <v>0</v>
      </c>
      <c r="BJ98" s="440" t="n">
        <f aca="false">AD98^2</f>
        <v>2.25</v>
      </c>
      <c r="BK98" s="440" t="n">
        <f aca="false">AE98^2</f>
        <v>0</v>
      </c>
      <c r="BL98" s="440" t="n">
        <f aca="false">AF98^2</f>
        <v>0</v>
      </c>
      <c r="BM98" s="440" t="n">
        <f aca="false">AG98^2</f>
        <v>0</v>
      </c>
      <c r="BN98" s="440" t="n">
        <f aca="false">AH98^2</f>
        <v>0</v>
      </c>
      <c r="BO98" s="440" t="n">
        <f aca="false">AI98^2</f>
        <v>0</v>
      </c>
      <c r="BP98" s="440" t="n">
        <f aca="false">AJ98^2</f>
        <v>0</v>
      </c>
      <c r="BQ98" s="441" t="n">
        <f aca="false">-SIGN(AK98)*AK98^2</f>
        <v>-0</v>
      </c>
    </row>
    <row r="99" customFormat="false" ht="12.75" hidden="false" customHeight="false" outlineLevel="0" collapsed="false">
      <c r="B99" s="353" t="s">
        <v>1121</v>
      </c>
      <c r="C99" s="354" t="s">
        <v>1122</v>
      </c>
      <c r="D99" s="290" t="str">
        <f aca="false">IF(F99="","",IF(H99="","",ROUND(F99-0.001*298.15*(H99-SUMPRODUCT(L99:AK99*AR$13:BQ$13)),3)))</f>
        <v/>
      </c>
      <c r="E99" s="137" t="str">
        <f aca="false">IF(G99="","",IF(I99="","",ROUND(2*SQRT((0.5*G99)^2+(0.001*298.15)^2*((0.5*I99)^2+SUMPRODUCT(AR99:BQ99*AR$15:BQ$15))),3)))</f>
        <v/>
      </c>
      <c r="F99" s="300"/>
      <c r="G99" s="301"/>
      <c r="H99" s="300"/>
      <c r="I99" s="301"/>
      <c r="J99" s="133"/>
      <c r="K99" s="342" t="s">
        <v>1122</v>
      </c>
      <c r="L99" s="434"/>
      <c r="M99" s="435"/>
      <c r="N99" s="435"/>
      <c r="O99" s="435"/>
      <c r="P99" s="436"/>
      <c r="Q99" s="436"/>
      <c r="R99" s="436"/>
      <c r="S99" s="436"/>
      <c r="T99" s="436"/>
      <c r="U99" s="436"/>
      <c r="V99" s="436"/>
      <c r="W99" s="436"/>
      <c r="X99" s="436"/>
      <c r="Y99" s="436"/>
      <c r="Z99" s="436" t="n">
        <v>2</v>
      </c>
      <c r="AA99" s="436"/>
      <c r="AB99" s="436"/>
      <c r="AC99" s="436"/>
      <c r="AD99" s="436" t="n">
        <v>2</v>
      </c>
      <c r="AE99" s="436"/>
      <c r="AF99" s="436"/>
      <c r="AG99" s="436"/>
      <c r="AH99" s="436"/>
      <c r="AI99" s="437" t="n">
        <v>1</v>
      </c>
      <c r="AJ99" s="436"/>
      <c r="AK99" s="438"/>
      <c r="AQ99" s="342" t="s">
        <v>1122</v>
      </c>
      <c r="AR99" s="439" t="n">
        <f aca="false">L99^2</f>
        <v>0</v>
      </c>
      <c r="AS99" s="440" t="n">
        <f aca="false">M99^2</f>
        <v>0</v>
      </c>
      <c r="AT99" s="440" t="n">
        <f aca="false">N99^2</f>
        <v>0</v>
      </c>
      <c r="AU99" s="440" t="n">
        <f aca="false">O99^2</f>
        <v>0</v>
      </c>
      <c r="AV99" s="440" t="n">
        <f aca="false">P99^2</f>
        <v>0</v>
      </c>
      <c r="AW99" s="440" t="n">
        <f aca="false">Q99^2</f>
        <v>0</v>
      </c>
      <c r="AX99" s="440" t="n">
        <f aca="false">R99^2</f>
        <v>0</v>
      </c>
      <c r="AY99" s="440" t="n">
        <f aca="false">S99^2</f>
        <v>0</v>
      </c>
      <c r="AZ99" s="440" t="n">
        <f aca="false">T99^2</f>
        <v>0</v>
      </c>
      <c r="BA99" s="440" t="n">
        <f aca="false">U99^2</f>
        <v>0</v>
      </c>
      <c r="BB99" s="440" t="n">
        <f aca="false">V99^2</f>
        <v>0</v>
      </c>
      <c r="BC99" s="440" t="n">
        <f aca="false">W99^2</f>
        <v>0</v>
      </c>
      <c r="BD99" s="440" t="n">
        <f aca="false">X99^2</f>
        <v>0</v>
      </c>
      <c r="BE99" s="440" t="n">
        <f aca="false">Y99^2</f>
        <v>0</v>
      </c>
      <c r="BF99" s="440" t="n">
        <f aca="false">Z99^2</f>
        <v>4</v>
      </c>
      <c r="BG99" s="440" t="n">
        <f aca="false">AA99^2</f>
        <v>0</v>
      </c>
      <c r="BH99" s="440" t="n">
        <f aca="false">AB99^2</f>
        <v>0</v>
      </c>
      <c r="BI99" s="440" t="n">
        <f aca="false">AC99^2</f>
        <v>0</v>
      </c>
      <c r="BJ99" s="440" t="n">
        <f aca="false">AD99^2</f>
        <v>4</v>
      </c>
      <c r="BK99" s="440" t="n">
        <f aca="false">AE99^2</f>
        <v>0</v>
      </c>
      <c r="BL99" s="440" t="n">
        <f aca="false">AF99^2</f>
        <v>0</v>
      </c>
      <c r="BM99" s="440" t="n">
        <f aca="false">AG99^2</f>
        <v>0</v>
      </c>
      <c r="BN99" s="440" t="n">
        <f aca="false">AH99^2</f>
        <v>0</v>
      </c>
      <c r="BO99" s="440" t="n">
        <f aca="false">AI99^2</f>
        <v>1</v>
      </c>
      <c r="BP99" s="440" t="n">
        <f aca="false">AJ99^2</f>
        <v>0</v>
      </c>
      <c r="BQ99" s="441" t="n">
        <f aca="false">-SIGN(AK99)*AK99^2</f>
        <v>-0</v>
      </c>
    </row>
    <row r="100" customFormat="false" ht="12.75" hidden="false" customHeight="false" outlineLevel="0" collapsed="false">
      <c r="B100" s="353" t="s">
        <v>1123</v>
      </c>
      <c r="C100" s="354" t="s">
        <v>1124</v>
      </c>
      <c r="D100" s="290" t="n">
        <f aca="false">IF(F100="","",IF(H100="","",ROUND(F100-0.001*298.15*(H100-SUMPRODUCT(L100:AK100*AR$13:BQ$13)),3)))</f>
        <v>-603.296</v>
      </c>
      <c r="E100" s="137" t="n">
        <f aca="false">IF(G100="","",IF(I100="","",ROUND(2*SQRT((0.5*G100)^2+(0.001*298.15)^2*((0.5*I100)^2+SUMPRODUCT(AR100:BQ100*AR$15:BQ$15))),3)))</f>
        <v>0.916</v>
      </c>
      <c r="F100" s="300" t="s">
        <v>1125</v>
      </c>
      <c r="G100" s="301" t="s">
        <v>1126</v>
      </c>
      <c r="H100" s="300" t="s">
        <v>1127</v>
      </c>
      <c r="I100" s="301" t="s">
        <v>1128</v>
      </c>
      <c r="J100" s="133"/>
      <c r="K100" s="342" t="s">
        <v>1124</v>
      </c>
      <c r="L100" s="445"/>
      <c r="M100" s="446"/>
      <c r="N100" s="446"/>
      <c r="O100" s="446"/>
      <c r="P100" s="436"/>
      <c r="Q100" s="436" t="n">
        <v>1</v>
      </c>
      <c r="R100" s="436"/>
      <c r="S100" s="436"/>
      <c r="T100" s="436"/>
      <c r="U100" s="436"/>
      <c r="V100" s="436"/>
      <c r="W100" s="436"/>
      <c r="X100" s="436"/>
      <c r="Y100" s="436"/>
      <c r="Z100" s="436"/>
      <c r="AA100" s="436"/>
      <c r="AB100" s="436"/>
      <c r="AC100" s="436"/>
      <c r="AD100" s="436" t="n">
        <v>0.5</v>
      </c>
      <c r="AE100" s="436"/>
      <c r="AF100" s="436"/>
      <c r="AG100" s="436"/>
      <c r="AH100" s="436"/>
      <c r="AI100" s="437"/>
      <c r="AJ100" s="436"/>
      <c r="AK100" s="438"/>
      <c r="AQ100" s="342" t="s">
        <v>1124</v>
      </c>
      <c r="AR100" s="439" t="n">
        <f aca="false">L100^2</f>
        <v>0</v>
      </c>
      <c r="AS100" s="440" t="n">
        <f aca="false">M100^2</f>
        <v>0</v>
      </c>
      <c r="AT100" s="440" t="n">
        <f aca="false">N100^2</f>
        <v>0</v>
      </c>
      <c r="AU100" s="440" t="n">
        <f aca="false">O100^2</f>
        <v>0</v>
      </c>
      <c r="AV100" s="440" t="n">
        <f aca="false">P100^2</f>
        <v>0</v>
      </c>
      <c r="AW100" s="440" t="n">
        <f aca="false">Q100^2</f>
        <v>1</v>
      </c>
      <c r="AX100" s="440" t="n">
        <f aca="false">R100^2</f>
        <v>0</v>
      </c>
      <c r="AY100" s="440" t="n">
        <f aca="false">S100^2</f>
        <v>0</v>
      </c>
      <c r="AZ100" s="440" t="n">
        <f aca="false">T100^2</f>
        <v>0</v>
      </c>
      <c r="BA100" s="440" t="n">
        <f aca="false">U100^2</f>
        <v>0</v>
      </c>
      <c r="BB100" s="440" t="n">
        <f aca="false">V100^2</f>
        <v>0</v>
      </c>
      <c r="BC100" s="440" t="n">
        <f aca="false">W100^2</f>
        <v>0</v>
      </c>
      <c r="BD100" s="440" t="n">
        <f aca="false">X100^2</f>
        <v>0</v>
      </c>
      <c r="BE100" s="440" t="n">
        <f aca="false">Y100^2</f>
        <v>0</v>
      </c>
      <c r="BF100" s="440" t="n">
        <f aca="false">Z100^2</f>
        <v>0</v>
      </c>
      <c r="BG100" s="440" t="n">
        <f aca="false">AA100^2</f>
        <v>0</v>
      </c>
      <c r="BH100" s="440" t="n">
        <f aca="false">AB100^2</f>
        <v>0</v>
      </c>
      <c r="BI100" s="440" t="n">
        <f aca="false">AC100^2</f>
        <v>0</v>
      </c>
      <c r="BJ100" s="440" t="n">
        <f aca="false">AD100^2</f>
        <v>0.25</v>
      </c>
      <c r="BK100" s="440" t="n">
        <f aca="false">AE100^2</f>
        <v>0</v>
      </c>
      <c r="BL100" s="440" t="n">
        <f aca="false">AF100^2</f>
        <v>0</v>
      </c>
      <c r="BM100" s="440" t="n">
        <f aca="false">AG100^2</f>
        <v>0</v>
      </c>
      <c r="BN100" s="440" t="n">
        <f aca="false">AH100^2</f>
        <v>0</v>
      </c>
      <c r="BO100" s="440" t="n">
        <f aca="false">AI100^2</f>
        <v>0</v>
      </c>
      <c r="BP100" s="440" t="n">
        <f aca="false">AJ100^2</f>
        <v>0</v>
      </c>
      <c r="BQ100" s="441" t="n">
        <f aca="false">-SIGN(AK100)*AK100^2</f>
        <v>-0</v>
      </c>
    </row>
    <row r="101" customFormat="false" ht="12.75" hidden="false" customHeight="false" outlineLevel="0" collapsed="false">
      <c r="B101" s="353" t="s">
        <v>1134</v>
      </c>
      <c r="C101" s="354" t="s">
        <v>1135</v>
      </c>
      <c r="D101" s="290" t="n">
        <f aca="false">IF(F101="","",IF(H101="","",ROUND(F101-0.001*298.15*(H101-SUMPRODUCT(L101:AK101*AR$13:BQ$13)),3)))</f>
        <v>-898.334</v>
      </c>
      <c r="E101" s="137" t="n">
        <f aca="false">IF(G101="","",IF(I101="","",ROUND(2*SQRT((0.5*G101)^2+(0.001*298.15)^2*((0.5*I101)^2+SUMPRODUCT(AR101:BQ101*AR$15:BQ$15))),3)))</f>
        <v>0.965</v>
      </c>
      <c r="F101" s="368" t="s">
        <v>1136</v>
      </c>
      <c r="G101" s="369" t="s">
        <v>1137</v>
      </c>
      <c r="H101" s="181" t="s">
        <v>1138</v>
      </c>
      <c r="I101" s="165" t="s">
        <v>742</v>
      </c>
      <c r="J101" s="133"/>
      <c r="K101" s="342" t="s">
        <v>1135</v>
      </c>
      <c r="L101" s="434"/>
      <c r="M101" s="435"/>
      <c r="N101" s="435"/>
      <c r="O101" s="435"/>
      <c r="P101" s="436"/>
      <c r="Q101" s="436" t="n">
        <v>1</v>
      </c>
      <c r="R101" s="436"/>
      <c r="S101" s="436"/>
      <c r="T101" s="436"/>
      <c r="U101" s="436"/>
      <c r="V101" s="436" t="n">
        <v>1</v>
      </c>
      <c r="W101" s="436"/>
      <c r="X101" s="436"/>
      <c r="Y101" s="436"/>
      <c r="Z101" s="436"/>
      <c r="AA101" s="436"/>
      <c r="AB101" s="436"/>
      <c r="AC101" s="436"/>
      <c r="AD101" s="436" t="n">
        <v>1</v>
      </c>
      <c r="AE101" s="436"/>
      <c r="AF101" s="436"/>
      <c r="AG101" s="436"/>
      <c r="AH101" s="436"/>
      <c r="AI101" s="437"/>
      <c r="AJ101" s="436"/>
      <c r="AK101" s="438"/>
      <c r="AQ101" s="342" t="s">
        <v>1135</v>
      </c>
      <c r="AR101" s="439" t="n">
        <f aca="false">L101^2</f>
        <v>0</v>
      </c>
      <c r="AS101" s="440" t="n">
        <f aca="false">M101^2</f>
        <v>0</v>
      </c>
      <c r="AT101" s="440" t="n">
        <f aca="false">N101^2</f>
        <v>0</v>
      </c>
      <c r="AU101" s="440" t="n">
        <f aca="false">O101^2</f>
        <v>0</v>
      </c>
      <c r="AV101" s="440" t="n">
        <f aca="false">P101^2</f>
        <v>0</v>
      </c>
      <c r="AW101" s="440" t="n">
        <f aca="false">Q101^2</f>
        <v>1</v>
      </c>
      <c r="AX101" s="440" t="n">
        <f aca="false">R101^2</f>
        <v>0</v>
      </c>
      <c r="AY101" s="440" t="n">
        <f aca="false">S101^2</f>
        <v>0</v>
      </c>
      <c r="AZ101" s="440" t="n">
        <f aca="false">T101^2</f>
        <v>0</v>
      </c>
      <c r="BA101" s="440" t="n">
        <f aca="false">U101^2</f>
        <v>0</v>
      </c>
      <c r="BB101" s="440" t="n">
        <f aca="false">V101^2</f>
        <v>1</v>
      </c>
      <c r="BC101" s="440" t="n">
        <f aca="false">W101^2</f>
        <v>0</v>
      </c>
      <c r="BD101" s="440" t="n">
        <f aca="false">X101^2</f>
        <v>0</v>
      </c>
      <c r="BE101" s="440" t="n">
        <f aca="false">Y101^2</f>
        <v>0</v>
      </c>
      <c r="BF101" s="440" t="n">
        <f aca="false">Z101^2</f>
        <v>0</v>
      </c>
      <c r="BG101" s="440" t="n">
        <f aca="false">AA101^2</f>
        <v>0</v>
      </c>
      <c r="BH101" s="440" t="n">
        <f aca="false">AB101^2</f>
        <v>0</v>
      </c>
      <c r="BI101" s="440" t="n">
        <f aca="false">AC101^2</f>
        <v>0</v>
      </c>
      <c r="BJ101" s="440" t="n">
        <f aca="false">AD101^2</f>
        <v>1</v>
      </c>
      <c r="BK101" s="440" t="n">
        <f aca="false">AE101^2</f>
        <v>0</v>
      </c>
      <c r="BL101" s="440" t="n">
        <f aca="false">AF101^2</f>
        <v>0</v>
      </c>
      <c r="BM101" s="440" t="n">
        <f aca="false">AG101^2</f>
        <v>0</v>
      </c>
      <c r="BN101" s="440" t="n">
        <f aca="false">AH101^2</f>
        <v>0</v>
      </c>
      <c r="BO101" s="440" t="n">
        <f aca="false">AI101^2</f>
        <v>0</v>
      </c>
      <c r="BP101" s="440" t="n">
        <f aca="false">AJ101^2</f>
        <v>0</v>
      </c>
      <c r="BQ101" s="441" t="n">
        <f aca="false">-SIGN(AK101)*AK101^2</f>
        <v>-0</v>
      </c>
    </row>
    <row r="102" customFormat="false" ht="12.75" hidden="false" customHeight="false" outlineLevel="0" collapsed="false">
      <c r="B102" s="353" t="s">
        <v>1139</v>
      </c>
      <c r="C102" s="354" t="s">
        <v>1140</v>
      </c>
      <c r="D102" s="290" t="n">
        <f aca="false">IF(F102="","",IF(H102="","",ROUND(F102-0.001*298.15*(H102-SUMPRODUCT(L102:AK102*AR$13:BQ$13)),3)))</f>
        <v>-1129.463</v>
      </c>
      <c r="E102" s="137" t="n">
        <f aca="false">IF(G102="","",IF(I102="","",ROUND(2*SQRT((0.5*G102)^2+(0.001*298.15)^2*((0.5*I102)^2+SUMPRODUCT(AR102:BQ102*AR$15:BQ$15))),3)))</f>
        <v>1.203</v>
      </c>
      <c r="F102" s="368" t="s">
        <v>1141</v>
      </c>
      <c r="G102" s="369" t="s">
        <v>1142</v>
      </c>
      <c r="H102" s="181" t="s">
        <v>1143</v>
      </c>
      <c r="I102" s="165" t="s">
        <v>740</v>
      </c>
      <c r="J102" s="133"/>
      <c r="K102" s="342" t="s">
        <v>1140</v>
      </c>
      <c r="L102" s="445"/>
      <c r="M102" s="446"/>
      <c r="N102" s="446"/>
      <c r="O102" s="446"/>
      <c r="P102" s="436" t="n">
        <v>1</v>
      </c>
      <c r="Q102" s="436" t="n">
        <v>1</v>
      </c>
      <c r="R102" s="436"/>
      <c r="S102" s="436"/>
      <c r="T102" s="436"/>
      <c r="U102" s="436"/>
      <c r="V102" s="436"/>
      <c r="W102" s="436"/>
      <c r="X102" s="436"/>
      <c r="Y102" s="436"/>
      <c r="Z102" s="436"/>
      <c r="AA102" s="436"/>
      <c r="AB102" s="436"/>
      <c r="AC102" s="436"/>
      <c r="AD102" s="436" t="n">
        <v>1.5</v>
      </c>
      <c r="AE102" s="436"/>
      <c r="AF102" s="436"/>
      <c r="AG102" s="436"/>
      <c r="AH102" s="436"/>
      <c r="AI102" s="437"/>
      <c r="AJ102" s="436"/>
      <c r="AK102" s="438"/>
      <c r="AQ102" s="342" t="s">
        <v>1140</v>
      </c>
      <c r="AR102" s="439" t="n">
        <f aca="false">L102^2</f>
        <v>0</v>
      </c>
      <c r="AS102" s="440" t="n">
        <f aca="false">M102^2</f>
        <v>0</v>
      </c>
      <c r="AT102" s="440" t="n">
        <f aca="false">N102^2</f>
        <v>0</v>
      </c>
      <c r="AU102" s="440" t="n">
        <f aca="false">O102^2</f>
        <v>0</v>
      </c>
      <c r="AV102" s="440" t="n">
        <f aca="false">P102^2</f>
        <v>1</v>
      </c>
      <c r="AW102" s="440" t="n">
        <f aca="false">Q102^2</f>
        <v>1</v>
      </c>
      <c r="AX102" s="440" t="n">
        <f aca="false">R102^2</f>
        <v>0</v>
      </c>
      <c r="AY102" s="440" t="n">
        <f aca="false">S102^2</f>
        <v>0</v>
      </c>
      <c r="AZ102" s="440" t="n">
        <f aca="false">T102^2</f>
        <v>0</v>
      </c>
      <c r="BA102" s="440" t="n">
        <f aca="false">U102^2</f>
        <v>0</v>
      </c>
      <c r="BB102" s="440" t="n">
        <f aca="false">V102^2</f>
        <v>0</v>
      </c>
      <c r="BC102" s="440" t="n">
        <f aca="false">W102^2</f>
        <v>0</v>
      </c>
      <c r="BD102" s="440" t="n">
        <f aca="false">X102^2</f>
        <v>0</v>
      </c>
      <c r="BE102" s="440" t="n">
        <f aca="false">Y102^2</f>
        <v>0</v>
      </c>
      <c r="BF102" s="440" t="n">
        <f aca="false">Z102^2</f>
        <v>0</v>
      </c>
      <c r="BG102" s="440" t="n">
        <f aca="false">AA102^2</f>
        <v>0</v>
      </c>
      <c r="BH102" s="440" t="n">
        <f aca="false">AB102^2</f>
        <v>0</v>
      </c>
      <c r="BI102" s="440" t="n">
        <f aca="false">AC102^2</f>
        <v>0</v>
      </c>
      <c r="BJ102" s="440" t="n">
        <f aca="false">AD102^2</f>
        <v>2.25</v>
      </c>
      <c r="BK102" s="440" t="n">
        <f aca="false">AE102^2</f>
        <v>0</v>
      </c>
      <c r="BL102" s="440" t="n">
        <f aca="false">AF102^2</f>
        <v>0</v>
      </c>
      <c r="BM102" s="440" t="n">
        <f aca="false">AG102^2</f>
        <v>0</v>
      </c>
      <c r="BN102" s="440" t="n">
        <f aca="false">AH102^2</f>
        <v>0</v>
      </c>
      <c r="BO102" s="440" t="n">
        <f aca="false">AI102^2</f>
        <v>0</v>
      </c>
      <c r="BP102" s="440" t="n">
        <f aca="false">AJ102^2</f>
        <v>0</v>
      </c>
      <c r="BQ102" s="441" t="n">
        <f aca="false">-SIGN(AK102)*AK102^2</f>
        <v>-0</v>
      </c>
    </row>
    <row r="103" customFormat="false" ht="12.75" hidden="false" customHeight="false" outlineLevel="0" collapsed="false">
      <c r="B103" s="353" t="s">
        <v>1144</v>
      </c>
      <c r="C103" s="354" t="s">
        <v>1145</v>
      </c>
      <c r="D103" s="290" t="str">
        <f aca="false">IF(F103="","",IF(H103="","",ROUND(F103-0.001*298.15*(H103-SUMPRODUCT(L103:AK103*AR$13:BQ$13)),3)))</f>
        <v/>
      </c>
      <c r="E103" s="137" t="str">
        <f aca="false">IF(G103="","",IF(I103="","",ROUND(2*SQRT((0.5*G103)^2+(0.001*298.15)^2*((0.5*I103)^2+SUMPRODUCT(AR103:BQ103*AR$15:BQ$15))),3)))</f>
        <v/>
      </c>
      <c r="F103" s="300"/>
      <c r="G103" s="301"/>
      <c r="H103" s="300"/>
      <c r="I103" s="301"/>
      <c r="J103" s="133"/>
      <c r="K103" s="140" t="s">
        <v>1145</v>
      </c>
      <c r="L103" s="434"/>
      <c r="M103" s="435"/>
      <c r="N103" s="435"/>
      <c r="O103" s="435"/>
      <c r="P103" s="436"/>
      <c r="Q103" s="436" t="n">
        <v>1</v>
      </c>
      <c r="R103" s="436"/>
      <c r="S103" s="436"/>
      <c r="T103" s="436"/>
      <c r="U103" s="436"/>
      <c r="V103" s="436"/>
      <c r="W103" s="436"/>
      <c r="X103" s="436"/>
      <c r="Y103" s="436"/>
      <c r="Z103" s="436"/>
      <c r="AA103" s="436"/>
      <c r="AB103" s="436"/>
      <c r="AC103" s="436"/>
      <c r="AD103" s="436" t="n">
        <v>1.5</v>
      </c>
      <c r="AE103" s="436"/>
      <c r="AF103" s="436"/>
      <c r="AG103" s="436"/>
      <c r="AH103" s="436"/>
      <c r="AI103" s="437" t="n">
        <v>1</v>
      </c>
      <c r="AJ103" s="436"/>
      <c r="AK103" s="438"/>
      <c r="AQ103" s="140" t="s">
        <v>1145</v>
      </c>
      <c r="AR103" s="439" t="n">
        <f aca="false">L103^2</f>
        <v>0</v>
      </c>
      <c r="AS103" s="440" t="n">
        <f aca="false">M103^2</f>
        <v>0</v>
      </c>
      <c r="AT103" s="440" t="n">
        <f aca="false">N103^2</f>
        <v>0</v>
      </c>
      <c r="AU103" s="440" t="n">
        <f aca="false">O103^2</f>
        <v>0</v>
      </c>
      <c r="AV103" s="440" t="n">
        <f aca="false">P103^2</f>
        <v>0</v>
      </c>
      <c r="AW103" s="440" t="n">
        <f aca="false">Q103^2</f>
        <v>1</v>
      </c>
      <c r="AX103" s="440" t="n">
        <f aca="false">R103^2</f>
        <v>0</v>
      </c>
      <c r="AY103" s="440" t="n">
        <f aca="false">S103^2</f>
        <v>0</v>
      </c>
      <c r="AZ103" s="440" t="n">
        <f aca="false">T103^2</f>
        <v>0</v>
      </c>
      <c r="BA103" s="440" t="n">
        <f aca="false">U103^2</f>
        <v>0</v>
      </c>
      <c r="BB103" s="440" t="n">
        <f aca="false">V103^2</f>
        <v>0</v>
      </c>
      <c r="BC103" s="440" t="n">
        <f aca="false">W103^2</f>
        <v>0</v>
      </c>
      <c r="BD103" s="440" t="n">
        <f aca="false">X103^2</f>
        <v>0</v>
      </c>
      <c r="BE103" s="440" t="n">
        <f aca="false">Y103^2</f>
        <v>0</v>
      </c>
      <c r="BF103" s="440" t="n">
        <f aca="false">Z103^2</f>
        <v>0</v>
      </c>
      <c r="BG103" s="440" t="n">
        <f aca="false">AA103^2</f>
        <v>0</v>
      </c>
      <c r="BH103" s="440" t="n">
        <f aca="false">AB103^2</f>
        <v>0</v>
      </c>
      <c r="BI103" s="440" t="n">
        <f aca="false">AC103^2</f>
        <v>0</v>
      </c>
      <c r="BJ103" s="440" t="n">
        <f aca="false">AD103^2</f>
        <v>2.25</v>
      </c>
      <c r="BK103" s="440" t="n">
        <f aca="false">AE103^2</f>
        <v>0</v>
      </c>
      <c r="BL103" s="440" t="n">
        <f aca="false">AF103^2</f>
        <v>0</v>
      </c>
      <c r="BM103" s="440" t="n">
        <f aca="false">AG103^2</f>
        <v>0</v>
      </c>
      <c r="BN103" s="440" t="n">
        <f aca="false">AH103^2</f>
        <v>0</v>
      </c>
      <c r="BO103" s="440" t="n">
        <f aca="false">AI103^2</f>
        <v>1</v>
      </c>
      <c r="BP103" s="440" t="n">
        <f aca="false">AJ103^2</f>
        <v>0</v>
      </c>
      <c r="BQ103" s="441" t="n">
        <f aca="false">-SIGN(AK103)*AK103^2</f>
        <v>-0</v>
      </c>
    </row>
    <row r="104" customFormat="false" ht="12.75" hidden="false" customHeight="false" outlineLevel="0" collapsed="false">
      <c r="B104" s="354" t="s">
        <v>1146</v>
      </c>
      <c r="C104" s="354" t="s">
        <v>1146</v>
      </c>
      <c r="D104" s="290" t="str">
        <f aca="false">IF(F104="","",IF(H104="","",ROUND(F104-0.001*298.15*(H104-SUMPRODUCT(L104:AK104*AR$13:BQ$13)),3)))</f>
        <v/>
      </c>
      <c r="E104" s="137" t="str">
        <f aca="false">IF(G104="","",IF(I104="","",ROUND(2*SQRT((0.5*G104)^2+(0.001*298.15)^2*((0.5*I104)^2+SUMPRODUCT(AR104:BQ104*AR$15:BQ$15))),3)))</f>
        <v/>
      </c>
      <c r="F104" s="300"/>
      <c r="G104" s="301"/>
      <c r="H104" s="300"/>
      <c r="I104" s="301"/>
      <c r="J104" s="133"/>
      <c r="K104" s="342" t="s">
        <v>1146</v>
      </c>
      <c r="L104" s="434"/>
      <c r="M104" s="435"/>
      <c r="N104" s="435"/>
      <c r="O104" s="435"/>
      <c r="P104" s="436"/>
      <c r="Q104" s="436"/>
      <c r="R104" s="436"/>
      <c r="S104" s="436"/>
      <c r="T104" s="436"/>
      <c r="U104" s="436"/>
      <c r="V104" s="436"/>
      <c r="W104" s="436"/>
      <c r="X104" s="436"/>
      <c r="Y104" s="436"/>
      <c r="Z104" s="436"/>
      <c r="AA104" s="436"/>
      <c r="AB104" s="436" t="n">
        <v>2</v>
      </c>
      <c r="AC104" s="436"/>
      <c r="AD104" s="436" t="n">
        <v>0.5</v>
      </c>
      <c r="AE104" s="436"/>
      <c r="AF104" s="436"/>
      <c r="AG104" s="436"/>
      <c r="AH104" s="436"/>
      <c r="AI104" s="437"/>
      <c r="AJ104" s="436"/>
      <c r="AK104" s="438"/>
      <c r="AQ104" s="342" t="s">
        <v>1146</v>
      </c>
      <c r="AR104" s="439" t="n">
        <f aca="false">L104^2</f>
        <v>0</v>
      </c>
      <c r="AS104" s="440" t="n">
        <f aca="false">M104^2</f>
        <v>0</v>
      </c>
      <c r="AT104" s="440" t="n">
        <f aca="false">N104^2</f>
        <v>0</v>
      </c>
      <c r="AU104" s="440" t="n">
        <f aca="false">O104^2</f>
        <v>0</v>
      </c>
      <c r="AV104" s="440" t="n">
        <f aca="false">P104^2</f>
        <v>0</v>
      </c>
      <c r="AW104" s="440" t="n">
        <f aca="false">Q104^2</f>
        <v>0</v>
      </c>
      <c r="AX104" s="440" t="n">
        <f aca="false">R104^2</f>
        <v>0</v>
      </c>
      <c r="AY104" s="440" t="n">
        <f aca="false">S104^2</f>
        <v>0</v>
      </c>
      <c r="AZ104" s="440" t="n">
        <f aca="false">T104^2</f>
        <v>0</v>
      </c>
      <c r="BA104" s="440" t="n">
        <f aca="false">U104^2</f>
        <v>0</v>
      </c>
      <c r="BB104" s="440" t="n">
        <f aca="false">V104^2</f>
        <v>0</v>
      </c>
      <c r="BC104" s="440" t="n">
        <f aca="false">W104^2</f>
        <v>0</v>
      </c>
      <c r="BD104" s="440" t="n">
        <f aca="false">X104^2</f>
        <v>0</v>
      </c>
      <c r="BE104" s="440" t="n">
        <f aca="false">Y104^2</f>
        <v>0</v>
      </c>
      <c r="BF104" s="440" t="n">
        <f aca="false">Z104^2</f>
        <v>0</v>
      </c>
      <c r="BG104" s="440" t="n">
        <f aca="false">AA104^2</f>
        <v>0</v>
      </c>
      <c r="BH104" s="440" t="n">
        <f aca="false">AB104^2</f>
        <v>4</v>
      </c>
      <c r="BI104" s="440" t="n">
        <f aca="false">AC104^2</f>
        <v>0</v>
      </c>
      <c r="BJ104" s="440" t="n">
        <f aca="false">AD104^2</f>
        <v>0.25</v>
      </c>
      <c r="BK104" s="440" t="n">
        <f aca="false">AE104^2</f>
        <v>0</v>
      </c>
      <c r="BL104" s="440" t="n">
        <f aca="false">AF104^2</f>
        <v>0</v>
      </c>
      <c r="BM104" s="440" t="n">
        <f aca="false">AG104^2</f>
        <v>0</v>
      </c>
      <c r="BN104" s="440" t="n">
        <f aca="false">AH104^2</f>
        <v>0</v>
      </c>
      <c r="BO104" s="440" t="n">
        <f aca="false">AI104^2</f>
        <v>0</v>
      </c>
      <c r="BP104" s="440" t="n">
        <f aca="false">AJ104^2</f>
        <v>0</v>
      </c>
      <c r="BQ104" s="441" t="n">
        <f aca="false">-SIGN(AK104)*AK104^2</f>
        <v>-0</v>
      </c>
    </row>
    <row r="105" customFormat="false" ht="12.75" hidden="false" customHeight="false" outlineLevel="0" collapsed="false">
      <c r="B105" s="353" t="s">
        <v>1147</v>
      </c>
      <c r="C105" s="354" t="s">
        <v>1148</v>
      </c>
      <c r="D105" s="290" t="str">
        <f aca="false">IF(F105="","",IF(H105="","",ROUND(F105-0.001*298.15*(H105-SUMPRODUCT(L105:AK105*AR$13:BQ$13)),3)))</f>
        <v/>
      </c>
      <c r="E105" s="137" t="str">
        <f aca="false">IF(G105="","",IF(I105="","",ROUND(2*SQRT((0.5*G105)^2+(0.001*298.15)^2*((0.5*I105)^2+SUMPRODUCT(AR105:BQ105*AR$15:BQ$15))),3)))</f>
        <v/>
      </c>
      <c r="F105" s="300"/>
      <c r="G105" s="301"/>
      <c r="H105" s="181" t="s">
        <v>1149</v>
      </c>
      <c r="I105" s="165" t="s">
        <v>728</v>
      </c>
      <c r="J105" s="133"/>
      <c r="K105" s="342" t="s">
        <v>1148</v>
      </c>
      <c r="L105" s="434"/>
      <c r="M105" s="435"/>
      <c r="N105" s="435"/>
      <c r="O105" s="435"/>
      <c r="P105" s="436"/>
      <c r="Q105" s="436"/>
      <c r="R105" s="436" t="n">
        <v>0.5</v>
      </c>
      <c r="S105" s="436"/>
      <c r="T105" s="436"/>
      <c r="U105" s="436"/>
      <c r="V105" s="436"/>
      <c r="W105" s="436"/>
      <c r="X105" s="436"/>
      <c r="Y105" s="436"/>
      <c r="Z105" s="436"/>
      <c r="AA105" s="436"/>
      <c r="AB105" s="436" t="n">
        <v>1</v>
      </c>
      <c r="AC105" s="436"/>
      <c r="AD105" s="436"/>
      <c r="AE105" s="436"/>
      <c r="AF105" s="436"/>
      <c r="AG105" s="436"/>
      <c r="AH105" s="436"/>
      <c r="AI105" s="437"/>
      <c r="AJ105" s="436"/>
      <c r="AK105" s="438"/>
      <c r="AQ105" s="342" t="s">
        <v>1148</v>
      </c>
      <c r="AR105" s="439" t="n">
        <f aca="false">L105^2</f>
        <v>0</v>
      </c>
      <c r="AS105" s="440" t="n">
        <f aca="false">M105^2</f>
        <v>0</v>
      </c>
      <c r="AT105" s="440" t="n">
        <f aca="false">N105^2</f>
        <v>0</v>
      </c>
      <c r="AU105" s="440" t="n">
        <f aca="false">O105^2</f>
        <v>0</v>
      </c>
      <c r="AV105" s="440" t="n">
        <f aca="false">P105^2</f>
        <v>0</v>
      </c>
      <c r="AW105" s="440" t="n">
        <f aca="false">Q105^2</f>
        <v>0</v>
      </c>
      <c r="AX105" s="440" t="n">
        <f aca="false">R105^2</f>
        <v>0.25</v>
      </c>
      <c r="AY105" s="440" t="n">
        <f aca="false">S105^2</f>
        <v>0</v>
      </c>
      <c r="AZ105" s="440" t="n">
        <f aca="false">T105^2</f>
        <v>0</v>
      </c>
      <c r="BA105" s="440" t="n">
        <f aca="false">U105^2</f>
        <v>0</v>
      </c>
      <c r="BB105" s="440" t="n">
        <f aca="false">V105^2</f>
        <v>0</v>
      </c>
      <c r="BC105" s="440" t="n">
        <f aca="false">W105^2</f>
        <v>0</v>
      </c>
      <c r="BD105" s="440" t="n">
        <f aca="false">X105^2</f>
        <v>0</v>
      </c>
      <c r="BE105" s="440" t="n">
        <f aca="false">Y105^2</f>
        <v>0</v>
      </c>
      <c r="BF105" s="440" t="n">
        <f aca="false">Z105^2</f>
        <v>0</v>
      </c>
      <c r="BG105" s="440" t="n">
        <f aca="false">AA105^2</f>
        <v>0</v>
      </c>
      <c r="BH105" s="440" t="n">
        <f aca="false">AB105^2</f>
        <v>1</v>
      </c>
      <c r="BI105" s="440" t="n">
        <f aca="false">AC105^2</f>
        <v>0</v>
      </c>
      <c r="BJ105" s="440" t="n">
        <f aca="false">AD105^2</f>
        <v>0</v>
      </c>
      <c r="BK105" s="440" t="n">
        <f aca="false">AE105^2</f>
        <v>0</v>
      </c>
      <c r="BL105" s="440" t="n">
        <f aca="false">AF105^2</f>
        <v>0</v>
      </c>
      <c r="BM105" s="440" t="n">
        <f aca="false">AG105^2</f>
        <v>0</v>
      </c>
      <c r="BN105" s="440" t="n">
        <f aca="false">AH105^2</f>
        <v>0</v>
      </c>
      <c r="BO105" s="440" t="n">
        <f aca="false">AI105^2</f>
        <v>0</v>
      </c>
      <c r="BP105" s="440" t="n">
        <f aca="false">AJ105^2</f>
        <v>0</v>
      </c>
      <c r="BQ105" s="441" t="n">
        <f aca="false">-SIGN(AK105)*AK105^2</f>
        <v>-0</v>
      </c>
    </row>
    <row r="106" customFormat="false" ht="12.75" hidden="false" customHeight="false" outlineLevel="0" collapsed="false">
      <c r="B106" s="354" t="s">
        <v>1154</v>
      </c>
      <c r="C106" s="354" t="s">
        <v>1154</v>
      </c>
      <c r="D106" s="290" t="str">
        <f aca="false">IF(F106="","",IF(H106="","",ROUND(F106-0.001*298.15*(H106-SUMPRODUCT(L106:AK106*AR$13:BQ$13)),3)))</f>
        <v/>
      </c>
      <c r="E106" s="137" t="str">
        <f aca="false">IF(G106="","",IF(I106="","",ROUND(2*SQRT((0.5*G106)^2+(0.001*298.15)^2*((0.5*I106)^2+SUMPRODUCT(AR106:BQ106*AR$15:BQ$15))),3)))</f>
        <v/>
      </c>
      <c r="F106" s="300"/>
      <c r="G106" s="301"/>
      <c r="H106" s="291"/>
      <c r="I106" s="292"/>
      <c r="J106" s="133"/>
      <c r="K106" s="342" t="s">
        <v>1154</v>
      </c>
      <c r="L106" s="434"/>
      <c r="M106" s="435"/>
      <c r="N106" s="435"/>
      <c r="O106" s="435"/>
      <c r="P106" s="436"/>
      <c r="Q106" s="436"/>
      <c r="R106" s="436"/>
      <c r="S106" s="436"/>
      <c r="T106" s="436"/>
      <c r="U106" s="436"/>
      <c r="V106" s="436"/>
      <c r="W106" s="436"/>
      <c r="X106" s="436" t="n">
        <v>2</v>
      </c>
      <c r="Y106" s="436"/>
      <c r="Z106" s="436"/>
      <c r="AA106" s="436"/>
      <c r="AB106" s="436"/>
      <c r="AC106" s="436"/>
      <c r="AD106" s="436" t="n">
        <v>0.5</v>
      </c>
      <c r="AE106" s="436"/>
      <c r="AF106" s="436"/>
      <c r="AG106" s="436"/>
      <c r="AH106" s="436"/>
      <c r="AI106" s="437"/>
      <c r="AJ106" s="436"/>
      <c r="AK106" s="438"/>
      <c r="AQ106" s="342" t="s">
        <v>1154</v>
      </c>
      <c r="AR106" s="439" t="n">
        <f aca="false">L106^2</f>
        <v>0</v>
      </c>
      <c r="AS106" s="440" t="n">
        <f aca="false">M106^2</f>
        <v>0</v>
      </c>
      <c r="AT106" s="440" t="n">
        <f aca="false">N106^2</f>
        <v>0</v>
      </c>
      <c r="AU106" s="440" t="n">
        <f aca="false">O106^2</f>
        <v>0</v>
      </c>
      <c r="AV106" s="440" t="n">
        <f aca="false">P106^2</f>
        <v>0</v>
      </c>
      <c r="AW106" s="440" t="n">
        <f aca="false">Q106^2</f>
        <v>0</v>
      </c>
      <c r="AX106" s="440" t="n">
        <f aca="false">R106^2</f>
        <v>0</v>
      </c>
      <c r="AY106" s="440" t="n">
        <f aca="false">S106^2</f>
        <v>0</v>
      </c>
      <c r="AZ106" s="440" t="n">
        <f aca="false">T106^2</f>
        <v>0</v>
      </c>
      <c r="BA106" s="440" t="n">
        <f aca="false">U106^2</f>
        <v>0</v>
      </c>
      <c r="BB106" s="440" t="n">
        <f aca="false">V106^2</f>
        <v>0</v>
      </c>
      <c r="BC106" s="440" t="n">
        <f aca="false">W106^2</f>
        <v>0</v>
      </c>
      <c r="BD106" s="440" t="n">
        <f aca="false">X106^2</f>
        <v>4</v>
      </c>
      <c r="BE106" s="440" t="n">
        <f aca="false">Y106^2</f>
        <v>0</v>
      </c>
      <c r="BF106" s="440" t="n">
        <f aca="false">Z106^2</f>
        <v>0</v>
      </c>
      <c r="BG106" s="440" t="n">
        <f aca="false">AA106^2</f>
        <v>0</v>
      </c>
      <c r="BH106" s="440" t="n">
        <f aca="false">AB106^2</f>
        <v>0</v>
      </c>
      <c r="BI106" s="440" t="n">
        <f aca="false">AC106^2</f>
        <v>0</v>
      </c>
      <c r="BJ106" s="440" t="n">
        <f aca="false">AD106^2</f>
        <v>0.25</v>
      </c>
      <c r="BK106" s="440" t="n">
        <f aca="false">AE106^2</f>
        <v>0</v>
      </c>
      <c r="BL106" s="440" t="n">
        <f aca="false">AF106^2</f>
        <v>0</v>
      </c>
      <c r="BM106" s="440" t="n">
        <f aca="false">AG106^2</f>
        <v>0</v>
      </c>
      <c r="BN106" s="440" t="n">
        <f aca="false">AH106^2</f>
        <v>0</v>
      </c>
      <c r="BO106" s="440" t="n">
        <f aca="false">AI106^2</f>
        <v>0</v>
      </c>
      <c r="BP106" s="440" t="n">
        <f aca="false">AJ106^2</f>
        <v>0</v>
      </c>
      <c r="BQ106" s="441" t="n">
        <f aca="false">-SIGN(AK106)*AK106^2</f>
        <v>-0</v>
      </c>
    </row>
    <row r="107" customFormat="false" ht="13.5" hidden="false" customHeight="false" outlineLevel="0" collapsed="false">
      <c r="B107" s="374" t="s">
        <v>1155</v>
      </c>
      <c r="C107" s="375" t="s">
        <v>1156</v>
      </c>
      <c r="D107" s="305" t="str">
        <f aca="false">IF(F107="","",IF(H107="","",ROUND(F107-0.001*298.15*(H107-SUMPRODUCT(L107:AK107*AR$13:BQ$13)),3)))</f>
        <v/>
      </c>
      <c r="E107" s="145" t="str">
        <f aca="false">IF(G107="","",IF(I107="","",ROUND(2*SQRT((0.5*G107)^2+(0.001*298.15)^2*((0.5*I107)^2+SUMPRODUCT(AR107:BQ107*AR$15:BQ$15))),3)))</f>
        <v/>
      </c>
      <c r="F107" s="306"/>
      <c r="G107" s="307"/>
      <c r="H107" s="376" t="s">
        <v>1157</v>
      </c>
      <c r="I107" s="92" t="s">
        <v>728</v>
      </c>
      <c r="J107" s="10"/>
      <c r="K107" s="374" t="s">
        <v>1156</v>
      </c>
      <c r="L107" s="447"/>
      <c r="M107" s="448"/>
      <c r="N107" s="448"/>
      <c r="O107" s="448"/>
      <c r="P107" s="449"/>
      <c r="Q107" s="449"/>
      <c r="R107" s="449" t="n">
        <v>0.5</v>
      </c>
      <c r="S107" s="449"/>
      <c r="T107" s="449"/>
      <c r="U107" s="449"/>
      <c r="V107" s="449"/>
      <c r="W107" s="449"/>
      <c r="X107" s="449" t="n">
        <v>1</v>
      </c>
      <c r="Y107" s="449"/>
      <c r="Z107" s="449"/>
      <c r="AA107" s="449"/>
      <c r="AB107" s="449"/>
      <c r="AC107" s="449"/>
      <c r="AD107" s="449"/>
      <c r="AE107" s="449"/>
      <c r="AF107" s="449"/>
      <c r="AG107" s="449"/>
      <c r="AH107" s="449"/>
      <c r="AI107" s="450"/>
      <c r="AJ107" s="449"/>
      <c r="AK107" s="451"/>
      <c r="AQ107" s="374" t="s">
        <v>1156</v>
      </c>
      <c r="AR107" s="452" t="n">
        <f aca="false">L107^2</f>
        <v>0</v>
      </c>
      <c r="AS107" s="453" t="n">
        <f aca="false">M107^2</f>
        <v>0</v>
      </c>
      <c r="AT107" s="453" t="n">
        <f aca="false">N107^2</f>
        <v>0</v>
      </c>
      <c r="AU107" s="453" t="n">
        <f aca="false">O107^2</f>
        <v>0</v>
      </c>
      <c r="AV107" s="453" t="n">
        <f aca="false">P107^2</f>
        <v>0</v>
      </c>
      <c r="AW107" s="453" t="n">
        <f aca="false">Q107^2</f>
        <v>0</v>
      </c>
      <c r="AX107" s="453" t="n">
        <f aca="false">R107^2</f>
        <v>0.25</v>
      </c>
      <c r="AY107" s="453" t="n">
        <f aca="false">S107^2</f>
        <v>0</v>
      </c>
      <c r="AZ107" s="453" t="n">
        <f aca="false">T107^2</f>
        <v>0</v>
      </c>
      <c r="BA107" s="453" t="n">
        <f aca="false">U107^2</f>
        <v>0</v>
      </c>
      <c r="BB107" s="453" t="n">
        <f aca="false">V107^2</f>
        <v>0</v>
      </c>
      <c r="BC107" s="453" t="n">
        <f aca="false">W107^2</f>
        <v>0</v>
      </c>
      <c r="BD107" s="453" t="n">
        <f aca="false">X107^2</f>
        <v>1</v>
      </c>
      <c r="BE107" s="453" t="n">
        <f aca="false">Y107^2</f>
        <v>0</v>
      </c>
      <c r="BF107" s="453" t="n">
        <f aca="false">Z107^2</f>
        <v>0</v>
      </c>
      <c r="BG107" s="453" t="n">
        <f aca="false">AA107^2</f>
        <v>0</v>
      </c>
      <c r="BH107" s="453" t="n">
        <f aca="false">AB107^2</f>
        <v>0</v>
      </c>
      <c r="BI107" s="453" t="n">
        <f aca="false">AC107^2</f>
        <v>0</v>
      </c>
      <c r="BJ107" s="453" t="n">
        <f aca="false">AD107^2</f>
        <v>0</v>
      </c>
      <c r="BK107" s="453" t="n">
        <f aca="false">AE107^2</f>
        <v>0</v>
      </c>
      <c r="BL107" s="453" t="n">
        <f aca="false">AF107^2</f>
        <v>0</v>
      </c>
      <c r="BM107" s="453" t="n">
        <f aca="false">AG107^2</f>
        <v>0</v>
      </c>
      <c r="BN107" s="453" t="n">
        <f aca="false">AH107^2</f>
        <v>0</v>
      </c>
      <c r="BO107" s="453" t="n">
        <f aca="false">AI107^2</f>
        <v>0</v>
      </c>
      <c r="BP107" s="453" t="n">
        <f aca="false">AJ107^2</f>
        <v>0</v>
      </c>
      <c r="BQ107" s="454" t="n">
        <f aca="false">-SIGN(AK107)*AK107^2</f>
        <v>-0</v>
      </c>
    </row>
    <row r="108" customFormat="false" ht="13.5" hidden="false" customHeight="false" outlineLevel="0" collapsed="false">
      <c r="B108" s="280"/>
      <c r="C108" s="112"/>
      <c r="D108" s="66"/>
      <c r="E108" s="66"/>
      <c r="F108" s="66"/>
      <c r="G108" s="66"/>
      <c r="H108" s="66"/>
      <c r="I108" s="66"/>
      <c r="J108" s="10"/>
      <c r="L108" s="416" t="s">
        <v>32</v>
      </c>
      <c r="M108" s="417" t="s">
        <v>40</v>
      </c>
      <c r="N108" s="418" t="s">
        <v>41</v>
      </c>
      <c r="O108" s="418" t="s">
        <v>46</v>
      </c>
      <c r="P108" s="417" t="s">
        <v>48</v>
      </c>
      <c r="Q108" s="417" t="s">
        <v>49</v>
      </c>
      <c r="R108" s="418" t="s">
        <v>54</v>
      </c>
      <c r="S108" s="418" t="s">
        <v>59</v>
      </c>
      <c r="T108" s="418" t="s">
        <v>66</v>
      </c>
      <c r="U108" s="418" t="s">
        <v>68</v>
      </c>
      <c r="V108" s="418" t="s">
        <v>75</v>
      </c>
      <c r="W108" s="418" t="s">
        <v>82</v>
      </c>
      <c r="X108" s="418" t="s">
        <v>86</v>
      </c>
      <c r="Y108" s="418" t="s">
        <v>89</v>
      </c>
      <c r="Z108" s="417" t="s">
        <v>93</v>
      </c>
      <c r="AA108" s="418" t="s">
        <v>97</v>
      </c>
      <c r="AB108" s="418" t="s">
        <v>99</v>
      </c>
      <c r="AC108" s="417" t="s">
        <v>103</v>
      </c>
      <c r="AD108" s="418" t="s">
        <v>107</v>
      </c>
      <c r="AE108" s="417" t="s">
        <v>110</v>
      </c>
      <c r="AF108" s="418" t="s">
        <v>119</v>
      </c>
      <c r="AG108" s="418" t="s">
        <v>120</v>
      </c>
      <c r="AH108" s="418" t="s">
        <v>125</v>
      </c>
      <c r="AI108" s="417" t="s">
        <v>129</v>
      </c>
      <c r="AJ108" s="418" t="s">
        <v>132</v>
      </c>
      <c r="AK108" s="419" t="s">
        <v>1187</v>
      </c>
      <c r="AQ108" s="73"/>
      <c r="AR108" s="416" t="s">
        <v>32</v>
      </c>
      <c r="AS108" s="417" t="s">
        <v>40</v>
      </c>
      <c r="AT108" s="418" t="s">
        <v>41</v>
      </c>
      <c r="AU108" s="418" t="s">
        <v>46</v>
      </c>
      <c r="AV108" s="417" t="s">
        <v>48</v>
      </c>
      <c r="AW108" s="417" t="s">
        <v>49</v>
      </c>
      <c r="AX108" s="418" t="s">
        <v>54</v>
      </c>
      <c r="AY108" s="418" t="s">
        <v>59</v>
      </c>
      <c r="AZ108" s="418" t="s">
        <v>66</v>
      </c>
      <c r="BA108" s="418" t="s">
        <v>68</v>
      </c>
      <c r="BB108" s="418" t="s">
        <v>75</v>
      </c>
      <c r="BC108" s="418" t="s">
        <v>82</v>
      </c>
      <c r="BD108" s="418" t="s">
        <v>86</v>
      </c>
      <c r="BE108" s="418" t="s">
        <v>89</v>
      </c>
      <c r="BF108" s="417" t="s">
        <v>93</v>
      </c>
      <c r="BG108" s="418" t="s">
        <v>97</v>
      </c>
      <c r="BH108" s="418" t="s">
        <v>99</v>
      </c>
      <c r="BI108" s="417" t="s">
        <v>103</v>
      </c>
      <c r="BJ108" s="418" t="s">
        <v>107</v>
      </c>
      <c r="BK108" s="417" t="s">
        <v>110</v>
      </c>
      <c r="BL108" s="418" t="s">
        <v>119</v>
      </c>
      <c r="BM108" s="418" t="s">
        <v>120</v>
      </c>
      <c r="BN108" s="418" t="s">
        <v>125</v>
      </c>
      <c r="BO108" s="417" t="s">
        <v>129</v>
      </c>
      <c r="BP108" s="418" t="s">
        <v>132</v>
      </c>
      <c r="BQ108" s="419" t="s">
        <v>1187</v>
      </c>
    </row>
    <row r="109" customFormat="false" ht="12.75" hidden="false" customHeight="false" outlineLevel="0" collapsed="false">
      <c r="B109" s="112"/>
      <c r="C109" s="112"/>
      <c r="D109" s="457"/>
      <c r="E109" s="457"/>
      <c r="F109" s="457"/>
      <c r="G109" s="380"/>
      <c r="H109" s="381"/>
      <c r="I109" s="380"/>
      <c r="J109" s="10"/>
      <c r="K109" s="457"/>
      <c r="L109" s="457"/>
      <c r="M109" s="457"/>
      <c r="N109" s="457"/>
      <c r="O109" s="457"/>
      <c r="AQ109" s="457"/>
      <c r="AR109" s="457"/>
      <c r="AS109" s="457"/>
      <c r="AT109" s="457"/>
      <c r="AU109" s="457"/>
    </row>
    <row r="110" customFormat="false" ht="12.75" hidden="false" customHeight="false" outlineLevel="0" collapsed="false">
      <c r="F110" s="73"/>
      <c r="J110" s="45"/>
      <c r="AQ110" s="73"/>
      <c r="AR110" s="73"/>
      <c r="AS110" s="73"/>
      <c r="AT110" s="73"/>
      <c r="AU110" s="73"/>
    </row>
    <row r="111" customFormat="false" ht="12.75" hidden="false" customHeight="false" outlineLevel="0" collapsed="false">
      <c r="A111" s="10"/>
      <c r="B111" s="378"/>
      <c r="C111" s="10" t="s">
        <v>1160</v>
      </c>
      <c r="F111" s="73"/>
      <c r="J111" s="45"/>
      <c r="AQ111" s="73"/>
      <c r="AR111" s="73"/>
      <c r="AS111" s="73"/>
      <c r="AT111" s="73"/>
      <c r="AU111" s="73"/>
    </row>
    <row r="112" customFormat="false" ht="12.75" hidden="false" customHeight="false" outlineLevel="0" collapsed="false">
      <c r="A112" s="10"/>
      <c r="B112" s="379"/>
      <c r="C112" s="112" t="s">
        <v>1161</v>
      </c>
      <c r="D112" s="73"/>
      <c r="E112" s="73"/>
      <c r="F112" s="73"/>
      <c r="J112" s="45"/>
      <c r="AQ112" s="73"/>
      <c r="AR112" s="73"/>
      <c r="AS112" s="73"/>
      <c r="AT112" s="73"/>
      <c r="AU112" s="73"/>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8.xml><?xml version="1.0" encoding="utf-8"?>
<worksheet xmlns="http://schemas.openxmlformats.org/spreadsheetml/2006/main" xmlns:r="http://schemas.openxmlformats.org/officeDocument/2006/relationships">
  <sheetPr filterMode="false">
    <pageSetUpPr fitToPage="false"/>
  </sheetPr>
  <dimension ref="A1:N39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85" activeCellId="2" sqref="B16:B122 E16:F122 C385"/>
    </sheetView>
  </sheetViews>
  <sheetFormatPr defaultRowHeight="12.75" zeroHeight="false" outlineLevelRow="0" outlineLevelCol="0"/>
  <cols>
    <col collapsed="false" customWidth="true" hidden="false" outlineLevel="0" max="1" min="1" style="10" width="10.14"/>
    <col collapsed="false" customWidth="true" hidden="false" outlineLevel="0" max="2" min="2" style="10" width="29.42"/>
    <col collapsed="false" customWidth="true" hidden="false" outlineLevel="0" max="3" min="3" style="10" width="12.42"/>
    <col collapsed="false" customWidth="true" hidden="false" outlineLevel="0" max="20" min="4" style="10" width="10.14"/>
    <col collapsed="false" customWidth="true" hidden="false" outlineLevel="0" max="1025" min="21" style="10" width="9.14"/>
  </cols>
  <sheetData>
    <row r="1" customFormat="false" ht="12.75" hidden="false" customHeight="false" outlineLevel="0" collapsed="false">
      <c r="A1" s="9" t="str">
        <f aca="true">MID(CELL("filename",$A$1),   FIND("\[",CELL("filename",$A$1))+2,   FIND("]",CELL("filename",$A$1),FIND("\[",CELL("filename",$A$1))+2)-FIND("\[",CELL("filename",$A$1))-2)</f>
        <v>TDProperties_Rev0_v69.xlsx</v>
      </c>
    </row>
    <row r="2" customFormat="false" ht="12.75" hidden="false" customHeight="false" outlineLevel="0" collapsed="false">
      <c r="A2" s="10" t="str">
        <f aca="true">MID(CELL("filename",A1),FIND("]",CELL("filename",A1))+1,256)</f>
        <v>Misc Aq Sp</v>
      </c>
    </row>
    <row r="3" customFormat="false" ht="12.75" hidden="false" customHeight="false" outlineLevel="0" collapsed="false">
      <c r="A3" s="44"/>
    </row>
    <row r="4" customFormat="false" ht="12.75" hidden="false" customHeight="false" outlineLevel="0" collapsed="false">
      <c r="A4" s="281" t="s">
        <v>2136</v>
      </c>
    </row>
    <row r="5" customFormat="false" ht="12.75" hidden="false" customHeight="false" outlineLevel="0" collapsed="false">
      <c r="A5" s="281"/>
      <c r="F5" s="10" t="s">
        <v>2137</v>
      </c>
      <c r="H5" s="10" t="s">
        <v>2104</v>
      </c>
    </row>
    <row r="6" customFormat="false" ht="12.75" hidden="false" customHeight="false" outlineLevel="0" collapsed="false">
      <c r="A6" s="281"/>
      <c r="F6" s="10" t="s">
        <v>1042</v>
      </c>
      <c r="G6" s="10" t="s">
        <v>2138</v>
      </c>
      <c r="H6" s="10" t="s">
        <v>74</v>
      </c>
      <c r="I6" s="10" t="s">
        <v>125</v>
      </c>
    </row>
    <row r="7" customFormat="false" ht="12.75" hidden="false" customHeight="false" outlineLevel="0" collapsed="false">
      <c r="A7" s="281"/>
      <c r="F7" s="535" t="s">
        <v>1043</v>
      </c>
      <c r="G7" s="297" t="n">
        <v>-856.288</v>
      </c>
      <c r="H7" s="549" t="s">
        <v>1048</v>
      </c>
      <c r="I7" s="292" t="s">
        <v>1045</v>
      </c>
    </row>
    <row r="8" customFormat="false" ht="12.75" hidden="false" customHeight="false" outlineLevel="0" collapsed="false">
      <c r="A8" s="281"/>
      <c r="B8" s="9" t="s">
        <v>2139</v>
      </c>
    </row>
    <row r="9" customFormat="false" ht="13.5" hidden="false" customHeight="false" outlineLevel="0" collapsed="false">
      <c r="A9" s="281"/>
    </row>
    <row r="10" customFormat="false" ht="12.75" hidden="false" customHeight="false" outlineLevel="0" collapsed="false">
      <c r="B10" s="169" t="s">
        <v>2140</v>
      </c>
      <c r="C10" s="666"/>
      <c r="D10" s="666"/>
      <c r="E10" s="666"/>
      <c r="F10" s="666"/>
      <c r="G10" s="666"/>
      <c r="H10" s="666"/>
      <c r="I10" s="666"/>
      <c r="J10" s="666"/>
      <c r="K10" s="666"/>
      <c r="L10" s="667"/>
    </row>
    <row r="11" customFormat="false" ht="12.75" hidden="false" customHeight="false" outlineLevel="0" collapsed="false">
      <c r="B11" s="668"/>
      <c r="C11" s="280"/>
      <c r="D11" s="280"/>
      <c r="E11" s="280"/>
      <c r="F11" s="280"/>
      <c r="G11" s="280"/>
      <c r="H11" s="280"/>
      <c r="I11" s="280"/>
      <c r="J11" s="280"/>
      <c r="K11" s="280"/>
      <c r="L11" s="619"/>
    </row>
    <row r="12" customFormat="false" ht="12.75" hidden="false" customHeight="false" outlineLevel="0" collapsed="false">
      <c r="B12" s="669" t="s">
        <v>556</v>
      </c>
      <c r="C12" s="670" t="n">
        <v>1978</v>
      </c>
      <c r="D12" s="670" t="s">
        <v>2141</v>
      </c>
      <c r="E12" s="280"/>
      <c r="F12" s="280" t="s">
        <v>2142</v>
      </c>
      <c r="G12" s="280"/>
      <c r="H12" s="280"/>
      <c r="I12" s="280"/>
      <c r="J12" s="280"/>
      <c r="K12" s="280"/>
      <c r="L12" s="619"/>
    </row>
    <row r="13" customFormat="false" ht="15" hidden="false" customHeight="false" outlineLevel="0" collapsed="false">
      <c r="B13" s="668"/>
      <c r="C13" s="671" t="s">
        <v>1042</v>
      </c>
      <c r="D13" s="590" t="n">
        <v>-856.288</v>
      </c>
      <c r="E13" s="280"/>
      <c r="F13" s="672" t="s">
        <v>2143</v>
      </c>
      <c r="G13" s="673" t="n">
        <f aca="false">D15-D13-2*D14</f>
        <v>22.57</v>
      </c>
      <c r="H13" s="280"/>
      <c r="I13" s="10" t="s">
        <v>1167</v>
      </c>
      <c r="J13" s="280"/>
      <c r="K13" s="280"/>
      <c r="L13" s="619"/>
    </row>
    <row r="14" customFormat="false" ht="12.75" hidden="false" customHeight="false" outlineLevel="0" collapsed="false">
      <c r="B14" s="668"/>
      <c r="C14" s="645" t="s">
        <v>1178</v>
      </c>
      <c r="D14" s="386" t="n">
        <v>-237.141</v>
      </c>
      <c r="E14" s="280"/>
      <c r="F14" s="280" t="s">
        <v>2144</v>
      </c>
      <c r="G14" s="673" t="n">
        <f aca="false">-1000*G13/(2.3026*8.314462*298.15)</f>
        <v>-3.95406762200552</v>
      </c>
      <c r="H14" s="280"/>
      <c r="I14" s="280"/>
      <c r="J14" s="280" t="s">
        <v>2145</v>
      </c>
      <c r="K14" s="280"/>
      <c r="L14" s="619"/>
    </row>
    <row r="15" customFormat="false" ht="12.75" hidden="false" customHeight="false" outlineLevel="0" collapsed="false">
      <c r="B15" s="668"/>
      <c r="C15" s="645" t="s">
        <v>909</v>
      </c>
      <c r="D15" s="386" t="n">
        <v>-1308</v>
      </c>
      <c r="E15" s="280"/>
      <c r="F15" s="280"/>
      <c r="G15" s="280"/>
      <c r="H15" s="280"/>
      <c r="I15" s="280"/>
      <c r="J15" s="280"/>
      <c r="K15" s="280"/>
      <c r="L15" s="619"/>
    </row>
    <row r="16" customFormat="false" ht="12.75" hidden="false" customHeight="false" outlineLevel="0" collapsed="false">
      <c r="B16" s="668"/>
      <c r="C16" s="280"/>
      <c r="D16" s="280"/>
      <c r="E16" s="280"/>
      <c r="J16" s="280"/>
      <c r="K16" s="280"/>
      <c r="L16" s="619"/>
    </row>
    <row r="17" customFormat="false" ht="15" hidden="false" customHeight="false" outlineLevel="0" collapsed="false">
      <c r="B17" s="668" t="s">
        <v>2146</v>
      </c>
      <c r="C17" s="645" t="s">
        <v>909</v>
      </c>
      <c r="D17" s="386" t="n">
        <v>-1316.5</v>
      </c>
      <c r="E17" s="280"/>
      <c r="F17" s="672" t="s">
        <v>2143</v>
      </c>
      <c r="G17" s="673" t="n">
        <f aca="false">D17-D$13-2*D$14</f>
        <v>14.07</v>
      </c>
      <c r="H17" s="280"/>
      <c r="I17" s="10" t="s">
        <v>1167</v>
      </c>
      <c r="J17" s="280"/>
      <c r="K17" s="280"/>
      <c r="L17" s="619"/>
    </row>
    <row r="18" customFormat="false" ht="12.75" hidden="false" customHeight="false" outlineLevel="0" collapsed="false">
      <c r="B18" s="668"/>
      <c r="C18" s="280"/>
      <c r="D18" s="280"/>
      <c r="E18" s="280"/>
      <c r="F18" s="280" t="s">
        <v>2144</v>
      </c>
      <c r="G18" s="673" t="n">
        <f aca="false">-1000*G17/(2.3026*8.314462*298.15)</f>
        <v>-2.46494157915896</v>
      </c>
      <c r="H18" s="280"/>
      <c r="I18" s="280"/>
      <c r="J18" s="280"/>
      <c r="K18" s="280"/>
      <c r="L18" s="619"/>
    </row>
    <row r="19" customFormat="false" ht="12.75" hidden="false" customHeight="false" outlineLevel="0" collapsed="false">
      <c r="B19" s="668"/>
      <c r="C19" s="280"/>
      <c r="D19" s="280"/>
      <c r="E19" s="280"/>
      <c r="F19" s="280"/>
      <c r="G19" s="280"/>
      <c r="H19" s="280"/>
      <c r="I19" s="280"/>
      <c r="J19" s="280"/>
      <c r="K19" s="280"/>
      <c r="L19" s="619"/>
    </row>
    <row r="20" customFormat="false" ht="15" hidden="false" customHeight="false" outlineLevel="0" collapsed="false">
      <c r="B20" s="668" t="s">
        <v>2147</v>
      </c>
      <c r="C20" s="645" t="s">
        <v>909</v>
      </c>
      <c r="D20" s="386" t="n">
        <v>-1309.2</v>
      </c>
      <c r="E20" s="280"/>
      <c r="F20" s="672" t="s">
        <v>2143</v>
      </c>
      <c r="G20" s="673" t="n">
        <f aca="false">D20-D$13-2*D$14</f>
        <v>21.3699999999999</v>
      </c>
      <c r="H20" s="280"/>
      <c r="I20" s="10" t="s">
        <v>1167</v>
      </c>
      <c r="J20" s="280" t="s">
        <v>2148</v>
      </c>
      <c r="K20" s="280"/>
      <c r="L20" s="619"/>
    </row>
    <row r="21" customFormat="false" ht="12.75" hidden="false" customHeight="false" outlineLevel="0" collapsed="false">
      <c r="B21" s="668"/>
      <c r="C21" s="280"/>
      <c r="D21" s="280"/>
      <c r="E21" s="280"/>
      <c r="F21" s="280" t="s">
        <v>2144</v>
      </c>
      <c r="G21" s="673" t="n">
        <f aca="false">-1000*G20/(2.3026*8.314462*298.15)</f>
        <v>-3.74383806301541</v>
      </c>
      <c r="H21" s="280"/>
      <c r="I21" s="280"/>
      <c r="J21" s="280"/>
      <c r="K21" s="280"/>
      <c r="L21" s="619"/>
    </row>
    <row r="22" customFormat="false" ht="13.5" hidden="false" customHeight="false" outlineLevel="0" collapsed="false">
      <c r="B22" s="178"/>
      <c r="C22" s="674"/>
      <c r="D22" s="674"/>
      <c r="E22" s="674"/>
      <c r="F22" s="674"/>
      <c r="G22" s="674"/>
      <c r="H22" s="674"/>
      <c r="I22" s="674"/>
      <c r="J22" s="674"/>
      <c r="K22" s="674"/>
      <c r="L22" s="675"/>
    </row>
    <row r="24" customFormat="false" ht="12.75" hidden="false" customHeight="true" outlineLevel="0" collapsed="false"/>
    <row r="25" customFormat="false" ht="12.75" hidden="false" customHeight="true" outlineLevel="0" collapsed="false"/>
    <row r="26" customFormat="false" ht="13.5" hidden="false" customHeight="true" outlineLevel="0" collapsed="false">
      <c r="B26" s="169"/>
      <c r="C26" s="169"/>
      <c r="D26" s="651"/>
      <c r="E26" s="651"/>
      <c r="F26" s="651"/>
      <c r="G26" s="651"/>
      <c r="H26" s="651"/>
      <c r="I26" s="651"/>
    </row>
    <row r="27" customFormat="false" ht="13.5" hidden="false" customHeight="true" outlineLevel="0" collapsed="false">
      <c r="B27" s="25"/>
      <c r="C27" s="25"/>
      <c r="D27" s="635" t="s">
        <v>909</v>
      </c>
      <c r="E27" s="635"/>
      <c r="F27" s="635"/>
      <c r="G27" s="635" t="s">
        <v>1021</v>
      </c>
      <c r="H27" s="635"/>
      <c r="I27" s="635"/>
    </row>
    <row r="28" customFormat="false" ht="13.5" hidden="false" customHeight="true" outlineLevel="0" collapsed="false">
      <c r="B28" s="11" t="s">
        <v>2086</v>
      </c>
      <c r="C28" s="50" t="s">
        <v>2087</v>
      </c>
      <c r="D28" s="636" t="s">
        <v>511</v>
      </c>
      <c r="E28" s="636" t="s">
        <v>512</v>
      </c>
      <c r="F28" s="636" t="s">
        <v>513</v>
      </c>
      <c r="G28" s="636" t="s">
        <v>511</v>
      </c>
      <c r="H28" s="636" t="s">
        <v>512</v>
      </c>
      <c r="I28" s="636" t="s">
        <v>513</v>
      </c>
    </row>
    <row r="29" customFormat="false" ht="13.5" hidden="false" customHeight="true" outlineLevel="0" collapsed="false">
      <c r="B29" s="21"/>
      <c r="C29" s="55" t="s">
        <v>2149</v>
      </c>
      <c r="D29" s="55" t="s">
        <v>784</v>
      </c>
      <c r="E29" s="55" t="s">
        <v>784</v>
      </c>
      <c r="F29" s="55" t="s">
        <v>167</v>
      </c>
      <c r="G29" s="55" t="s">
        <v>784</v>
      </c>
      <c r="H29" s="55" t="s">
        <v>784</v>
      </c>
      <c r="I29" s="55" t="s">
        <v>167</v>
      </c>
    </row>
    <row r="30" customFormat="false" ht="11.25" hidden="false" customHeight="true" outlineLevel="0" collapsed="false">
      <c r="B30" s="160" t="s">
        <v>556</v>
      </c>
      <c r="C30" s="638" t="n">
        <v>1978</v>
      </c>
      <c r="D30" s="470" t="n">
        <v>-1308</v>
      </c>
      <c r="E30" s="470" t="n">
        <v>-1460</v>
      </c>
      <c r="F30" s="470" t="n">
        <v>180</v>
      </c>
      <c r="G30" s="470"/>
      <c r="H30" s="470"/>
      <c r="I30" s="470"/>
    </row>
    <row r="31" customFormat="false" ht="11.25" hidden="false" customHeight="true" outlineLevel="0" collapsed="false">
      <c r="B31" s="160" t="s">
        <v>563</v>
      </c>
      <c r="C31" s="638" t="n">
        <v>1995</v>
      </c>
      <c r="D31" s="470" t="n">
        <v>-1307.5</v>
      </c>
      <c r="E31" s="470" t="n">
        <v>-1460</v>
      </c>
      <c r="F31" s="470" t="n">
        <v>180</v>
      </c>
      <c r="G31" s="470"/>
      <c r="H31" s="470"/>
      <c r="I31" s="470"/>
    </row>
    <row r="32" customFormat="false" ht="11.25" hidden="false" customHeight="true" outlineLevel="0" collapsed="false">
      <c r="B32" s="160" t="s">
        <v>2150</v>
      </c>
      <c r="C32" s="638" t="n">
        <v>1977</v>
      </c>
      <c r="D32" s="470" t="n">
        <f aca="false">D95</f>
        <v>-1307.767816</v>
      </c>
      <c r="E32" s="470" t="n">
        <f aca="false">E95</f>
        <v>-1453.33792</v>
      </c>
      <c r="F32" s="470" t="n">
        <f aca="false">F95</f>
        <v>201.75228</v>
      </c>
      <c r="G32" s="470" t="n">
        <f aca="false">D91</f>
        <v>-833.411</v>
      </c>
      <c r="H32" s="470" t="n">
        <f aca="false">E91</f>
        <v>-881.678</v>
      </c>
      <c r="I32" s="470" t="n">
        <f aca="false">F91</f>
        <v>61.923</v>
      </c>
    </row>
    <row r="33" customFormat="false" ht="11.25" hidden="false" customHeight="true" outlineLevel="0" collapsed="false">
      <c r="B33" s="160"/>
      <c r="C33" s="638"/>
      <c r="D33" s="470"/>
      <c r="E33" s="470"/>
      <c r="F33" s="470"/>
      <c r="G33" s="470"/>
      <c r="H33" s="470"/>
      <c r="I33" s="470"/>
    </row>
    <row r="34" customFormat="false" ht="11.25" hidden="false" customHeight="true" outlineLevel="0" collapsed="false">
      <c r="B34" s="160" t="s">
        <v>2151</v>
      </c>
      <c r="C34" s="638" t="n">
        <v>1997</v>
      </c>
      <c r="D34" s="294" t="n">
        <v>-1309.231</v>
      </c>
      <c r="E34" s="294" t="n">
        <v>-1460.913</v>
      </c>
      <c r="F34" s="676" t="n">
        <v>180.87</v>
      </c>
      <c r="G34" s="294"/>
      <c r="H34" s="294"/>
      <c r="I34" s="294"/>
      <c r="J34" s="10" t="s">
        <v>2152</v>
      </c>
    </row>
    <row r="35" customFormat="false" ht="11.25" hidden="false" customHeight="true" outlineLevel="0" collapsed="false">
      <c r="B35" s="160" t="s">
        <v>2153</v>
      </c>
      <c r="C35" s="638" t="n">
        <v>2000</v>
      </c>
      <c r="D35" s="470" t="n">
        <v>-1309.181</v>
      </c>
      <c r="E35" s="470" t="n">
        <v>-1461.722</v>
      </c>
      <c r="F35" s="677" t="n">
        <v>178.85</v>
      </c>
      <c r="G35" s="470"/>
      <c r="H35" s="470"/>
      <c r="I35" s="470"/>
      <c r="J35" s="10" t="s">
        <v>2154</v>
      </c>
    </row>
    <row r="36" customFormat="false" ht="11.25" hidden="false" customHeight="true" outlineLevel="0" collapsed="false">
      <c r="B36" s="160" t="s">
        <v>2155</v>
      </c>
      <c r="C36" s="638" t="n">
        <v>2001</v>
      </c>
      <c r="D36" s="470" t="n">
        <v>-1309.257</v>
      </c>
      <c r="E36" s="470" t="n">
        <f aca="false">E78</f>
        <v>-1458.861</v>
      </c>
      <c r="F36" s="677" t="n">
        <v>188.7</v>
      </c>
      <c r="G36" s="640"/>
      <c r="H36" s="640"/>
      <c r="I36" s="640"/>
      <c r="J36" s="10" t="s">
        <v>2156</v>
      </c>
    </row>
    <row r="37" customFormat="false" ht="11.25" hidden="false" customHeight="true" outlineLevel="0" collapsed="false">
      <c r="B37" s="304" t="s">
        <v>2157</v>
      </c>
      <c r="C37" s="643" t="n">
        <v>2004</v>
      </c>
      <c r="D37" s="644" t="n">
        <f aca="false">D57</f>
        <v>-1309.241</v>
      </c>
      <c r="E37" s="644" t="n">
        <f aca="false">E57</f>
        <v>-1459.433</v>
      </c>
      <c r="F37" s="644" t="n">
        <f aca="false">F57</f>
        <v>186.406</v>
      </c>
      <c r="G37" s="644" t="n">
        <f aca="false">D53</f>
        <v>-834.875</v>
      </c>
      <c r="H37" s="644" t="n">
        <f aca="false">E53</f>
        <v>-887.757</v>
      </c>
      <c r="I37" s="644" t="n">
        <f aca="false">F53</f>
        <v>46.56</v>
      </c>
      <c r="J37" s="10" t="s">
        <v>2158</v>
      </c>
    </row>
    <row r="38" customFormat="false" ht="11.25" hidden="false" customHeight="true" outlineLevel="0" collapsed="false"/>
    <row r="39" customFormat="false" ht="11.25" hidden="false" customHeight="true" outlineLevel="0" collapsed="false">
      <c r="B39" s="112" t="s">
        <v>2159</v>
      </c>
      <c r="C39" s="240" t="n">
        <f aca="false">AVERAGE(D30:D32)</f>
        <v>-1307.75593866667</v>
      </c>
      <c r="D39" s="10" t="s">
        <v>1167</v>
      </c>
    </row>
    <row r="40" customFormat="false" ht="11.25" hidden="false" customHeight="true" outlineLevel="0" collapsed="false">
      <c r="B40" s="112" t="s">
        <v>2160</v>
      </c>
      <c r="C40" s="240" t="n">
        <f aca="false">AVERAGE(D34:D37)</f>
        <v>-1309.2275</v>
      </c>
      <c r="D40" s="10" t="s">
        <v>1167</v>
      </c>
    </row>
    <row r="41" customFormat="false" ht="11.25" hidden="false" customHeight="true" outlineLevel="0" collapsed="false">
      <c r="B41" s="112" t="s">
        <v>2161</v>
      </c>
      <c r="C41" s="240" t="n">
        <f aca="false">C40-C39</f>
        <v>-1.47156133333328</v>
      </c>
      <c r="D41" s="10" t="s">
        <v>1167</v>
      </c>
    </row>
    <row r="42" customFormat="false" ht="11.25" hidden="false" customHeight="true" outlineLevel="0" collapsed="false"/>
    <row r="43" customFormat="false" ht="11.25" hidden="false" customHeight="true" outlineLevel="0" collapsed="false">
      <c r="B43" s="10" t="s">
        <v>1203</v>
      </c>
      <c r="D43" s="678" t="n">
        <v>0.03261761</v>
      </c>
      <c r="E43" s="10" t="s">
        <v>2162</v>
      </c>
      <c r="H43" s="240"/>
    </row>
    <row r="44" customFormat="false" ht="11.25" hidden="false" customHeight="true" outlineLevel="0" collapsed="false">
      <c r="D44" s="679"/>
    </row>
    <row r="45" customFormat="false" ht="11.25" hidden="false" customHeight="true" outlineLevel="0" collapsed="false">
      <c r="D45" s="679"/>
    </row>
    <row r="46" customFormat="false" ht="11.25" hidden="false" customHeight="true" outlineLevel="0" collapsed="false">
      <c r="B46" s="10" t="s">
        <v>2163</v>
      </c>
      <c r="D46" s="679"/>
    </row>
    <row r="47" customFormat="false" ht="11.25" hidden="false" customHeight="true" outlineLevel="0" collapsed="false"/>
    <row r="48" customFormat="false" ht="11.25" hidden="false" customHeight="true" outlineLevel="0" collapsed="false">
      <c r="B48" s="456" t="s">
        <v>2157</v>
      </c>
      <c r="C48" s="666"/>
      <c r="D48" s="666"/>
      <c r="E48" s="666"/>
      <c r="F48" s="666"/>
      <c r="G48" s="666"/>
      <c r="H48" s="666"/>
      <c r="I48" s="666"/>
      <c r="J48" s="667"/>
      <c r="K48" s="280"/>
      <c r="L48" s="280"/>
    </row>
    <row r="49" customFormat="false" ht="11.25" hidden="false" customHeight="true" outlineLevel="0" collapsed="false">
      <c r="B49" s="680" t="s">
        <v>2164</v>
      </c>
      <c r="C49" s="280"/>
      <c r="D49" s="280"/>
      <c r="E49" s="280"/>
      <c r="F49" s="280"/>
      <c r="G49" s="280"/>
      <c r="H49" s="280"/>
      <c r="I49" s="280"/>
      <c r="J49" s="619"/>
      <c r="K49" s="280"/>
      <c r="L49" s="280"/>
    </row>
    <row r="50" customFormat="false" ht="11.25" hidden="false" customHeight="true" outlineLevel="0" collapsed="false">
      <c r="B50" s="680"/>
      <c r="C50" s="280"/>
      <c r="D50" s="280"/>
      <c r="E50" s="280"/>
      <c r="F50" s="280"/>
      <c r="G50" s="280"/>
      <c r="H50" s="280"/>
      <c r="I50" s="280"/>
      <c r="J50" s="619"/>
      <c r="K50" s="280"/>
      <c r="L50" s="280"/>
    </row>
    <row r="51" customFormat="false" ht="11.25" hidden="false" customHeight="true" outlineLevel="0" collapsed="false">
      <c r="B51" s="680"/>
      <c r="C51" s="280"/>
      <c r="D51" s="280" t="s">
        <v>2138</v>
      </c>
      <c r="E51" s="280" t="s">
        <v>74</v>
      </c>
      <c r="F51" s="280" t="s">
        <v>125</v>
      </c>
      <c r="G51" s="280"/>
      <c r="H51" s="280"/>
      <c r="I51" s="280"/>
      <c r="J51" s="619"/>
      <c r="K51" s="280"/>
      <c r="L51" s="280"/>
    </row>
    <row r="52" customFormat="false" ht="11.25" hidden="false" customHeight="true" outlineLevel="0" collapsed="false">
      <c r="B52" s="668"/>
      <c r="C52" s="280"/>
      <c r="D52" s="673" t="n">
        <v>-199.54</v>
      </c>
      <c r="E52" s="673" t="n">
        <v>-212.179</v>
      </c>
      <c r="F52" s="673" t="n">
        <v>11.128</v>
      </c>
      <c r="G52" s="280" t="s">
        <v>2165</v>
      </c>
      <c r="H52" s="280" t="s">
        <v>1021</v>
      </c>
      <c r="I52" s="280"/>
      <c r="J52" s="619"/>
      <c r="K52" s="280"/>
      <c r="L52" s="280"/>
    </row>
    <row r="53" customFormat="false" ht="11.25" hidden="false" customHeight="true" outlineLevel="0" collapsed="false">
      <c r="B53" s="668" t="s">
        <v>2166</v>
      </c>
      <c r="C53" s="280"/>
      <c r="D53" s="673" t="n">
        <f aca="false">ROUND(4.184*D52,3)</f>
        <v>-834.875</v>
      </c>
      <c r="E53" s="673" t="n">
        <f aca="false">ROUND(4.184*E52,3)</f>
        <v>-887.757</v>
      </c>
      <c r="F53" s="673" t="n">
        <f aca="false">ROUND(4.184*F52,3)</f>
        <v>46.56</v>
      </c>
      <c r="G53" s="280" t="s">
        <v>2167</v>
      </c>
      <c r="H53" s="280" t="s">
        <v>1021</v>
      </c>
      <c r="I53" s="280"/>
      <c r="J53" s="619"/>
      <c r="K53" s="280"/>
      <c r="L53" s="280"/>
    </row>
    <row r="54" customFormat="false" ht="11.25" hidden="false" customHeight="true" outlineLevel="0" collapsed="false">
      <c r="B54" s="668"/>
      <c r="C54" s="280"/>
      <c r="D54" s="673"/>
      <c r="E54" s="673"/>
      <c r="F54" s="673"/>
      <c r="G54" s="280"/>
      <c r="H54" s="280"/>
      <c r="I54" s="280"/>
      <c r="J54" s="619"/>
      <c r="K54" s="280"/>
      <c r="L54" s="280"/>
    </row>
    <row r="55" customFormat="false" ht="11.25" hidden="false" customHeight="true" outlineLevel="0" collapsed="false">
      <c r="B55" s="668" t="s">
        <v>2168</v>
      </c>
      <c r="C55" s="280"/>
      <c r="D55" s="673" t="n">
        <v>-56.688</v>
      </c>
      <c r="E55" s="673" t="n">
        <v>-68.317</v>
      </c>
      <c r="F55" s="673" t="n">
        <v>16.712</v>
      </c>
      <c r="G55" s="280" t="s">
        <v>2165</v>
      </c>
      <c r="H55" s="280"/>
      <c r="I55" s="280"/>
      <c r="J55" s="619"/>
      <c r="K55" s="280"/>
      <c r="L55" s="280"/>
    </row>
    <row r="56" customFormat="false" ht="11.25" hidden="false" customHeight="true" outlineLevel="0" collapsed="false">
      <c r="B56" s="668"/>
      <c r="C56" s="280"/>
      <c r="D56" s="673" t="n">
        <f aca="false">ROUND(4.184*D55,3)</f>
        <v>-237.183</v>
      </c>
      <c r="E56" s="673" t="n">
        <f aca="false">ROUND(4.184*E55,3)</f>
        <v>-285.838</v>
      </c>
      <c r="F56" s="673" t="n">
        <f aca="false">ROUND(4.184*F55,3)</f>
        <v>69.923</v>
      </c>
      <c r="G56" s="280" t="s">
        <v>2167</v>
      </c>
      <c r="H56" s="280"/>
      <c r="I56" s="280"/>
      <c r="J56" s="619"/>
      <c r="K56" s="280"/>
      <c r="L56" s="280"/>
    </row>
    <row r="57" customFormat="false" ht="11.25" hidden="false" customHeight="true" outlineLevel="0" collapsed="false">
      <c r="B57" s="668" t="s">
        <v>909</v>
      </c>
      <c r="C57" s="280"/>
      <c r="D57" s="673" t="n">
        <f aca="false">ROUND(D53+2*D56,3)</f>
        <v>-1309.241</v>
      </c>
      <c r="E57" s="673" t="n">
        <f aca="false">ROUND(E53+2*E56,3)</f>
        <v>-1459.433</v>
      </c>
      <c r="F57" s="673" t="n">
        <f aca="false">ROUND(F53+2*F56,3)</f>
        <v>186.406</v>
      </c>
      <c r="G57" s="280" t="s">
        <v>2167</v>
      </c>
      <c r="H57" s="280"/>
      <c r="I57" s="280"/>
      <c r="J57" s="619"/>
      <c r="K57" s="280"/>
      <c r="L57" s="280"/>
    </row>
    <row r="58" customFormat="false" ht="11.25" hidden="false" customHeight="true" outlineLevel="0" collapsed="false">
      <c r="B58" s="681"/>
      <c r="C58" s="674"/>
      <c r="D58" s="682"/>
      <c r="E58" s="682"/>
      <c r="F58" s="682"/>
      <c r="G58" s="674"/>
      <c r="H58" s="674"/>
      <c r="I58" s="674"/>
      <c r="J58" s="675"/>
    </row>
    <row r="59" customFormat="false" ht="11.25" hidden="false" customHeight="true" outlineLevel="0" collapsed="false">
      <c r="B59" s="112"/>
      <c r="C59" s="280"/>
      <c r="D59" s="673"/>
      <c r="E59" s="673"/>
      <c r="F59" s="673"/>
      <c r="G59" s="280"/>
      <c r="H59" s="280"/>
      <c r="I59" s="280"/>
      <c r="J59" s="280"/>
    </row>
    <row r="60" customFormat="false" ht="11.25" hidden="false" customHeight="true" outlineLevel="0" collapsed="false">
      <c r="B60" s="112"/>
      <c r="C60" s="280"/>
      <c r="D60" s="673"/>
      <c r="E60" s="673"/>
      <c r="F60" s="673"/>
      <c r="G60" s="280"/>
      <c r="H60" s="280"/>
      <c r="I60" s="280"/>
      <c r="J60" s="280"/>
    </row>
    <row r="61" customFormat="false" ht="11.25" hidden="false" customHeight="true" outlineLevel="0" collapsed="false">
      <c r="B61" s="456" t="s">
        <v>2169</v>
      </c>
      <c r="C61" s="666"/>
      <c r="D61" s="666"/>
      <c r="E61" s="666"/>
      <c r="F61" s="666"/>
      <c r="G61" s="666"/>
      <c r="H61" s="666"/>
      <c r="I61" s="666"/>
      <c r="J61" s="667"/>
    </row>
    <row r="62" customFormat="false" ht="11.25" hidden="false" customHeight="true" outlineLevel="0" collapsed="false">
      <c r="B62" s="680" t="s">
        <v>2164</v>
      </c>
      <c r="C62" s="280"/>
      <c r="D62" s="280"/>
      <c r="E62" s="280"/>
      <c r="F62" s="280"/>
      <c r="G62" s="280"/>
      <c r="H62" s="280"/>
      <c r="I62" s="280"/>
      <c r="J62" s="619"/>
    </row>
    <row r="63" customFormat="false" ht="11.25" hidden="false" customHeight="true" outlineLevel="0" collapsed="false">
      <c r="B63" s="680" t="s">
        <v>2170</v>
      </c>
      <c r="C63" s="280"/>
      <c r="D63" s="280"/>
      <c r="E63" s="280"/>
      <c r="F63" s="280"/>
      <c r="G63" s="280"/>
      <c r="H63" s="280"/>
      <c r="I63" s="280"/>
      <c r="J63" s="619"/>
    </row>
    <row r="64" customFormat="false" ht="11.25" hidden="false" customHeight="true" outlineLevel="0" collapsed="false">
      <c r="B64" s="680"/>
      <c r="C64" s="280"/>
      <c r="D64" s="280" t="s">
        <v>2138</v>
      </c>
      <c r="E64" s="280" t="s">
        <v>74</v>
      </c>
      <c r="F64" s="280" t="s">
        <v>125</v>
      </c>
      <c r="G64" s="280"/>
      <c r="H64" s="280"/>
      <c r="I64" s="280"/>
      <c r="J64" s="619"/>
    </row>
    <row r="65" customFormat="false" ht="11.25" hidden="false" customHeight="true" outlineLevel="0" collapsed="false">
      <c r="B65" s="668"/>
      <c r="C65" s="280"/>
      <c r="D65" s="673" t="n">
        <v>-199.56</v>
      </c>
      <c r="E65" s="683" t="n">
        <v>-213.94</v>
      </c>
      <c r="F65" s="673" t="n">
        <v>5.3</v>
      </c>
      <c r="G65" s="280" t="s">
        <v>2165</v>
      </c>
      <c r="H65" s="280" t="s">
        <v>1021</v>
      </c>
      <c r="I65" s="280"/>
      <c r="J65" s="619"/>
    </row>
    <row r="66" customFormat="false" ht="11.25" hidden="false" customHeight="true" outlineLevel="0" collapsed="false">
      <c r="B66" s="668" t="s">
        <v>2166</v>
      </c>
      <c r="C66" s="280"/>
      <c r="D66" s="673" t="n">
        <f aca="false">ROUND(4.184*D65,3)</f>
        <v>-834.959</v>
      </c>
      <c r="E66" s="673" t="n">
        <f aca="false">ROUND(4.184*E65,3)</f>
        <v>-895.125</v>
      </c>
      <c r="F66" s="673" t="n">
        <f aca="false">ROUND(4.184*F65,3)</f>
        <v>22.175</v>
      </c>
      <c r="G66" s="280" t="s">
        <v>2167</v>
      </c>
      <c r="H66" s="280" t="s">
        <v>1021</v>
      </c>
      <c r="I66" s="280"/>
      <c r="J66" s="619"/>
    </row>
    <row r="67" customFormat="false" ht="11.25" hidden="false" customHeight="true" outlineLevel="0" collapsed="false">
      <c r="B67" s="668"/>
      <c r="C67" s="280"/>
      <c r="D67" s="673"/>
      <c r="E67" s="673"/>
      <c r="F67" s="673"/>
      <c r="G67" s="280"/>
      <c r="H67" s="280"/>
      <c r="I67" s="280"/>
      <c r="J67" s="619"/>
    </row>
    <row r="68" customFormat="false" ht="11.25" hidden="false" customHeight="true" outlineLevel="0" collapsed="false">
      <c r="B68" s="668" t="s">
        <v>2168</v>
      </c>
      <c r="C68" s="280"/>
      <c r="D68" s="673" t="n">
        <v>-56.688</v>
      </c>
      <c r="E68" s="673" t="n">
        <v>-68.317</v>
      </c>
      <c r="F68" s="673" t="n">
        <v>16.712</v>
      </c>
      <c r="G68" s="280" t="s">
        <v>2165</v>
      </c>
      <c r="H68" s="280"/>
      <c r="I68" s="280"/>
      <c r="J68" s="619"/>
    </row>
    <row r="69" customFormat="false" ht="11.25" hidden="false" customHeight="true" outlineLevel="0" collapsed="false">
      <c r="B69" s="668"/>
      <c r="C69" s="280"/>
      <c r="D69" s="673" t="n">
        <f aca="false">ROUND(4.184*D68,3)</f>
        <v>-237.183</v>
      </c>
      <c r="E69" s="673" t="n">
        <f aca="false">ROUND(4.184*E68,3)</f>
        <v>-285.838</v>
      </c>
      <c r="F69" s="673" t="n">
        <f aca="false">ROUND(4.184*F68,3)</f>
        <v>69.923</v>
      </c>
      <c r="G69" s="280" t="s">
        <v>2167</v>
      </c>
      <c r="H69" s="280"/>
      <c r="I69" s="280"/>
      <c r="J69" s="619"/>
    </row>
    <row r="70" customFormat="false" ht="11.25" hidden="false" customHeight="true" outlineLevel="0" collapsed="false">
      <c r="B70" s="668" t="s">
        <v>909</v>
      </c>
      <c r="C70" s="280"/>
      <c r="D70" s="673" t="n">
        <f aca="false">ROUND(D66+2*D69,3)</f>
        <v>-1309.325</v>
      </c>
      <c r="E70" s="683" t="n">
        <f aca="false">ROUND(E66+2*E69,3)</f>
        <v>-1466.801</v>
      </c>
      <c r="F70" s="673" t="n">
        <f aca="false">ROUND(F66+2*F69,3)</f>
        <v>162.021</v>
      </c>
      <c r="G70" s="280" t="s">
        <v>2167</v>
      </c>
      <c r="H70" s="280"/>
      <c r="I70" s="280"/>
      <c r="J70" s="619"/>
    </row>
    <row r="71" customFormat="false" ht="11.25" hidden="false" customHeight="true" outlineLevel="0" collapsed="false">
      <c r="B71" s="681"/>
      <c r="C71" s="674"/>
      <c r="D71" s="682"/>
      <c r="E71" s="682"/>
      <c r="F71" s="682"/>
      <c r="G71" s="674"/>
      <c r="H71" s="674"/>
      <c r="I71" s="674"/>
      <c r="J71" s="675"/>
    </row>
    <row r="72" customFormat="false" ht="11.25" hidden="false" customHeight="true" outlineLevel="0" collapsed="false">
      <c r="B72" s="112"/>
      <c r="D72" s="240"/>
      <c r="E72" s="240"/>
      <c r="F72" s="240"/>
    </row>
    <row r="73" customFormat="false" ht="11.25" hidden="false" customHeight="true" outlineLevel="0" collapsed="false"/>
    <row r="74" customFormat="false" ht="11.25" hidden="false" customHeight="true" outlineLevel="0" collapsed="false">
      <c r="B74" s="169" t="s">
        <v>2155</v>
      </c>
      <c r="C74" s="684"/>
      <c r="D74" s="666"/>
      <c r="E74" s="666"/>
      <c r="F74" s="666"/>
      <c r="G74" s="666"/>
      <c r="H74" s="666"/>
      <c r="I74" s="666"/>
      <c r="J74" s="667"/>
    </row>
    <row r="75" customFormat="false" ht="11.25" hidden="false" customHeight="true" outlineLevel="0" collapsed="false">
      <c r="B75" s="668" t="s">
        <v>2171</v>
      </c>
      <c r="C75" s="382"/>
      <c r="D75" s="280"/>
      <c r="E75" s="280"/>
      <c r="F75" s="280"/>
      <c r="G75" s="280"/>
      <c r="H75" s="280"/>
      <c r="I75" s="280"/>
      <c r="J75" s="619"/>
    </row>
    <row r="76" customFormat="false" ht="11.25" hidden="false" customHeight="true" outlineLevel="0" collapsed="false">
      <c r="B76" s="668"/>
      <c r="C76" s="382"/>
      <c r="D76" s="280" t="s">
        <v>2138</v>
      </c>
      <c r="E76" s="280" t="s">
        <v>74</v>
      </c>
      <c r="F76" s="280" t="s">
        <v>125</v>
      </c>
      <c r="G76" s="280"/>
      <c r="H76" s="280"/>
      <c r="I76" s="280"/>
      <c r="J76" s="619"/>
    </row>
    <row r="77" customFormat="false" ht="12.75" hidden="false" customHeight="false" outlineLevel="0" collapsed="false">
      <c r="B77" s="668"/>
      <c r="C77" s="382"/>
      <c r="D77" s="647" t="n">
        <v>-1309.257</v>
      </c>
      <c r="E77" s="210" t="n">
        <v>-1458.861</v>
      </c>
      <c r="F77" s="685" t="n">
        <v>188.7</v>
      </c>
      <c r="G77" s="280" t="s">
        <v>2172</v>
      </c>
      <c r="H77" s="280"/>
      <c r="I77" s="280"/>
      <c r="J77" s="619"/>
    </row>
    <row r="78" customFormat="false" ht="12.75" hidden="false" customHeight="false" outlineLevel="0" collapsed="false">
      <c r="B78" s="668"/>
      <c r="C78" s="280"/>
      <c r="D78" s="280"/>
      <c r="E78" s="686" t="n">
        <f aca="false">ROUND(D77+298.15*E80/1000,3)</f>
        <v>-1458.861</v>
      </c>
      <c r="F78" s="280"/>
      <c r="G78" s="280" t="s">
        <v>2173</v>
      </c>
      <c r="H78" s="280"/>
      <c r="I78" s="280"/>
      <c r="J78" s="619"/>
    </row>
    <row r="79" customFormat="false" ht="12.75" hidden="false" customHeight="false" outlineLevel="0" collapsed="false">
      <c r="B79" s="668" t="s">
        <v>529</v>
      </c>
      <c r="C79" s="280"/>
      <c r="D79" s="280"/>
      <c r="E79" s="280"/>
      <c r="F79" s="280"/>
      <c r="G79" s="280"/>
      <c r="H79" s="280"/>
      <c r="I79" s="280"/>
      <c r="J79" s="619"/>
    </row>
    <row r="80" customFormat="false" ht="14.25" hidden="false" customHeight="false" outlineLevel="0" collapsed="false">
      <c r="B80" s="38" t="s">
        <v>75</v>
      </c>
      <c r="C80" s="64" t="s">
        <v>623</v>
      </c>
      <c r="D80" s="280"/>
      <c r="E80" s="673" t="n">
        <f aca="false">F77-2*C80-2*C81-1*C82</f>
        <v>-501.774</v>
      </c>
      <c r="F80" s="673" t="s">
        <v>2174</v>
      </c>
      <c r="G80" s="673"/>
      <c r="H80" s="280"/>
      <c r="I80" s="280"/>
      <c r="J80" s="619"/>
    </row>
    <row r="81" customFormat="false" ht="12.75" hidden="false" customHeight="false" outlineLevel="0" collapsed="false">
      <c r="B81" s="38" t="s">
        <v>107</v>
      </c>
      <c r="C81" s="64" t="s">
        <v>760</v>
      </c>
      <c r="D81" s="280"/>
      <c r="E81" s="280"/>
      <c r="F81" s="280"/>
      <c r="G81" s="280"/>
      <c r="H81" s="280"/>
      <c r="I81" s="280"/>
      <c r="J81" s="619"/>
    </row>
    <row r="82" customFormat="false" ht="12.75" hidden="false" customHeight="false" outlineLevel="0" collapsed="false">
      <c r="B82" s="31" t="s">
        <v>129</v>
      </c>
      <c r="C82" s="62" t="n">
        <v>18.81</v>
      </c>
      <c r="D82" s="280"/>
      <c r="E82" s="280"/>
      <c r="F82" s="280"/>
      <c r="G82" s="280"/>
      <c r="H82" s="280"/>
      <c r="I82" s="280"/>
      <c r="J82" s="619"/>
    </row>
    <row r="83" customFormat="false" ht="13.5" hidden="false" customHeight="false" outlineLevel="0" collapsed="false">
      <c r="B83" s="178"/>
      <c r="C83" s="674"/>
      <c r="D83" s="674"/>
      <c r="E83" s="674"/>
      <c r="F83" s="674"/>
      <c r="G83" s="674"/>
      <c r="H83" s="674"/>
      <c r="I83" s="674"/>
      <c r="J83" s="675"/>
    </row>
    <row r="85" customFormat="false" ht="13.5" hidden="false" customHeight="false" outlineLevel="0" collapsed="false"/>
    <row r="86" customFormat="false" ht="12.75" hidden="false" customHeight="false" outlineLevel="0" collapsed="false">
      <c r="B86" s="169" t="s">
        <v>2150</v>
      </c>
      <c r="C86" s="666"/>
      <c r="D86" s="666"/>
      <c r="E86" s="666"/>
      <c r="F86" s="666"/>
      <c r="G86" s="666"/>
      <c r="H86" s="666"/>
      <c r="I86" s="666"/>
      <c r="J86" s="667"/>
    </row>
    <row r="87" customFormat="false" ht="12.75" hidden="false" customHeight="false" outlineLevel="0" collapsed="false">
      <c r="B87" s="668" t="s">
        <v>2164</v>
      </c>
      <c r="C87" s="280"/>
      <c r="D87" s="280"/>
      <c r="E87" s="280"/>
      <c r="F87" s="280"/>
      <c r="G87" s="280"/>
      <c r="H87" s="280"/>
      <c r="I87" s="280"/>
      <c r="J87" s="619"/>
    </row>
    <row r="88" customFormat="false" ht="12.75" hidden="false" customHeight="false" outlineLevel="0" collapsed="false">
      <c r="B88" s="668"/>
      <c r="C88" s="280"/>
      <c r="D88" s="280"/>
      <c r="E88" s="280"/>
      <c r="F88" s="280"/>
      <c r="G88" s="280"/>
      <c r="H88" s="280"/>
      <c r="I88" s="280"/>
      <c r="J88" s="619"/>
    </row>
    <row r="89" customFormat="false" ht="12.75" hidden="false" customHeight="false" outlineLevel="0" collapsed="false">
      <c r="B89" s="668"/>
      <c r="C89" s="280"/>
      <c r="D89" s="280" t="s">
        <v>2138</v>
      </c>
      <c r="E89" s="280" t="s">
        <v>74</v>
      </c>
      <c r="F89" s="280" t="s">
        <v>125</v>
      </c>
      <c r="G89" s="280"/>
      <c r="H89" s="280"/>
      <c r="I89" s="280"/>
      <c r="J89" s="619"/>
    </row>
    <row r="90" customFormat="false" ht="12.75" hidden="false" customHeight="false" outlineLevel="0" collapsed="false">
      <c r="B90" s="668"/>
      <c r="C90" s="280"/>
      <c r="D90" s="280" t="n">
        <v>-199.19</v>
      </c>
      <c r="E90" s="280" t="n">
        <v>-210.726</v>
      </c>
      <c r="F90" s="280" t="n">
        <v>14.8</v>
      </c>
      <c r="G90" s="280" t="s">
        <v>2165</v>
      </c>
      <c r="H90" s="280"/>
      <c r="I90" s="280"/>
      <c r="J90" s="619"/>
    </row>
    <row r="91" customFormat="false" ht="12.75" hidden="false" customHeight="false" outlineLevel="0" collapsed="false">
      <c r="B91" s="668" t="s">
        <v>2166</v>
      </c>
      <c r="C91" s="280"/>
      <c r="D91" s="280" t="n">
        <f aca="false">ROUND(4.184*D90,3)</f>
        <v>-833.411</v>
      </c>
      <c r="E91" s="280" t="n">
        <f aca="false">ROUND(4.184*E90,3)</f>
        <v>-881.678</v>
      </c>
      <c r="F91" s="280" t="n">
        <f aca="false">ROUND(4.184*F90,3)</f>
        <v>61.923</v>
      </c>
      <c r="G91" s="280" t="s">
        <v>2167</v>
      </c>
      <c r="H91" s="280"/>
      <c r="I91" s="280"/>
      <c r="J91" s="619"/>
    </row>
    <row r="92" customFormat="false" ht="12.75" hidden="false" customHeight="false" outlineLevel="0" collapsed="false">
      <c r="B92" s="668"/>
      <c r="C92" s="280"/>
      <c r="D92" s="280"/>
      <c r="E92" s="280"/>
      <c r="F92" s="280"/>
      <c r="G92" s="280"/>
      <c r="H92" s="280"/>
      <c r="I92" s="280"/>
      <c r="J92" s="619"/>
    </row>
    <row r="93" customFormat="false" ht="12.75" hidden="false" customHeight="false" outlineLevel="0" collapsed="false">
      <c r="B93" s="668" t="s">
        <v>2175</v>
      </c>
      <c r="C93" s="280"/>
      <c r="D93" s="504" t="n">
        <v>-56.687</v>
      </c>
      <c r="E93" s="504" t="n">
        <v>-68.315</v>
      </c>
      <c r="F93" s="504" t="n">
        <v>16.71</v>
      </c>
      <c r="G93" s="280" t="s">
        <v>2165</v>
      </c>
      <c r="H93" s="280"/>
      <c r="I93" s="280"/>
      <c r="J93" s="619"/>
    </row>
    <row r="94" customFormat="false" ht="12.75" hidden="false" customHeight="false" outlineLevel="0" collapsed="false">
      <c r="B94" s="668"/>
      <c r="C94" s="280"/>
      <c r="D94" s="673" t="n">
        <f aca="false">4.184*D93</f>
        <v>-237.178408</v>
      </c>
      <c r="E94" s="673" t="n">
        <f aca="false">4.184*E93</f>
        <v>-285.82996</v>
      </c>
      <c r="F94" s="673" t="n">
        <f aca="false">4.184*F93</f>
        <v>69.91464</v>
      </c>
      <c r="G94" s="280" t="s">
        <v>2167</v>
      </c>
      <c r="H94" s="280"/>
      <c r="I94" s="280"/>
      <c r="J94" s="619"/>
    </row>
    <row r="95" customFormat="false" ht="13.5" hidden="false" customHeight="false" outlineLevel="0" collapsed="false">
      <c r="B95" s="178" t="s">
        <v>909</v>
      </c>
      <c r="C95" s="674"/>
      <c r="D95" s="682" t="n">
        <f aca="false">D91+2*D94</f>
        <v>-1307.767816</v>
      </c>
      <c r="E95" s="682" t="n">
        <f aca="false">E91+2*E94</f>
        <v>-1453.33792</v>
      </c>
      <c r="F95" s="682" t="n">
        <f aca="false">F91+2*F94</f>
        <v>201.75228</v>
      </c>
      <c r="G95" s="674" t="s">
        <v>2167</v>
      </c>
      <c r="H95" s="674"/>
      <c r="I95" s="674"/>
      <c r="J95" s="675"/>
    </row>
    <row r="97" customFormat="false" ht="13.5" hidden="false" customHeight="false" outlineLevel="0" collapsed="false"/>
    <row r="98" customFormat="false" ht="12.75" hidden="false" customHeight="false" outlineLevel="0" collapsed="false">
      <c r="B98" s="169" t="s">
        <v>2176</v>
      </c>
      <c r="C98" s="666"/>
      <c r="D98" s="666"/>
      <c r="E98" s="666"/>
      <c r="F98" s="666"/>
      <c r="G98" s="666"/>
      <c r="H98" s="666"/>
      <c r="I98" s="666"/>
      <c r="J98" s="667"/>
    </row>
    <row r="99" customFormat="false" ht="12.75" hidden="false" customHeight="false" outlineLevel="0" collapsed="false">
      <c r="B99" s="668" t="s">
        <v>2171</v>
      </c>
      <c r="C99" s="280"/>
      <c r="D99" s="280"/>
      <c r="E99" s="280"/>
      <c r="F99" s="280"/>
      <c r="G99" s="280"/>
      <c r="H99" s="280"/>
      <c r="I99" s="280"/>
      <c r="J99" s="619"/>
    </row>
    <row r="100" customFormat="false" ht="12.75" hidden="false" customHeight="false" outlineLevel="0" collapsed="false">
      <c r="B100" s="668"/>
      <c r="C100" s="280"/>
      <c r="D100" s="280"/>
      <c r="E100" s="280"/>
      <c r="F100" s="280"/>
      <c r="G100" s="280"/>
      <c r="H100" s="280"/>
      <c r="I100" s="280"/>
      <c r="J100" s="619"/>
    </row>
    <row r="101" customFormat="false" ht="12.75" hidden="false" customHeight="false" outlineLevel="0" collapsed="false">
      <c r="B101" s="668"/>
      <c r="C101" s="280"/>
      <c r="D101" s="280" t="s">
        <v>2138</v>
      </c>
      <c r="E101" s="280" t="s">
        <v>74</v>
      </c>
      <c r="F101" s="280" t="s">
        <v>125</v>
      </c>
      <c r="G101" s="280"/>
      <c r="H101" s="280"/>
      <c r="I101" s="280"/>
      <c r="J101" s="619"/>
    </row>
    <row r="102" customFormat="false" ht="12.75" hidden="false" customHeight="false" outlineLevel="0" collapsed="false">
      <c r="B102" s="668"/>
      <c r="C102" s="280"/>
      <c r="D102" s="673" t="n">
        <v>-1308</v>
      </c>
      <c r="E102" s="673" t="n">
        <v>-1460</v>
      </c>
      <c r="F102" s="673" t="n">
        <v>180</v>
      </c>
      <c r="G102" s="280" t="s">
        <v>2167</v>
      </c>
      <c r="H102" s="280"/>
      <c r="I102" s="280"/>
      <c r="J102" s="619"/>
    </row>
    <row r="103" customFormat="false" ht="12.75" hidden="false" customHeight="false" outlineLevel="0" collapsed="false">
      <c r="B103" s="668"/>
      <c r="C103" s="280"/>
      <c r="D103" s="673"/>
      <c r="E103" s="280" t="n">
        <f aca="false">ROUND(D102+298.15*E105/1000,3)</f>
        <v>-1460.197</v>
      </c>
      <c r="F103" s="673"/>
      <c r="G103" s="280" t="s">
        <v>2173</v>
      </c>
      <c r="H103" s="280"/>
      <c r="I103" s="280"/>
      <c r="J103" s="619"/>
    </row>
    <row r="104" customFormat="false" ht="12.75" hidden="false" customHeight="false" outlineLevel="0" collapsed="false">
      <c r="B104" s="668"/>
      <c r="C104" s="280"/>
      <c r="D104" s="673"/>
      <c r="E104" s="673"/>
      <c r="F104" s="673"/>
      <c r="G104" s="280"/>
      <c r="H104" s="280"/>
      <c r="I104" s="280"/>
      <c r="J104" s="619"/>
    </row>
    <row r="105" customFormat="false" ht="14.25" hidden="false" customHeight="false" outlineLevel="0" collapsed="false">
      <c r="B105" s="38" t="s">
        <v>75</v>
      </c>
      <c r="C105" s="556" t="s">
        <v>1665</v>
      </c>
      <c r="D105" s="673"/>
      <c r="E105" s="673" t="n">
        <f aca="false">F102-2*C105-2*C106-1*C107</f>
        <v>-510.47</v>
      </c>
      <c r="F105" s="673" t="s">
        <v>2174</v>
      </c>
      <c r="G105" s="280"/>
      <c r="H105" s="280"/>
      <c r="I105" s="280"/>
      <c r="J105" s="619"/>
    </row>
    <row r="106" customFormat="false" ht="12.75" hidden="false" customHeight="false" outlineLevel="0" collapsed="false">
      <c r="B106" s="38" t="s">
        <v>107</v>
      </c>
      <c r="C106" s="556" t="s">
        <v>1664</v>
      </c>
      <c r="D106" s="673"/>
      <c r="E106" s="673"/>
      <c r="F106" s="673"/>
      <c r="G106" s="280"/>
      <c r="H106" s="280"/>
      <c r="I106" s="280"/>
      <c r="J106" s="619"/>
    </row>
    <row r="107" customFormat="false" ht="13.5" hidden="false" customHeight="false" outlineLevel="0" collapsed="false">
      <c r="B107" s="39" t="s">
        <v>129</v>
      </c>
      <c r="C107" s="687" t="n">
        <v>18.81</v>
      </c>
      <c r="D107" s="682"/>
      <c r="E107" s="682"/>
      <c r="F107" s="682"/>
      <c r="G107" s="674"/>
      <c r="H107" s="674"/>
      <c r="I107" s="674"/>
      <c r="J107" s="675"/>
    </row>
    <row r="108" customFormat="false" ht="12.75" hidden="false" customHeight="false" outlineLevel="0" collapsed="false">
      <c r="D108" s="240"/>
      <c r="E108" s="240"/>
      <c r="F108" s="240"/>
    </row>
    <row r="109" customFormat="false" ht="13.5" hidden="false" customHeight="false" outlineLevel="0" collapsed="false">
      <c r="D109" s="240"/>
      <c r="E109" s="240"/>
      <c r="F109" s="240"/>
    </row>
    <row r="110" customFormat="false" ht="12.75" hidden="false" customHeight="false" outlineLevel="0" collapsed="false">
      <c r="B110" s="169" t="s">
        <v>2177</v>
      </c>
      <c r="C110" s="666"/>
      <c r="D110" s="666"/>
      <c r="E110" s="666"/>
      <c r="F110" s="666"/>
      <c r="G110" s="666"/>
      <c r="H110" s="666"/>
      <c r="I110" s="666"/>
      <c r="J110" s="667"/>
    </row>
    <row r="111" customFormat="false" ht="12.75" hidden="false" customHeight="false" outlineLevel="0" collapsed="false">
      <c r="B111" s="668" t="s">
        <v>2171</v>
      </c>
      <c r="C111" s="280"/>
      <c r="D111" s="280"/>
      <c r="E111" s="280"/>
      <c r="F111" s="280"/>
      <c r="G111" s="280"/>
      <c r="H111" s="280"/>
      <c r="I111" s="280"/>
      <c r="J111" s="619"/>
    </row>
    <row r="112" customFormat="false" ht="12.75" hidden="false" customHeight="false" outlineLevel="0" collapsed="false">
      <c r="B112" s="668"/>
      <c r="C112" s="280"/>
      <c r="D112" s="280"/>
      <c r="E112" s="280"/>
      <c r="F112" s="280"/>
      <c r="G112" s="280"/>
      <c r="H112" s="280"/>
      <c r="I112" s="280"/>
      <c r="J112" s="619"/>
    </row>
    <row r="113" customFormat="false" ht="12.75" hidden="false" customHeight="false" outlineLevel="0" collapsed="false">
      <c r="B113" s="668"/>
      <c r="C113" s="280"/>
      <c r="D113" s="280" t="s">
        <v>2138</v>
      </c>
      <c r="E113" s="280" t="s">
        <v>74</v>
      </c>
      <c r="F113" s="280" t="s">
        <v>125</v>
      </c>
      <c r="G113" s="280"/>
      <c r="H113" s="280"/>
      <c r="I113" s="280"/>
      <c r="J113" s="619"/>
    </row>
    <row r="114" customFormat="false" ht="12.75" hidden="false" customHeight="false" outlineLevel="0" collapsed="false">
      <c r="B114" s="668"/>
      <c r="C114" s="280"/>
      <c r="D114" s="673" t="n">
        <v>-1307.5</v>
      </c>
      <c r="E114" s="673" t="n">
        <v>-1460</v>
      </c>
      <c r="F114" s="673" t="n">
        <v>180</v>
      </c>
      <c r="G114" s="280" t="s">
        <v>2167</v>
      </c>
      <c r="H114" s="280"/>
      <c r="I114" s="280"/>
      <c r="J114" s="619"/>
    </row>
    <row r="115" customFormat="false" ht="12.75" hidden="false" customHeight="false" outlineLevel="0" collapsed="false">
      <c r="B115" s="668"/>
      <c r="C115" s="280"/>
      <c r="D115" s="673"/>
      <c r="E115" s="280" t="n">
        <f aca="false">ROUND(D114+298.15*E117/1000,3)</f>
        <v>-1459.697</v>
      </c>
      <c r="F115" s="673"/>
      <c r="G115" s="280" t="s">
        <v>2173</v>
      </c>
      <c r="H115" s="280"/>
      <c r="I115" s="280"/>
      <c r="J115" s="619"/>
    </row>
    <row r="116" customFormat="false" ht="12.75" hidden="false" customHeight="false" outlineLevel="0" collapsed="false">
      <c r="B116" s="668"/>
      <c r="C116" s="280"/>
      <c r="D116" s="673"/>
      <c r="E116" s="673"/>
      <c r="F116" s="673"/>
      <c r="G116" s="280"/>
      <c r="H116" s="280"/>
      <c r="I116" s="280"/>
      <c r="J116" s="619"/>
    </row>
    <row r="117" customFormat="false" ht="14.25" hidden="false" customHeight="false" outlineLevel="0" collapsed="false">
      <c r="B117" s="38" t="s">
        <v>75</v>
      </c>
      <c r="C117" s="556" t="s">
        <v>1665</v>
      </c>
      <c r="D117" s="673"/>
      <c r="E117" s="673" t="n">
        <f aca="false">F114-2*C117-2*C118-1*C119</f>
        <v>-510.47</v>
      </c>
      <c r="F117" s="673" t="s">
        <v>2174</v>
      </c>
      <c r="G117" s="280"/>
      <c r="H117" s="280"/>
      <c r="I117" s="280"/>
      <c r="J117" s="619"/>
    </row>
    <row r="118" customFormat="false" ht="12.75" hidden="false" customHeight="false" outlineLevel="0" collapsed="false">
      <c r="B118" s="38" t="s">
        <v>107</v>
      </c>
      <c r="C118" s="556" t="s">
        <v>1664</v>
      </c>
      <c r="D118" s="673"/>
      <c r="E118" s="673"/>
      <c r="F118" s="673"/>
      <c r="G118" s="280"/>
      <c r="H118" s="280"/>
      <c r="I118" s="280"/>
      <c r="J118" s="619"/>
    </row>
    <row r="119" customFormat="false" ht="13.5" hidden="false" customHeight="false" outlineLevel="0" collapsed="false">
      <c r="B119" s="39" t="s">
        <v>129</v>
      </c>
      <c r="C119" s="687" t="n">
        <v>18.81</v>
      </c>
      <c r="D119" s="682"/>
      <c r="E119" s="682"/>
      <c r="F119" s="682"/>
      <c r="G119" s="674"/>
      <c r="H119" s="674"/>
      <c r="I119" s="674"/>
      <c r="J119" s="675"/>
    </row>
    <row r="120" customFormat="false" ht="12.75" hidden="false" customHeight="false" outlineLevel="0" collapsed="false">
      <c r="D120" s="240"/>
      <c r="E120" s="240"/>
      <c r="F120" s="240"/>
    </row>
    <row r="121" customFormat="false" ht="12.75" hidden="false" customHeight="false" outlineLevel="0" collapsed="false">
      <c r="D121" s="240"/>
      <c r="E121" s="240"/>
      <c r="F121" s="240"/>
    </row>
    <row r="122" customFormat="false" ht="12.75" hidden="false" customHeight="false" outlineLevel="0" collapsed="false">
      <c r="B122" s="112" t="s">
        <v>2178</v>
      </c>
      <c r="D122" s="240"/>
      <c r="E122" s="240"/>
      <c r="F122" s="240"/>
    </row>
    <row r="123" customFormat="false" ht="12.75" hidden="false" customHeight="false" outlineLevel="0" collapsed="false">
      <c r="D123" s="240"/>
      <c r="E123" s="240"/>
      <c r="F123" s="240"/>
    </row>
    <row r="124" customFormat="false" ht="12.75" hidden="false" customHeight="false" outlineLevel="0" collapsed="false">
      <c r="B124" s="10" t="s">
        <v>2179</v>
      </c>
      <c r="D124" s="240"/>
      <c r="E124" s="240"/>
      <c r="F124" s="240"/>
    </row>
    <row r="125" customFormat="false" ht="12.75" hidden="false" customHeight="false" outlineLevel="0" collapsed="false">
      <c r="D125" s="240"/>
      <c r="E125" s="240"/>
      <c r="F125" s="240"/>
    </row>
    <row r="126" customFormat="false" ht="12.75" hidden="false" customHeight="false" outlineLevel="0" collapsed="false">
      <c r="C126" s="280"/>
      <c r="D126" s="10" t="s">
        <v>2138</v>
      </c>
      <c r="E126" s="10" t="s">
        <v>74</v>
      </c>
      <c r="F126" s="10" t="s">
        <v>125</v>
      </c>
      <c r="H126" s="10" t="s">
        <v>2180</v>
      </c>
    </row>
    <row r="127" customFormat="false" ht="12.75" hidden="false" customHeight="false" outlineLevel="0" collapsed="false">
      <c r="B127" s="10" t="s">
        <v>2181</v>
      </c>
      <c r="D127" s="688" t="n">
        <v>-237.141</v>
      </c>
      <c r="E127" s="688" t="n">
        <v>-285.83</v>
      </c>
      <c r="F127" s="688" t="n">
        <v>69.95</v>
      </c>
      <c r="G127" s="280" t="s">
        <v>2167</v>
      </c>
      <c r="H127" s="240" t="n">
        <f aca="false">E127-298.15*(F127-H$137-0.5*H$138)/1000</f>
        <v>-237.14061425</v>
      </c>
      <c r="I127" s="240"/>
    </row>
    <row r="128" customFormat="false" ht="12.75" hidden="false" customHeight="false" outlineLevel="0" collapsed="false">
      <c r="B128" s="10" t="s">
        <v>2182</v>
      </c>
      <c r="D128" s="647" t="n">
        <f aca="false">D56</f>
        <v>-237.183</v>
      </c>
      <c r="E128" s="647" t="n">
        <f aca="false">E56</f>
        <v>-285.838</v>
      </c>
      <c r="F128" s="647" t="n">
        <f aca="false">F56</f>
        <v>69.923</v>
      </c>
      <c r="G128" s="280" t="s">
        <v>2167</v>
      </c>
      <c r="H128" s="240" t="n">
        <f aca="false">E128-298.15*(F128-M$137-0.5*M$138)/1000</f>
        <v>-237.1901918638</v>
      </c>
      <c r="I128" s="240" t="s">
        <v>2183</v>
      </c>
    </row>
    <row r="129" customFormat="false" ht="12.75" hidden="false" customHeight="false" outlineLevel="0" collapsed="false">
      <c r="B129" s="10" t="s">
        <v>2184</v>
      </c>
      <c r="D129" s="688" t="n">
        <v>-237.14</v>
      </c>
      <c r="E129" s="688" t="s">
        <v>795</v>
      </c>
      <c r="F129" s="688" t="n">
        <v>69.95</v>
      </c>
      <c r="G129" s="280" t="s">
        <v>2167</v>
      </c>
      <c r="H129" s="240" t="n">
        <f aca="false">E129-298.15*(F129-C$137-0.5*C$138)/1000</f>
        <v>-237.1403161</v>
      </c>
      <c r="I129" s="240"/>
    </row>
    <row r="130" customFormat="false" ht="12.75" hidden="false" customHeight="false" outlineLevel="0" collapsed="false">
      <c r="D130" s="688"/>
      <c r="E130" s="688"/>
      <c r="F130" s="688"/>
      <c r="H130" s="240"/>
      <c r="I130" s="240"/>
    </row>
    <row r="131" customFormat="false" ht="12.75" hidden="false" customHeight="false" outlineLevel="0" collapsed="false">
      <c r="B131" s="10" t="s">
        <v>2185</v>
      </c>
      <c r="D131" s="688" t="n">
        <v>-856.288</v>
      </c>
      <c r="E131" s="688" t="n">
        <v>-910.7</v>
      </c>
      <c r="F131" s="688" t="n">
        <v>41.46</v>
      </c>
      <c r="G131" s="10" t="s">
        <v>2167</v>
      </c>
      <c r="H131" s="240" t="n">
        <f aca="false">E131-298.15*(F131-H$139-H$138)/1000</f>
        <v>-856.287625</v>
      </c>
      <c r="I131" s="240"/>
    </row>
    <row r="132" customFormat="false" ht="12.75" hidden="false" customHeight="false" outlineLevel="0" collapsed="false">
      <c r="B132" s="10" t="s">
        <v>2186</v>
      </c>
      <c r="D132" s="688" t="n">
        <v>-856.641</v>
      </c>
      <c r="E132" s="688" t="n">
        <v>-910.94</v>
      </c>
      <c r="F132" s="688" t="n">
        <v>41.84</v>
      </c>
      <c r="G132" s="10" t="s">
        <v>2167</v>
      </c>
      <c r="H132" s="240" t="n">
        <f aca="false">E132-298.15*(F132-M$139-M$138)/1000</f>
        <v>-856.6717650212</v>
      </c>
      <c r="I132" s="240" t="s">
        <v>2183</v>
      </c>
    </row>
    <row r="133" customFormat="false" ht="12.75" hidden="false" customHeight="false" outlineLevel="0" collapsed="false">
      <c r="B133" s="10" t="s">
        <v>2187</v>
      </c>
      <c r="D133" s="688" t="n">
        <v>-856.287</v>
      </c>
      <c r="E133" s="688" t="n">
        <v>-910.7</v>
      </c>
      <c r="F133" s="688" t="n">
        <v>41.46</v>
      </c>
      <c r="G133" s="10" t="s">
        <v>2167</v>
      </c>
      <c r="H133" s="240" t="n">
        <f aca="false">E133-298.15*(F133-C$139-C$138)/1000</f>
        <v>-856.2870287</v>
      </c>
      <c r="I133" s="240"/>
    </row>
    <row r="134" customFormat="false" ht="12.75" hidden="false" customHeight="false" outlineLevel="0" collapsed="false">
      <c r="B134" s="10" t="s">
        <v>2188</v>
      </c>
      <c r="D134" s="240" t="n">
        <v>-856.281</v>
      </c>
      <c r="E134" s="240" t="n">
        <v>-910.7</v>
      </c>
      <c r="F134" s="240" t="n">
        <v>41.439</v>
      </c>
      <c r="G134" s="10" t="s">
        <v>2167</v>
      </c>
      <c r="H134" s="240" t="n">
        <f aca="false">E134-298.15*(F134-H$139-H$138)/1000</f>
        <v>-856.28136385</v>
      </c>
      <c r="I134" s="240" t="s">
        <v>2189</v>
      </c>
    </row>
    <row r="135" customFormat="false" ht="12.75" hidden="false" customHeight="false" outlineLevel="0" collapsed="false">
      <c r="D135" s="688"/>
      <c r="E135" s="688"/>
      <c r="F135" s="688"/>
    </row>
    <row r="136" customFormat="false" ht="14.25" hidden="false" customHeight="false" outlineLevel="0" collapsed="false">
      <c r="B136" s="516" t="s">
        <v>529</v>
      </c>
      <c r="C136" s="516" t="s">
        <v>2190</v>
      </c>
      <c r="D136" s="688"/>
      <c r="E136" s="689" t="s">
        <v>2176</v>
      </c>
      <c r="F136" s="690"/>
      <c r="G136" s="650"/>
      <c r="H136" s="516" t="s">
        <v>2190</v>
      </c>
      <c r="J136" s="689" t="s">
        <v>2191</v>
      </c>
      <c r="K136" s="690"/>
      <c r="L136" s="650"/>
      <c r="M136" s="516" t="s">
        <v>2190</v>
      </c>
      <c r="N136" s="516" t="s">
        <v>2192</v>
      </c>
    </row>
    <row r="137" customFormat="false" ht="12.75" hidden="false" customHeight="false" outlineLevel="0" collapsed="false">
      <c r="B137" s="691" t="s">
        <v>75</v>
      </c>
      <c r="C137" s="517" t="s">
        <v>623</v>
      </c>
      <c r="D137" s="688"/>
      <c r="E137" s="692" t="s">
        <v>75</v>
      </c>
      <c r="F137" s="690"/>
      <c r="G137" s="650"/>
      <c r="H137" s="693" t="s">
        <v>1665</v>
      </c>
      <c r="J137" s="692" t="s">
        <v>75</v>
      </c>
      <c r="K137" s="690"/>
      <c r="L137" s="650"/>
      <c r="M137" s="694" t="n">
        <f aca="false">4.184*N137</f>
        <v>130.574272</v>
      </c>
      <c r="N137" s="695" t="n">
        <v>31.208</v>
      </c>
    </row>
    <row r="138" customFormat="false" ht="12.75" hidden="false" customHeight="false" outlineLevel="0" collapsed="false">
      <c r="B138" s="691" t="s">
        <v>107</v>
      </c>
      <c r="C138" s="517" t="s">
        <v>760</v>
      </c>
      <c r="D138" s="688"/>
      <c r="E138" s="692" t="s">
        <v>107</v>
      </c>
      <c r="F138" s="690"/>
      <c r="G138" s="650"/>
      <c r="H138" s="693" t="s">
        <v>1664</v>
      </c>
      <c r="J138" s="692" t="s">
        <v>107</v>
      </c>
      <c r="K138" s="690"/>
      <c r="L138" s="650"/>
      <c r="M138" s="694" t="n">
        <f aca="false">4.184*N138</f>
        <v>205.028552</v>
      </c>
      <c r="N138" s="695" t="n">
        <v>49.003</v>
      </c>
    </row>
    <row r="139" customFormat="false" ht="12.75" hidden="false" customHeight="false" outlineLevel="0" collapsed="false">
      <c r="B139" s="696" t="s">
        <v>129</v>
      </c>
      <c r="C139" s="604" t="n">
        <v>18.81</v>
      </c>
      <c r="D139" s="688"/>
      <c r="E139" s="697" t="s">
        <v>129</v>
      </c>
      <c r="F139" s="690"/>
      <c r="G139" s="650"/>
      <c r="H139" s="698" t="n">
        <v>18.81</v>
      </c>
      <c r="J139" s="697" t="s">
        <v>129</v>
      </c>
      <c r="K139" s="690"/>
      <c r="L139" s="650"/>
      <c r="M139" s="694" t="n">
        <f aca="false">4.184*N139</f>
        <v>18.828</v>
      </c>
      <c r="N139" s="699" t="s">
        <v>445</v>
      </c>
    </row>
    <row r="140" customFormat="false" ht="12.75" hidden="false" customHeight="false" outlineLevel="0" collapsed="false">
      <c r="D140" s="688"/>
      <c r="E140" s="688"/>
      <c r="F140" s="688"/>
    </row>
    <row r="141" customFormat="false" ht="12.75" hidden="false" customHeight="false" outlineLevel="0" collapsed="false">
      <c r="D141" s="688"/>
      <c r="E141" s="688"/>
      <c r="F141" s="688"/>
    </row>
    <row r="142" customFormat="false" ht="12.75" hidden="false" customHeight="false" outlineLevel="0" collapsed="false">
      <c r="B142" s="112" t="s">
        <v>2193</v>
      </c>
      <c r="D142" s="688"/>
      <c r="E142" s="688"/>
      <c r="F142" s="688"/>
    </row>
    <row r="143" customFormat="false" ht="12.75" hidden="false" customHeight="false" outlineLevel="0" collapsed="false">
      <c r="B143" s="112" t="s">
        <v>2194</v>
      </c>
      <c r="D143" s="688"/>
      <c r="E143" s="688"/>
      <c r="F143" s="688"/>
    </row>
    <row r="144" customFormat="false" ht="12.75" hidden="false" customHeight="false" outlineLevel="0" collapsed="false">
      <c r="B144" s="112" t="s">
        <v>2195</v>
      </c>
      <c r="D144" s="688"/>
      <c r="E144" s="688"/>
      <c r="F144" s="688"/>
    </row>
    <row r="145" customFormat="false" ht="13.5" hidden="false" customHeight="false" outlineLevel="0" collapsed="false">
      <c r="D145" s="688"/>
      <c r="E145" s="688"/>
      <c r="F145" s="688"/>
    </row>
    <row r="146" customFormat="false" ht="12.75" hidden="false" customHeight="false" outlineLevel="0" collapsed="false">
      <c r="B146" s="169"/>
      <c r="C146" s="169"/>
      <c r="D146" s="651"/>
      <c r="E146" s="651"/>
      <c r="F146" s="651"/>
      <c r="G146" s="651"/>
      <c r="H146" s="651"/>
      <c r="I146" s="651"/>
    </row>
    <row r="147" customFormat="false" ht="13.5" hidden="false" customHeight="true" outlineLevel="0" collapsed="false">
      <c r="B147" s="25"/>
      <c r="C147" s="25"/>
      <c r="D147" s="635" t="s">
        <v>909</v>
      </c>
      <c r="E147" s="635"/>
      <c r="F147" s="635"/>
      <c r="G147" s="635" t="s">
        <v>1021</v>
      </c>
      <c r="H147" s="635"/>
      <c r="I147" s="635"/>
    </row>
    <row r="148" customFormat="false" ht="14.25" hidden="false" customHeight="false" outlineLevel="0" collapsed="false">
      <c r="B148" s="11" t="s">
        <v>2086</v>
      </c>
      <c r="C148" s="50" t="s">
        <v>2087</v>
      </c>
      <c r="D148" s="636" t="s">
        <v>511</v>
      </c>
      <c r="E148" s="636" t="s">
        <v>512</v>
      </c>
      <c r="F148" s="636" t="s">
        <v>513</v>
      </c>
      <c r="G148" s="636" t="s">
        <v>511</v>
      </c>
      <c r="H148" s="636" t="s">
        <v>512</v>
      </c>
      <c r="I148" s="636" t="s">
        <v>513</v>
      </c>
    </row>
    <row r="149" customFormat="false" ht="15" hidden="false" customHeight="false" outlineLevel="0" collapsed="false">
      <c r="B149" s="21"/>
      <c r="C149" s="55" t="s">
        <v>2149</v>
      </c>
      <c r="D149" s="55" t="s">
        <v>784</v>
      </c>
      <c r="E149" s="55" t="s">
        <v>784</v>
      </c>
      <c r="F149" s="55" t="s">
        <v>167</v>
      </c>
      <c r="G149" s="55" t="s">
        <v>784</v>
      </c>
      <c r="H149" s="55" t="s">
        <v>784</v>
      </c>
      <c r="I149" s="55" t="s">
        <v>167</v>
      </c>
    </row>
    <row r="150" customFormat="false" ht="12.75" hidden="false" customHeight="false" outlineLevel="0" collapsed="false">
      <c r="B150" s="160" t="s">
        <v>2151</v>
      </c>
      <c r="C150" s="638" t="n">
        <v>1997</v>
      </c>
      <c r="D150" s="294" t="n">
        <v>-1309.228</v>
      </c>
      <c r="E150" s="294" t="n">
        <v>-1461.1664326</v>
      </c>
      <c r="F150" s="294" t="n">
        <v>180.87</v>
      </c>
      <c r="G150" s="294" t="n">
        <v>-834.948</v>
      </c>
      <c r="H150" s="294" t="n">
        <v>-889.5064326</v>
      </c>
      <c r="I150" s="294" t="n">
        <v>40.97</v>
      </c>
    </row>
    <row r="151" customFormat="false" ht="12.75" hidden="false" customHeight="false" outlineLevel="0" collapsed="false">
      <c r="B151" s="160" t="s">
        <v>2153</v>
      </c>
      <c r="C151" s="638" t="n">
        <v>2000</v>
      </c>
      <c r="D151" s="470" t="n">
        <v>-1309.187</v>
      </c>
      <c r="E151" s="470" t="n">
        <v>-1461.72143445</v>
      </c>
      <c r="F151" s="470" t="n">
        <v>178.871</v>
      </c>
      <c r="G151" s="470" t="n">
        <v>-834.907</v>
      </c>
      <c r="H151" s="470" t="n">
        <v>-890.06143445</v>
      </c>
      <c r="I151" s="470" t="n">
        <v>38.971</v>
      </c>
    </row>
    <row r="152" customFormat="false" ht="12.75" hidden="false" customHeight="false" outlineLevel="0" collapsed="false">
      <c r="B152" s="160" t="s">
        <v>2155</v>
      </c>
      <c r="C152" s="638" t="n">
        <v>2001</v>
      </c>
      <c r="D152" s="470" t="n">
        <v>-1308.817</v>
      </c>
      <c r="E152" s="470" t="n">
        <v>-1458.518115</v>
      </c>
      <c r="F152" s="470" t="n">
        <v>188.374</v>
      </c>
      <c r="G152" s="640" t="n">
        <v>-834.537</v>
      </c>
      <c r="H152" s="640" t="n">
        <v>-886.858115</v>
      </c>
      <c r="I152" s="640" t="n">
        <v>48.474</v>
      </c>
    </row>
    <row r="153" customFormat="false" ht="13.5" hidden="false" customHeight="false" outlineLevel="0" collapsed="false">
      <c r="B153" s="304" t="s">
        <v>2157</v>
      </c>
      <c r="C153" s="643" t="n">
        <v>2004</v>
      </c>
      <c r="D153" s="644" t="n">
        <v>-1308.801</v>
      </c>
      <c r="E153" s="644" t="n">
        <v>-1459.1860711</v>
      </c>
      <c r="F153" s="644" t="n">
        <v>186.08</v>
      </c>
      <c r="G153" s="644" t="n">
        <v>-834.521</v>
      </c>
      <c r="H153" s="644" t="n">
        <v>-887.5260711</v>
      </c>
      <c r="I153" s="644" t="n">
        <v>46.18</v>
      </c>
    </row>
    <row r="156" customFormat="false" ht="12.75" hidden="false" customHeight="false" outlineLevel="0" collapsed="false">
      <c r="B156" s="112" t="s">
        <v>2196</v>
      </c>
    </row>
    <row r="157" customFormat="false" ht="12.75" hidden="false" customHeight="false" outlineLevel="0" collapsed="false">
      <c r="B157" s="112"/>
    </row>
    <row r="158" customFormat="false" ht="13.5" hidden="false" customHeight="false" outlineLevel="0" collapsed="false">
      <c r="B158" s="112"/>
    </row>
    <row r="159" customFormat="false" ht="12.75" hidden="false" customHeight="false" outlineLevel="0" collapsed="false">
      <c r="B159" s="169" t="s">
        <v>2151</v>
      </c>
      <c r="C159" s="666"/>
      <c r="D159" s="666"/>
      <c r="E159" s="666"/>
      <c r="F159" s="666"/>
      <c r="G159" s="666"/>
      <c r="H159" s="666"/>
      <c r="I159" s="667"/>
    </row>
    <row r="160" customFormat="false" ht="12.75" hidden="false" customHeight="false" outlineLevel="0" collapsed="false">
      <c r="B160" s="668" t="s">
        <v>2152</v>
      </c>
      <c r="C160" s="280"/>
      <c r="D160" s="280"/>
      <c r="E160" s="673"/>
      <c r="F160" s="280"/>
      <c r="G160" s="280"/>
      <c r="H160" s="280"/>
      <c r="I160" s="619"/>
    </row>
    <row r="161" customFormat="false" ht="12.75" hidden="false" customHeight="false" outlineLevel="0" collapsed="false">
      <c r="B161" s="668" t="s">
        <v>2197</v>
      </c>
      <c r="C161" s="280"/>
      <c r="D161" s="280"/>
      <c r="E161" s="673"/>
      <c r="F161" s="280"/>
      <c r="G161" s="280"/>
      <c r="H161" s="280"/>
      <c r="I161" s="619"/>
    </row>
    <row r="162" customFormat="false" ht="12.75" hidden="false" customHeight="false" outlineLevel="0" collapsed="false">
      <c r="B162" s="668"/>
      <c r="C162" s="280"/>
      <c r="D162" s="280"/>
      <c r="E162" s="673"/>
      <c r="F162" s="280"/>
      <c r="G162" s="280"/>
      <c r="H162" s="280"/>
      <c r="I162" s="619"/>
    </row>
    <row r="163" customFormat="false" ht="12.75" hidden="false" customHeight="false" outlineLevel="0" collapsed="false">
      <c r="B163" s="668"/>
      <c r="C163" s="280"/>
      <c r="D163" s="280" t="s">
        <v>2138</v>
      </c>
      <c r="E163" s="280" t="s">
        <v>74</v>
      </c>
      <c r="F163" s="280" t="s">
        <v>125</v>
      </c>
      <c r="G163" s="280"/>
      <c r="H163" s="280"/>
      <c r="I163" s="619"/>
    </row>
    <row r="164" customFormat="false" ht="12.75" hidden="false" customHeight="false" outlineLevel="0" collapsed="false">
      <c r="B164" s="668" t="s">
        <v>2198</v>
      </c>
      <c r="C164" s="382"/>
      <c r="D164" s="210" t="n">
        <v>-1309.231</v>
      </c>
      <c r="E164" s="210" t="n">
        <v>-1460.913</v>
      </c>
      <c r="F164" s="210" t="n">
        <v>180.87</v>
      </c>
      <c r="G164" s="280" t="s">
        <v>2167</v>
      </c>
      <c r="H164" s="280"/>
      <c r="I164" s="619"/>
    </row>
    <row r="165" customFormat="false" ht="12.75" hidden="false" customHeight="false" outlineLevel="0" collapsed="false">
      <c r="B165" s="668" t="s">
        <v>2199</v>
      </c>
      <c r="C165" s="280"/>
      <c r="D165" s="673" t="n">
        <f aca="false">D164-D131-2*D127</f>
        <v>21.339</v>
      </c>
      <c r="E165" s="673" t="n">
        <f aca="false">E164-E131-2*E127</f>
        <v>21.447</v>
      </c>
      <c r="F165" s="673" t="n">
        <f aca="false">F164-F131-2*F127</f>
        <v>-0.490000000000009</v>
      </c>
      <c r="G165" s="280" t="s">
        <v>2167</v>
      </c>
      <c r="H165" s="280"/>
      <c r="I165" s="619"/>
    </row>
    <row r="166" customFormat="false" ht="12.75" hidden="false" customHeight="false" outlineLevel="0" collapsed="false">
      <c r="B166" s="668" t="s">
        <v>2200</v>
      </c>
      <c r="C166" s="280"/>
      <c r="D166" s="700" t="n">
        <f aca="false">D165+D$133+2*D$129</f>
        <v>-1309.228</v>
      </c>
      <c r="E166" s="701" t="n">
        <f aca="false">E165+E$133+2*E$129</f>
        <v>-1460.913</v>
      </c>
      <c r="F166" s="700" t="n">
        <f aca="false">F165+F$133+2*F$129</f>
        <v>180.87</v>
      </c>
      <c r="G166" s="280" t="s">
        <v>2167</v>
      </c>
      <c r="H166" s="280"/>
      <c r="I166" s="619"/>
    </row>
    <row r="167" customFormat="false" ht="12.75" hidden="false" customHeight="false" outlineLevel="0" collapsed="false">
      <c r="B167" s="668" t="s">
        <v>2201</v>
      </c>
      <c r="C167" s="280"/>
      <c r="D167" s="702" t="n">
        <f aca="false">D166-D$133-2*D$129</f>
        <v>21.3389999999999</v>
      </c>
      <c r="E167" s="702" t="n">
        <f aca="false">E166-E$133-2*E$129</f>
        <v>21.447</v>
      </c>
      <c r="F167" s="702" t="n">
        <f aca="false">F166-F$133-2*F$129</f>
        <v>-0.490000000000009</v>
      </c>
      <c r="G167" s="280" t="s">
        <v>2167</v>
      </c>
      <c r="H167" s="280"/>
      <c r="I167" s="619"/>
    </row>
    <row r="168" customFormat="false" ht="12.75" hidden="false" customHeight="false" outlineLevel="0" collapsed="false">
      <c r="B168" s="668" t="s">
        <v>2202</v>
      </c>
      <c r="C168" s="280"/>
      <c r="D168" s="703" t="str">
        <f aca="false">IF(ABS(D167-D165)&lt;=0.001,"Okay","Error")</f>
        <v>Okay</v>
      </c>
      <c r="E168" s="703" t="str">
        <f aca="false">IF(ABS(E167-E165)&lt;=0.001,"Okay","Error")</f>
        <v>Okay</v>
      </c>
      <c r="F168" s="703" t="str">
        <f aca="false">IF(ABS(F167-F165)&lt;=0.001,"Okay","Error")</f>
        <v>Okay</v>
      </c>
      <c r="G168" s="280"/>
      <c r="H168" s="280"/>
      <c r="I168" s="619"/>
    </row>
    <row r="169" customFormat="false" ht="12.75" hidden="false" customHeight="false" outlineLevel="0" collapsed="false">
      <c r="B169" s="680" t="s">
        <v>2203</v>
      </c>
      <c r="C169" s="280"/>
      <c r="D169" s="701"/>
      <c r="E169" s="700" t="n">
        <f aca="false">D166+298.15*(F166-C$139-2*C$138-2*C$137)/1000</f>
        <v>-1461.1664326</v>
      </c>
      <c r="F169" s="701"/>
      <c r="G169" s="280" t="s">
        <v>2167</v>
      </c>
      <c r="H169" s="280"/>
      <c r="I169" s="619"/>
    </row>
    <row r="170" customFormat="false" ht="12.75" hidden="false" customHeight="false" outlineLevel="0" collapsed="false">
      <c r="B170" s="668" t="s">
        <v>2204</v>
      </c>
      <c r="C170" s="280"/>
      <c r="D170" s="701"/>
      <c r="E170" s="703" t="str">
        <f aca="false">IF(ABS(E169-E164)&lt;=0.001,"Okay","Error")</f>
        <v>Error</v>
      </c>
      <c r="F170" s="701"/>
      <c r="G170" s="280"/>
      <c r="H170" s="280"/>
      <c r="I170" s="619"/>
    </row>
    <row r="171" customFormat="false" ht="12.75" hidden="false" customHeight="false" outlineLevel="0" collapsed="false">
      <c r="B171" s="668" t="s">
        <v>2205</v>
      </c>
      <c r="C171" s="280"/>
      <c r="D171" s="701"/>
      <c r="E171" s="673" t="n">
        <f aca="false">D164+298.15*(F164-H139-2*H138-2*H137)/1000</f>
        <v>-1461.16824</v>
      </c>
      <c r="F171" s="701"/>
      <c r="G171" s="280" t="s">
        <v>2167</v>
      </c>
      <c r="H171" s="280"/>
      <c r="I171" s="619"/>
    </row>
    <row r="172" customFormat="false" ht="12.75" hidden="false" customHeight="false" outlineLevel="0" collapsed="false">
      <c r="B172" s="668" t="s">
        <v>2206</v>
      </c>
      <c r="C172" s="280"/>
      <c r="D172" s="701"/>
      <c r="E172" s="673" t="n">
        <f aca="false">D165+298.15*F165/1000</f>
        <v>21.1929065</v>
      </c>
      <c r="F172" s="701"/>
      <c r="G172" s="280" t="s">
        <v>2167</v>
      </c>
      <c r="H172" s="280"/>
      <c r="I172" s="619"/>
    </row>
    <row r="173" customFormat="false" ht="12.75" hidden="false" customHeight="false" outlineLevel="0" collapsed="false">
      <c r="B173" s="668" t="s">
        <v>2207</v>
      </c>
      <c r="C173" s="280"/>
      <c r="D173" s="704" t="n">
        <f aca="false">D166</f>
        <v>-1309.228</v>
      </c>
      <c r="E173" s="704" t="n">
        <f aca="false">E169</f>
        <v>-1461.1664326</v>
      </c>
      <c r="F173" s="704" t="n">
        <f aca="false">F166</f>
        <v>180.87</v>
      </c>
      <c r="G173" s="280" t="s">
        <v>2167</v>
      </c>
      <c r="H173" s="280"/>
      <c r="I173" s="619"/>
    </row>
    <row r="174" customFormat="false" ht="12.75" hidden="false" customHeight="false" outlineLevel="0" collapsed="false">
      <c r="B174" s="680" t="s">
        <v>2208</v>
      </c>
      <c r="C174" s="280"/>
      <c r="D174" s="705" t="n">
        <f aca="false">D173-2*D$129</f>
        <v>-834.948</v>
      </c>
      <c r="E174" s="705" t="n">
        <f aca="false">E173-2*E$129</f>
        <v>-889.5064326</v>
      </c>
      <c r="F174" s="705" t="n">
        <f aca="false">F173-2*F$129</f>
        <v>40.97</v>
      </c>
      <c r="G174" s="280" t="s">
        <v>2167</v>
      </c>
      <c r="H174" s="280"/>
      <c r="I174" s="619"/>
    </row>
    <row r="175" customFormat="false" ht="13.5" hidden="false" customHeight="false" outlineLevel="0" collapsed="false">
      <c r="B175" s="681" t="s">
        <v>2208</v>
      </c>
      <c r="C175" s="674"/>
      <c r="D175" s="706" t="n">
        <f aca="false">D174/4.184</f>
        <v>-199.557361376673</v>
      </c>
      <c r="E175" s="706" t="n">
        <f aca="false">E174/4.184</f>
        <v>-212.597139722753</v>
      </c>
      <c r="F175" s="706" t="n">
        <f aca="false">F174/4.184</f>
        <v>9.79206500956023</v>
      </c>
      <c r="G175" s="707" t="s">
        <v>2165</v>
      </c>
      <c r="H175" s="674"/>
      <c r="I175" s="675"/>
    </row>
    <row r="176" customFormat="false" ht="12.75" hidden="false" customHeight="false" outlineLevel="0" collapsed="false">
      <c r="B176" s="112"/>
      <c r="C176" s="280"/>
      <c r="D176" s="683"/>
      <c r="E176" s="683"/>
      <c r="F176" s="683"/>
      <c r="G176" s="112"/>
      <c r="H176" s="280"/>
      <c r="I176" s="280"/>
    </row>
    <row r="177" customFormat="false" ht="13.5" hidden="false" customHeight="false" outlineLevel="0" collapsed="false"/>
    <row r="178" customFormat="false" ht="12.75" hidden="false" customHeight="false" outlineLevel="0" collapsed="false">
      <c r="B178" s="169" t="s">
        <v>2209</v>
      </c>
      <c r="C178" s="666"/>
      <c r="D178" s="666"/>
      <c r="E178" s="666"/>
      <c r="F178" s="666"/>
      <c r="G178" s="666"/>
      <c r="H178" s="666"/>
      <c r="I178" s="667"/>
    </row>
    <row r="179" customFormat="false" ht="12.75" hidden="false" customHeight="false" outlineLevel="0" collapsed="false">
      <c r="B179" s="668" t="s">
        <v>2154</v>
      </c>
      <c r="C179" s="280"/>
      <c r="D179" s="280"/>
      <c r="E179" s="280"/>
      <c r="F179" s="280"/>
      <c r="G179" s="280"/>
      <c r="H179" s="280"/>
      <c r="I179" s="619"/>
    </row>
    <row r="180" customFormat="false" ht="12.75" hidden="false" customHeight="false" outlineLevel="0" collapsed="false">
      <c r="B180" s="668"/>
      <c r="C180" s="280"/>
      <c r="D180" s="280"/>
      <c r="E180" s="280"/>
      <c r="F180" s="280"/>
      <c r="G180" s="280"/>
      <c r="H180" s="280"/>
      <c r="I180" s="619"/>
    </row>
    <row r="181" customFormat="false" ht="12.75" hidden="false" customHeight="false" outlineLevel="0" collapsed="false">
      <c r="B181" s="668"/>
      <c r="C181" s="280"/>
      <c r="D181" s="280"/>
      <c r="E181" s="280"/>
      <c r="F181" s="280"/>
      <c r="G181" s="280"/>
      <c r="H181" s="280"/>
      <c r="I181" s="619"/>
    </row>
    <row r="182" customFormat="false" ht="12.75" hidden="false" customHeight="false" outlineLevel="0" collapsed="false">
      <c r="B182" s="668"/>
      <c r="C182" s="280"/>
      <c r="D182" s="280" t="s">
        <v>2138</v>
      </c>
      <c r="E182" s="280" t="s">
        <v>74</v>
      </c>
      <c r="F182" s="280" t="s">
        <v>125</v>
      </c>
      <c r="G182" s="280"/>
      <c r="H182" s="280"/>
      <c r="I182" s="619"/>
    </row>
    <row r="183" customFormat="false" ht="12.75" hidden="false" customHeight="false" outlineLevel="0" collapsed="false">
      <c r="B183" s="668" t="s">
        <v>2198</v>
      </c>
      <c r="C183" s="382"/>
      <c r="D183" s="210" t="n">
        <v>-1309.181</v>
      </c>
      <c r="E183" s="210" t="n">
        <v>-1461.722</v>
      </c>
      <c r="F183" s="210" t="n">
        <v>178.85</v>
      </c>
      <c r="G183" s="280" t="s">
        <v>2167</v>
      </c>
      <c r="H183" s="280"/>
      <c r="I183" s="619"/>
    </row>
    <row r="184" customFormat="false" ht="12.75" hidden="false" customHeight="false" outlineLevel="0" collapsed="false">
      <c r="B184" s="668" t="s">
        <v>2199</v>
      </c>
      <c r="C184" s="280"/>
      <c r="D184" s="673" t="n">
        <f aca="false">D183-D134-2*D129</f>
        <v>21.3799999999999</v>
      </c>
      <c r="E184" s="673" t="n">
        <f aca="false">E183-E134-2*E129</f>
        <v>20.638</v>
      </c>
      <c r="F184" s="673" t="n">
        <f aca="false">F183-F134-2*F129</f>
        <v>-2.489</v>
      </c>
      <c r="G184" s="280" t="s">
        <v>2167</v>
      </c>
      <c r="H184" s="280"/>
      <c r="I184" s="619"/>
    </row>
    <row r="185" customFormat="false" ht="12.75" hidden="false" customHeight="false" outlineLevel="0" collapsed="false">
      <c r="B185" s="668" t="s">
        <v>2200</v>
      </c>
      <c r="C185" s="280"/>
      <c r="D185" s="700" t="n">
        <f aca="false">D184+D$133+2*D$129</f>
        <v>-1309.187</v>
      </c>
      <c r="E185" s="701" t="n">
        <f aca="false">E184+E$133+2*E$129</f>
        <v>-1461.722</v>
      </c>
      <c r="F185" s="700" t="n">
        <f aca="false">F184+F$133+2*F$129</f>
        <v>178.871</v>
      </c>
      <c r="G185" s="280" t="s">
        <v>2167</v>
      </c>
      <c r="H185" s="280"/>
      <c r="I185" s="619"/>
    </row>
    <row r="186" customFormat="false" ht="12.75" hidden="false" customHeight="false" outlineLevel="0" collapsed="false">
      <c r="B186" s="668" t="s">
        <v>2201</v>
      </c>
      <c r="C186" s="280"/>
      <c r="D186" s="702" t="n">
        <f aca="false">D185-D$133-2*D$129</f>
        <v>21.3799999999999</v>
      </c>
      <c r="E186" s="702" t="n">
        <f aca="false">E185-E$133-2*E$129</f>
        <v>20.638</v>
      </c>
      <c r="F186" s="702" t="n">
        <f aca="false">F185-F$133-2*F$129</f>
        <v>-2.489</v>
      </c>
      <c r="G186" s="280" t="s">
        <v>2167</v>
      </c>
      <c r="H186" s="280"/>
      <c r="I186" s="619"/>
    </row>
    <row r="187" customFormat="false" ht="12.75" hidden="false" customHeight="false" outlineLevel="0" collapsed="false">
      <c r="B187" s="668" t="s">
        <v>2202</v>
      </c>
      <c r="C187" s="280"/>
      <c r="D187" s="703" t="str">
        <f aca="false">IF(ABS(D186-D184)&lt;=0.001,"Okay","Error")</f>
        <v>Okay</v>
      </c>
      <c r="E187" s="703" t="str">
        <f aca="false">IF(ABS(E186-E184)&lt;=0.001,"Okay","Error")</f>
        <v>Okay</v>
      </c>
      <c r="F187" s="703" t="str">
        <f aca="false">IF(ABS(F186-F184)&lt;=0.001,"Okay","Error")</f>
        <v>Okay</v>
      </c>
      <c r="G187" s="280"/>
      <c r="H187" s="280"/>
      <c r="I187" s="619"/>
    </row>
    <row r="188" customFormat="false" ht="12.75" hidden="false" customHeight="false" outlineLevel="0" collapsed="false">
      <c r="B188" s="680" t="s">
        <v>2203</v>
      </c>
      <c r="C188" s="280"/>
      <c r="D188" s="701"/>
      <c r="E188" s="700" t="n">
        <f aca="false">D185+298.15*(F185-C$139-2*C$138-2*C$137)/1000</f>
        <v>-1461.72143445</v>
      </c>
      <c r="F188" s="701"/>
      <c r="G188" s="280" t="s">
        <v>2167</v>
      </c>
      <c r="H188" s="280"/>
      <c r="I188" s="619"/>
    </row>
    <row r="189" customFormat="false" ht="12.75" hidden="false" customHeight="false" outlineLevel="0" collapsed="false">
      <c r="B189" s="668" t="s">
        <v>2204</v>
      </c>
      <c r="C189" s="280"/>
      <c r="D189" s="701"/>
      <c r="E189" s="703" t="str">
        <f aca="false">IF(ABS(E188-E183)&lt;=0.001,"Okay","Error")</f>
        <v>Okay</v>
      </c>
      <c r="F189" s="701"/>
      <c r="G189" s="280"/>
      <c r="H189" s="280"/>
      <c r="I189" s="619"/>
    </row>
    <row r="190" customFormat="false" ht="12.75" hidden="false" customHeight="false" outlineLevel="0" collapsed="false">
      <c r="B190" s="668" t="s">
        <v>2205</v>
      </c>
      <c r="C190" s="280"/>
      <c r="D190" s="701"/>
      <c r="E190" s="673" t="n">
        <f aca="false">D183+298.15*(F183-C139-2*C138-2*C137)/1000</f>
        <v>-1461.7216956</v>
      </c>
      <c r="F190" s="701"/>
      <c r="G190" s="280" t="s">
        <v>2167</v>
      </c>
      <c r="H190" s="280"/>
      <c r="I190" s="619"/>
    </row>
    <row r="191" customFormat="false" ht="12.75" hidden="false" customHeight="false" outlineLevel="0" collapsed="false">
      <c r="B191" s="668" t="s">
        <v>2206</v>
      </c>
      <c r="C191" s="280"/>
      <c r="D191" s="701"/>
      <c r="E191" s="673" t="n">
        <f aca="false">D184+298.15*F184/1000</f>
        <v>20.6379046499999</v>
      </c>
      <c r="F191" s="701"/>
      <c r="G191" s="280" t="s">
        <v>2167</v>
      </c>
      <c r="H191" s="280"/>
      <c r="I191" s="619"/>
    </row>
    <row r="192" customFormat="false" ht="12.75" hidden="false" customHeight="false" outlineLevel="0" collapsed="false">
      <c r="B192" s="668" t="s">
        <v>2207</v>
      </c>
      <c r="C192" s="280"/>
      <c r="D192" s="704" t="n">
        <f aca="false">D185</f>
        <v>-1309.187</v>
      </c>
      <c r="E192" s="704" t="n">
        <f aca="false">E188</f>
        <v>-1461.72143445</v>
      </c>
      <c r="F192" s="704" t="n">
        <f aca="false">F185</f>
        <v>178.871</v>
      </c>
      <c r="G192" s="280" t="s">
        <v>2167</v>
      </c>
      <c r="H192" s="280"/>
      <c r="I192" s="619"/>
    </row>
    <row r="193" customFormat="false" ht="12.75" hidden="false" customHeight="false" outlineLevel="0" collapsed="false">
      <c r="B193" s="680" t="s">
        <v>2208</v>
      </c>
      <c r="C193" s="280"/>
      <c r="D193" s="705" t="n">
        <f aca="false">D192-2*D$129</f>
        <v>-834.907</v>
      </c>
      <c r="E193" s="705" t="n">
        <f aca="false">E192-2*E$129</f>
        <v>-890.06143445</v>
      </c>
      <c r="F193" s="705" t="n">
        <f aca="false">F192-2*F$129</f>
        <v>38.971</v>
      </c>
      <c r="G193" s="280" t="s">
        <v>2167</v>
      </c>
      <c r="H193" s="280"/>
      <c r="I193" s="619"/>
    </row>
    <row r="194" customFormat="false" ht="13.5" hidden="false" customHeight="false" outlineLevel="0" collapsed="false">
      <c r="B194" s="681" t="s">
        <v>2208</v>
      </c>
      <c r="C194" s="674"/>
      <c r="D194" s="706" t="n">
        <f aca="false">D193/4.184</f>
        <v>-199.547562141491</v>
      </c>
      <c r="E194" s="706" t="n">
        <f aca="false">E193/4.184</f>
        <v>-212.72978834847</v>
      </c>
      <c r="F194" s="706" t="n">
        <f aca="false">F193/4.184</f>
        <v>9.31429254302103</v>
      </c>
      <c r="G194" s="707" t="s">
        <v>2165</v>
      </c>
      <c r="H194" s="674"/>
      <c r="I194" s="675"/>
    </row>
    <row r="196" customFormat="false" ht="13.5" hidden="false" customHeight="false" outlineLevel="0" collapsed="false"/>
    <row r="197" customFormat="false" ht="12.75" hidden="false" customHeight="false" outlineLevel="0" collapsed="false">
      <c r="B197" s="169" t="s">
        <v>2155</v>
      </c>
      <c r="C197" s="666"/>
      <c r="D197" s="666"/>
      <c r="E197" s="666"/>
      <c r="F197" s="666"/>
      <c r="G197" s="666"/>
      <c r="H197" s="666"/>
      <c r="I197" s="667"/>
    </row>
    <row r="198" customFormat="false" ht="12.75" hidden="false" customHeight="false" outlineLevel="0" collapsed="false">
      <c r="B198" s="668" t="s">
        <v>2156</v>
      </c>
      <c r="C198" s="280"/>
      <c r="D198" s="280"/>
      <c r="E198" s="280"/>
      <c r="F198" s="280"/>
      <c r="G198" s="280"/>
      <c r="H198" s="280"/>
      <c r="I198" s="619"/>
    </row>
    <row r="199" customFormat="false" ht="12.75" hidden="false" customHeight="false" outlineLevel="0" collapsed="false">
      <c r="B199" s="668" t="s">
        <v>2210</v>
      </c>
      <c r="C199" s="280"/>
      <c r="D199" s="280"/>
      <c r="E199" s="280"/>
      <c r="F199" s="280"/>
      <c r="G199" s="280"/>
      <c r="H199" s="280"/>
      <c r="I199" s="619"/>
    </row>
    <row r="200" customFormat="false" ht="12.75" hidden="false" customHeight="false" outlineLevel="0" collapsed="false">
      <c r="B200" s="668" t="s">
        <v>2211</v>
      </c>
      <c r="C200" s="280"/>
      <c r="D200" s="280"/>
      <c r="E200" s="280"/>
      <c r="F200" s="280"/>
      <c r="G200" s="280"/>
      <c r="H200" s="280"/>
      <c r="I200" s="619"/>
    </row>
    <row r="201" customFormat="false" ht="12.75" hidden="false" customHeight="false" outlineLevel="0" collapsed="false">
      <c r="B201" s="668"/>
      <c r="C201" s="280"/>
      <c r="D201" s="280" t="s">
        <v>2138</v>
      </c>
      <c r="E201" s="280" t="s">
        <v>74</v>
      </c>
      <c r="F201" s="280" t="s">
        <v>125</v>
      </c>
      <c r="G201" s="280"/>
      <c r="H201" s="280"/>
      <c r="I201" s="619"/>
    </row>
    <row r="202" customFormat="false" ht="12.75" hidden="false" customHeight="false" outlineLevel="0" collapsed="false">
      <c r="B202" s="668" t="s">
        <v>2198</v>
      </c>
      <c r="C202" s="382"/>
      <c r="D202" s="210" t="n">
        <v>-1309.257</v>
      </c>
      <c r="E202" s="210" t="n">
        <v>-1458.861</v>
      </c>
      <c r="F202" s="210" t="n">
        <v>188.7</v>
      </c>
      <c r="G202" s="280" t="s">
        <v>2167</v>
      </c>
      <c r="H202" s="280"/>
      <c r="I202" s="619"/>
    </row>
    <row r="203" customFormat="false" ht="12.75" hidden="false" customHeight="false" outlineLevel="0" collapsed="false">
      <c r="B203" s="668" t="s">
        <v>2199</v>
      </c>
      <c r="C203" s="280"/>
      <c r="D203" s="673" t="n">
        <f aca="false">D202-D132-2*D128</f>
        <v>21.7499999999999</v>
      </c>
      <c r="E203" s="673" t="n">
        <f aca="false">E202-E132-2*E128</f>
        <v>23.755</v>
      </c>
      <c r="F203" s="673" t="n">
        <f aca="false">F202-F132-2*F128</f>
        <v>7.01399999999998</v>
      </c>
      <c r="G203" s="280" t="s">
        <v>2167</v>
      </c>
      <c r="H203" s="280"/>
      <c r="I203" s="619"/>
    </row>
    <row r="204" customFormat="false" ht="12.75" hidden="false" customHeight="false" outlineLevel="0" collapsed="false">
      <c r="B204" s="668" t="s">
        <v>2200</v>
      </c>
      <c r="C204" s="280"/>
      <c r="D204" s="700" t="n">
        <f aca="false">D203+D$133+2*D$129</f>
        <v>-1308.817</v>
      </c>
      <c r="E204" s="700" t="n">
        <f aca="false">E203+E$133+2*E$129</f>
        <v>-1458.605</v>
      </c>
      <c r="F204" s="700" t="n">
        <f aca="false">F203+F$133+2*F$129</f>
        <v>188.374</v>
      </c>
      <c r="G204" s="280" t="s">
        <v>2167</v>
      </c>
      <c r="H204" s="280"/>
      <c r="I204" s="619"/>
    </row>
    <row r="205" customFormat="false" ht="12.75" hidden="false" customHeight="false" outlineLevel="0" collapsed="false">
      <c r="B205" s="668" t="s">
        <v>2201</v>
      </c>
      <c r="C205" s="280"/>
      <c r="D205" s="702" t="n">
        <f aca="false">D204-D$133-2*D$129</f>
        <v>21.75</v>
      </c>
      <c r="E205" s="702" t="n">
        <f aca="false">E204-E$133-2*E$129</f>
        <v>23.755</v>
      </c>
      <c r="F205" s="702" t="n">
        <f aca="false">F204-F$133-2*F$129</f>
        <v>7.01399999999998</v>
      </c>
      <c r="G205" s="280" t="s">
        <v>2167</v>
      </c>
      <c r="H205" s="280"/>
      <c r="I205" s="619"/>
    </row>
    <row r="206" customFormat="false" ht="12.75" hidden="false" customHeight="false" outlineLevel="0" collapsed="false">
      <c r="B206" s="668" t="s">
        <v>2202</v>
      </c>
      <c r="C206" s="280"/>
      <c r="D206" s="703" t="str">
        <f aca="false">IF(ABS(D205-D203)&lt;=0.001,"Okay","Error")</f>
        <v>Okay</v>
      </c>
      <c r="E206" s="703" t="str">
        <f aca="false">IF(ABS(E205-E203)&lt;=0.001,"Okay","Error")</f>
        <v>Okay</v>
      </c>
      <c r="F206" s="703" t="str">
        <f aca="false">IF(ABS(F205-F203)&lt;=0.001,"Okay","Error")</f>
        <v>Okay</v>
      </c>
      <c r="G206" s="280"/>
      <c r="H206" s="280"/>
      <c r="I206" s="619"/>
    </row>
    <row r="207" customFormat="false" ht="12.75" hidden="false" customHeight="false" outlineLevel="0" collapsed="false">
      <c r="B207" s="680" t="s">
        <v>2203</v>
      </c>
      <c r="C207" s="280"/>
      <c r="D207" s="701"/>
      <c r="E207" s="700" t="n">
        <f aca="false">D204+298.15*(F204-C$139-2*C$138-2*C$137)/1000</f>
        <v>-1458.518115</v>
      </c>
      <c r="F207" s="701"/>
      <c r="G207" s="280" t="s">
        <v>2167</v>
      </c>
      <c r="H207" s="280"/>
      <c r="I207" s="619"/>
    </row>
    <row r="208" customFormat="false" ht="12.75" hidden="false" customHeight="false" outlineLevel="0" collapsed="false">
      <c r="B208" s="668" t="s">
        <v>2204</v>
      </c>
      <c r="C208" s="280"/>
      <c r="D208" s="701"/>
      <c r="E208" s="703" t="str">
        <f aca="false">IF(ABS(E207-E202)&lt;=0.001,"Okay","Error")</f>
        <v>Error</v>
      </c>
      <c r="F208" s="701"/>
      <c r="G208" s="280"/>
      <c r="H208" s="280"/>
      <c r="I208" s="619"/>
    </row>
    <row r="209" customFormat="false" ht="12.75" hidden="false" customHeight="false" outlineLevel="0" collapsed="false">
      <c r="B209" s="668" t="s">
        <v>2205</v>
      </c>
      <c r="C209" s="280"/>
      <c r="D209" s="701"/>
      <c r="E209" s="673" t="n">
        <f aca="false">D202+298.15*(F202-C139-2*C138-2*C137)/1000</f>
        <v>-1458.8609181</v>
      </c>
      <c r="F209" s="701"/>
      <c r="G209" s="280" t="s">
        <v>2167</v>
      </c>
      <c r="H209" s="280"/>
      <c r="I209" s="619"/>
    </row>
    <row r="210" customFormat="false" ht="12.75" hidden="false" customHeight="false" outlineLevel="0" collapsed="false">
      <c r="B210" s="668" t="s">
        <v>2206</v>
      </c>
      <c r="C210" s="280"/>
      <c r="D210" s="701"/>
      <c r="E210" s="673" t="n">
        <f aca="false">D203+298.15*F203/1000</f>
        <v>23.8412240999999</v>
      </c>
      <c r="F210" s="701"/>
      <c r="G210" s="280" t="s">
        <v>2167</v>
      </c>
      <c r="H210" s="280"/>
      <c r="I210" s="619"/>
    </row>
    <row r="211" customFormat="false" ht="12.75" hidden="false" customHeight="false" outlineLevel="0" collapsed="false">
      <c r="B211" s="668" t="s">
        <v>2207</v>
      </c>
      <c r="C211" s="280"/>
      <c r="D211" s="704" t="n">
        <f aca="false">D204</f>
        <v>-1308.817</v>
      </c>
      <c r="E211" s="704" t="n">
        <f aca="false">E207</f>
        <v>-1458.518115</v>
      </c>
      <c r="F211" s="704" t="n">
        <f aca="false">F204</f>
        <v>188.374</v>
      </c>
      <c r="G211" s="280" t="s">
        <v>2167</v>
      </c>
      <c r="H211" s="280"/>
      <c r="I211" s="619"/>
    </row>
    <row r="212" customFormat="false" ht="12.75" hidden="false" customHeight="false" outlineLevel="0" collapsed="false">
      <c r="B212" s="680" t="s">
        <v>2208</v>
      </c>
      <c r="C212" s="280"/>
      <c r="D212" s="705" t="n">
        <f aca="false">D211-2*D$129</f>
        <v>-834.537</v>
      </c>
      <c r="E212" s="705" t="n">
        <f aca="false">E211-2*E$129</f>
        <v>-886.858115</v>
      </c>
      <c r="F212" s="705" t="n">
        <f aca="false">F211-2*F$129</f>
        <v>48.474</v>
      </c>
      <c r="G212" s="280" t="s">
        <v>2167</v>
      </c>
      <c r="H212" s="280"/>
      <c r="I212" s="619"/>
    </row>
    <row r="213" customFormat="false" ht="13.5" hidden="false" customHeight="false" outlineLevel="0" collapsed="false">
      <c r="B213" s="681" t="s">
        <v>2208</v>
      </c>
      <c r="C213" s="674"/>
      <c r="D213" s="706" t="n">
        <f aca="false">D212/4.184</f>
        <v>-199.45913001912</v>
      </c>
      <c r="E213" s="706" t="n">
        <f aca="false">E212/4.184</f>
        <v>-211.964176625239</v>
      </c>
      <c r="F213" s="706" t="n">
        <f aca="false">F212/4.184</f>
        <v>11.5855640535373</v>
      </c>
      <c r="G213" s="707" t="s">
        <v>2165</v>
      </c>
      <c r="H213" s="674"/>
      <c r="I213" s="675"/>
    </row>
    <row r="215" customFormat="false" ht="13.5" hidden="false" customHeight="false" outlineLevel="0" collapsed="false"/>
    <row r="216" customFormat="false" ht="12.75" hidden="false" customHeight="false" outlineLevel="0" collapsed="false">
      <c r="B216" s="169" t="s">
        <v>2157</v>
      </c>
      <c r="C216" s="666"/>
      <c r="D216" s="666"/>
      <c r="E216" s="666"/>
      <c r="F216" s="666"/>
      <c r="G216" s="666"/>
      <c r="H216" s="666"/>
      <c r="I216" s="667"/>
    </row>
    <row r="217" customFormat="false" ht="12.75" hidden="false" customHeight="false" outlineLevel="0" collapsed="false">
      <c r="B217" s="668" t="s">
        <v>2158</v>
      </c>
      <c r="C217" s="280"/>
      <c r="D217" s="280"/>
      <c r="E217" s="280"/>
      <c r="F217" s="280"/>
      <c r="G217" s="280"/>
      <c r="H217" s="280"/>
      <c r="I217" s="619"/>
    </row>
    <row r="218" customFormat="false" ht="12.75" hidden="false" customHeight="false" outlineLevel="0" collapsed="false">
      <c r="B218" s="668" t="s">
        <v>2210</v>
      </c>
      <c r="C218" s="280"/>
      <c r="D218" s="280"/>
      <c r="E218" s="280"/>
      <c r="F218" s="280"/>
      <c r="G218" s="280"/>
      <c r="H218" s="280"/>
      <c r="I218" s="619"/>
    </row>
    <row r="219" customFormat="false" ht="12.75" hidden="false" customHeight="false" outlineLevel="0" collapsed="false">
      <c r="B219" s="668" t="s">
        <v>2211</v>
      </c>
      <c r="C219" s="280"/>
      <c r="D219" s="280"/>
      <c r="E219" s="280"/>
      <c r="F219" s="280"/>
      <c r="G219" s="280"/>
      <c r="H219" s="280"/>
      <c r="I219" s="619"/>
    </row>
    <row r="220" customFormat="false" ht="12.75" hidden="false" customHeight="false" outlineLevel="0" collapsed="false">
      <c r="B220" s="668"/>
      <c r="C220" s="280"/>
      <c r="D220" s="280" t="s">
        <v>2138</v>
      </c>
      <c r="E220" s="280" t="s">
        <v>74</v>
      </c>
      <c r="F220" s="280" t="s">
        <v>125</v>
      </c>
      <c r="G220" s="280"/>
      <c r="H220" s="280"/>
      <c r="I220" s="619"/>
    </row>
    <row r="221" customFormat="false" ht="12.75" hidden="false" customHeight="false" outlineLevel="0" collapsed="false">
      <c r="B221" s="668" t="s">
        <v>2198</v>
      </c>
      <c r="C221" s="382"/>
      <c r="D221" s="210" t="n">
        <v>-1309.241</v>
      </c>
      <c r="E221" s="210" t="n">
        <v>-1459.433</v>
      </c>
      <c r="F221" s="210" t="n">
        <v>186.406</v>
      </c>
      <c r="G221" s="280" t="s">
        <v>2167</v>
      </c>
      <c r="H221" s="280"/>
      <c r="I221" s="619"/>
    </row>
    <row r="222" customFormat="false" ht="12.75" hidden="false" customHeight="false" outlineLevel="0" collapsed="false">
      <c r="B222" s="668" t="s">
        <v>2199</v>
      </c>
      <c r="C222" s="280"/>
      <c r="D222" s="673" t="n">
        <f aca="false">D221-D132-2*D128</f>
        <v>21.766</v>
      </c>
      <c r="E222" s="673" t="n">
        <f aca="false">E221-E132-2*E128</f>
        <v>23.1830000000001</v>
      </c>
      <c r="F222" s="673" t="n">
        <f aca="false">F221-F132-2*F128</f>
        <v>4.72</v>
      </c>
      <c r="G222" s="280" t="s">
        <v>2167</v>
      </c>
      <c r="H222" s="280"/>
      <c r="I222" s="619"/>
    </row>
    <row r="223" customFormat="false" ht="12.75" hidden="false" customHeight="false" outlineLevel="0" collapsed="false">
      <c r="B223" s="668" t="s">
        <v>2200</v>
      </c>
      <c r="C223" s="280"/>
      <c r="D223" s="700" t="n">
        <f aca="false">D222+D$133+2*D$129</f>
        <v>-1308.801</v>
      </c>
      <c r="E223" s="700" t="n">
        <f aca="false">E222+E$133+2*E$129</f>
        <v>-1459.177</v>
      </c>
      <c r="F223" s="700" t="n">
        <f aca="false">F222+F$133+2*F$129</f>
        <v>186.08</v>
      </c>
      <c r="G223" s="280" t="s">
        <v>2167</v>
      </c>
      <c r="H223" s="280"/>
      <c r="I223" s="619"/>
    </row>
    <row r="224" customFormat="false" ht="12.75" hidden="false" customHeight="false" outlineLevel="0" collapsed="false">
      <c r="B224" s="668" t="s">
        <v>2201</v>
      </c>
      <c r="C224" s="280"/>
      <c r="D224" s="702" t="n">
        <f aca="false">D223-D$133-2*D$129</f>
        <v>21.7660000000001</v>
      </c>
      <c r="E224" s="702" t="n">
        <f aca="false">E223-E$133-2*E$129</f>
        <v>23.1830000000001</v>
      </c>
      <c r="F224" s="702" t="n">
        <f aca="false">F223-F$133-2*F$129</f>
        <v>4.72</v>
      </c>
      <c r="G224" s="280" t="s">
        <v>2167</v>
      </c>
      <c r="H224" s="280"/>
      <c r="I224" s="619"/>
    </row>
    <row r="225" customFormat="false" ht="12.75" hidden="false" customHeight="false" outlineLevel="0" collapsed="false">
      <c r="B225" s="668" t="s">
        <v>2202</v>
      </c>
      <c r="C225" s="280"/>
      <c r="D225" s="703" t="str">
        <f aca="false">IF(ABS(D224-D222)&lt;=0.001,"Okay","Error")</f>
        <v>Okay</v>
      </c>
      <c r="E225" s="703" t="str">
        <f aca="false">IF(ABS(E224-E222)&lt;=0.001,"Okay","Error")</f>
        <v>Okay</v>
      </c>
      <c r="F225" s="703" t="str">
        <f aca="false">IF(ABS(F224-F222)&lt;=0.001,"Okay","Error")</f>
        <v>Okay</v>
      </c>
      <c r="G225" s="280"/>
      <c r="H225" s="280"/>
      <c r="I225" s="619"/>
    </row>
    <row r="226" customFormat="false" ht="12.75" hidden="false" customHeight="false" outlineLevel="0" collapsed="false">
      <c r="B226" s="680" t="s">
        <v>2203</v>
      </c>
      <c r="C226" s="280"/>
      <c r="D226" s="701"/>
      <c r="E226" s="700" t="n">
        <f aca="false">D223+298.15*(F223-C$139-2*C$138-2*C$137)/1000</f>
        <v>-1459.1860711</v>
      </c>
      <c r="F226" s="701"/>
      <c r="G226" s="280" t="s">
        <v>2167</v>
      </c>
      <c r="H226" s="280"/>
      <c r="I226" s="619"/>
    </row>
    <row r="227" customFormat="false" ht="12.75" hidden="false" customHeight="false" outlineLevel="0" collapsed="false">
      <c r="B227" s="668" t="s">
        <v>2204</v>
      </c>
      <c r="C227" s="280"/>
      <c r="D227" s="701"/>
      <c r="E227" s="703" t="str">
        <f aca="false">IF(ABS(E226-E221)&lt;=0.001,"Okay","Error")</f>
        <v>Error</v>
      </c>
      <c r="F227" s="701"/>
      <c r="G227" s="280"/>
      <c r="H227" s="280"/>
      <c r="I227" s="619"/>
    </row>
    <row r="228" customFormat="false" ht="12.75" hidden="false" customHeight="false" outlineLevel="0" collapsed="false">
      <c r="B228" s="668" t="s">
        <v>2205</v>
      </c>
      <c r="C228" s="280"/>
      <c r="D228" s="701"/>
      <c r="E228" s="673" t="n">
        <f aca="false">D221+298.15*(F221-M139-2*M138-2*M137)/1000</f>
        <v>-1459.3975832512</v>
      </c>
      <c r="F228" s="701"/>
      <c r="G228" s="280" t="s">
        <v>2167</v>
      </c>
      <c r="H228" s="280"/>
      <c r="I228" s="619"/>
    </row>
    <row r="229" customFormat="false" ht="12.75" hidden="false" customHeight="false" outlineLevel="0" collapsed="false">
      <c r="B229" s="668" t="s">
        <v>2206</v>
      </c>
      <c r="C229" s="280"/>
      <c r="D229" s="701"/>
      <c r="E229" s="673" t="n">
        <f aca="false">D222+298.15*F222/1000</f>
        <v>23.173268</v>
      </c>
      <c r="F229" s="701"/>
      <c r="G229" s="280" t="s">
        <v>2167</v>
      </c>
      <c r="H229" s="280"/>
      <c r="I229" s="619"/>
    </row>
    <row r="230" customFormat="false" ht="12.75" hidden="false" customHeight="false" outlineLevel="0" collapsed="false">
      <c r="B230" s="668" t="s">
        <v>2207</v>
      </c>
      <c r="C230" s="280"/>
      <c r="D230" s="704" t="n">
        <f aca="false">D223</f>
        <v>-1308.801</v>
      </c>
      <c r="E230" s="704" t="n">
        <f aca="false">E226</f>
        <v>-1459.1860711</v>
      </c>
      <c r="F230" s="704" t="n">
        <f aca="false">F223</f>
        <v>186.08</v>
      </c>
      <c r="G230" s="280" t="s">
        <v>2167</v>
      </c>
      <c r="H230" s="280"/>
      <c r="I230" s="619"/>
    </row>
    <row r="231" customFormat="false" ht="12.75" hidden="false" customHeight="false" outlineLevel="0" collapsed="false">
      <c r="B231" s="680" t="s">
        <v>2208</v>
      </c>
      <c r="C231" s="280"/>
      <c r="D231" s="705" t="n">
        <f aca="false">D230-2*D$129</f>
        <v>-834.521</v>
      </c>
      <c r="E231" s="705" t="n">
        <f aca="false">E230-2*E$129</f>
        <v>-887.5260711</v>
      </c>
      <c r="F231" s="705" t="n">
        <f aca="false">F230-2*F$129</f>
        <v>46.18</v>
      </c>
      <c r="G231" s="280" t="s">
        <v>2167</v>
      </c>
      <c r="H231" s="280"/>
      <c r="I231" s="619"/>
    </row>
    <row r="232" customFormat="false" ht="13.5" hidden="false" customHeight="false" outlineLevel="0" collapsed="false">
      <c r="B232" s="681" t="s">
        <v>2208</v>
      </c>
      <c r="C232" s="674"/>
      <c r="D232" s="706" t="n">
        <f aca="false">D231/4.184</f>
        <v>-199.455305927342</v>
      </c>
      <c r="E232" s="706" t="n">
        <f aca="false">E231/4.184</f>
        <v>-212.123821964627</v>
      </c>
      <c r="F232" s="706" t="n">
        <f aca="false">F231/4.184</f>
        <v>11.0372848948375</v>
      </c>
      <c r="G232" s="707" t="s">
        <v>2165</v>
      </c>
      <c r="H232" s="674"/>
      <c r="I232" s="675"/>
    </row>
    <row r="234" customFormat="false" ht="13.5" hidden="false" customHeight="false" outlineLevel="0" collapsed="false">
      <c r="B234" s="280"/>
      <c r="C234" s="280"/>
      <c r="D234" s="280"/>
      <c r="E234" s="280"/>
      <c r="F234" s="280"/>
      <c r="G234" s="280"/>
      <c r="H234" s="280"/>
      <c r="I234" s="280"/>
    </row>
    <row r="235" customFormat="false" ht="12.75" hidden="false" customHeight="false" outlineLevel="0" collapsed="false">
      <c r="B235" s="169" t="s">
        <v>2212</v>
      </c>
      <c r="C235" s="666"/>
      <c r="D235" s="666"/>
      <c r="E235" s="666"/>
      <c r="F235" s="666"/>
      <c r="G235" s="666"/>
      <c r="H235" s="666"/>
      <c r="I235" s="667"/>
    </row>
    <row r="236" customFormat="false" ht="12.75" hidden="false" customHeight="false" outlineLevel="0" collapsed="false">
      <c r="B236" s="668" t="s">
        <v>2213</v>
      </c>
      <c r="C236" s="280"/>
      <c r="D236" s="280"/>
      <c r="E236" s="280"/>
      <c r="F236" s="280"/>
      <c r="G236" s="280"/>
      <c r="H236" s="280"/>
      <c r="I236" s="619"/>
    </row>
    <row r="237" customFormat="false" ht="12.75" hidden="false" customHeight="false" outlineLevel="0" collapsed="false">
      <c r="B237" s="668" t="s">
        <v>2214</v>
      </c>
      <c r="C237" s="280"/>
      <c r="D237" s="280"/>
      <c r="E237" s="280"/>
      <c r="F237" s="280"/>
      <c r="G237" s="280"/>
      <c r="H237" s="280"/>
      <c r="I237" s="619"/>
    </row>
    <row r="238" customFormat="false" ht="12.75" hidden="false" customHeight="false" outlineLevel="0" collapsed="false">
      <c r="B238" s="668" t="s">
        <v>2215</v>
      </c>
      <c r="C238" s="280"/>
      <c r="D238" s="280"/>
      <c r="E238" s="280"/>
      <c r="F238" s="280"/>
      <c r="G238" s="280"/>
      <c r="H238" s="280"/>
      <c r="I238" s="619"/>
    </row>
    <row r="239" customFormat="false" ht="12.75" hidden="false" customHeight="false" outlineLevel="0" collapsed="false">
      <c r="B239" s="668" t="s">
        <v>2216</v>
      </c>
      <c r="C239" s="280"/>
      <c r="D239" s="280" t="s">
        <v>2138</v>
      </c>
      <c r="E239" s="280" t="s">
        <v>74</v>
      </c>
      <c r="F239" s="280" t="s">
        <v>125</v>
      </c>
      <c r="G239" s="280"/>
      <c r="H239" s="280"/>
      <c r="I239" s="619"/>
    </row>
    <row r="240" customFormat="false" ht="12.75" hidden="false" customHeight="false" outlineLevel="0" collapsed="false">
      <c r="B240" s="668" t="s">
        <v>2198</v>
      </c>
      <c r="C240" s="382"/>
      <c r="D240" s="673" t="n">
        <v>-1309.325</v>
      </c>
      <c r="E240" s="210" t="n">
        <v>-1466.801</v>
      </c>
      <c r="F240" s="673" t="n">
        <v>162.021</v>
      </c>
      <c r="G240" s="280" t="s">
        <v>2167</v>
      </c>
      <c r="H240" s="280"/>
      <c r="I240" s="619"/>
    </row>
    <row r="241" customFormat="false" ht="12.75" hidden="false" customHeight="false" outlineLevel="0" collapsed="false">
      <c r="B241" s="668" t="s">
        <v>2199</v>
      </c>
      <c r="C241" s="280"/>
      <c r="D241" s="673" t="n">
        <f aca="false">D240-D131-2*D128</f>
        <v>21.3289999999999</v>
      </c>
      <c r="E241" s="673" t="n">
        <f aca="false">E240-E131-2*E128</f>
        <v>15.5750000000002</v>
      </c>
      <c r="F241" s="673" t="n">
        <f aca="false">F240-F131-2*F128</f>
        <v>-19.285</v>
      </c>
      <c r="G241" s="280" t="s">
        <v>2167</v>
      </c>
      <c r="H241" s="280"/>
      <c r="I241" s="619"/>
    </row>
    <row r="242" customFormat="false" ht="12.75" hidden="false" customHeight="false" outlineLevel="0" collapsed="false">
      <c r="B242" s="668" t="s">
        <v>2200</v>
      </c>
      <c r="C242" s="280"/>
      <c r="D242" s="700" t="n">
        <f aca="false">D241+D$133+2*D$129</f>
        <v>-1309.238</v>
      </c>
      <c r="E242" s="700" t="n">
        <f aca="false">E241+E$133+2*E$129</f>
        <v>-1466.785</v>
      </c>
      <c r="F242" s="700" t="n">
        <f aca="false">F241+F$133+2*F$129</f>
        <v>162.075</v>
      </c>
      <c r="G242" s="280" t="s">
        <v>2167</v>
      </c>
      <c r="H242" s="280"/>
      <c r="I242" s="619"/>
    </row>
    <row r="243" customFormat="false" ht="12.75" hidden="false" customHeight="false" outlineLevel="0" collapsed="false">
      <c r="B243" s="668" t="s">
        <v>2201</v>
      </c>
      <c r="C243" s="280"/>
      <c r="D243" s="702" t="n">
        <f aca="false">D242-D$133-2*D$129</f>
        <v>21.3289999999999</v>
      </c>
      <c r="E243" s="702" t="n">
        <f aca="false">E242-E$133-2*E$129</f>
        <v>15.5750000000002</v>
      </c>
      <c r="F243" s="702" t="n">
        <f aca="false">F242-F$133-2*F$129</f>
        <v>-19.285</v>
      </c>
      <c r="G243" s="280" t="s">
        <v>2167</v>
      </c>
      <c r="H243" s="280"/>
      <c r="I243" s="619"/>
    </row>
    <row r="244" customFormat="false" ht="12.75" hidden="false" customHeight="false" outlineLevel="0" collapsed="false">
      <c r="B244" s="668" t="s">
        <v>2202</v>
      </c>
      <c r="C244" s="280"/>
      <c r="D244" s="703" t="str">
        <f aca="false">IF(ABS(D243-D241)&lt;=0.001,"Okay","Error")</f>
        <v>Okay</v>
      </c>
      <c r="E244" s="703" t="str">
        <f aca="false">IF(ABS(E243-E241)&lt;=0.001,"Okay","Error")</f>
        <v>Okay</v>
      </c>
      <c r="F244" s="703" t="str">
        <f aca="false">IF(ABS(F243-F241)&lt;=0.001,"Okay","Error")</f>
        <v>Okay</v>
      </c>
      <c r="G244" s="280"/>
      <c r="H244" s="280"/>
      <c r="I244" s="619"/>
    </row>
    <row r="245" customFormat="false" ht="12.75" hidden="false" customHeight="false" outlineLevel="0" collapsed="false">
      <c r="B245" s="680" t="s">
        <v>2203</v>
      </c>
      <c r="C245" s="280"/>
      <c r="D245" s="701"/>
      <c r="E245" s="700" t="n">
        <f aca="false">D242+298.15*(F242-C$139-2*C$138-2*C$137)/1000</f>
        <v>-1466.78016185</v>
      </c>
      <c r="F245" s="701"/>
      <c r="G245" s="280" t="s">
        <v>2167</v>
      </c>
      <c r="H245" s="280"/>
      <c r="I245" s="619"/>
    </row>
    <row r="246" customFormat="false" ht="12.75" hidden="false" customHeight="false" outlineLevel="0" collapsed="false">
      <c r="B246" s="668" t="s">
        <v>2204</v>
      </c>
      <c r="C246" s="280"/>
      <c r="D246" s="701"/>
      <c r="E246" s="703" t="str">
        <f aca="false">IF(ABS(E245-E240)&lt;=0.001,"Okay","Error")</f>
        <v>Error</v>
      </c>
      <c r="F246" s="701"/>
      <c r="G246" s="280"/>
      <c r="H246" s="280"/>
      <c r="I246" s="619"/>
    </row>
    <row r="247" customFormat="false" ht="12.75" hidden="false" customHeight="false" outlineLevel="0" collapsed="false">
      <c r="B247" s="668" t="s">
        <v>2205</v>
      </c>
      <c r="C247" s="280"/>
      <c r="D247" s="701"/>
      <c r="E247" s="673" t="n">
        <f aca="false">D240+298.15*(F240-H139-2*H138-2*H137)/1000</f>
        <v>-1466.88206935</v>
      </c>
      <c r="F247" s="701"/>
      <c r="G247" s="280" t="s">
        <v>2167</v>
      </c>
      <c r="H247" s="280"/>
      <c r="I247" s="619"/>
    </row>
    <row r="248" customFormat="false" ht="12.75" hidden="false" customHeight="false" outlineLevel="0" collapsed="false">
      <c r="B248" s="668" t="s">
        <v>2206</v>
      </c>
      <c r="C248" s="280"/>
      <c r="D248" s="701"/>
      <c r="E248" s="673" t="n">
        <f aca="false">D241+298.15*F241/1000</f>
        <v>15.5791772499999</v>
      </c>
      <c r="F248" s="701"/>
      <c r="G248" s="280" t="s">
        <v>2167</v>
      </c>
      <c r="H248" s="280"/>
      <c r="I248" s="619"/>
    </row>
    <row r="249" customFormat="false" ht="12.75" hidden="false" customHeight="false" outlineLevel="0" collapsed="false">
      <c r="B249" s="668" t="s">
        <v>2207</v>
      </c>
      <c r="C249" s="280"/>
      <c r="D249" s="704" t="n">
        <f aca="false">D242</f>
        <v>-1309.238</v>
      </c>
      <c r="E249" s="704" t="n">
        <f aca="false">E245</f>
        <v>-1466.78016185</v>
      </c>
      <c r="F249" s="704" t="n">
        <f aca="false">F242</f>
        <v>162.075</v>
      </c>
      <c r="G249" s="280" t="s">
        <v>2167</v>
      </c>
      <c r="H249" s="280"/>
      <c r="I249" s="619"/>
    </row>
    <row r="250" customFormat="false" ht="12.75" hidden="false" customHeight="false" outlineLevel="0" collapsed="false">
      <c r="B250" s="680" t="s">
        <v>2208</v>
      </c>
      <c r="C250" s="280"/>
      <c r="D250" s="705" t="n">
        <f aca="false">D249-2*D$129</f>
        <v>-834.958</v>
      </c>
      <c r="E250" s="705" t="n">
        <f aca="false">E249-2*E$129</f>
        <v>-895.12016185</v>
      </c>
      <c r="F250" s="705" t="n">
        <f aca="false">F249-2*F$129</f>
        <v>22.175</v>
      </c>
      <c r="G250" s="280" t="s">
        <v>2167</v>
      </c>
      <c r="H250" s="280"/>
      <c r="I250" s="619"/>
    </row>
    <row r="251" customFormat="false" ht="13.5" hidden="false" customHeight="false" outlineLevel="0" collapsed="false">
      <c r="B251" s="681" t="s">
        <v>2208</v>
      </c>
      <c r="C251" s="674"/>
      <c r="D251" s="706" t="n">
        <f aca="false">D250/4.184</f>
        <v>-199.559751434034</v>
      </c>
      <c r="E251" s="706" t="n">
        <f aca="false">E250/4.184</f>
        <v>-213.938853214627</v>
      </c>
      <c r="F251" s="706" t="n">
        <f aca="false">F250/4.184</f>
        <v>5.29995219885277</v>
      </c>
      <c r="G251" s="707" t="s">
        <v>2165</v>
      </c>
      <c r="H251" s="674"/>
      <c r="I251" s="675"/>
    </row>
    <row r="252" customFormat="false" ht="12.75" hidden="false" customHeight="false" outlineLevel="0" collapsed="false">
      <c r="B252" s="456" t="s">
        <v>2217</v>
      </c>
      <c r="C252" s="666"/>
      <c r="D252" s="666"/>
      <c r="E252" s="666"/>
      <c r="F252" s="666"/>
      <c r="G252" s="666"/>
      <c r="H252" s="666"/>
      <c r="I252" s="667"/>
    </row>
    <row r="253" customFormat="false" ht="12.75" hidden="false" customHeight="false" outlineLevel="0" collapsed="false">
      <c r="B253" s="680" t="s">
        <v>2218</v>
      </c>
      <c r="C253" s="280"/>
      <c r="D253" s="280"/>
      <c r="E253" s="280"/>
      <c r="F253" s="280"/>
      <c r="G253" s="280"/>
      <c r="H253" s="280"/>
      <c r="I253" s="619"/>
    </row>
    <row r="254" customFormat="false" ht="13.5" hidden="false" customHeight="false" outlineLevel="0" collapsed="false">
      <c r="B254" s="681" t="s">
        <v>2219</v>
      </c>
      <c r="C254" s="674"/>
      <c r="D254" s="674"/>
      <c r="E254" s="674"/>
      <c r="F254" s="674"/>
      <c r="G254" s="674"/>
      <c r="H254" s="674"/>
      <c r="I254" s="675"/>
    </row>
    <row r="255" customFormat="false" ht="12.75" hidden="false" customHeight="false" outlineLevel="0" collapsed="false">
      <c r="B255" s="456"/>
      <c r="C255" s="666"/>
      <c r="D255" s="666"/>
      <c r="E255" s="666"/>
      <c r="F255" s="666"/>
      <c r="G255" s="666"/>
      <c r="H255" s="666"/>
      <c r="I255" s="667"/>
    </row>
    <row r="256" customFormat="false" ht="12.75" hidden="false" customHeight="false" outlineLevel="0" collapsed="false">
      <c r="B256" s="668" t="s">
        <v>2220</v>
      </c>
      <c r="C256" s="280"/>
      <c r="D256" s="280" t="s">
        <v>2138</v>
      </c>
      <c r="E256" s="280" t="s">
        <v>74</v>
      </c>
      <c r="F256" s="280" t="s">
        <v>125</v>
      </c>
      <c r="G256" s="280"/>
      <c r="H256" s="280"/>
      <c r="I256" s="619"/>
    </row>
    <row r="257" customFormat="false" ht="12.75" hidden="false" customHeight="false" outlineLevel="0" collapsed="false">
      <c r="B257" s="668" t="s">
        <v>2198</v>
      </c>
      <c r="C257" s="382"/>
      <c r="D257" s="673" t="n">
        <v>-400.76</v>
      </c>
      <c r="E257" s="673" t="n">
        <v>-427.3</v>
      </c>
      <c r="F257" s="673" t="n">
        <v>18</v>
      </c>
      <c r="G257" s="280" t="s">
        <v>2165</v>
      </c>
      <c r="H257" s="280"/>
      <c r="I257" s="619"/>
    </row>
    <row r="258" customFormat="false" ht="12.75" hidden="false" customHeight="false" outlineLevel="0" collapsed="false">
      <c r="B258" s="668"/>
      <c r="C258" s="280"/>
      <c r="D258" s="700" t="n">
        <f aca="false">D257*4.184</f>
        <v>-1676.77984</v>
      </c>
      <c r="E258" s="673" t="n">
        <f aca="false">E257*4.184</f>
        <v>-1787.8232</v>
      </c>
      <c r="F258" s="700" t="n">
        <f aca="false">F257*4.184</f>
        <v>75.312</v>
      </c>
      <c r="G258" s="280" t="s">
        <v>2167</v>
      </c>
      <c r="H258" s="280"/>
      <c r="I258" s="619"/>
    </row>
    <row r="259" customFormat="false" ht="12.75" hidden="false" customHeight="false" outlineLevel="0" collapsed="false">
      <c r="B259" s="680" t="s">
        <v>2221</v>
      </c>
      <c r="C259" s="280"/>
      <c r="D259" s="673"/>
      <c r="E259" s="700" t="n">
        <f aca="false">D258+298.15*(F258-2*C$139-2*C$138)/1000</f>
        <v>-1787.8741078</v>
      </c>
      <c r="F259" s="673"/>
      <c r="G259" s="280" t="s">
        <v>2167</v>
      </c>
      <c r="H259" s="280"/>
      <c r="I259" s="619"/>
    </row>
    <row r="260" customFormat="false" ht="12.75" hidden="false" customHeight="false" outlineLevel="0" collapsed="false">
      <c r="B260" s="680" t="s">
        <v>2222</v>
      </c>
      <c r="C260" s="280"/>
      <c r="D260" s="705" t="n">
        <f aca="false">D258</f>
        <v>-1676.77984</v>
      </c>
      <c r="E260" s="705" t="n">
        <f aca="false">E259</f>
        <v>-1787.8741078</v>
      </c>
      <c r="F260" s="705" t="n">
        <f aca="false">F258</f>
        <v>75.312</v>
      </c>
      <c r="G260" s="280" t="s">
        <v>2167</v>
      </c>
      <c r="H260" s="280"/>
      <c r="I260" s="619"/>
    </row>
    <row r="261" customFormat="false" ht="13.5" hidden="false" customHeight="false" outlineLevel="0" collapsed="false">
      <c r="B261" s="178"/>
      <c r="C261" s="674"/>
      <c r="D261" s="706" t="n">
        <f aca="false">D260/4.184</f>
        <v>-400.76</v>
      </c>
      <c r="E261" s="706" t="n">
        <f aca="false">E260/4.184</f>
        <v>-427.312167256214</v>
      </c>
      <c r="F261" s="706" t="n">
        <f aca="false">F260/4.184</f>
        <v>18</v>
      </c>
      <c r="G261" s="674" t="s">
        <v>2165</v>
      </c>
      <c r="H261" s="674"/>
      <c r="I261" s="675"/>
    </row>
    <row r="262" customFormat="false" ht="12.75" hidden="false" customHeight="false" outlineLevel="0" collapsed="false">
      <c r="B262" s="169"/>
      <c r="C262" s="666"/>
      <c r="D262" s="666"/>
      <c r="E262" s="666"/>
      <c r="F262" s="666"/>
      <c r="G262" s="666"/>
      <c r="H262" s="666"/>
      <c r="I262" s="667"/>
    </row>
    <row r="263" customFormat="false" ht="12.75" hidden="false" customHeight="false" outlineLevel="0" collapsed="false">
      <c r="B263" s="680" t="s">
        <v>2223</v>
      </c>
      <c r="C263" s="280"/>
      <c r="D263" s="280"/>
      <c r="E263" s="280"/>
      <c r="F263" s="280"/>
      <c r="G263" s="280"/>
      <c r="H263" s="280"/>
      <c r="I263" s="619"/>
    </row>
    <row r="264" customFormat="false" ht="13.5" hidden="false" customHeight="false" outlineLevel="0" collapsed="false">
      <c r="B264" s="681" t="s">
        <v>2224</v>
      </c>
      <c r="C264" s="674"/>
      <c r="D264" s="674"/>
      <c r="E264" s="674"/>
      <c r="F264" s="674"/>
      <c r="G264" s="674"/>
      <c r="H264" s="674"/>
      <c r="I264" s="675"/>
    </row>
    <row r="265" customFormat="false" ht="12.75" hidden="false" customHeight="false" outlineLevel="0" collapsed="false">
      <c r="B265" s="280"/>
      <c r="C265" s="280"/>
      <c r="G265" s="280"/>
      <c r="H265" s="280"/>
      <c r="I265" s="280"/>
    </row>
    <row r="268" customFormat="false" ht="12.75" hidden="false" customHeight="false" outlineLevel="0" collapsed="false">
      <c r="B268" s="46" t="s">
        <v>2225</v>
      </c>
    </row>
    <row r="269" customFormat="false" ht="13.5" hidden="false" customHeight="false" outlineLevel="0" collapsed="false">
      <c r="B269" s="46"/>
    </row>
    <row r="270" customFormat="false" ht="12.75" hidden="false" customHeight="false" outlineLevel="0" collapsed="false">
      <c r="B270" s="456" t="s">
        <v>2226</v>
      </c>
      <c r="C270" s="666"/>
      <c r="D270" s="666"/>
      <c r="E270" s="666"/>
      <c r="F270" s="666"/>
      <c r="G270" s="666"/>
      <c r="H270" s="666"/>
      <c r="I270" s="667"/>
    </row>
    <row r="271" customFormat="false" ht="12.75" hidden="false" customHeight="false" outlineLevel="0" collapsed="false">
      <c r="B271" s="680" t="s">
        <v>2227</v>
      </c>
      <c r="C271" s="280"/>
      <c r="D271" s="280"/>
      <c r="E271" s="280"/>
      <c r="F271" s="280"/>
      <c r="G271" s="280"/>
      <c r="H271" s="280"/>
      <c r="I271" s="619"/>
    </row>
    <row r="272" customFormat="false" ht="12.75" hidden="false" customHeight="false" outlineLevel="0" collapsed="false">
      <c r="B272" s="668"/>
      <c r="C272" s="280"/>
      <c r="D272" s="280"/>
      <c r="E272" s="280"/>
      <c r="F272" s="280"/>
      <c r="G272" s="280"/>
      <c r="H272" s="280"/>
      <c r="I272" s="619"/>
    </row>
    <row r="273" customFormat="false" ht="13.5" hidden="false" customHeight="false" outlineLevel="0" collapsed="false">
      <c r="B273" s="668"/>
      <c r="C273" s="112" t="s">
        <v>2228</v>
      </c>
      <c r="D273" s="280"/>
      <c r="E273" s="280"/>
      <c r="F273" s="280"/>
      <c r="G273" s="280"/>
      <c r="H273" s="280"/>
      <c r="I273" s="619"/>
    </row>
    <row r="274" customFormat="false" ht="14.25" hidden="false" customHeight="false" outlineLevel="0" collapsed="false">
      <c r="B274" s="708"/>
      <c r="C274" s="709" t="s">
        <v>1039</v>
      </c>
      <c r="D274" s="636" t="s">
        <v>511</v>
      </c>
      <c r="E274" s="636" t="s">
        <v>512</v>
      </c>
      <c r="F274" s="636" t="s">
        <v>513</v>
      </c>
      <c r="G274" s="280"/>
      <c r="H274" s="280"/>
      <c r="I274" s="619"/>
    </row>
    <row r="275" customFormat="false" ht="15" hidden="false" customHeight="false" outlineLevel="0" collapsed="false">
      <c r="B275" s="708"/>
      <c r="C275" s="710" t="s">
        <v>783</v>
      </c>
      <c r="D275" s="55" t="s">
        <v>784</v>
      </c>
      <c r="E275" s="55" t="s">
        <v>784</v>
      </c>
      <c r="F275" s="55" t="s">
        <v>167</v>
      </c>
      <c r="G275" s="280"/>
      <c r="H275" s="280"/>
      <c r="I275" s="619"/>
    </row>
    <row r="276" customFormat="false" ht="12.75" hidden="false" customHeight="false" outlineLevel="0" collapsed="false">
      <c r="B276" s="708"/>
      <c r="C276" s="711" t="s">
        <v>1067</v>
      </c>
      <c r="D276" s="712" t="n">
        <v>-1582.2574048</v>
      </c>
      <c r="E276" s="712" t="n">
        <v>-1675.7</v>
      </c>
      <c r="F276" s="712" t="n">
        <v>50.92</v>
      </c>
      <c r="G276" s="280"/>
      <c r="H276" s="280"/>
      <c r="I276" s="619"/>
    </row>
    <row r="277" customFormat="false" ht="12.75" hidden="false" customHeight="false" outlineLevel="0" collapsed="false">
      <c r="B277" s="708"/>
      <c r="C277" s="711" t="s">
        <v>1076</v>
      </c>
      <c r="D277" s="712" t="n">
        <v>-1154.9032748</v>
      </c>
      <c r="E277" s="712" t="n">
        <v>-1293.128</v>
      </c>
      <c r="F277" s="712" t="n">
        <v>68.44</v>
      </c>
      <c r="G277" s="280"/>
      <c r="H277" s="280"/>
      <c r="I277" s="619"/>
    </row>
    <row r="278" customFormat="false" ht="12.75" hidden="false" customHeight="false" outlineLevel="0" collapsed="false">
      <c r="B278" s="668"/>
      <c r="C278" s="280"/>
      <c r="D278" s="280"/>
      <c r="E278" s="280"/>
      <c r="F278" s="280"/>
      <c r="G278" s="280"/>
      <c r="H278" s="280"/>
      <c r="I278" s="619"/>
    </row>
    <row r="279" customFormat="false" ht="14.25" hidden="false" customHeight="false" outlineLevel="0" collapsed="false">
      <c r="B279" s="668"/>
      <c r="C279" s="516" t="s">
        <v>529</v>
      </c>
      <c r="D279" s="516" t="s">
        <v>2190</v>
      </c>
      <c r="E279" s="280"/>
      <c r="F279" s="280"/>
      <c r="G279" s="280"/>
      <c r="H279" s="280"/>
      <c r="I279" s="619"/>
    </row>
    <row r="280" customFormat="false" ht="12.75" hidden="false" customHeight="false" outlineLevel="0" collapsed="false">
      <c r="B280" s="668"/>
      <c r="C280" s="691" t="s">
        <v>75</v>
      </c>
      <c r="D280" s="517" t="s">
        <v>623</v>
      </c>
      <c r="E280" s="280"/>
      <c r="F280" s="280"/>
      <c r="G280" s="280"/>
      <c r="H280" s="280"/>
      <c r="I280" s="619"/>
    </row>
    <row r="281" customFormat="false" ht="12.75" hidden="false" customHeight="false" outlineLevel="0" collapsed="false">
      <c r="B281" s="668"/>
      <c r="C281" s="691" t="s">
        <v>107</v>
      </c>
      <c r="D281" s="517" t="s">
        <v>760</v>
      </c>
      <c r="E281" s="280"/>
      <c r="F281" s="280"/>
      <c r="G281" s="280"/>
      <c r="H281" s="280"/>
      <c r="I281" s="619"/>
    </row>
    <row r="282" customFormat="false" ht="12.75" hidden="false" customHeight="false" outlineLevel="0" collapsed="false">
      <c r="B282" s="668"/>
      <c r="C282" s="696" t="s">
        <v>32</v>
      </c>
      <c r="D282" s="517" t="s">
        <v>532</v>
      </c>
      <c r="E282" s="280"/>
      <c r="F282" s="280"/>
      <c r="G282" s="280"/>
      <c r="H282" s="280"/>
      <c r="I282" s="619"/>
    </row>
    <row r="283" customFormat="false" ht="12.75" hidden="false" customHeight="false" outlineLevel="0" collapsed="false">
      <c r="B283" s="668"/>
      <c r="C283" s="280"/>
      <c r="D283" s="280"/>
      <c r="E283" s="280"/>
      <c r="F283" s="280"/>
      <c r="G283" s="280"/>
      <c r="H283" s="280"/>
      <c r="I283" s="619"/>
    </row>
    <row r="284" customFormat="false" ht="13.5" hidden="false" customHeight="false" outlineLevel="0" collapsed="false">
      <c r="B284" s="668"/>
      <c r="C284" s="112" t="s">
        <v>529</v>
      </c>
      <c r="D284" s="280"/>
      <c r="E284" s="280"/>
      <c r="F284" s="280"/>
      <c r="G284" s="280"/>
      <c r="H284" s="280"/>
      <c r="I284" s="619"/>
    </row>
    <row r="285" customFormat="false" ht="14.25" hidden="false" customHeight="false" outlineLevel="0" collapsed="false">
      <c r="B285" s="668"/>
      <c r="C285" s="713" t="s">
        <v>782</v>
      </c>
      <c r="D285" s="636" t="s">
        <v>511</v>
      </c>
      <c r="E285" s="636" t="s">
        <v>512</v>
      </c>
      <c r="F285" s="636" t="s">
        <v>513</v>
      </c>
      <c r="G285" s="280"/>
      <c r="H285" s="280"/>
      <c r="I285" s="619"/>
    </row>
    <row r="286" customFormat="false" ht="15" hidden="false" customHeight="false" outlineLevel="0" collapsed="false">
      <c r="B286" s="668"/>
      <c r="C286" s="714" t="s">
        <v>783</v>
      </c>
      <c r="D286" s="55" t="s">
        <v>784</v>
      </c>
      <c r="E286" s="55" t="s">
        <v>784</v>
      </c>
      <c r="F286" s="55" t="s">
        <v>167</v>
      </c>
      <c r="G286" s="280"/>
      <c r="H286" s="280"/>
      <c r="I286" s="619"/>
    </row>
    <row r="287" customFormat="false" ht="12.75" hidden="false" customHeight="false" outlineLevel="0" collapsed="false">
      <c r="B287" s="668"/>
      <c r="C287" s="609" t="s">
        <v>1178</v>
      </c>
      <c r="D287" s="715" t="n">
        <v>-237.14</v>
      </c>
      <c r="E287" s="715" t="n">
        <v>-285.83</v>
      </c>
      <c r="F287" s="715" t="n">
        <v>69.95</v>
      </c>
      <c r="G287" s="280"/>
      <c r="H287" s="280"/>
      <c r="I287" s="619"/>
    </row>
    <row r="288" customFormat="false" ht="12.75" hidden="false" customHeight="false" outlineLevel="0" collapsed="false">
      <c r="B288" s="668"/>
      <c r="C288" s="609" t="s">
        <v>785</v>
      </c>
      <c r="D288" s="715" t="n">
        <v>0</v>
      </c>
      <c r="E288" s="715" t="n">
        <v>0</v>
      </c>
      <c r="F288" s="715" t="n">
        <v>0</v>
      </c>
      <c r="G288" s="280"/>
      <c r="H288" s="280"/>
      <c r="I288" s="619"/>
    </row>
    <row r="289" customFormat="false" ht="12.75" hidden="false" customHeight="false" outlineLevel="0" collapsed="false">
      <c r="B289" s="668"/>
      <c r="C289" s="280"/>
      <c r="D289" s="280"/>
      <c r="E289" s="280"/>
      <c r="F289" s="280"/>
      <c r="G289" s="280"/>
      <c r="H289" s="280"/>
      <c r="I289" s="619"/>
    </row>
    <row r="290" customFormat="false" ht="12.75" hidden="false" customHeight="false" outlineLevel="0" collapsed="false">
      <c r="B290" s="668" t="s">
        <v>2229</v>
      </c>
      <c r="C290" s="280"/>
      <c r="D290" s="280"/>
      <c r="E290" s="280"/>
      <c r="F290" s="280"/>
      <c r="G290" s="280"/>
      <c r="H290" s="280"/>
      <c r="I290" s="619"/>
    </row>
    <row r="291" customFormat="false" ht="12.75" hidden="false" customHeight="false" outlineLevel="0" collapsed="false">
      <c r="B291" s="668"/>
      <c r="C291" s="280"/>
      <c r="D291" s="280"/>
      <c r="E291" s="280"/>
      <c r="F291" s="280"/>
      <c r="G291" s="280"/>
      <c r="H291" s="280"/>
      <c r="I291" s="619"/>
    </row>
    <row r="292" customFormat="false" ht="13.5" hidden="false" customHeight="false" outlineLevel="0" collapsed="false">
      <c r="B292" s="668"/>
      <c r="C292" s="112" t="s">
        <v>2230</v>
      </c>
      <c r="D292" s="280"/>
      <c r="E292" s="280"/>
      <c r="F292" s="280"/>
      <c r="G292" s="280"/>
      <c r="H292" s="280"/>
      <c r="I292" s="619"/>
    </row>
    <row r="293" customFormat="false" ht="14.25" hidden="false" customHeight="false" outlineLevel="0" collapsed="false">
      <c r="B293" s="668"/>
      <c r="C293" s="713"/>
      <c r="D293" s="636" t="s">
        <v>511</v>
      </c>
      <c r="E293" s="636" t="s">
        <v>512</v>
      </c>
      <c r="F293" s="636" t="s">
        <v>513</v>
      </c>
      <c r="G293" s="280"/>
      <c r="H293" s="673"/>
      <c r="I293" s="716"/>
      <c r="J293" s="240"/>
      <c r="K293" s="240"/>
      <c r="L293" s="240"/>
      <c r="M293" s="240"/>
    </row>
    <row r="294" customFormat="false" ht="15" hidden="false" customHeight="false" outlineLevel="0" collapsed="false">
      <c r="B294" s="668"/>
      <c r="C294" s="714" t="s">
        <v>783</v>
      </c>
      <c r="D294" s="55" t="s">
        <v>784</v>
      </c>
      <c r="E294" s="55" t="s">
        <v>784</v>
      </c>
      <c r="F294" s="55" t="s">
        <v>167</v>
      </c>
      <c r="G294" s="280"/>
      <c r="H294" s="673"/>
      <c r="I294" s="716"/>
      <c r="J294" s="240"/>
      <c r="K294" s="240"/>
      <c r="L294" s="240"/>
      <c r="M294" s="240"/>
    </row>
    <row r="295" customFormat="false" ht="12.75" hidden="false" customHeight="false" outlineLevel="0" collapsed="false">
      <c r="B295" s="668"/>
      <c r="C295" s="717" t="s">
        <v>1076</v>
      </c>
      <c r="D295" s="589" t="n">
        <v>-1154.889</v>
      </c>
      <c r="E295" s="718" t="n">
        <v>-1293.128</v>
      </c>
      <c r="F295" s="589" t="n">
        <v>68.44</v>
      </c>
      <c r="G295" s="280" t="s">
        <v>2137</v>
      </c>
      <c r="H295" s="673"/>
      <c r="I295" s="619"/>
      <c r="L295" s="240"/>
      <c r="M295" s="240"/>
    </row>
    <row r="296" customFormat="false" ht="12.75" hidden="false" customHeight="false" outlineLevel="0" collapsed="false">
      <c r="B296" s="668"/>
      <c r="C296" s="717" t="s">
        <v>924</v>
      </c>
      <c r="D296" s="589" t="n">
        <v>-487.616</v>
      </c>
      <c r="E296" s="718" t="n">
        <v>-538.401</v>
      </c>
      <c r="F296" s="589" t="n">
        <v>-338.067</v>
      </c>
      <c r="G296" s="280" t="s">
        <v>2231</v>
      </c>
      <c r="H296" s="673"/>
      <c r="I296" s="716"/>
      <c r="J296" s="240"/>
      <c r="K296" s="240"/>
      <c r="L296" s="240"/>
      <c r="M296" s="240"/>
    </row>
    <row r="297" customFormat="false" ht="12.75" hidden="false" customHeight="false" outlineLevel="0" collapsed="false">
      <c r="B297" s="668"/>
      <c r="C297" s="609" t="s">
        <v>1178</v>
      </c>
      <c r="D297" s="518" t="n">
        <v>-237.183</v>
      </c>
      <c r="E297" s="518" t="n">
        <v>-285.838</v>
      </c>
      <c r="F297" s="518" t="n">
        <v>69.923</v>
      </c>
      <c r="G297" s="280" t="s">
        <v>2102</v>
      </c>
      <c r="H297" s="673"/>
      <c r="I297" s="716"/>
      <c r="J297" s="240"/>
      <c r="K297" s="240"/>
      <c r="L297" s="240"/>
      <c r="M297" s="240"/>
    </row>
    <row r="298" customFormat="false" ht="12.75" hidden="false" customHeight="false" outlineLevel="0" collapsed="false">
      <c r="B298" s="668"/>
      <c r="C298" s="609" t="s">
        <v>785</v>
      </c>
      <c r="D298" s="518" t="n">
        <v>0</v>
      </c>
      <c r="E298" s="518" t="n">
        <v>0</v>
      </c>
      <c r="F298" s="518" t="n">
        <v>0</v>
      </c>
      <c r="G298" s="280" t="s">
        <v>2232</v>
      </c>
      <c r="H298" s="673"/>
      <c r="I298" s="716"/>
      <c r="J298" s="240"/>
      <c r="K298" s="240"/>
      <c r="L298" s="240"/>
      <c r="M298" s="240"/>
    </row>
    <row r="299" customFormat="false" ht="12.75" hidden="false" customHeight="false" outlineLevel="0" collapsed="false">
      <c r="B299" s="668"/>
      <c r="C299" s="280"/>
      <c r="D299" s="280"/>
      <c r="E299" s="280"/>
      <c r="F299" s="280"/>
      <c r="G299" s="280"/>
      <c r="H299" s="673"/>
      <c r="I299" s="716"/>
      <c r="J299" s="240"/>
      <c r="K299" s="240"/>
      <c r="L299" s="240"/>
      <c r="M299" s="240"/>
    </row>
    <row r="300" customFormat="false" ht="12.75" hidden="false" customHeight="false" outlineLevel="0" collapsed="false">
      <c r="B300" s="668"/>
      <c r="C300" s="112" t="s">
        <v>2233</v>
      </c>
      <c r="D300" s="280"/>
      <c r="E300" s="280"/>
      <c r="F300" s="280"/>
      <c r="G300" s="280"/>
      <c r="H300" s="280"/>
      <c r="I300" s="619"/>
    </row>
    <row r="301" customFormat="false" ht="12.75" hidden="false" customHeight="false" outlineLevel="0" collapsed="false">
      <c r="B301" s="668"/>
      <c r="C301" s="112" t="s">
        <v>2234</v>
      </c>
      <c r="D301" s="280"/>
      <c r="E301" s="280"/>
      <c r="F301" s="280"/>
      <c r="G301" s="280"/>
      <c r="H301" s="280"/>
      <c r="I301" s="619"/>
    </row>
    <row r="302" customFormat="false" ht="13.5" hidden="false" customHeight="false" outlineLevel="0" collapsed="false">
      <c r="B302" s="668"/>
      <c r="C302" s="280"/>
      <c r="D302" s="280"/>
      <c r="E302" s="280"/>
      <c r="F302" s="280"/>
      <c r="G302" s="280"/>
      <c r="H302" s="280"/>
      <c r="I302" s="619"/>
    </row>
    <row r="303" customFormat="false" ht="14.25" hidden="false" customHeight="false" outlineLevel="0" collapsed="false">
      <c r="B303" s="668"/>
      <c r="C303" s="280"/>
      <c r="D303" s="636" t="s">
        <v>511</v>
      </c>
      <c r="E303" s="636" t="s">
        <v>512</v>
      </c>
      <c r="F303" s="636" t="s">
        <v>513</v>
      </c>
      <c r="G303" s="280"/>
      <c r="H303" s="280"/>
      <c r="I303" s="619"/>
    </row>
    <row r="304" customFormat="false" ht="15" hidden="false" customHeight="false" outlineLevel="0" collapsed="false">
      <c r="B304" s="668"/>
      <c r="C304" s="280"/>
      <c r="D304" s="55" t="s">
        <v>784</v>
      </c>
      <c r="E304" s="55" t="s">
        <v>784</v>
      </c>
      <c r="F304" s="55" t="s">
        <v>167</v>
      </c>
      <c r="G304" s="280"/>
      <c r="H304" s="280"/>
      <c r="I304" s="619"/>
    </row>
    <row r="305" customFormat="false" ht="12.75" hidden="false" customHeight="false" outlineLevel="0" collapsed="false">
      <c r="B305" s="668"/>
      <c r="C305" s="280"/>
      <c r="D305" s="589" t="n">
        <f aca="false">D296+3*D297-D295</f>
        <v>-44.2760000000001</v>
      </c>
      <c r="E305" s="589" t="n">
        <f aca="false">E296+3*E297-E295</f>
        <v>-102.787</v>
      </c>
      <c r="F305" s="589" t="n">
        <f aca="false">F296+3*F297-F295</f>
        <v>-196.738</v>
      </c>
      <c r="G305" s="280"/>
      <c r="H305" s="280"/>
      <c r="I305" s="619"/>
    </row>
    <row r="306" customFormat="false" ht="12.75" hidden="false" customHeight="false" outlineLevel="0" collapsed="false">
      <c r="B306" s="668"/>
      <c r="C306" s="280"/>
      <c r="D306" s="280"/>
      <c r="E306" s="280"/>
      <c r="F306" s="280"/>
      <c r="G306" s="280"/>
      <c r="H306" s="280"/>
      <c r="I306" s="619"/>
    </row>
    <row r="307" customFormat="false" ht="12.75" hidden="false" customHeight="false" outlineLevel="0" collapsed="false">
      <c r="B307" s="668"/>
      <c r="C307" s="280" t="s">
        <v>2235</v>
      </c>
      <c r="D307" s="280"/>
      <c r="E307" s="280"/>
      <c r="F307" s="280"/>
      <c r="G307" s="280"/>
      <c r="H307" s="280"/>
      <c r="I307" s="619"/>
    </row>
    <row r="308" customFormat="false" ht="13.5" hidden="false" customHeight="false" outlineLevel="0" collapsed="false">
      <c r="B308" s="668"/>
      <c r="C308" s="280"/>
      <c r="D308" s="280"/>
      <c r="E308" s="280"/>
      <c r="F308" s="280"/>
      <c r="G308" s="280"/>
      <c r="H308" s="280"/>
      <c r="I308" s="619"/>
    </row>
    <row r="309" customFormat="false" ht="14.25" hidden="false" customHeight="false" outlineLevel="0" collapsed="false">
      <c r="B309" s="668"/>
      <c r="C309" s="713" t="s">
        <v>1039</v>
      </c>
      <c r="D309" s="636" t="s">
        <v>511</v>
      </c>
      <c r="E309" s="636" t="s">
        <v>512</v>
      </c>
      <c r="F309" s="636" t="s">
        <v>513</v>
      </c>
      <c r="G309" s="280"/>
      <c r="H309" s="280"/>
      <c r="I309" s="619"/>
    </row>
    <row r="310" customFormat="false" ht="15" hidden="false" customHeight="false" outlineLevel="0" collapsed="false">
      <c r="B310" s="668"/>
      <c r="C310" s="714" t="s">
        <v>783</v>
      </c>
      <c r="D310" s="55" t="s">
        <v>784</v>
      </c>
      <c r="E310" s="55" t="s">
        <v>784</v>
      </c>
      <c r="F310" s="55" t="s">
        <v>167</v>
      </c>
      <c r="G310" s="280"/>
      <c r="H310" s="280"/>
      <c r="I310" s="619"/>
    </row>
    <row r="311" customFormat="false" ht="12.75" hidden="false" customHeight="false" outlineLevel="0" collapsed="false">
      <c r="B311" s="668"/>
      <c r="C311" s="717" t="s">
        <v>924</v>
      </c>
      <c r="D311" s="719" t="n">
        <f aca="false">D305+D277-3*D287</f>
        <v>-487.7592748</v>
      </c>
      <c r="E311" s="719" t="n">
        <f aca="false">D311+298.15*(F311-D282+1.5*D280)/1000</f>
        <v>-538.572383</v>
      </c>
      <c r="F311" s="719" t="n">
        <f aca="false">F305+F277-3*F287</f>
        <v>-338.148</v>
      </c>
      <c r="G311" s="280"/>
      <c r="H311" s="280"/>
      <c r="I311" s="619"/>
    </row>
    <row r="312" customFormat="false" ht="12.75" hidden="false" customHeight="false" outlineLevel="0" collapsed="false">
      <c r="B312" s="668"/>
      <c r="C312" s="280"/>
      <c r="D312" s="673"/>
      <c r="E312" s="673" t="n">
        <f aca="false">E305+E277-3*E287</f>
        <v>-538.425</v>
      </c>
      <c r="F312" s="673" t="s">
        <v>2236</v>
      </c>
      <c r="G312" s="280"/>
      <c r="H312" s="280"/>
      <c r="I312" s="619"/>
    </row>
    <row r="313" customFormat="false" ht="12.75" hidden="false" customHeight="false" outlineLevel="0" collapsed="false">
      <c r="B313" s="668"/>
      <c r="C313" s="280"/>
      <c r="D313" s="280"/>
      <c r="E313" s="280"/>
      <c r="F313" s="280"/>
      <c r="G313" s="280"/>
      <c r="H313" s="280"/>
      <c r="I313" s="619"/>
    </row>
    <row r="314" customFormat="false" ht="12.75" hidden="false" customHeight="false" outlineLevel="0" collapsed="false">
      <c r="B314" s="668"/>
      <c r="C314" s="280" t="s">
        <v>2237</v>
      </c>
      <c r="D314" s="280"/>
      <c r="E314" s="280"/>
      <c r="F314" s="280"/>
      <c r="G314" s="280"/>
      <c r="H314" s="280"/>
      <c r="I314" s="619"/>
    </row>
    <row r="315" customFormat="false" ht="12.75" hidden="false" customHeight="false" outlineLevel="0" collapsed="false">
      <c r="B315" s="668"/>
      <c r="C315" s="280" t="s">
        <v>2238</v>
      </c>
      <c r="D315" s="280"/>
      <c r="E315" s="280"/>
      <c r="F315" s="280"/>
      <c r="G315" s="280"/>
      <c r="H315" s="280"/>
      <c r="I315" s="619"/>
    </row>
    <row r="316" customFormat="false" ht="12.75" hidden="false" customHeight="false" outlineLevel="0" collapsed="false">
      <c r="B316" s="668"/>
      <c r="C316" s="112" t="s">
        <v>2239</v>
      </c>
      <c r="D316" s="280"/>
      <c r="E316" s="280"/>
      <c r="F316" s="280"/>
      <c r="G316" s="280"/>
      <c r="H316" s="280"/>
      <c r="I316" s="619"/>
    </row>
    <row r="317" customFormat="false" ht="12.75" hidden="false" customHeight="false" outlineLevel="0" collapsed="false">
      <c r="B317" s="668"/>
      <c r="C317" s="112"/>
      <c r="D317" s="280"/>
      <c r="E317" s="280"/>
      <c r="F317" s="280"/>
      <c r="G317" s="280"/>
      <c r="H317" s="280"/>
      <c r="I317" s="619"/>
    </row>
    <row r="318" customFormat="false" ht="12.75" hidden="false" customHeight="false" outlineLevel="0" collapsed="false">
      <c r="B318" s="668"/>
      <c r="C318" s="112"/>
      <c r="D318" s="280"/>
      <c r="E318" s="280"/>
      <c r="F318" s="280"/>
      <c r="G318" s="280"/>
      <c r="H318" s="280"/>
      <c r="I318" s="619"/>
    </row>
    <row r="319" customFormat="false" ht="12.75" hidden="false" customHeight="false" outlineLevel="0" collapsed="false">
      <c r="B319" s="668" t="s">
        <v>2240</v>
      </c>
      <c r="C319" s="280"/>
      <c r="D319" s="280"/>
      <c r="E319" s="280"/>
      <c r="F319" s="280"/>
      <c r="G319" s="280"/>
      <c r="H319" s="280"/>
      <c r="I319" s="619"/>
    </row>
    <row r="320" customFormat="false" ht="12.75" hidden="false" customHeight="false" outlineLevel="0" collapsed="false">
      <c r="B320" s="668"/>
      <c r="C320" s="280"/>
      <c r="D320" s="280"/>
      <c r="E320" s="280"/>
      <c r="F320" s="280"/>
      <c r="G320" s="280"/>
      <c r="H320" s="280"/>
      <c r="I320" s="619"/>
    </row>
    <row r="321" customFormat="false" ht="13.5" hidden="false" customHeight="false" outlineLevel="0" collapsed="false">
      <c r="B321" s="668"/>
      <c r="C321" s="112" t="s">
        <v>2241</v>
      </c>
      <c r="D321" s="280"/>
      <c r="E321" s="280"/>
      <c r="F321" s="280"/>
      <c r="G321" s="280"/>
      <c r="H321" s="280"/>
      <c r="I321" s="619"/>
    </row>
    <row r="322" customFormat="false" ht="14.25" hidden="false" customHeight="false" outlineLevel="0" collapsed="false">
      <c r="B322" s="668"/>
      <c r="C322" s="713"/>
      <c r="D322" s="636" t="s">
        <v>511</v>
      </c>
      <c r="E322" s="636" t="s">
        <v>512</v>
      </c>
      <c r="F322" s="636" t="s">
        <v>513</v>
      </c>
      <c r="G322" s="280"/>
      <c r="H322" s="673"/>
      <c r="I322" s="619"/>
    </row>
    <row r="323" customFormat="false" ht="15" hidden="false" customHeight="false" outlineLevel="0" collapsed="false">
      <c r="B323" s="668"/>
      <c r="C323" s="714" t="s">
        <v>783</v>
      </c>
      <c r="D323" s="55" t="s">
        <v>784</v>
      </c>
      <c r="E323" s="55" t="s">
        <v>784</v>
      </c>
      <c r="F323" s="55" t="s">
        <v>167</v>
      </c>
      <c r="G323" s="280"/>
      <c r="H323" s="673"/>
      <c r="I323" s="619"/>
    </row>
    <row r="324" customFormat="false" ht="12.75" hidden="false" customHeight="false" outlineLevel="0" collapsed="false">
      <c r="B324" s="668"/>
      <c r="C324" s="717" t="s">
        <v>1076</v>
      </c>
      <c r="D324" s="589" t="n">
        <v>-1154.889</v>
      </c>
      <c r="E324" s="718" t="n">
        <v>-1293.128</v>
      </c>
      <c r="F324" s="589" t="n">
        <v>68.44</v>
      </c>
      <c r="G324" s="280" t="s">
        <v>2137</v>
      </c>
      <c r="H324" s="673"/>
      <c r="I324" s="619"/>
    </row>
    <row r="325" customFormat="false" ht="12.75" hidden="false" customHeight="false" outlineLevel="0" collapsed="false">
      <c r="B325" s="668"/>
      <c r="C325" s="717" t="s">
        <v>924</v>
      </c>
      <c r="D325" s="589" t="n">
        <v>-487.47784</v>
      </c>
      <c r="E325" s="718" t="n">
        <v>-538.769</v>
      </c>
      <c r="F325" s="589" t="n">
        <v>-339.753352</v>
      </c>
      <c r="G325" s="280" t="s">
        <v>2242</v>
      </c>
      <c r="H325" s="673"/>
      <c r="I325" s="619"/>
    </row>
    <row r="326" customFormat="false" ht="12.75" hidden="false" customHeight="false" outlineLevel="0" collapsed="false">
      <c r="B326" s="668"/>
      <c r="C326" s="609" t="s">
        <v>1178</v>
      </c>
      <c r="D326" s="518" t="n">
        <v>-237.183</v>
      </c>
      <c r="E326" s="518" t="n">
        <v>-285.838</v>
      </c>
      <c r="F326" s="518" t="n">
        <v>69.923</v>
      </c>
      <c r="G326" s="280" t="s">
        <v>2102</v>
      </c>
      <c r="H326" s="673"/>
      <c r="I326" s="619"/>
    </row>
    <row r="327" customFormat="false" ht="12.75" hidden="false" customHeight="false" outlineLevel="0" collapsed="false">
      <c r="B327" s="668"/>
      <c r="C327" s="609" t="s">
        <v>785</v>
      </c>
      <c r="D327" s="518" t="n">
        <v>0</v>
      </c>
      <c r="E327" s="518" t="n">
        <v>0</v>
      </c>
      <c r="F327" s="518" t="n">
        <v>0</v>
      </c>
      <c r="G327" s="280" t="s">
        <v>2232</v>
      </c>
      <c r="H327" s="673"/>
      <c r="I327" s="619"/>
    </row>
    <row r="328" customFormat="false" ht="12.75" hidden="false" customHeight="false" outlineLevel="0" collapsed="false">
      <c r="B328" s="668"/>
      <c r="C328" s="280"/>
      <c r="D328" s="280"/>
      <c r="E328" s="280"/>
      <c r="F328" s="280"/>
      <c r="G328" s="280"/>
      <c r="H328" s="673"/>
      <c r="I328" s="619"/>
    </row>
    <row r="329" customFormat="false" ht="12.75" hidden="false" customHeight="false" outlineLevel="0" collapsed="false">
      <c r="B329" s="668"/>
      <c r="C329" s="112" t="s">
        <v>2243</v>
      </c>
      <c r="D329" s="280"/>
      <c r="E329" s="280"/>
      <c r="F329" s="280"/>
      <c r="G329" s="280"/>
      <c r="H329" s="280"/>
      <c r="I329" s="619"/>
    </row>
    <row r="330" customFormat="false" ht="12.75" hidden="false" customHeight="false" outlineLevel="0" collapsed="false">
      <c r="B330" s="668"/>
      <c r="C330" s="112" t="s">
        <v>2234</v>
      </c>
      <c r="D330" s="280"/>
      <c r="E330" s="280"/>
      <c r="F330" s="280"/>
      <c r="G330" s="280"/>
      <c r="H330" s="280"/>
      <c r="I330" s="619"/>
    </row>
    <row r="331" customFormat="false" ht="13.5" hidden="false" customHeight="false" outlineLevel="0" collapsed="false">
      <c r="B331" s="668"/>
      <c r="C331" s="280"/>
      <c r="D331" s="280"/>
      <c r="E331" s="280"/>
      <c r="F331" s="280"/>
      <c r="G331" s="280"/>
      <c r="H331" s="280"/>
      <c r="I331" s="619"/>
    </row>
    <row r="332" customFormat="false" ht="14.25" hidden="false" customHeight="false" outlineLevel="0" collapsed="false">
      <c r="B332" s="668"/>
      <c r="C332" s="280"/>
      <c r="D332" s="636" t="s">
        <v>511</v>
      </c>
      <c r="E332" s="636" t="s">
        <v>512</v>
      </c>
      <c r="F332" s="636" t="s">
        <v>513</v>
      </c>
      <c r="G332" s="280"/>
      <c r="H332" s="280"/>
      <c r="I332" s="619"/>
    </row>
    <row r="333" customFormat="false" ht="15" hidden="false" customHeight="false" outlineLevel="0" collapsed="false">
      <c r="B333" s="668"/>
      <c r="C333" s="280"/>
      <c r="D333" s="55" t="s">
        <v>784</v>
      </c>
      <c r="E333" s="55" t="s">
        <v>784</v>
      </c>
      <c r="F333" s="55" t="s">
        <v>167</v>
      </c>
      <c r="G333" s="280"/>
      <c r="H333" s="280"/>
      <c r="I333" s="619"/>
    </row>
    <row r="334" customFormat="false" ht="12.75" hidden="false" customHeight="false" outlineLevel="0" collapsed="false">
      <c r="B334" s="668"/>
      <c r="C334" s="280"/>
      <c r="D334" s="589" t="n">
        <f aca="false">D325+3*D326-D324</f>
        <v>-44.1378400000001</v>
      </c>
      <c r="E334" s="589" t="n">
        <f aca="false">E325+3*E326-E324</f>
        <v>-103.155</v>
      </c>
      <c r="F334" s="589" t="n">
        <f aca="false">F325+3*F326-F324</f>
        <v>-198.424352</v>
      </c>
      <c r="G334" s="280"/>
      <c r="H334" s="280"/>
      <c r="I334" s="619"/>
    </row>
    <row r="335" customFormat="false" ht="12.75" hidden="false" customHeight="false" outlineLevel="0" collapsed="false">
      <c r="B335" s="668"/>
      <c r="C335" s="280"/>
      <c r="D335" s="280"/>
      <c r="E335" s="280"/>
      <c r="F335" s="280"/>
      <c r="G335" s="280"/>
      <c r="H335" s="280"/>
      <c r="I335" s="619"/>
    </row>
    <row r="336" customFormat="false" ht="12.75" hidden="false" customHeight="false" outlineLevel="0" collapsed="false">
      <c r="B336" s="668"/>
      <c r="C336" s="280" t="s">
        <v>2235</v>
      </c>
      <c r="D336" s="280"/>
      <c r="E336" s="280"/>
      <c r="F336" s="280"/>
      <c r="G336" s="280"/>
      <c r="H336" s="280"/>
      <c r="I336" s="619"/>
    </row>
    <row r="337" customFormat="false" ht="13.5" hidden="false" customHeight="false" outlineLevel="0" collapsed="false">
      <c r="B337" s="668"/>
      <c r="C337" s="280"/>
      <c r="D337" s="280"/>
      <c r="E337" s="280"/>
      <c r="F337" s="280"/>
      <c r="G337" s="280"/>
      <c r="H337" s="280"/>
      <c r="I337" s="619"/>
    </row>
    <row r="338" customFormat="false" ht="14.25" hidden="false" customHeight="false" outlineLevel="0" collapsed="false">
      <c r="B338" s="668"/>
      <c r="C338" s="713" t="s">
        <v>1039</v>
      </c>
      <c r="D338" s="636" t="s">
        <v>511</v>
      </c>
      <c r="E338" s="636" t="s">
        <v>512</v>
      </c>
      <c r="F338" s="636" t="s">
        <v>513</v>
      </c>
      <c r="G338" s="280"/>
      <c r="H338" s="280"/>
      <c r="I338" s="619"/>
    </row>
    <row r="339" customFormat="false" ht="15" hidden="false" customHeight="false" outlineLevel="0" collapsed="false">
      <c r="B339" s="668"/>
      <c r="C339" s="714" t="s">
        <v>783</v>
      </c>
      <c r="D339" s="55" t="s">
        <v>784</v>
      </c>
      <c r="E339" s="55" t="s">
        <v>784</v>
      </c>
      <c r="F339" s="55" t="s">
        <v>167</v>
      </c>
      <c r="G339" s="280"/>
      <c r="H339" s="280"/>
      <c r="I339" s="619"/>
    </row>
    <row r="340" customFormat="false" ht="12.75" hidden="false" customHeight="false" outlineLevel="0" collapsed="false">
      <c r="B340" s="668"/>
      <c r="C340" s="717" t="s">
        <v>924</v>
      </c>
      <c r="D340" s="719" t="n">
        <f aca="false">D334+D277-3*D287</f>
        <v>-487.6211148</v>
      </c>
      <c r="E340" s="719" t="n">
        <f aca="false">D340+298.15*(F340-D282+1.5*D280)/1000</f>
        <v>-538.9370088488</v>
      </c>
      <c r="F340" s="719" t="n">
        <f aca="false">F334+F277-3*F287</f>
        <v>-339.834352</v>
      </c>
      <c r="G340" s="280"/>
      <c r="H340" s="280"/>
      <c r="I340" s="619"/>
    </row>
    <row r="341" customFormat="false" ht="12.75" hidden="false" customHeight="false" outlineLevel="0" collapsed="false">
      <c r="B341" s="668"/>
      <c r="C341" s="280"/>
      <c r="D341" s="673"/>
      <c r="E341" s="673" t="n">
        <f aca="false">E334+E277-3*E287</f>
        <v>-538.793</v>
      </c>
      <c r="F341" s="673" t="s">
        <v>2236</v>
      </c>
      <c r="G341" s="280"/>
      <c r="H341" s="280"/>
      <c r="I341" s="619"/>
    </row>
    <row r="342" customFormat="false" ht="12.75" hidden="false" customHeight="false" outlineLevel="0" collapsed="false">
      <c r="B342" s="668"/>
      <c r="C342" s="280"/>
      <c r="D342" s="280"/>
      <c r="E342" s="280"/>
      <c r="F342" s="280"/>
      <c r="G342" s="280"/>
      <c r="H342" s="280"/>
      <c r="I342" s="619"/>
    </row>
    <row r="343" customFormat="false" ht="12.75" hidden="false" customHeight="false" outlineLevel="0" collapsed="false">
      <c r="B343" s="668"/>
      <c r="C343" s="280" t="s">
        <v>2237</v>
      </c>
      <c r="D343" s="280"/>
      <c r="E343" s="280"/>
      <c r="F343" s="280"/>
      <c r="G343" s="280"/>
      <c r="H343" s="280"/>
      <c r="I343" s="619"/>
    </row>
    <row r="344" customFormat="false" ht="12.75" hidden="false" customHeight="false" outlineLevel="0" collapsed="false">
      <c r="B344" s="668"/>
      <c r="C344" s="280" t="s">
        <v>2238</v>
      </c>
      <c r="D344" s="280"/>
      <c r="E344" s="280"/>
      <c r="F344" s="280"/>
      <c r="G344" s="280"/>
      <c r="H344" s="280"/>
      <c r="I344" s="619"/>
    </row>
    <row r="345" customFormat="false" ht="12.75" hidden="false" customHeight="false" outlineLevel="0" collapsed="false">
      <c r="B345" s="668"/>
      <c r="C345" s="112" t="s">
        <v>2239</v>
      </c>
      <c r="D345" s="280"/>
      <c r="E345" s="280"/>
      <c r="F345" s="280"/>
      <c r="G345" s="280"/>
      <c r="H345" s="280"/>
      <c r="I345" s="619"/>
    </row>
    <row r="346" customFormat="false" ht="12.75" hidden="false" customHeight="false" outlineLevel="0" collapsed="false">
      <c r="B346" s="668"/>
      <c r="C346" s="112"/>
      <c r="D346" s="280"/>
      <c r="E346" s="280"/>
      <c r="F346" s="280"/>
      <c r="G346" s="280"/>
      <c r="H346" s="280"/>
      <c r="I346" s="619"/>
    </row>
    <row r="347" customFormat="false" ht="13.5" hidden="false" customHeight="false" outlineLevel="0" collapsed="false">
      <c r="B347" s="178"/>
      <c r="C347" s="674"/>
      <c r="D347" s="674"/>
      <c r="E347" s="674"/>
      <c r="F347" s="674"/>
      <c r="G347" s="674"/>
      <c r="H347" s="674"/>
      <c r="I347" s="675"/>
    </row>
    <row r="350" customFormat="false" ht="12.75" hidden="false" customHeight="false" outlineLevel="0" collapsed="false">
      <c r="B350" s="9" t="s">
        <v>2244</v>
      </c>
    </row>
    <row r="351" customFormat="false" ht="13.5" hidden="false" customHeight="false" outlineLevel="0" collapsed="false"/>
    <row r="352" customFormat="false" ht="12.75" hidden="false" customHeight="false" outlineLevel="0" collapsed="false">
      <c r="B352" s="15" t="s">
        <v>924</v>
      </c>
      <c r="C352" s="666" t="s">
        <v>2245</v>
      </c>
      <c r="D352" s="666" t="s">
        <v>1191</v>
      </c>
      <c r="E352" s="666"/>
      <c r="F352" s="666"/>
      <c r="G352" s="666"/>
      <c r="H352" s="666"/>
      <c r="I352" s="667"/>
    </row>
    <row r="353" customFormat="false" ht="14.25" hidden="false" customHeight="false" outlineLevel="0" collapsed="false">
      <c r="B353" s="668"/>
      <c r="C353" s="280" t="s">
        <v>1167</v>
      </c>
      <c r="D353" s="280" t="s">
        <v>1167</v>
      </c>
      <c r="E353" s="280"/>
      <c r="F353" s="280"/>
      <c r="G353" s="280"/>
      <c r="H353" s="280"/>
      <c r="I353" s="619"/>
    </row>
    <row r="354" customFormat="false" ht="12.75" hidden="false" customHeight="false" outlineLevel="0" collapsed="false">
      <c r="B354" s="668" t="s">
        <v>2246</v>
      </c>
      <c r="C354" s="389" t="n">
        <v>-538.5</v>
      </c>
      <c r="D354" s="389" t="n">
        <v>1.3</v>
      </c>
      <c r="E354" s="280"/>
      <c r="F354" s="280"/>
      <c r="G354" s="280"/>
      <c r="H354" s="280"/>
      <c r="I354" s="619"/>
    </row>
    <row r="355" customFormat="false" ht="13.5" hidden="false" customHeight="false" outlineLevel="0" collapsed="false">
      <c r="B355" s="668" t="s">
        <v>2247</v>
      </c>
      <c r="C355" s="720" t="n">
        <v>-538.3</v>
      </c>
      <c r="D355" s="720" t="n">
        <v>2</v>
      </c>
      <c r="E355" s="280"/>
      <c r="F355" s="280"/>
      <c r="G355" s="280"/>
      <c r="H355" s="280"/>
      <c r="I355" s="619"/>
    </row>
    <row r="356" customFormat="false" ht="13.5" hidden="false" customHeight="false" outlineLevel="0" collapsed="false">
      <c r="B356" s="668" t="s">
        <v>2248</v>
      </c>
      <c r="C356" s="721" t="n">
        <f aca="false">SUM(C354:C355)/2</f>
        <v>-538.4</v>
      </c>
      <c r="D356" s="721" t="n">
        <f aca="false">2*SQRT((D354/(2*2))^2+(D355/(2*2))^2)</f>
        <v>1.19268604418766</v>
      </c>
      <c r="E356" s="280" t="s">
        <v>2249</v>
      </c>
      <c r="F356" s="280"/>
      <c r="G356" s="280"/>
      <c r="H356" s="280"/>
      <c r="I356" s="619"/>
    </row>
    <row r="357" customFormat="false" ht="12.75" hidden="false" customHeight="false" outlineLevel="0" collapsed="false">
      <c r="B357" s="668"/>
      <c r="C357" s="673"/>
      <c r="D357" s="673"/>
      <c r="E357" s="280"/>
      <c r="F357" s="280"/>
      <c r="G357" s="280"/>
      <c r="H357" s="280"/>
      <c r="I357" s="619"/>
    </row>
    <row r="358" customFormat="false" ht="12.75" hidden="false" customHeight="false" outlineLevel="0" collapsed="false">
      <c r="B358" s="668" t="s">
        <v>2250</v>
      </c>
      <c r="C358" s="722" t="n">
        <v>-538.25</v>
      </c>
      <c r="D358" s="722" t="n">
        <v>1</v>
      </c>
      <c r="E358" s="280" t="s">
        <v>2251</v>
      </c>
      <c r="F358" s="280"/>
      <c r="G358" s="280"/>
      <c r="H358" s="280"/>
      <c r="I358" s="619"/>
    </row>
    <row r="359" customFormat="false" ht="13.5" hidden="false" customHeight="false" outlineLevel="0" collapsed="false">
      <c r="B359" s="668"/>
      <c r="C359" s="673"/>
      <c r="D359" s="673"/>
      <c r="E359" s="280"/>
      <c r="F359" s="280"/>
      <c r="G359" s="280"/>
      <c r="H359" s="280"/>
      <c r="I359" s="619"/>
    </row>
    <row r="360" customFormat="false" ht="13.5" hidden="false" customHeight="false" outlineLevel="0" collapsed="false">
      <c r="B360" s="668" t="s">
        <v>2252</v>
      </c>
      <c r="C360" s="723" t="n">
        <f aca="false">ROUND((C354+C355+C358)/3,3)</f>
        <v>-538.35</v>
      </c>
      <c r="D360" s="723" t="n">
        <f aca="false">ROUND(2*SQRT((D354/(3*2))^2+(D355/(3*2))^2+(D358/(3*2))^2),3)</f>
        <v>0.862</v>
      </c>
      <c r="E360" s="280" t="s">
        <v>2253</v>
      </c>
      <c r="F360" s="724" t="n">
        <v>-538.3</v>
      </c>
      <c r="G360" s="724" t="n">
        <v>0.9</v>
      </c>
      <c r="H360" s="280"/>
      <c r="I360" s="619"/>
    </row>
    <row r="361" customFormat="false" ht="12.75" hidden="false" customHeight="false" outlineLevel="0" collapsed="false">
      <c r="B361" s="668"/>
      <c r="C361" s="673"/>
      <c r="D361" s="673"/>
      <c r="E361" s="280"/>
      <c r="F361" s="280" t="s">
        <v>2254</v>
      </c>
      <c r="G361" s="280"/>
      <c r="H361" s="280"/>
      <c r="I361" s="619"/>
    </row>
    <row r="362" customFormat="false" ht="12.75" hidden="false" customHeight="false" outlineLevel="0" collapsed="false">
      <c r="B362" s="668"/>
      <c r="C362" s="280" t="s">
        <v>1189</v>
      </c>
      <c r="D362" s="280" t="s">
        <v>1191</v>
      </c>
      <c r="E362" s="280"/>
      <c r="F362" s="280"/>
      <c r="G362" s="280"/>
      <c r="H362" s="280"/>
      <c r="I362" s="619"/>
    </row>
    <row r="363" customFormat="false" ht="14.25" hidden="false" customHeight="false" outlineLevel="0" collapsed="false">
      <c r="B363" s="668"/>
      <c r="C363" s="280" t="s">
        <v>2255</v>
      </c>
      <c r="D363" s="280" t="s">
        <v>2255</v>
      </c>
      <c r="E363" s="280"/>
      <c r="F363" s="280"/>
      <c r="G363" s="280"/>
      <c r="H363" s="280"/>
      <c r="I363" s="619"/>
    </row>
    <row r="364" customFormat="false" ht="12.75" hidden="false" customHeight="false" outlineLevel="0" collapsed="false">
      <c r="B364" s="668" t="s">
        <v>2256</v>
      </c>
      <c r="C364" s="389" t="n">
        <v>-327</v>
      </c>
      <c r="D364" s="389" t="n">
        <v>6</v>
      </c>
      <c r="E364" s="280"/>
      <c r="F364" s="673"/>
      <c r="G364" s="280"/>
      <c r="H364" s="280"/>
      <c r="I364" s="619"/>
    </row>
    <row r="365" customFormat="false" ht="12.75" hidden="false" customHeight="false" outlineLevel="0" collapsed="false">
      <c r="B365" s="668" t="s">
        <v>2257</v>
      </c>
      <c r="C365" s="389" t="n">
        <v>-332</v>
      </c>
      <c r="D365" s="389" t="n">
        <v>7</v>
      </c>
      <c r="E365" s="280"/>
      <c r="F365" s="673"/>
      <c r="G365" s="280"/>
      <c r="H365" s="280"/>
      <c r="I365" s="619"/>
    </row>
    <row r="366" customFormat="false" ht="13.5" hidden="false" customHeight="false" outlineLevel="0" collapsed="false">
      <c r="B366" s="668" t="s">
        <v>2258</v>
      </c>
      <c r="C366" s="725" t="n">
        <v>-313</v>
      </c>
      <c r="D366" s="725" t="n">
        <v>6</v>
      </c>
      <c r="E366" s="280" t="s">
        <v>2259</v>
      </c>
      <c r="F366" s="673"/>
      <c r="G366" s="280"/>
      <c r="H366" s="280"/>
      <c r="I366" s="619"/>
    </row>
    <row r="367" customFormat="false" ht="13.5" hidden="false" customHeight="false" outlineLevel="0" collapsed="false">
      <c r="B367" s="668" t="s">
        <v>2248</v>
      </c>
      <c r="C367" s="721" t="n">
        <f aca="false">SUM(C364:C366)/3</f>
        <v>-324</v>
      </c>
      <c r="D367" s="721" t="n">
        <f aca="false">2*SQRT((D364/(3*2))^2+(D365/(3*2))^2+(D366/(3*2))^2)</f>
        <v>3.66666666666667</v>
      </c>
      <c r="E367" s="280" t="s">
        <v>2260</v>
      </c>
      <c r="F367" s="673"/>
      <c r="G367" s="280"/>
      <c r="H367" s="280"/>
      <c r="I367" s="619"/>
    </row>
    <row r="368" customFormat="false" ht="13.5" hidden="false" customHeight="false" outlineLevel="0" collapsed="false">
      <c r="B368" s="668"/>
      <c r="C368" s="673"/>
      <c r="D368" s="673"/>
      <c r="E368" s="280" t="s">
        <v>2261</v>
      </c>
      <c r="G368" s="280"/>
      <c r="H368" s="280"/>
      <c r="I368" s="619"/>
    </row>
    <row r="369" customFormat="false" ht="13.5" hidden="false" customHeight="false" outlineLevel="0" collapsed="false">
      <c r="B369" s="668" t="s">
        <v>2262</v>
      </c>
      <c r="C369" s="726" t="n">
        <f aca="false">ROUND(SUM(C364:C365)/2,3)</f>
        <v>-329.5</v>
      </c>
      <c r="D369" s="723" t="n">
        <f aca="false">ROUND(2*SQRT((D364/(2*2))^2+(D365/(2*2))^2),3)</f>
        <v>4.61</v>
      </c>
      <c r="E369" s="280" t="s">
        <v>2253</v>
      </c>
      <c r="F369" s="724" t="n">
        <v>-329</v>
      </c>
      <c r="G369" s="724" t="n">
        <v>5</v>
      </c>
      <c r="H369" s="280"/>
      <c r="I369" s="619"/>
    </row>
    <row r="370" customFormat="false" ht="12.75" hidden="false" customHeight="false" outlineLevel="0" collapsed="false">
      <c r="B370" s="668"/>
      <c r="C370" s="673"/>
      <c r="D370" s="673"/>
      <c r="E370" s="673"/>
      <c r="F370" s="280" t="s">
        <v>2254</v>
      </c>
      <c r="G370" s="280"/>
      <c r="H370" s="280"/>
      <c r="I370" s="619"/>
    </row>
    <row r="371" customFormat="false" ht="12.75" hidden="false" customHeight="false" outlineLevel="0" collapsed="false">
      <c r="B371" s="668"/>
      <c r="C371" s="673"/>
      <c r="D371" s="673"/>
      <c r="E371" s="673"/>
      <c r="F371" s="280"/>
      <c r="G371" s="280"/>
      <c r="H371" s="280"/>
      <c r="I371" s="619"/>
    </row>
    <row r="372" customFormat="false" ht="13.5" hidden="false" customHeight="false" outlineLevel="0" collapsed="false">
      <c r="B372" s="668"/>
      <c r="C372" s="392" t="s">
        <v>1185</v>
      </c>
      <c r="D372" s="73"/>
      <c r="G372" s="280"/>
      <c r="H372" s="280"/>
      <c r="I372" s="619"/>
    </row>
    <row r="373" customFormat="false" ht="13.5" hidden="false" customHeight="false" outlineLevel="0" collapsed="false">
      <c r="B373" s="668"/>
      <c r="C373" s="393" t="s">
        <v>1186</v>
      </c>
      <c r="D373" s="416" t="s">
        <v>32</v>
      </c>
      <c r="E373" s="418" t="s">
        <v>75</v>
      </c>
      <c r="F373" s="419" t="s">
        <v>1187</v>
      </c>
      <c r="G373" s="280"/>
      <c r="H373" s="280"/>
      <c r="I373" s="619"/>
    </row>
    <row r="374" customFormat="false" ht="12.75" hidden="false" customHeight="false" outlineLevel="0" collapsed="false">
      <c r="B374" s="668"/>
      <c r="C374" s="398" t="s">
        <v>1189</v>
      </c>
      <c r="D374" s="656" t="n">
        <v>28.3</v>
      </c>
      <c r="E374" s="657" t="n">
        <v>130.68</v>
      </c>
      <c r="F374" s="658" t="n">
        <f aca="false">-0.5*E374</f>
        <v>-65.34</v>
      </c>
      <c r="G374" s="280"/>
      <c r="H374" s="280"/>
      <c r="I374" s="619"/>
    </row>
    <row r="375" customFormat="false" ht="12.75" hidden="false" customHeight="false" outlineLevel="0" collapsed="false">
      <c r="B375" s="668"/>
      <c r="C375" s="404" t="s">
        <v>1191</v>
      </c>
      <c r="D375" s="405" t="n">
        <v>0.1</v>
      </c>
      <c r="E375" s="406" t="n">
        <v>0.003</v>
      </c>
      <c r="F375" s="659" t="n">
        <f aca="false">0.5*E375</f>
        <v>0.0015</v>
      </c>
      <c r="G375" s="280"/>
      <c r="H375" s="280"/>
      <c r="I375" s="619"/>
    </row>
    <row r="376" customFormat="false" ht="13.5" hidden="false" customHeight="false" outlineLevel="0" collapsed="false">
      <c r="B376" s="668"/>
      <c r="C376" s="408" t="s">
        <v>1192</v>
      </c>
      <c r="D376" s="409" t="n">
        <f aca="false">(0.5*D375)^2</f>
        <v>0.0025</v>
      </c>
      <c r="E376" s="410" t="n">
        <f aca="false">(0.5*E375)^2</f>
        <v>2.25E-006</v>
      </c>
      <c r="F376" s="660" t="n">
        <f aca="false">(0.5*F375)^2</f>
        <v>5.625E-007</v>
      </c>
      <c r="G376" s="280"/>
      <c r="H376" s="280"/>
      <c r="I376" s="619"/>
    </row>
    <row r="377" customFormat="false" ht="12.75" hidden="false" customHeight="false" outlineLevel="0" collapsed="false">
      <c r="B377" s="668"/>
      <c r="C377" s="411"/>
      <c r="D377" s="673"/>
      <c r="E377" s="673"/>
      <c r="F377" s="280"/>
      <c r="G377" s="280"/>
      <c r="H377" s="280"/>
      <c r="I377" s="619"/>
    </row>
    <row r="378" customFormat="false" ht="12.75" hidden="false" customHeight="false" outlineLevel="0" collapsed="false">
      <c r="B378" s="668"/>
      <c r="C378" s="411"/>
      <c r="D378" s="673"/>
      <c r="E378" s="673"/>
      <c r="F378" s="280"/>
      <c r="G378" s="280"/>
      <c r="H378" s="280"/>
      <c r="I378" s="619"/>
    </row>
    <row r="379" customFormat="false" ht="12.75" hidden="false" customHeight="false" outlineLevel="0" collapsed="false">
      <c r="B379" s="668"/>
      <c r="C379" s="411"/>
      <c r="D379" s="673"/>
      <c r="E379" s="673"/>
      <c r="F379" s="280"/>
      <c r="G379" s="280"/>
      <c r="H379" s="280"/>
      <c r="I379" s="619"/>
    </row>
    <row r="380" customFormat="false" ht="13.5" hidden="false" customHeight="false" outlineLevel="0" collapsed="false">
      <c r="B380" s="668"/>
      <c r="C380" s="411"/>
      <c r="D380" s="673"/>
      <c r="E380" s="673"/>
      <c r="F380" s="280"/>
      <c r="G380" s="280"/>
      <c r="H380" s="280"/>
      <c r="I380" s="619"/>
    </row>
    <row r="381" customFormat="false" ht="15" hidden="false" customHeight="false" outlineLevel="0" collapsed="false">
      <c r="B381" s="668"/>
      <c r="C381" s="283" t="s">
        <v>779</v>
      </c>
      <c r="D381" s="284"/>
      <c r="E381" s="283" t="s">
        <v>780</v>
      </c>
      <c r="F381" s="284"/>
      <c r="G381" s="283" t="s">
        <v>781</v>
      </c>
      <c r="H381" s="284"/>
      <c r="I381" s="619"/>
    </row>
    <row r="382" customFormat="false" ht="12.75" hidden="false" customHeight="false" outlineLevel="0" collapsed="false">
      <c r="B382" s="668"/>
      <c r="C382" s="50"/>
      <c r="D382" s="50" t="s">
        <v>725</v>
      </c>
      <c r="E382" s="50"/>
      <c r="F382" s="50" t="s">
        <v>725</v>
      </c>
      <c r="G382" s="50"/>
      <c r="H382" s="50" t="s">
        <v>725</v>
      </c>
      <c r="I382" s="619"/>
    </row>
    <row r="383" customFormat="false" ht="12.75" hidden="false" customHeight="false" outlineLevel="0" collapsed="false">
      <c r="B383" s="668"/>
      <c r="C383" s="53" t="s">
        <v>726</v>
      </c>
      <c r="D383" s="53" t="s">
        <v>727</v>
      </c>
      <c r="E383" s="53" t="s">
        <v>726</v>
      </c>
      <c r="F383" s="53" t="s">
        <v>727</v>
      </c>
      <c r="G383" s="53" t="s">
        <v>726</v>
      </c>
      <c r="H383" s="53" t="s">
        <v>727</v>
      </c>
      <c r="I383" s="619"/>
    </row>
    <row r="384" customFormat="false" ht="15" hidden="false" customHeight="false" outlineLevel="0" collapsed="false">
      <c r="B384" s="668"/>
      <c r="C384" s="55" t="s">
        <v>784</v>
      </c>
      <c r="D384" s="55" t="s">
        <v>784</v>
      </c>
      <c r="E384" s="55" t="s">
        <v>784</v>
      </c>
      <c r="F384" s="55" t="s">
        <v>784</v>
      </c>
      <c r="G384" s="55" t="s">
        <v>167</v>
      </c>
      <c r="H384" s="55" t="s">
        <v>167</v>
      </c>
      <c r="I384" s="619"/>
    </row>
    <row r="385" customFormat="false" ht="12.75" hidden="false" customHeight="false" outlineLevel="0" collapsed="false">
      <c r="B385" s="668"/>
      <c r="C385" s="712" t="n">
        <f aca="false">IF(E385="","",IF(G385="","",ROUND(E385-0.001*298.15*(G385-D374-3*F374),3)))</f>
        <v>-490.115</v>
      </c>
      <c r="D385" s="712" t="n">
        <f aca="false">IF(F385="","",IF(H385="","",ROUND(2*SQRT((0.5*F385)^2+(0.001*298.15)^2*((0.5*H385)^2+D376+9*F376)),3)))</f>
        <v>1.623</v>
      </c>
      <c r="E385" s="727" t="n">
        <v>-538.35</v>
      </c>
      <c r="F385" s="728" t="n">
        <v>0.862</v>
      </c>
      <c r="G385" s="728" t="n">
        <v>-329.5</v>
      </c>
      <c r="H385" s="728" t="n">
        <v>4.61</v>
      </c>
      <c r="I385" s="619"/>
    </row>
    <row r="386" customFormat="false" ht="12.75" hidden="false" customHeight="false" outlineLevel="0" collapsed="false">
      <c r="B386" s="668"/>
      <c r="C386" s="673"/>
      <c r="D386" s="673"/>
      <c r="E386" s="673"/>
      <c r="F386" s="280"/>
      <c r="G386" s="280"/>
      <c r="H386" s="280"/>
      <c r="I386" s="619"/>
    </row>
    <row r="387" customFormat="false" ht="12.75" hidden="false" customHeight="false" outlineLevel="0" collapsed="false">
      <c r="B387" s="668"/>
      <c r="C387" s="673"/>
      <c r="D387" s="673"/>
      <c r="E387" s="673"/>
      <c r="F387" s="280"/>
      <c r="G387" s="280"/>
      <c r="H387" s="280"/>
      <c r="I387" s="619"/>
    </row>
    <row r="388" customFormat="false" ht="12.75" hidden="false" customHeight="false" outlineLevel="0" collapsed="false">
      <c r="B388" s="668"/>
      <c r="C388" s="673"/>
      <c r="D388" s="673"/>
      <c r="E388" s="673"/>
      <c r="F388" s="280"/>
      <c r="G388" s="280"/>
      <c r="H388" s="280"/>
      <c r="I388" s="619"/>
    </row>
    <row r="389" customFormat="false" ht="12.75" hidden="false" customHeight="false" outlineLevel="0" collapsed="false">
      <c r="B389" s="668"/>
      <c r="C389" s="673"/>
      <c r="D389" s="673"/>
      <c r="E389" s="673"/>
      <c r="F389" s="280"/>
      <c r="G389" s="280"/>
      <c r="H389" s="280"/>
      <c r="I389" s="619"/>
    </row>
    <row r="390" customFormat="false" ht="12.75" hidden="false" customHeight="false" outlineLevel="0" collapsed="false">
      <c r="B390" s="668"/>
      <c r="C390" s="673"/>
      <c r="D390" s="673"/>
      <c r="E390" s="673"/>
      <c r="F390" s="280"/>
      <c r="G390" s="280"/>
      <c r="H390" s="280"/>
      <c r="I390" s="619"/>
    </row>
    <row r="391" customFormat="false" ht="12.75" hidden="false" customHeight="false" outlineLevel="0" collapsed="false">
      <c r="B391" s="668"/>
      <c r="C391" s="673"/>
      <c r="D391" s="673"/>
      <c r="E391" s="673"/>
      <c r="F391" s="280"/>
      <c r="G391" s="280"/>
      <c r="H391" s="280"/>
      <c r="I391" s="619"/>
    </row>
    <row r="392" customFormat="false" ht="12.75" hidden="false" customHeight="false" outlineLevel="0" collapsed="false">
      <c r="B392" s="668"/>
      <c r="C392" s="673"/>
      <c r="D392" s="673"/>
      <c r="E392" s="673"/>
      <c r="F392" s="280"/>
      <c r="G392" s="280"/>
      <c r="H392" s="280"/>
      <c r="I392" s="619"/>
    </row>
    <row r="393" customFormat="false" ht="13.5" hidden="false" customHeight="false" outlineLevel="0" collapsed="false">
      <c r="B393" s="178"/>
      <c r="C393" s="682"/>
      <c r="D393" s="682"/>
      <c r="E393" s="682"/>
      <c r="F393" s="674"/>
      <c r="G393" s="674"/>
      <c r="H393" s="674"/>
      <c r="I393" s="675"/>
    </row>
  </sheetData>
  <mergeCells count="8">
    <mergeCell ref="D26:F26"/>
    <mergeCell ref="G26:I26"/>
    <mergeCell ref="D27:F27"/>
    <mergeCell ref="G27:I27"/>
    <mergeCell ref="D146:F146"/>
    <mergeCell ref="G146:I146"/>
    <mergeCell ref="D147:F147"/>
    <mergeCell ref="G147:I147"/>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9.xml><?xml version="1.0" encoding="utf-8"?>
<worksheet xmlns="http://schemas.openxmlformats.org/spreadsheetml/2006/main" xmlns:r="http://schemas.openxmlformats.org/officeDocument/2006/relationships">
  <sheetPr filterMode="false">
    <pageSetUpPr fitToPage="false"/>
  </sheetPr>
  <dimension ref="A1:Q13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6" activeCellId="2" sqref="B16:B122 E16:F122 B6"/>
    </sheetView>
  </sheetViews>
  <sheetFormatPr defaultRowHeight="12.75" zeroHeight="false" outlineLevelRow="0" outlineLevelCol="0"/>
  <cols>
    <col collapsed="false" customWidth="true" hidden="false" outlineLevel="0" max="1" min="1" style="280" width="10.14"/>
    <col collapsed="false" customWidth="true" hidden="false" outlineLevel="0" max="3" min="2" style="10" width="12.42"/>
    <col collapsed="false" customWidth="true" hidden="false" outlineLevel="0" max="32" min="4" style="10" width="10.14"/>
    <col collapsed="false" customWidth="true" hidden="false" outlineLevel="0" max="1025" min="33" style="10" width="9.14"/>
  </cols>
  <sheetData>
    <row r="1" customFormat="false" ht="12.75" hidden="false" customHeight="false" outlineLevel="0" collapsed="false">
      <c r="A1" s="9" t="str">
        <f aca="true">MID(CELL("filename",$A$1),   FIND("\[",CELL("filename",$A$1))+2,   FIND("]",CELL("filename",$A$1),FIND("\[",CELL("filename",$A$1))+2)-FIND("\[",CELL("filename",$A$1))-2)</f>
        <v>TDProperties_Rev0_v69.xlsx</v>
      </c>
    </row>
    <row r="2" customFormat="false" ht="12.75" hidden="false" customHeight="false" outlineLevel="0" collapsed="false">
      <c r="A2" s="280" t="str">
        <f aca="true">MID(CELL("filename",A1),FIND("]",CELL("filename",A1))+1,256)</f>
        <v>Misc Solids</v>
      </c>
    </row>
    <row r="3" customFormat="false" ht="12.75" hidden="false" customHeight="true" outlineLevel="0" collapsed="false">
      <c r="A3" s="44"/>
    </row>
    <row r="4" customFormat="false" ht="12.75" hidden="false" customHeight="true" outlineLevel="0" collapsed="false">
      <c r="A4" s="281" t="s">
        <v>2263</v>
      </c>
    </row>
    <row r="5" customFormat="false" ht="12.75" hidden="false" customHeight="true" outlineLevel="0" collapsed="false">
      <c r="A5" s="281"/>
    </row>
    <row r="6" customFormat="false" ht="12.75" hidden="false" customHeight="true" outlineLevel="0" collapsed="false">
      <c r="A6" s="281"/>
    </row>
    <row r="7" customFormat="false" ht="12.75" hidden="false" customHeight="true" outlineLevel="0" collapsed="false">
      <c r="A7" s="281"/>
    </row>
    <row r="8" customFormat="false" ht="12.75" hidden="false" customHeight="false" outlineLevel="0" collapsed="false">
      <c r="B8" s="169" t="s">
        <v>2100</v>
      </c>
      <c r="C8" s="666"/>
      <c r="D8" s="666" t="s">
        <v>2264</v>
      </c>
      <c r="E8" s="666"/>
      <c r="F8" s="666"/>
      <c r="G8" s="666" t="s">
        <v>2265</v>
      </c>
      <c r="H8" s="666"/>
      <c r="I8" s="666"/>
      <c r="J8" s="666" t="s">
        <v>2266</v>
      </c>
      <c r="K8" s="667"/>
      <c r="M8" s="729" t="s">
        <v>2267</v>
      </c>
      <c r="N8" s="666"/>
      <c r="O8" s="667"/>
    </row>
    <row r="9" customFormat="false" ht="12.75" hidden="false" customHeight="false" outlineLevel="0" collapsed="false">
      <c r="B9" s="668"/>
      <c r="C9" s="280" t="s">
        <v>2138</v>
      </c>
      <c r="D9" s="280" t="s">
        <v>74</v>
      </c>
      <c r="E9" s="280" t="s">
        <v>125</v>
      </c>
      <c r="F9" s="280" t="s">
        <v>2138</v>
      </c>
      <c r="G9" s="280" t="s">
        <v>74</v>
      </c>
      <c r="H9" s="280" t="s">
        <v>125</v>
      </c>
      <c r="I9" s="280" t="s">
        <v>2138</v>
      </c>
      <c r="J9" s="280" t="s">
        <v>74</v>
      </c>
      <c r="K9" s="619" t="s">
        <v>125</v>
      </c>
      <c r="M9" s="730" t="s">
        <v>2268</v>
      </c>
      <c r="N9" s="280"/>
      <c r="O9" s="619"/>
    </row>
    <row r="10" customFormat="false" ht="13.5" hidden="false" customHeight="false" outlineLevel="0" collapsed="false">
      <c r="B10" s="668" t="s">
        <v>2165</v>
      </c>
      <c r="C10" s="280" t="n">
        <v>-905.614</v>
      </c>
      <c r="D10" s="280" t="n">
        <v>-982.221</v>
      </c>
      <c r="E10" s="280" t="n">
        <v>48.53</v>
      </c>
      <c r="F10" s="280" t="n">
        <v>-374.824</v>
      </c>
      <c r="G10" s="280" t="n">
        <v>-397.145</v>
      </c>
      <c r="H10" s="280" t="n">
        <v>12.18</v>
      </c>
      <c r="I10" s="280" t="n">
        <v>-276.168</v>
      </c>
      <c r="J10" s="280" t="n">
        <v>-309.065</v>
      </c>
      <c r="K10" s="619" t="n">
        <v>16.75</v>
      </c>
      <c r="M10" s="731" t="n">
        <f aca="false">ROUND('Summary Solids'!G14*15.9994/16,3)</f>
        <v>-1576.298</v>
      </c>
      <c r="N10" s="732" t="n">
        <f aca="false">'Summary Solids'!G14-M10</f>
        <v>-0.0589999999999691</v>
      </c>
      <c r="O10" s="675"/>
    </row>
    <row r="11" customFormat="false" ht="12.75" hidden="false" customHeight="false" outlineLevel="0" collapsed="false">
      <c r="B11" s="668" t="s">
        <v>2104</v>
      </c>
      <c r="C11" s="673" t="n">
        <f aca="false">4.184*C10</f>
        <v>-3789.088976</v>
      </c>
      <c r="D11" s="673" t="n">
        <f aca="false">4.184*D10</f>
        <v>-4109.612664</v>
      </c>
      <c r="E11" s="673" t="n">
        <f aca="false">4.184*E10</f>
        <v>203.04952</v>
      </c>
      <c r="F11" s="673" t="n">
        <f aca="false">4.184*F10</f>
        <v>-1568.263616</v>
      </c>
      <c r="G11" s="673" t="n">
        <f aca="false">4.184*G10</f>
        <v>-1661.65468</v>
      </c>
      <c r="H11" s="673" t="n">
        <f aca="false">4.184*H10</f>
        <v>50.96112</v>
      </c>
      <c r="I11" s="673" t="n">
        <f aca="false">4.184*I10</f>
        <v>-1155.486912</v>
      </c>
      <c r="J11" s="673" t="n">
        <f aca="false">4.184*J10</f>
        <v>-1293.12796</v>
      </c>
      <c r="K11" s="716" t="n">
        <f aca="false">4.184*K10</f>
        <v>70.082</v>
      </c>
    </row>
    <row r="12" customFormat="false" ht="13.5" hidden="false" customHeight="false" outlineLevel="0" collapsed="false">
      <c r="B12" s="178"/>
      <c r="C12" s="674"/>
      <c r="D12" s="674"/>
      <c r="E12" s="674"/>
      <c r="F12" s="674"/>
      <c r="G12" s="674"/>
      <c r="H12" s="674"/>
      <c r="I12" s="674"/>
      <c r="J12" s="674"/>
      <c r="K12" s="675"/>
    </row>
    <row r="13" customFormat="false" ht="13.5" hidden="false" customHeight="false" outlineLevel="0" collapsed="false"/>
    <row r="14" customFormat="false" ht="12.75" hidden="false" customHeight="false" outlineLevel="0" collapsed="false">
      <c r="B14" s="169"/>
      <c r="C14" s="666" t="s">
        <v>2269</v>
      </c>
      <c r="D14" s="666"/>
      <c r="E14" s="666"/>
      <c r="F14" s="666"/>
      <c r="G14" s="666"/>
      <c r="H14" s="666"/>
      <c r="I14" s="666"/>
      <c r="J14" s="666"/>
      <c r="K14" s="667"/>
      <c r="M14" s="733" t="s">
        <v>2270</v>
      </c>
      <c r="N14" s="666"/>
      <c r="O14" s="666"/>
      <c r="P14" s="666"/>
      <c r="Q14" s="667"/>
    </row>
    <row r="15" customFormat="false" ht="14.25" hidden="false" customHeight="false" outlineLevel="0" collapsed="false">
      <c r="B15" s="668"/>
      <c r="C15" s="280" t="s">
        <v>2271</v>
      </c>
      <c r="D15" s="280"/>
      <c r="E15" s="280" t="s">
        <v>2190</v>
      </c>
      <c r="F15" s="280"/>
      <c r="G15" s="280"/>
      <c r="H15" s="280" t="s">
        <v>2190</v>
      </c>
      <c r="I15" s="280"/>
      <c r="J15" s="280"/>
      <c r="K15" s="619"/>
      <c r="M15" s="734" t="s">
        <v>2272</v>
      </c>
      <c r="N15" s="280"/>
      <c r="O15" s="280"/>
      <c r="P15" s="280"/>
      <c r="Q15" s="619"/>
    </row>
    <row r="16" customFormat="false" ht="14.25" hidden="false" customHeight="false" outlineLevel="0" collapsed="false">
      <c r="B16" s="668"/>
      <c r="C16" s="735" t="n">
        <v>-538.3</v>
      </c>
      <c r="D16" s="735" t="n">
        <v>2</v>
      </c>
      <c r="E16" s="736" t="n">
        <v>-327</v>
      </c>
      <c r="F16" s="736" t="n">
        <v>6</v>
      </c>
      <c r="G16" s="280"/>
      <c r="H16" s="736" t="n">
        <v>-327</v>
      </c>
      <c r="I16" s="736" t="n">
        <v>6</v>
      </c>
      <c r="J16" s="280"/>
      <c r="K16" s="619"/>
      <c r="M16" s="737" t="n">
        <v>-309.065</v>
      </c>
      <c r="N16" s="280" t="s">
        <v>2273</v>
      </c>
      <c r="O16" s="280"/>
      <c r="P16" s="280"/>
      <c r="Q16" s="619"/>
    </row>
    <row r="17" customFormat="false" ht="14.25" hidden="false" customHeight="false" outlineLevel="0" collapsed="false">
      <c r="B17" s="668"/>
      <c r="C17" s="735" t="n">
        <v>-538.5</v>
      </c>
      <c r="D17" s="735" t="n">
        <v>1.3</v>
      </c>
      <c r="E17" s="736" t="n">
        <v>-332</v>
      </c>
      <c r="F17" s="736" t="n">
        <v>7</v>
      </c>
      <c r="G17" s="280"/>
      <c r="H17" s="736" t="n">
        <v>-332</v>
      </c>
      <c r="I17" s="736" t="n">
        <v>7</v>
      </c>
      <c r="J17" s="280" t="s">
        <v>2274</v>
      </c>
      <c r="K17" s="619"/>
      <c r="M17" s="737" t="n">
        <v>0.284</v>
      </c>
      <c r="N17" s="280" t="s">
        <v>2275</v>
      </c>
      <c r="O17" s="280"/>
      <c r="P17" s="280"/>
      <c r="Q17" s="619"/>
    </row>
    <row r="18" customFormat="false" ht="12.75" hidden="false" customHeight="false" outlineLevel="0" collapsed="false">
      <c r="B18" s="668"/>
      <c r="C18" s="280"/>
      <c r="D18" s="280"/>
      <c r="E18" s="736" t="n">
        <v>-313</v>
      </c>
      <c r="F18" s="736" t="n">
        <v>6</v>
      </c>
      <c r="G18" s="280"/>
      <c r="H18" s="735" t="n">
        <f aca="false">AVERAGE(H16:H17)</f>
        <v>-329.5</v>
      </c>
      <c r="I18" s="738" t="n">
        <f aca="false">2*SQRT(0.5*(I16/2)^2+0.5*(I17/2)^2)</f>
        <v>6.51920240520265</v>
      </c>
      <c r="J18" s="280"/>
      <c r="K18" s="619"/>
      <c r="M18" s="734" t="s">
        <v>2276</v>
      </c>
      <c r="N18" s="591" t="n">
        <f aca="false">ROUND(4.184*M16,3)</f>
        <v>-1293.128</v>
      </c>
      <c r="O18" s="280" t="s">
        <v>1662</v>
      </c>
      <c r="P18" s="280"/>
      <c r="Q18" s="619"/>
    </row>
    <row r="19" customFormat="false" ht="12.75" hidden="false" customHeight="false" outlineLevel="0" collapsed="false">
      <c r="B19" s="668" t="s">
        <v>2277</v>
      </c>
      <c r="C19" s="735" t="n">
        <f aca="false">AVERAGE(C16:C17)</f>
        <v>-538.4</v>
      </c>
      <c r="D19" s="738" t="n">
        <f aca="false">2*SQRT(0.5*(D16/2)^2+0.5*(D17/2)^2)</f>
        <v>1.6867127793433</v>
      </c>
      <c r="E19" s="735" t="n">
        <f aca="false">AVERAGE(E16:E18)</f>
        <v>-324</v>
      </c>
      <c r="F19" s="738" t="n">
        <f aca="false">2*SQRT(0.333*(F16/2)^2+0.333*(F17/2)^2+0.333*(F18/2)^2)</f>
        <v>6.34767674035154</v>
      </c>
      <c r="G19" s="280"/>
      <c r="H19" s="280"/>
      <c r="I19" s="738" t="n">
        <f aca="false">2*STDEV(H16:H17)</f>
        <v>7.07106781186548</v>
      </c>
      <c r="J19" s="280"/>
      <c r="K19" s="619"/>
      <c r="M19" s="734"/>
      <c r="N19" s="591" t="n">
        <f aca="false">ROUND(4.184*M17,3)</f>
        <v>1.188</v>
      </c>
      <c r="O19" s="280" t="s">
        <v>1662</v>
      </c>
      <c r="P19" s="280"/>
      <c r="Q19" s="619"/>
    </row>
    <row r="20" customFormat="false" ht="12.75" hidden="false" customHeight="false" outlineLevel="0" collapsed="false">
      <c r="B20" s="668"/>
      <c r="C20" s="735"/>
      <c r="D20" s="738" t="n">
        <f aca="false">2*STDEV(C16:C17)</f>
        <v>0.282842712474683</v>
      </c>
      <c r="E20" s="735"/>
      <c r="F20" s="738" t="n">
        <f aca="false">2*STDEV(E16:E18)</f>
        <v>19.6977156035922</v>
      </c>
      <c r="G20" s="280"/>
      <c r="H20" s="280"/>
      <c r="I20" s="280"/>
      <c r="J20" s="280"/>
      <c r="K20" s="619"/>
      <c r="M20" s="734" t="s">
        <v>2278</v>
      </c>
      <c r="N20" s="280"/>
      <c r="O20" s="280"/>
      <c r="P20" s="280"/>
      <c r="Q20" s="619"/>
    </row>
    <row r="21" customFormat="false" ht="13.5" hidden="false" customHeight="false" outlineLevel="0" collapsed="false">
      <c r="B21" s="178" t="s">
        <v>2279</v>
      </c>
      <c r="C21" s="674" t="n">
        <v>-538.4</v>
      </c>
      <c r="D21" s="674" t="n">
        <v>1.5</v>
      </c>
      <c r="E21" s="739" t="n">
        <v>-325</v>
      </c>
      <c r="F21" s="739" t="n">
        <v>10</v>
      </c>
      <c r="G21" s="674"/>
      <c r="H21" s="674"/>
      <c r="I21" s="674"/>
      <c r="J21" s="674"/>
      <c r="K21" s="675"/>
      <c r="M21" s="734" t="s">
        <v>2280</v>
      </c>
      <c r="N21" s="280"/>
      <c r="O21" s="280"/>
      <c r="P21" s="280"/>
      <c r="Q21" s="619"/>
    </row>
    <row r="22" customFormat="false" ht="12.75" hidden="false" customHeight="false" outlineLevel="0" collapsed="false">
      <c r="M22" s="734"/>
      <c r="N22" s="280"/>
      <c r="O22" s="280"/>
      <c r="P22" s="280"/>
      <c r="Q22" s="619"/>
    </row>
    <row r="23" customFormat="false" ht="13.5" hidden="false" customHeight="false" outlineLevel="0" collapsed="false">
      <c r="M23" s="734" t="s">
        <v>2281</v>
      </c>
      <c r="N23" s="280"/>
      <c r="O23" s="280"/>
      <c r="P23" s="280"/>
      <c r="Q23" s="619"/>
    </row>
    <row r="24" customFormat="false" ht="14.25" hidden="false" customHeight="false" outlineLevel="0" collapsed="false">
      <c r="B24" s="169" t="s">
        <v>2282</v>
      </c>
      <c r="C24" s="666"/>
      <c r="D24" s="666"/>
      <c r="E24" s="666"/>
      <c r="F24" s="666"/>
      <c r="G24" s="666" t="s">
        <v>2144</v>
      </c>
      <c r="H24" s="666"/>
      <c r="I24" s="666"/>
      <c r="J24" s="666"/>
      <c r="K24" s="667"/>
      <c r="M24" s="740" t="n">
        <f aca="false">-612.76/2</f>
        <v>-306.38</v>
      </c>
      <c r="N24" s="280" t="s">
        <v>2273</v>
      </c>
      <c r="O24" s="280"/>
      <c r="P24" s="280"/>
      <c r="Q24" s="619"/>
    </row>
    <row r="25" customFormat="false" ht="14.25" hidden="false" customHeight="false" outlineLevel="0" collapsed="false">
      <c r="B25" s="668"/>
      <c r="C25" s="280" t="s">
        <v>2283</v>
      </c>
      <c r="D25" s="280"/>
      <c r="E25" s="280"/>
      <c r="F25" s="280"/>
      <c r="G25" s="280" t="n">
        <v>9.01</v>
      </c>
      <c r="H25" s="280" t="n">
        <v>0.05</v>
      </c>
      <c r="I25" s="280"/>
      <c r="J25" s="280"/>
      <c r="K25" s="619"/>
      <c r="M25" s="740" t="n">
        <f aca="false">0.34/2</f>
        <v>0.17</v>
      </c>
      <c r="N25" s="280" t="s">
        <v>2275</v>
      </c>
      <c r="O25" s="280"/>
      <c r="P25" s="280"/>
      <c r="Q25" s="619"/>
    </row>
    <row r="26" customFormat="false" ht="14.25" hidden="false" customHeight="false" outlineLevel="0" collapsed="false">
      <c r="B26" s="668"/>
      <c r="C26" s="280" t="s">
        <v>2284</v>
      </c>
      <c r="D26" s="280"/>
      <c r="E26" s="280"/>
      <c r="F26" s="280"/>
      <c r="G26" s="280" t="n">
        <v>7.76</v>
      </c>
      <c r="H26" s="280" t="n">
        <v>0.14</v>
      </c>
      <c r="I26" s="280"/>
      <c r="J26" s="280"/>
      <c r="K26" s="619"/>
      <c r="M26" s="734" t="s">
        <v>2276</v>
      </c>
      <c r="N26" s="591" t="n">
        <f aca="false">ROUND(4.184*M24,3)</f>
        <v>-1281.894</v>
      </c>
      <c r="O26" s="10" t="s">
        <v>1167</v>
      </c>
      <c r="P26" s="280"/>
      <c r="Q26" s="619"/>
    </row>
    <row r="27" customFormat="false" ht="14.25" hidden="false" customHeight="false" outlineLevel="0" collapsed="false">
      <c r="B27" s="668"/>
      <c r="C27" s="280"/>
      <c r="D27" s="280"/>
      <c r="E27" s="280"/>
      <c r="F27" s="280"/>
      <c r="G27" s="280"/>
      <c r="H27" s="280"/>
      <c r="I27" s="280"/>
      <c r="J27" s="280"/>
      <c r="K27" s="619"/>
      <c r="M27" s="734"/>
      <c r="N27" s="591" t="n">
        <f aca="false">ROUND(4.184*M25,3)</f>
        <v>0.711</v>
      </c>
      <c r="O27" s="10" t="s">
        <v>1167</v>
      </c>
      <c r="P27" s="280"/>
      <c r="Q27" s="619"/>
    </row>
    <row r="28" customFormat="false" ht="15" hidden="false" customHeight="false" outlineLevel="0" collapsed="false">
      <c r="B28" s="668"/>
      <c r="C28" s="280" t="s">
        <v>2285</v>
      </c>
      <c r="D28" s="280"/>
      <c r="E28" s="280"/>
      <c r="F28" s="280"/>
      <c r="G28" s="280" t="n">
        <f aca="false">G25-G26</f>
        <v>1.25</v>
      </c>
      <c r="H28" s="280"/>
      <c r="I28" s="673" t="n">
        <f aca="false">-0.001*2.3026*8.3144621*298.15*G28</f>
        <v>-7.13505762579975</v>
      </c>
      <c r="J28" s="10" t="s">
        <v>1167</v>
      </c>
      <c r="K28" s="619"/>
      <c r="M28" s="741"/>
      <c r="N28" s="742" t="s">
        <v>2286</v>
      </c>
      <c r="O28" s="674"/>
      <c r="P28" s="674"/>
      <c r="Q28" s="675"/>
    </row>
    <row r="29" customFormat="false" ht="12.75" hidden="false" customHeight="false" outlineLevel="0" collapsed="false">
      <c r="B29" s="668"/>
      <c r="C29" s="280"/>
      <c r="D29" s="280"/>
      <c r="E29" s="280"/>
      <c r="F29" s="280"/>
      <c r="G29" s="280"/>
      <c r="H29" s="280"/>
      <c r="I29" s="280"/>
      <c r="J29" s="280"/>
      <c r="K29" s="619"/>
    </row>
    <row r="30" customFormat="false" ht="14.25" hidden="false" customHeight="false" outlineLevel="0" collapsed="false">
      <c r="B30" s="668"/>
      <c r="C30" s="280"/>
      <c r="D30" s="280"/>
      <c r="E30" s="280"/>
      <c r="F30" s="672" t="s">
        <v>2143</v>
      </c>
      <c r="G30" s="738" t="n">
        <f aca="false">-1156.69-0.5*(-1587.44)-1.5*(-237.18)</f>
        <v>-7.20000000000005</v>
      </c>
      <c r="H30" s="280"/>
      <c r="I30" s="280" t="s">
        <v>1662</v>
      </c>
      <c r="J30" s="280"/>
      <c r="K30" s="619"/>
    </row>
    <row r="31" customFormat="false" ht="13.5" hidden="false" customHeight="false" outlineLevel="0" collapsed="false">
      <c r="B31" s="668"/>
      <c r="C31" s="280"/>
      <c r="D31" s="280"/>
      <c r="E31" s="280"/>
      <c r="F31" s="280" t="s">
        <v>2144</v>
      </c>
      <c r="G31" s="673" t="n">
        <f aca="false">-1000*G30/(2.3026*8.314462*298.15)</f>
        <v>1.26137735394063</v>
      </c>
      <c r="H31" s="280"/>
      <c r="I31" s="280"/>
      <c r="J31" s="280"/>
      <c r="K31" s="619"/>
    </row>
    <row r="32" customFormat="false" ht="12.75" hidden="false" customHeight="false" outlineLevel="0" collapsed="false">
      <c r="B32" s="668"/>
      <c r="C32" s="280"/>
      <c r="D32" s="280"/>
      <c r="E32" s="280"/>
      <c r="F32" s="280"/>
      <c r="G32" s="280"/>
      <c r="H32" s="280"/>
      <c r="I32" s="280"/>
      <c r="J32" s="280"/>
      <c r="K32" s="619"/>
      <c r="M32" s="169" t="s">
        <v>2287</v>
      </c>
      <c r="N32" s="666"/>
      <c r="O32" s="666"/>
      <c r="P32" s="667"/>
    </row>
    <row r="33" customFormat="false" ht="14.25" hidden="false" customHeight="false" outlineLevel="0" collapsed="false">
      <c r="B33" s="668"/>
      <c r="C33" s="280"/>
      <c r="D33" s="280" t="s">
        <v>529</v>
      </c>
      <c r="E33" s="280"/>
      <c r="F33" s="672" t="s">
        <v>2143</v>
      </c>
      <c r="G33" s="673" t="n">
        <f aca="false">-1155.075-0.5*(-1582.257)-1.5*(-237.14)</f>
        <v>-8.23650000000004</v>
      </c>
      <c r="H33" s="280"/>
      <c r="I33" s="280" t="s">
        <v>1662</v>
      </c>
      <c r="J33" s="280"/>
      <c r="K33" s="619"/>
      <c r="M33" s="743" t="s">
        <v>2288</v>
      </c>
      <c r="N33" s="280" t="n">
        <v>194.1</v>
      </c>
      <c r="O33" s="280" t="n">
        <v>2.5</v>
      </c>
      <c r="P33" s="619"/>
    </row>
    <row r="34" customFormat="false" ht="13.5" hidden="false" customHeight="false" outlineLevel="0" collapsed="false">
      <c r="B34" s="178"/>
      <c r="C34" s="674"/>
      <c r="D34" s="674"/>
      <c r="E34" s="674"/>
      <c r="F34" s="674" t="s">
        <v>2144</v>
      </c>
      <c r="G34" s="682" t="n">
        <f aca="false">-1000*G33/(2.3026*8.314462*298.15)</f>
        <v>1.44296313551833</v>
      </c>
      <c r="H34" s="674"/>
      <c r="I34" s="674"/>
      <c r="J34" s="674"/>
      <c r="K34" s="675"/>
      <c r="M34" s="668" t="s">
        <v>2144</v>
      </c>
      <c r="N34" s="280" t="n">
        <f aca="false">-1000*N33/(2.3026*8.314462*298.15)</f>
        <v>-34.0046311666492</v>
      </c>
      <c r="O34" s="280"/>
      <c r="P34" s="619"/>
    </row>
    <row r="35" customFormat="false" ht="12.75" hidden="false" customHeight="false" outlineLevel="0" collapsed="false">
      <c r="M35" s="668" t="s">
        <v>2289</v>
      </c>
      <c r="N35" s="280"/>
      <c r="O35" s="280"/>
      <c r="P35" s="619"/>
    </row>
    <row r="36" customFormat="false" ht="13.5" hidden="false" customHeight="false" outlineLevel="0" collapsed="false">
      <c r="M36" s="668" t="s">
        <v>2290</v>
      </c>
      <c r="N36" s="280" t="n">
        <v>-33.5</v>
      </c>
      <c r="O36" s="280"/>
      <c r="P36" s="619"/>
    </row>
    <row r="37" customFormat="false" ht="12.75" hidden="false" customHeight="false" outlineLevel="0" collapsed="false">
      <c r="B37" s="169" t="s">
        <v>2291</v>
      </c>
      <c r="C37" s="666"/>
      <c r="D37" s="666"/>
      <c r="E37" s="666"/>
      <c r="F37" s="666"/>
      <c r="G37" s="666"/>
      <c r="H37" s="666"/>
      <c r="I37" s="666"/>
      <c r="J37" s="666"/>
      <c r="K37" s="667"/>
      <c r="M37" s="668"/>
      <c r="N37" s="280" t="n">
        <v>-34.06</v>
      </c>
      <c r="O37" s="280"/>
      <c r="P37" s="619"/>
    </row>
    <row r="38" customFormat="false" ht="12.75" hidden="false" customHeight="false" outlineLevel="0" collapsed="false">
      <c r="B38" s="668"/>
      <c r="C38" s="280"/>
      <c r="D38" s="280"/>
      <c r="E38" s="280"/>
      <c r="F38" s="280"/>
      <c r="G38" s="280"/>
      <c r="H38" s="280"/>
      <c r="I38" s="280"/>
      <c r="J38" s="280"/>
      <c r="K38" s="619"/>
      <c r="M38" s="668"/>
      <c r="N38" s="280" t="n">
        <v>-33.98</v>
      </c>
      <c r="O38" s="280"/>
      <c r="P38" s="619"/>
    </row>
    <row r="39" customFormat="false" ht="12.75" hidden="false" customHeight="false" outlineLevel="0" collapsed="false">
      <c r="B39" s="668"/>
      <c r="C39" s="280" t="s">
        <v>924</v>
      </c>
      <c r="D39" s="280"/>
      <c r="E39" s="280"/>
      <c r="F39" s="280" t="s">
        <v>2292</v>
      </c>
      <c r="G39" s="280"/>
      <c r="H39" s="280"/>
      <c r="I39" s="280" t="s">
        <v>1066</v>
      </c>
      <c r="J39" s="280" t="s">
        <v>2293</v>
      </c>
      <c r="K39" s="619"/>
      <c r="M39" s="668"/>
      <c r="N39" s="280" t="n">
        <v>-32.65</v>
      </c>
      <c r="O39" s="280"/>
      <c r="P39" s="619"/>
    </row>
    <row r="40" customFormat="false" ht="12.75" hidden="false" customHeight="false" outlineLevel="0" collapsed="false">
      <c r="B40" s="668"/>
      <c r="C40" s="280" t="s">
        <v>2138</v>
      </c>
      <c r="D40" s="280" t="s">
        <v>74</v>
      </c>
      <c r="E40" s="280" t="s">
        <v>125</v>
      </c>
      <c r="F40" s="280" t="s">
        <v>2138</v>
      </c>
      <c r="G40" s="280" t="s">
        <v>74</v>
      </c>
      <c r="H40" s="280" t="s">
        <v>125</v>
      </c>
      <c r="I40" s="280" t="s">
        <v>2138</v>
      </c>
      <c r="J40" s="280" t="s">
        <v>74</v>
      </c>
      <c r="K40" s="619" t="s">
        <v>125</v>
      </c>
      <c r="M40" s="668"/>
      <c r="N40" s="280" t="n">
        <f aca="false">AVERAGE(N36:N39)</f>
        <v>-33.5475</v>
      </c>
      <c r="O40" s="280"/>
      <c r="P40" s="619"/>
    </row>
    <row r="41" customFormat="false" ht="12.75" hidden="false" customHeight="false" outlineLevel="0" collapsed="false">
      <c r="B41" s="668" t="s">
        <v>2165</v>
      </c>
      <c r="C41" s="701"/>
      <c r="D41" s="701"/>
      <c r="E41" s="701"/>
      <c r="F41" s="673" t="n">
        <v>-276.025</v>
      </c>
      <c r="G41" s="673" t="n">
        <v>-309.065</v>
      </c>
      <c r="H41" s="673" t="n">
        <v>16.36</v>
      </c>
      <c r="I41" s="673" t="n">
        <v>-378.184</v>
      </c>
      <c r="J41" s="673" t="n">
        <v>-400.51</v>
      </c>
      <c r="K41" s="716" t="n">
        <v>12.176</v>
      </c>
      <c r="M41" s="668"/>
      <c r="N41" s="280" t="n">
        <f aca="false">AVERAGE(N37:N38)</f>
        <v>-34.02</v>
      </c>
      <c r="O41" s="280"/>
      <c r="P41" s="619"/>
    </row>
    <row r="42" customFormat="false" ht="13.5" hidden="false" customHeight="false" outlineLevel="0" collapsed="false">
      <c r="B42" s="178" t="s">
        <v>2167</v>
      </c>
      <c r="C42" s="744"/>
      <c r="D42" s="744"/>
      <c r="E42" s="744"/>
      <c r="F42" s="682" t="n">
        <f aca="false">4.184*F41</f>
        <v>-1154.8886</v>
      </c>
      <c r="G42" s="682" t="n">
        <f aca="false">4.184*G41</f>
        <v>-1293.12796</v>
      </c>
      <c r="H42" s="682" t="n">
        <f aca="false">4.184*H41</f>
        <v>68.45024</v>
      </c>
      <c r="I42" s="682" t="n">
        <f aca="false">4.184*I41</f>
        <v>-1582.321856</v>
      </c>
      <c r="J42" s="682" t="n">
        <f aca="false">4.184*J41</f>
        <v>-1675.73384</v>
      </c>
      <c r="K42" s="745" t="n">
        <f aca="false">4.184*K41</f>
        <v>50.944384</v>
      </c>
      <c r="M42" s="668"/>
      <c r="N42" s="280"/>
      <c r="O42" s="280"/>
      <c r="P42" s="619"/>
    </row>
    <row r="43" customFormat="false" ht="12.75" hidden="false" customHeight="false" outlineLevel="0" collapsed="false">
      <c r="M43" s="668"/>
      <c r="N43" s="738" t="n">
        <v>-34</v>
      </c>
      <c r="O43" s="280" t="s">
        <v>2294</v>
      </c>
      <c r="P43" s="619"/>
    </row>
    <row r="44" customFormat="false" ht="13.5" hidden="false" customHeight="false" outlineLevel="0" collapsed="false">
      <c r="M44" s="668"/>
      <c r="N44" s="738" t="n">
        <f aca="false">-0.001*2.3026*8.3144621*298.15*N43</f>
        <v>194.073567421753</v>
      </c>
      <c r="O44" s="280" t="s">
        <v>2295</v>
      </c>
      <c r="P44" s="619"/>
    </row>
    <row r="45" customFormat="false" ht="12.75" hidden="false" customHeight="false" outlineLevel="0" collapsed="false">
      <c r="B45" s="169" t="s">
        <v>2231</v>
      </c>
      <c r="C45" s="666"/>
      <c r="D45" s="666"/>
      <c r="E45" s="666"/>
      <c r="F45" s="666"/>
      <c r="G45" s="666"/>
      <c r="H45" s="666"/>
      <c r="I45" s="666"/>
      <c r="J45" s="666"/>
      <c r="K45" s="667"/>
      <c r="M45" s="668"/>
      <c r="N45" s="280"/>
      <c r="O45" s="280"/>
      <c r="P45" s="619"/>
    </row>
    <row r="46" customFormat="false" ht="12.75" hidden="false" customHeight="false" outlineLevel="0" collapsed="false">
      <c r="B46" s="668"/>
      <c r="C46" s="280"/>
      <c r="D46" s="280"/>
      <c r="E46" s="280"/>
      <c r="F46" s="280"/>
      <c r="G46" s="280"/>
      <c r="H46" s="280"/>
      <c r="I46" s="280"/>
      <c r="J46" s="280"/>
      <c r="K46" s="619"/>
      <c r="M46" s="668"/>
      <c r="N46" s="280" t="n">
        <f aca="false">N41</f>
        <v>-34.02</v>
      </c>
      <c r="O46" s="280"/>
      <c r="P46" s="619"/>
    </row>
    <row r="47" customFormat="false" ht="13.5" hidden="false" customHeight="false" outlineLevel="0" collapsed="false">
      <c r="B47" s="668"/>
      <c r="C47" s="280" t="s">
        <v>924</v>
      </c>
      <c r="D47" s="280" t="s">
        <v>2296</v>
      </c>
      <c r="E47" s="280"/>
      <c r="F47" s="280" t="s">
        <v>2292</v>
      </c>
      <c r="G47" s="280"/>
      <c r="H47" s="280"/>
      <c r="I47" s="280" t="s">
        <v>1066</v>
      </c>
      <c r="J47" s="280" t="s">
        <v>2297</v>
      </c>
      <c r="K47" s="619"/>
      <c r="M47" s="178"/>
      <c r="N47" s="746" t="n">
        <f aca="false">-0.001*2.3026*8.3144621*298.15*N46</f>
        <v>194.187728343766</v>
      </c>
      <c r="O47" s="674"/>
      <c r="P47" s="675"/>
    </row>
    <row r="48" customFormat="false" ht="12.75" hidden="false" customHeight="false" outlineLevel="0" collapsed="false">
      <c r="B48" s="668"/>
      <c r="C48" s="280" t="s">
        <v>2138</v>
      </c>
      <c r="D48" s="280" t="s">
        <v>74</v>
      </c>
      <c r="E48" s="280" t="s">
        <v>125</v>
      </c>
      <c r="F48" s="280" t="s">
        <v>2138</v>
      </c>
      <c r="G48" s="280" t="s">
        <v>74</v>
      </c>
      <c r="H48" s="280" t="s">
        <v>125</v>
      </c>
      <c r="I48" s="280" t="s">
        <v>2138</v>
      </c>
      <c r="J48" s="280" t="s">
        <v>74</v>
      </c>
      <c r="K48" s="619" t="s">
        <v>125</v>
      </c>
    </row>
    <row r="49" customFormat="false" ht="12.75" hidden="false" customHeight="false" outlineLevel="0" collapsed="false">
      <c r="B49" s="668" t="s">
        <v>2165</v>
      </c>
      <c r="C49" s="673" t="n">
        <v>-116.543</v>
      </c>
      <c r="D49" s="673" t="n">
        <v>-128.681</v>
      </c>
      <c r="E49" s="673" t="n">
        <v>-80.8</v>
      </c>
      <c r="F49" s="673" t="n">
        <v>-276.025</v>
      </c>
      <c r="G49" s="673" t="n">
        <v>-309.065</v>
      </c>
      <c r="H49" s="673" t="n">
        <v>16.36</v>
      </c>
      <c r="I49" s="673" t="n">
        <v>-378.167</v>
      </c>
      <c r="J49" s="673" t="n">
        <v>-400.5</v>
      </c>
      <c r="K49" s="716" t="n">
        <v>12.17</v>
      </c>
    </row>
    <row r="50" customFormat="false" ht="12.75" hidden="false" customHeight="false" outlineLevel="0" collapsed="false">
      <c r="B50" s="668" t="s">
        <v>2167</v>
      </c>
      <c r="C50" s="673" t="n">
        <f aca="false">4.184*C49</f>
        <v>-487.615912</v>
      </c>
      <c r="D50" s="673" t="n">
        <f aca="false">4.184*D49</f>
        <v>-538.401304</v>
      </c>
      <c r="E50" s="673" t="n">
        <f aca="false">4.184*E49</f>
        <v>-338.0672</v>
      </c>
      <c r="F50" s="673" t="n">
        <f aca="false">4.184*F49</f>
        <v>-1154.8886</v>
      </c>
      <c r="G50" s="673" t="n">
        <f aca="false">4.184*G49</f>
        <v>-1293.12796</v>
      </c>
      <c r="H50" s="673" t="n">
        <f aca="false">4.184*H49</f>
        <v>68.45024</v>
      </c>
      <c r="I50" s="673" t="n">
        <f aca="false">4.184*I49</f>
        <v>-1582.250728</v>
      </c>
      <c r="J50" s="673" t="n">
        <f aca="false">4.184*J49</f>
        <v>-1675.692</v>
      </c>
      <c r="K50" s="716" t="n">
        <f aca="false">4.184*K49</f>
        <v>50.91928</v>
      </c>
    </row>
    <row r="51" customFormat="false" ht="12.75" hidden="false" customHeight="false" outlineLevel="0" collapsed="false">
      <c r="B51" s="668"/>
      <c r="C51" s="280"/>
      <c r="D51" s="280"/>
      <c r="E51" s="280"/>
      <c r="F51" s="280"/>
      <c r="G51" s="280"/>
      <c r="H51" s="280"/>
      <c r="I51" s="280"/>
      <c r="J51" s="280"/>
      <c r="K51" s="619"/>
    </row>
    <row r="52" customFormat="false" ht="12.75" hidden="false" customHeight="false" outlineLevel="0" collapsed="false">
      <c r="B52" s="668" t="s">
        <v>2298</v>
      </c>
      <c r="C52" s="673"/>
      <c r="D52" s="673" t="n">
        <v>-538.4</v>
      </c>
      <c r="E52" s="673"/>
      <c r="F52" s="673" t="n">
        <v>-1154.889</v>
      </c>
      <c r="G52" s="673" t="n">
        <v>-1293.128</v>
      </c>
      <c r="H52" s="673" t="n">
        <v>68.44</v>
      </c>
      <c r="I52" s="673" t="n">
        <v>-1582.257</v>
      </c>
      <c r="J52" s="673" t="n">
        <v>-1675.7</v>
      </c>
      <c r="K52" s="716" t="n">
        <v>50.92</v>
      </c>
    </row>
    <row r="53" customFormat="false" ht="13.5" hidden="false" customHeight="false" outlineLevel="0" collapsed="false">
      <c r="B53" s="681" t="s">
        <v>2165</v>
      </c>
      <c r="C53" s="682" t="n">
        <f aca="false">C52/4.184</f>
        <v>0</v>
      </c>
      <c r="D53" s="682" t="n">
        <f aca="false">D52/4.184</f>
        <v>-128.68068833652</v>
      </c>
      <c r="E53" s="682" t="n">
        <f aca="false">E52/4.184</f>
        <v>0</v>
      </c>
      <c r="F53" s="682" t="n">
        <f aca="false">F52/4.184</f>
        <v>-276.025095602294</v>
      </c>
      <c r="G53" s="682" t="n">
        <f aca="false">G52/4.184</f>
        <v>-309.065009560229</v>
      </c>
      <c r="H53" s="682" t="n">
        <f aca="false">H52/4.184</f>
        <v>16.357552581262</v>
      </c>
      <c r="I53" s="682" t="n">
        <f aca="false">I52/4.184</f>
        <v>-378.168499043977</v>
      </c>
      <c r="J53" s="682" t="n">
        <f aca="false">J52/4.184</f>
        <v>-400.501912045889</v>
      </c>
      <c r="K53" s="745" t="n">
        <f aca="false">K52/4.184</f>
        <v>12.17017208413</v>
      </c>
    </row>
    <row r="55" customFormat="false" ht="13.5" hidden="false" customHeight="false" outlineLevel="0" collapsed="false"/>
    <row r="56" customFormat="false" ht="12.75" hidden="false" customHeight="false" outlineLevel="0" collapsed="false">
      <c r="B56" s="169" t="s">
        <v>2299</v>
      </c>
      <c r="C56" s="666"/>
      <c r="D56" s="666"/>
      <c r="E56" s="666"/>
      <c r="F56" s="666"/>
      <c r="G56" s="666"/>
      <c r="H56" s="666"/>
      <c r="I56" s="666"/>
      <c r="J56" s="666"/>
      <c r="K56" s="667"/>
    </row>
    <row r="57" customFormat="false" ht="12.75" hidden="false" customHeight="false" outlineLevel="0" collapsed="false">
      <c r="B57" s="668"/>
      <c r="C57" s="280"/>
      <c r="D57" s="280"/>
      <c r="E57" s="280"/>
      <c r="F57" s="280" t="s">
        <v>2300</v>
      </c>
      <c r="G57" s="280"/>
      <c r="H57" s="280"/>
      <c r="I57" s="280"/>
      <c r="J57" s="280"/>
      <c r="K57" s="619"/>
    </row>
    <row r="58" customFormat="false" ht="12.75" hidden="false" customHeight="false" outlineLevel="0" collapsed="false">
      <c r="B58" s="668"/>
      <c r="C58" s="280" t="s">
        <v>924</v>
      </c>
      <c r="D58" s="280" t="s">
        <v>2301</v>
      </c>
      <c r="E58" s="280"/>
      <c r="F58" s="280" t="s">
        <v>1075</v>
      </c>
      <c r="G58" s="280"/>
      <c r="H58" s="280"/>
      <c r="I58" s="280" t="s">
        <v>1066</v>
      </c>
      <c r="J58" s="280"/>
      <c r="K58" s="619"/>
    </row>
    <row r="59" customFormat="false" ht="12.75" hidden="false" customHeight="false" outlineLevel="0" collapsed="false">
      <c r="B59" s="668"/>
      <c r="C59" s="280" t="s">
        <v>2138</v>
      </c>
      <c r="D59" s="280" t="s">
        <v>74</v>
      </c>
      <c r="E59" s="280" t="s">
        <v>125</v>
      </c>
      <c r="F59" s="280" t="s">
        <v>2138</v>
      </c>
      <c r="G59" s="280" t="s">
        <v>74</v>
      </c>
      <c r="H59" s="280" t="s">
        <v>125</v>
      </c>
      <c r="I59" s="280" t="s">
        <v>2138</v>
      </c>
      <c r="J59" s="280" t="s">
        <v>74</v>
      </c>
      <c r="K59" s="619" t="s">
        <v>125</v>
      </c>
    </row>
    <row r="60" customFormat="false" ht="12.75" hidden="false" customHeight="false" outlineLevel="0" collapsed="false">
      <c r="B60" s="668" t="s">
        <v>2165</v>
      </c>
      <c r="C60" s="673" t="n">
        <v>-115.609</v>
      </c>
      <c r="D60" s="673" t="n">
        <v>-126.834</v>
      </c>
      <c r="E60" s="673" t="n">
        <v>-77.7</v>
      </c>
      <c r="F60" s="673"/>
      <c r="G60" s="673"/>
      <c r="H60" s="673"/>
      <c r="I60" s="673"/>
      <c r="J60" s="673"/>
      <c r="K60" s="716"/>
    </row>
    <row r="61" customFormat="false" ht="13.5" hidden="false" customHeight="false" outlineLevel="0" collapsed="false">
      <c r="B61" s="178" t="s">
        <v>2167</v>
      </c>
      <c r="C61" s="682" t="n">
        <f aca="false">4.184*C60</f>
        <v>-483.708056</v>
      </c>
      <c r="D61" s="682" t="n">
        <f aca="false">4.184*D60</f>
        <v>-530.673456</v>
      </c>
      <c r="E61" s="682" t="n">
        <f aca="false">4.184*E60</f>
        <v>-325.0968</v>
      </c>
      <c r="F61" s="682" t="n">
        <f aca="false">4.184*F60</f>
        <v>0</v>
      </c>
      <c r="G61" s="682" t="n">
        <f aca="false">4.184*G60</f>
        <v>0</v>
      </c>
      <c r="H61" s="682" t="n">
        <f aca="false">4.184*H60</f>
        <v>0</v>
      </c>
      <c r="I61" s="682" t="n">
        <f aca="false">4.184*I60</f>
        <v>0</v>
      </c>
      <c r="J61" s="682" t="n">
        <f aca="false">4.184*J60</f>
        <v>0</v>
      </c>
      <c r="K61" s="745" t="n">
        <f aca="false">4.184*K60</f>
        <v>0</v>
      </c>
    </row>
    <row r="63" customFormat="false" ht="13.5" hidden="false" customHeight="false" outlineLevel="0" collapsed="false"/>
    <row r="64" customFormat="false" ht="12.75" hidden="false" customHeight="false" outlineLevel="0" collapsed="false">
      <c r="B64" s="169" t="s">
        <v>2302</v>
      </c>
      <c r="C64" s="666"/>
      <c r="D64" s="666"/>
      <c r="E64" s="666"/>
      <c r="F64" s="666"/>
      <c r="G64" s="666"/>
      <c r="H64" s="666"/>
      <c r="I64" s="666"/>
      <c r="J64" s="666"/>
      <c r="K64" s="667"/>
    </row>
    <row r="65" customFormat="false" ht="12.75" hidden="false" customHeight="false" outlineLevel="0" collapsed="false">
      <c r="B65" s="668"/>
      <c r="C65" s="280"/>
      <c r="D65" s="280"/>
      <c r="E65" s="280"/>
      <c r="F65" s="280"/>
      <c r="G65" s="280"/>
      <c r="H65" s="280"/>
      <c r="I65" s="280"/>
      <c r="J65" s="280"/>
      <c r="K65" s="619"/>
    </row>
    <row r="66" customFormat="false" ht="12.75" hidden="false" customHeight="false" outlineLevel="0" collapsed="false">
      <c r="B66" s="668"/>
      <c r="C66" s="280" t="s">
        <v>924</v>
      </c>
      <c r="D66" s="280" t="s">
        <v>2296</v>
      </c>
      <c r="E66" s="280"/>
      <c r="F66" s="280" t="s">
        <v>1075</v>
      </c>
      <c r="G66" s="280" t="s">
        <v>2303</v>
      </c>
      <c r="H66" s="280"/>
      <c r="I66" s="280" t="s">
        <v>1066</v>
      </c>
      <c r="J66" s="280" t="s">
        <v>2304</v>
      </c>
      <c r="K66" s="619"/>
    </row>
    <row r="67" customFormat="false" ht="12.75" hidden="false" customHeight="false" outlineLevel="0" collapsed="false">
      <c r="B67" s="668"/>
      <c r="C67" s="280" t="s">
        <v>2138</v>
      </c>
      <c r="D67" s="280" t="s">
        <v>74</v>
      </c>
      <c r="E67" s="280" t="s">
        <v>125</v>
      </c>
      <c r="F67" s="280" t="s">
        <v>2138</v>
      </c>
      <c r="G67" s="280" t="s">
        <v>74</v>
      </c>
      <c r="H67" s="280" t="s">
        <v>125</v>
      </c>
      <c r="I67" s="280" t="s">
        <v>2138</v>
      </c>
      <c r="J67" s="280" t="s">
        <v>74</v>
      </c>
      <c r="K67" s="619" t="s">
        <v>125</v>
      </c>
    </row>
    <row r="68" customFormat="false" ht="12.75" hidden="false" customHeight="false" outlineLevel="0" collapsed="false">
      <c r="B68" s="668" t="s">
        <v>2165</v>
      </c>
      <c r="C68" s="673" t="n">
        <v>-116.51</v>
      </c>
      <c r="D68" s="673" t="n">
        <v>-128.769</v>
      </c>
      <c r="E68" s="673" t="n">
        <v>-81.203</v>
      </c>
      <c r="F68" s="673"/>
      <c r="G68" s="673"/>
      <c r="H68" s="673"/>
      <c r="I68" s="673"/>
      <c r="J68" s="673"/>
      <c r="K68" s="716"/>
    </row>
    <row r="69" customFormat="false" ht="13.5" hidden="false" customHeight="false" outlineLevel="0" collapsed="false">
      <c r="B69" s="178" t="s">
        <v>2167</v>
      </c>
      <c r="C69" s="682" t="n">
        <f aca="false">4.184*C68</f>
        <v>-487.47784</v>
      </c>
      <c r="D69" s="682" t="n">
        <f aca="false">4.184*D68</f>
        <v>-538.769496</v>
      </c>
      <c r="E69" s="682" t="n">
        <f aca="false">4.184*E68</f>
        <v>-339.753352</v>
      </c>
      <c r="F69" s="682" t="n">
        <f aca="false">4.184*F68</f>
        <v>0</v>
      </c>
      <c r="G69" s="682" t="n">
        <f aca="false">4.184*G68</f>
        <v>0</v>
      </c>
      <c r="H69" s="682" t="n">
        <f aca="false">4.184*H68</f>
        <v>0</v>
      </c>
      <c r="I69" s="682" t="n">
        <f aca="false">4.184*I68</f>
        <v>0</v>
      </c>
      <c r="J69" s="682" t="n">
        <f aca="false">4.184*J68</f>
        <v>0</v>
      </c>
      <c r="K69" s="745" t="n">
        <f aca="false">4.184*K68</f>
        <v>0</v>
      </c>
    </row>
    <row r="71" customFormat="false" ht="13.5" hidden="false" customHeight="false" outlineLevel="0" collapsed="false"/>
    <row r="72" customFormat="false" ht="12.75" hidden="false" customHeight="false" outlineLevel="0" collapsed="false">
      <c r="B72" s="169" t="s">
        <v>2305</v>
      </c>
      <c r="C72" s="666"/>
      <c r="D72" s="666"/>
      <c r="E72" s="666"/>
      <c r="F72" s="666"/>
      <c r="G72" s="666"/>
      <c r="H72" s="666"/>
      <c r="I72" s="666"/>
      <c r="J72" s="666"/>
      <c r="K72" s="667"/>
    </row>
    <row r="73" customFormat="false" ht="12.75" hidden="false" customHeight="false" outlineLevel="0" collapsed="false">
      <c r="B73" s="668"/>
      <c r="C73" s="280"/>
      <c r="D73" s="280"/>
      <c r="E73" s="280"/>
      <c r="F73" s="280"/>
      <c r="G73" s="280"/>
      <c r="H73" s="280"/>
      <c r="I73" s="280"/>
      <c r="J73" s="280"/>
      <c r="K73" s="619"/>
    </row>
    <row r="74" customFormat="false" ht="15" hidden="false" customHeight="false" outlineLevel="0" collapsed="false">
      <c r="B74" s="747" t="s">
        <v>2306</v>
      </c>
      <c r="C74" s="71"/>
      <c r="D74" s="71"/>
      <c r="E74" s="71"/>
      <c r="F74" s="71"/>
      <c r="G74" s="71"/>
      <c r="H74" s="71"/>
      <c r="I74" s="71"/>
      <c r="J74" s="71"/>
      <c r="K74" s="618"/>
    </row>
    <row r="75" customFormat="false" ht="18" hidden="false" customHeight="false" outlineLevel="0" collapsed="false">
      <c r="B75" s="747" t="s">
        <v>2307</v>
      </c>
      <c r="C75" s="71"/>
      <c r="D75" s="71" t="n">
        <f aca="false">-1293.5</f>
        <v>-1293.5</v>
      </c>
      <c r="E75" s="280" t="s">
        <v>2308</v>
      </c>
      <c r="F75" s="71"/>
      <c r="G75" s="71"/>
      <c r="H75" s="71"/>
      <c r="I75" s="71"/>
      <c r="J75" s="71"/>
      <c r="K75" s="618"/>
    </row>
    <row r="76" customFormat="false" ht="12.75" hidden="false" customHeight="false" outlineLevel="0" collapsed="false">
      <c r="B76" s="747" t="s">
        <v>2309</v>
      </c>
      <c r="C76" s="71"/>
      <c r="D76" s="71" t="n">
        <f aca="false">2*D75/4.184</f>
        <v>-618.307839388145</v>
      </c>
      <c r="E76" s="280" t="s">
        <v>2310</v>
      </c>
      <c r="F76" s="71"/>
      <c r="G76" s="71"/>
      <c r="H76" s="71"/>
      <c r="I76" s="71"/>
      <c r="J76" s="71"/>
      <c r="K76" s="618"/>
    </row>
    <row r="77" customFormat="false" ht="14.25" hidden="false" customHeight="false" outlineLevel="0" collapsed="false">
      <c r="B77" s="668" t="s">
        <v>2311</v>
      </c>
      <c r="C77" s="71"/>
      <c r="D77" s="71"/>
      <c r="E77" s="71"/>
      <c r="F77" s="71"/>
      <c r="G77" s="71"/>
      <c r="H77" s="71"/>
      <c r="I77" s="71"/>
      <c r="J77" s="71"/>
      <c r="K77" s="618"/>
    </row>
    <row r="78" customFormat="false" ht="12.75" hidden="false" customHeight="false" outlineLevel="0" collapsed="false">
      <c r="B78" s="747"/>
      <c r="C78" s="71"/>
      <c r="D78" s="71"/>
      <c r="E78" s="71"/>
      <c r="F78" s="71"/>
      <c r="G78" s="71"/>
      <c r="H78" s="71"/>
      <c r="I78" s="71"/>
      <c r="J78" s="71"/>
      <c r="K78" s="618"/>
    </row>
    <row r="79" customFormat="false" ht="12.75" hidden="false" customHeight="false" outlineLevel="0" collapsed="false">
      <c r="B79" s="668" t="s">
        <v>2312</v>
      </c>
      <c r="C79" s="71"/>
      <c r="D79" s="71"/>
      <c r="E79" s="71"/>
      <c r="F79" s="71"/>
      <c r="G79" s="71"/>
      <c r="H79" s="71"/>
      <c r="I79" s="71"/>
      <c r="J79" s="71"/>
      <c r="K79" s="618"/>
    </row>
    <row r="80" customFormat="false" ht="12.75" hidden="false" customHeight="false" outlineLevel="0" collapsed="false">
      <c r="B80" s="668" t="s">
        <v>2313</v>
      </c>
      <c r="C80" s="71"/>
      <c r="D80" s="71"/>
      <c r="E80" s="71"/>
      <c r="F80" s="71"/>
      <c r="G80" s="71"/>
      <c r="H80" s="71"/>
      <c r="I80" s="71"/>
      <c r="J80" s="71"/>
      <c r="K80" s="618"/>
    </row>
    <row r="81" customFormat="false" ht="12.75" hidden="false" customHeight="false" outlineLevel="0" collapsed="false">
      <c r="B81" s="747"/>
      <c r="C81" s="71"/>
      <c r="D81" s="71"/>
      <c r="E81" s="71"/>
      <c r="F81" s="71"/>
      <c r="G81" s="71"/>
      <c r="H81" s="71"/>
      <c r="I81" s="71"/>
      <c r="J81" s="71"/>
      <c r="K81" s="618"/>
    </row>
    <row r="82" customFormat="false" ht="12.75" hidden="false" customHeight="false" outlineLevel="0" collapsed="false">
      <c r="B82" s="747" t="s">
        <v>2314</v>
      </c>
      <c r="C82" s="71"/>
      <c r="D82" s="71"/>
      <c r="E82" s="71"/>
      <c r="F82" s="71" t="s">
        <v>529</v>
      </c>
      <c r="G82" s="71"/>
      <c r="H82" s="71"/>
      <c r="I82" s="71"/>
      <c r="J82" s="71"/>
      <c r="K82" s="618"/>
    </row>
    <row r="83" customFormat="false" ht="15.75" hidden="false" customHeight="false" outlineLevel="0" collapsed="false">
      <c r="B83" s="747"/>
      <c r="C83" s="280" t="s">
        <v>2315</v>
      </c>
      <c r="D83" s="280" t="s">
        <v>2315</v>
      </c>
      <c r="E83" s="71"/>
      <c r="F83" s="280" t="s">
        <v>2315</v>
      </c>
      <c r="G83" s="280" t="s">
        <v>2316</v>
      </c>
      <c r="H83" s="71"/>
      <c r="I83" s="71"/>
      <c r="J83" s="71"/>
      <c r="K83" s="618"/>
    </row>
    <row r="84" customFormat="false" ht="14.25" hidden="false" customHeight="false" outlineLevel="0" collapsed="false">
      <c r="B84" s="747"/>
      <c r="C84" s="10" t="s">
        <v>1172</v>
      </c>
      <c r="D84" s="10" t="s">
        <v>1167</v>
      </c>
      <c r="E84" s="71"/>
      <c r="F84" s="10" t="s">
        <v>1167</v>
      </c>
      <c r="G84" s="10" t="s">
        <v>1167</v>
      </c>
      <c r="H84" s="71"/>
      <c r="I84" s="71"/>
      <c r="J84" s="71"/>
      <c r="K84" s="618"/>
    </row>
    <row r="85" customFormat="false" ht="12.75" hidden="false" customHeight="false" outlineLevel="0" collapsed="false">
      <c r="B85" s="747" t="s">
        <v>1067</v>
      </c>
      <c r="C85" s="71" t="n">
        <v>-400.4</v>
      </c>
      <c r="D85" s="748" t="n">
        <f aca="false">ROUND(4.184*C85,3)</f>
        <v>-1675.274</v>
      </c>
      <c r="E85" s="71"/>
      <c r="F85" s="71" t="n">
        <v>-1675.7</v>
      </c>
      <c r="G85" s="71" t="n">
        <f aca="false">F85-D85</f>
        <v>-0.426000000000158</v>
      </c>
      <c r="H85" s="71"/>
      <c r="I85" s="71"/>
      <c r="J85" s="71"/>
      <c r="K85" s="618"/>
    </row>
    <row r="86" customFormat="false" ht="13.5" hidden="false" customHeight="false" outlineLevel="0" collapsed="false">
      <c r="B86" s="747" t="s">
        <v>1178</v>
      </c>
      <c r="C86" s="71" t="n">
        <v>-68.32</v>
      </c>
      <c r="D86" s="748" t="n">
        <f aca="false">ROUND(4.184*C86,3)</f>
        <v>-285.851</v>
      </c>
      <c r="E86" s="71"/>
      <c r="F86" s="71" t="n">
        <v>-285.83</v>
      </c>
      <c r="G86" s="71" t="n">
        <f aca="false">F86-D86</f>
        <v>0.021000000000015</v>
      </c>
      <c r="H86" s="71"/>
      <c r="I86" s="71"/>
      <c r="J86" s="71"/>
      <c r="K86" s="618"/>
    </row>
    <row r="87" customFormat="false" ht="13.5" hidden="false" customHeight="false" outlineLevel="0" collapsed="false">
      <c r="B87" s="747" t="s">
        <v>2317</v>
      </c>
      <c r="C87" s="71" t="n">
        <v>-618.7</v>
      </c>
      <c r="D87" s="748" t="n">
        <f aca="false">ROUND(4.184*C87,3)</f>
        <v>-2588.641</v>
      </c>
      <c r="E87" s="749" t="n">
        <f aca="false">ROUND(D87/2,3)</f>
        <v>-1294.321</v>
      </c>
      <c r="F87" s="71"/>
      <c r="G87" s="71"/>
      <c r="H87" s="71"/>
      <c r="I87" s="71"/>
      <c r="J87" s="71"/>
      <c r="K87" s="618"/>
    </row>
    <row r="88" customFormat="false" ht="12.75" hidden="false" customHeight="false" outlineLevel="0" collapsed="false">
      <c r="B88" s="747" t="s">
        <v>2318</v>
      </c>
      <c r="C88" s="71" t="n">
        <f aca="false">C87-C85-3*C86</f>
        <v>-13.3400000000001</v>
      </c>
      <c r="D88" s="748" t="n">
        <f aca="false">ROUND(D87-D85-3*D86,3)</f>
        <v>-55.814</v>
      </c>
      <c r="E88" s="71"/>
      <c r="F88" s="71"/>
      <c r="G88" s="71"/>
      <c r="H88" s="71"/>
      <c r="I88" s="71"/>
      <c r="J88" s="71"/>
      <c r="K88" s="618"/>
    </row>
    <row r="89" customFormat="false" ht="12.75" hidden="false" customHeight="false" outlineLevel="0" collapsed="false">
      <c r="B89" s="747"/>
      <c r="C89" s="71" t="s">
        <v>2319</v>
      </c>
      <c r="D89" s="748" t="n">
        <f aca="false">ROUND(4.184*C88,3)</f>
        <v>-55.815</v>
      </c>
      <c r="E89" s="71"/>
      <c r="F89" s="71"/>
      <c r="G89" s="71"/>
      <c r="H89" s="71"/>
      <c r="I89" s="71"/>
      <c r="J89" s="71"/>
      <c r="K89" s="618"/>
    </row>
    <row r="90" customFormat="false" ht="12.75" hidden="false" customHeight="false" outlineLevel="0" collapsed="false">
      <c r="B90" s="747"/>
      <c r="C90" s="71"/>
      <c r="D90" s="71"/>
      <c r="E90" s="71"/>
      <c r="F90" s="71"/>
      <c r="G90" s="71"/>
      <c r="H90" s="748"/>
      <c r="I90" s="748"/>
      <c r="J90" s="71"/>
      <c r="K90" s="618"/>
    </row>
    <row r="91" customFormat="false" ht="12.75" hidden="false" customHeight="false" outlineLevel="0" collapsed="false">
      <c r="B91" s="747" t="s">
        <v>2320</v>
      </c>
      <c r="C91" s="71" t="n">
        <f aca="false">C88+C85+3*C86</f>
        <v>-618.7</v>
      </c>
      <c r="D91" s="748" t="n">
        <f aca="false">ROUND(4.184*C91,3)</f>
        <v>-2588.641</v>
      </c>
      <c r="E91" s="71"/>
      <c r="F91" s="71"/>
      <c r="G91" s="71"/>
      <c r="H91" s="748"/>
      <c r="I91" s="748"/>
      <c r="J91" s="71"/>
      <c r="K91" s="618"/>
    </row>
    <row r="92" customFormat="false" ht="12.75" hidden="false" customHeight="false" outlineLevel="0" collapsed="false">
      <c r="B92" s="747"/>
      <c r="C92" s="71"/>
      <c r="D92" s="748"/>
      <c r="E92" s="71"/>
      <c r="F92" s="71"/>
      <c r="G92" s="748"/>
      <c r="H92" s="748"/>
      <c r="I92" s="748"/>
      <c r="J92" s="71"/>
      <c r="K92" s="618"/>
    </row>
    <row r="93" customFormat="false" ht="12.75" hidden="false" customHeight="false" outlineLevel="0" collapsed="false">
      <c r="B93" s="747" t="s">
        <v>2321</v>
      </c>
      <c r="C93" s="71"/>
      <c r="D93" s="71"/>
      <c r="E93" s="71"/>
      <c r="F93" s="71"/>
      <c r="G93" s="748"/>
      <c r="H93" s="748"/>
      <c r="I93" s="748"/>
      <c r="J93" s="71"/>
      <c r="K93" s="618"/>
    </row>
    <row r="94" customFormat="false" ht="12.75" hidden="false" customHeight="false" outlineLevel="0" collapsed="false">
      <c r="B94" s="747"/>
      <c r="C94" s="71"/>
      <c r="D94" s="71"/>
      <c r="E94" s="71"/>
      <c r="F94" s="71"/>
      <c r="G94" s="748"/>
      <c r="H94" s="748"/>
      <c r="I94" s="748"/>
      <c r="J94" s="71"/>
      <c r="K94" s="618"/>
    </row>
    <row r="95" customFormat="false" ht="12.75" hidden="false" customHeight="false" outlineLevel="0" collapsed="false">
      <c r="B95" s="750" t="s">
        <v>2322</v>
      </c>
      <c r="C95" s="71"/>
      <c r="D95" s="748"/>
      <c r="E95" s="71"/>
      <c r="F95" s="71"/>
      <c r="G95" s="748"/>
      <c r="H95" s="748"/>
      <c r="I95" s="748"/>
      <c r="J95" s="71"/>
      <c r="K95" s="618"/>
    </row>
    <row r="96" customFormat="false" ht="12.75" hidden="false" customHeight="false" outlineLevel="0" collapsed="false">
      <c r="B96" s="750" t="s">
        <v>2323</v>
      </c>
      <c r="C96" s="71"/>
      <c r="D96" s="748"/>
      <c r="E96" s="71"/>
      <c r="F96" s="71"/>
      <c r="G96" s="748"/>
      <c r="H96" s="748"/>
      <c r="I96" s="748"/>
      <c r="J96" s="71"/>
      <c r="K96" s="618"/>
    </row>
    <row r="97" customFormat="false" ht="12.75" hidden="false" customHeight="false" outlineLevel="0" collapsed="false">
      <c r="B97" s="750"/>
      <c r="C97" s="71"/>
      <c r="D97" s="748"/>
      <c r="E97" s="71"/>
      <c r="F97" s="71"/>
      <c r="G97" s="748"/>
      <c r="H97" s="748"/>
      <c r="I97" s="748"/>
      <c r="J97" s="71"/>
      <c r="K97" s="618"/>
    </row>
    <row r="98" customFormat="false" ht="15.75" hidden="false" customHeight="false" outlineLevel="0" collapsed="false">
      <c r="B98" s="747"/>
      <c r="C98" s="748"/>
      <c r="D98" s="280" t="s">
        <v>2315</v>
      </c>
      <c r="E98" s="748"/>
      <c r="F98" s="748"/>
      <c r="G98" s="71"/>
      <c r="H98" s="71"/>
      <c r="I98" s="71"/>
      <c r="J98" s="71"/>
      <c r="K98" s="618"/>
    </row>
    <row r="99" customFormat="false" ht="15" hidden="false" customHeight="false" outlineLevel="0" collapsed="false">
      <c r="B99" s="747"/>
      <c r="C99" s="748"/>
      <c r="D99" s="10" t="s">
        <v>1167</v>
      </c>
      <c r="E99" s="10" t="s">
        <v>1172</v>
      </c>
      <c r="F99" s="280" t="s">
        <v>2324</v>
      </c>
      <c r="G99" s="71"/>
      <c r="H99" s="71"/>
      <c r="I99" s="71"/>
      <c r="J99" s="71"/>
      <c r="K99" s="618"/>
    </row>
    <row r="100" customFormat="false" ht="13.5" hidden="false" customHeight="false" outlineLevel="0" collapsed="false">
      <c r="B100" s="747"/>
      <c r="C100" s="748" t="n">
        <f aca="false">ROUND(D88+F85+3*F86,3)</f>
        <v>-2589.004</v>
      </c>
      <c r="D100" s="751" t="n">
        <f aca="false">ROUND(C100/2,3)</f>
        <v>-1294.502</v>
      </c>
      <c r="E100" s="748" t="n">
        <f aca="false">ROUND(D100/4.184,3)</f>
        <v>-309.393</v>
      </c>
      <c r="F100" s="748" t="n">
        <f aca="false">ROUND(2*E100,3)</f>
        <v>-618.786</v>
      </c>
      <c r="G100" s="71" t="s">
        <v>2325</v>
      </c>
      <c r="H100" s="71"/>
      <c r="I100" s="71"/>
      <c r="J100" s="71"/>
      <c r="K100" s="618"/>
    </row>
    <row r="101" customFormat="false" ht="12.75" hidden="false" customHeight="false" outlineLevel="0" collapsed="false">
      <c r="B101" s="747"/>
      <c r="C101" s="71" t="s">
        <v>2319</v>
      </c>
      <c r="D101" s="71" t="n">
        <f aca="false">ROUND(C100-F85-3*F86,3)</f>
        <v>-55.814</v>
      </c>
      <c r="E101" s="71"/>
      <c r="F101" s="71"/>
      <c r="G101" s="71"/>
      <c r="H101" s="71"/>
      <c r="I101" s="71"/>
      <c r="J101" s="71"/>
      <c r="K101" s="618"/>
    </row>
    <row r="102" customFormat="false" ht="12.75" hidden="false" customHeight="false" outlineLevel="0" collapsed="false">
      <c r="B102" s="747"/>
      <c r="C102" s="71"/>
      <c r="D102" s="71"/>
      <c r="E102" s="71"/>
      <c r="F102" s="71"/>
      <c r="G102" s="71"/>
      <c r="H102" s="71"/>
      <c r="I102" s="71"/>
      <c r="J102" s="71"/>
      <c r="K102" s="618"/>
    </row>
    <row r="103" customFormat="false" ht="12.75" hidden="false" customHeight="false" outlineLevel="0" collapsed="false">
      <c r="B103" s="747" t="s">
        <v>2326</v>
      </c>
      <c r="C103" s="71"/>
      <c r="D103" s="71"/>
      <c r="E103" s="71"/>
      <c r="F103" s="71"/>
      <c r="G103" s="71"/>
      <c r="H103" s="71"/>
      <c r="I103" s="71"/>
      <c r="J103" s="71"/>
      <c r="K103" s="618"/>
    </row>
    <row r="104" customFormat="false" ht="12.75" hidden="false" customHeight="false" outlineLevel="0" collapsed="false">
      <c r="B104" s="747" t="s">
        <v>2327</v>
      </c>
      <c r="C104" s="71"/>
      <c r="D104" s="71"/>
      <c r="E104" s="71"/>
      <c r="F104" s="71"/>
      <c r="G104" s="71"/>
      <c r="H104" s="71"/>
      <c r="I104" s="71"/>
      <c r="J104" s="71"/>
      <c r="K104" s="618"/>
    </row>
    <row r="105" customFormat="false" ht="12.75" hidden="false" customHeight="false" outlineLevel="0" collapsed="false">
      <c r="B105" s="747"/>
      <c r="C105" s="71"/>
      <c r="D105" s="71"/>
      <c r="E105" s="71"/>
      <c r="F105" s="71"/>
      <c r="G105" s="71"/>
      <c r="H105" s="71"/>
      <c r="I105" s="71"/>
      <c r="J105" s="71"/>
      <c r="K105" s="618"/>
    </row>
    <row r="106" customFormat="false" ht="14.25" hidden="false" customHeight="false" outlineLevel="0" collapsed="false">
      <c r="B106" s="747" t="s">
        <v>2328</v>
      </c>
      <c r="C106" s="71"/>
      <c r="D106" s="748" t="n">
        <v>-1293.128</v>
      </c>
      <c r="E106" s="280" t="s">
        <v>1167</v>
      </c>
      <c r="F106" s="71"/>
      <c r="G106" s="71"/>
      <c r="H106" s="71"/>
      <c r="I106" s="71"/>
      <c r="J106" s="71"/>
      <c r="K106" s="618"/>
    </row>
    <row r="107" customFormat="false" ht="14.25" hidden="false" customHeight="false" outlineLevel="0" collapsed="false">
      <c r="B107" s="747" t="s">
        <v>2329</v>
      </c>
      <c r="C107" s="71"/>
      <c r="D107" s="748" t="n">
        <v>-1294.321</v>
      </c>
      <c r="E107" s="280" t="s">
        <v>1167</v>
      </c>
      <c r="F107" s="71"/>
      <c r="G107" s="71"/>
      <c r="H107" s="71"/>
      <c r="I107" s="71"/>
      <c r="J107" s="71"/>
      <c r="K107" s="618"/>
    </row>
    <row r="108" customFormat="false" ht="14.25" hidden="false" customHeight="false" outlineLevel="0" collapsed="false">
      <c r="B108" s="747" t="s">
        <v>2330</v>
      </c>
      <c r="C108" s="71"/>
      <c r="D108" s="748" t="n">
        <f aca="false">AVERAGE(D106:D107)</f>
        <v>-1293.7245</v>
      </c>
      <c r="E108" s="280" t="s">
        <v>1167</v>
      </c>
      <c r="F108" s="71"/>
      <c r="G108" s="71"/>
      <c r="H108" s="71"/>
      <c r="I108" s="71"/>
      <c r="J108" s="71"/>
      <c r="K108" s="618"/>
    </row>
    <row r="109" customFormat="false" ht="12.75" hidden="false" customHeight="false" outlineLevel="0" collapsed="false">
      <c r="B109" s="668"/>
      <c r="C109" s="280"/>
      <c r="D109" s="280"/>
      <c r="E109" s="280"/>
      <c r="F109" s="280"/>
      <c r="G109" s="280"/>
      <c r="H109" s="280"/>
      <c r="I109" s="280"/>
      <c r="J109" s="280"/>
      <c r="K109" s="619"/>
    </row>
    <row r="110" customFormat="false" ht="12.75" hidden="false" customHeight="false" outlineLevel="0" collapsed="false">
      <c r="B110" s="668" t="s">
        <v>2331</v>
      </c>
      <c r="C110" s="280"/>
      <c r="D110" s="280"/>
      <c r="E110" s="280"/>
      <c r="F110" s="280"/>
      <c r="G110" s="280"/>
      <c r="H110" s="280"/>
      <c r="I110" s="280"/>
      <c r="J110" s="280"/>
      <c r="K110" s="619"/>
    </row>
    <row r="111" customFormat="false" ht="12.75" hidden="false" customHeight="false" outlineLevel="0" collapsed="false">
      <c r="B111" s="668" t="s">
        <v>2332</v>
      </c>
      <c r="C111" s="280"/>
      <c r="D111" s="280"/>
      <c r="E111" s="280"/>
      <c r="F111" s="280"/>
      <c r="G111" s="280"/>
      <c r="H111" s="280"/>
      <c r="I111" s="280"/>
      <c r="J111" s="280"/>
      <c r="K111" s="619"/>
    </row>
    <row r="112" customFormat="false" ht="13.5" hidden="false" customHeight="false" outlineLevel="0" collapsed="false">
      <c r="B112" s="178"/>
      <c r="C112" s="674"/>
      <c r="D112" s="674"/>
      <c r="E112" s="674"/>
      <c r="F112" s="674"/>
      <c r="G112" s="674"/>
      <c r="H112" s="674"/>
      <c r="I112" s="674"/>
      <c r="J112" s="674"/>
      <c r="K112" s="675"/>
    </row>
    <row r="114" customFormat="false" ht="13.5" hidden="false" customHeight="false" outlineLevel="0" collapsed="false"/>
    <row r="115" customFormat="false" ht="12.75" hidden="false" customHeight="false" outlineLevel="0" collapsed="false">
      <c r="B115" s="169" t="s">
        <v>2333</v>
      </c>
      <c r="C115" s="666"/>
      <c r="D115" s="666"/>
      <c r="E115" s="666"/>
      <c r="F115" s="666"/>
      <c r="G115" s="666"/>
      <c r="H115" s="666"/>
      <c r="I115" s="666"/>
      <c r="J115" s="666"/>
      <c r="K115" s="667"/>
    </row>
    <row r="116" customFormat="false" ht="12.75" hidden="false" customHeight="false" outlineLevel="0" collapsed="false">
      <c r="B116" s="668" t="s">
        <v>2334</v>
      </c>
      <c r="C116" s="280"/>
      <c r="D116" s="280"/>
      <c r="E116" s="280"/>
      <c r="F116" s="280"/>
      <c r="G116" s="280"/>
      <c r="H116" s="280"/>
      <c r="I116" s="280"/>
      <c r="J116" s="280"/>
      <c r="K116" s="619"/>
    </row>
    <row r="117" customFormat="false" ht="12.75" hidden="false" customHeight="false" outlineLevel="0" collapsed="false">
      <c r="B117" s="668"/>
      <c r="C117" s="280"/>
      <c r="D117" s="280"/>
      <c r="E117" s="280"/>
      <c r="F117" s="280"/>
      <c r="G117" s="280"/>
      <c r="H117" s="280"/>
      <c r="I117" s="280"/>
      <c r="J117" s="280"/>
      <c r="K117" s="619"/>
    </row>
    <row r="118" customFormat="false" ht="12.75" hidden="false" customHeight="false" outlineLevel="0" collapsed="false">
      <c r="B118" s="668" t="s">
        <v>2335</v>
      </c>
      <c r="C118" s="280"/>
      <c r="D118" s="280"/>
      <c r="E118" s="280"/>
      <c r="F118" s="280"/>
      <c r="G118" s="280"/>
      <c r="H118" s="280"/>
      <c r="I118" s="280"/>
      <c r="J118" s="280"/>
      <c r="K118" s="619"/>
    </row>
    <row r="119" customFormat="false" ht="12.75" hidden="false" customHeight="false" outlineLevel="0" collapsed="false">
      <c r="B119" s="668"/>
      <c r="C119" s="280"/>
      <c r="D119" s="280"/>
      <c r="E119" s="280"/>
      <c r="F119" s="280"/>
      <c r="G119" s="280"/>
      <c r="H119" s="280"/>
      <c r="I119" s="280"/>
      <c r="J119" s="280"/>
      <c r="K119" s="619"/>
    </row>
    <row r="120" customFormat="false" ht="14.25" hidden="false" customHeight="false" outlineLevel="0" collapsed="false">
      <c r="B120" s="752" t="s">
        <v>529</v>
      </c>
      <c r="C120" s="516" t="s">
        <v>2190</v>
      </c>
      <c r="D120" s="647"/>
      <c r="E120" s="689" t="s">
        <v>2176</v>
      </c>
      <c r="F120" s="690"/>
      <c r="G120" s="650"/>
      <c r="H120" s="516" t="s">
        <v>2190</v>
      </c>
      <c r="I120" s="280"/>
      <c r="J120" s="280"/>
      <c r="K120" s="619"/>
    </row>
    <row r="121" customFormat="false" ht="12.75" hidden="false" customHeight="false" outlineLevel="0" collapsed="false">
      <c r="B121" s="753" t="s">
        <v>75</v>
      </c>
      <c r="C121" s="517" t="s">
        <v>623</v>
      </c>
      <c r="D121" s="647"/>
      <c r="E121" s="692" t="s">
        <v>75</v>
      </c>
      <c r="F121" s="690"/>
      <c r="G121" s="650"/>
      <c r="H121" s="693" t="s">
        <v>1665</v>
      </c>
      <c r="I121" s="280"/>
      <c r="J121" s="280"/>
      <c r="K121" s="619"/>
    </row>
    <row r="122" customFormat="false" ht="12.75" hidden="false" customHeight="false" outlineLevel="0" collapsed="false">
      <c r="B122" s="753" t="s">
        <v>107</v>
      </c>
      <c r="C122" s="517" t="s">
        <v>760</v>
      </c>
      <c r="D122" s="647"/>
      <c r="E122" s="692" t="s">
        <v>107</v>
      </c>
      <c r="F122" s="690"/>
      <c r="G122" s="650"/>
      <c r="H122" s="693" t="s">
        <v>1664</v>
      </c>
      <c r="I122" s="280"/>
      <c r="J122" s="280"/>
      <c r="K122" s="619"/>
    </row>
    <row r="123" customFormat="false" ht="12.75" hidden="false" customHeight="false" outlineLevel="0" collapsed="false">
      <c r="B123" s="754" t="s">
        <v>32</v>
      </c>
      <c r="C123" s="517" t="s">
        <v>532</v>
      </c>
      <c r="D123" s="647"/>
      <c r="E123" s="697" t="s">
        <v>32</v>
      </c>
      <c r="F123" s="690"/>
      <c r="G123" s="650"/>
      <c r="H123" s="693" t="s">
        <v>2336</v>
      </c>
      <c r="I123" s="280"/>
      <c r="J123" s="280"/>
      <c r="K123" s="619"/>
    </row>
    <row r="124" customFormat="false" ht="12.75" hidden="false" customHeight="false" outlineLevel="0" collapsed="false">
      <c r="B124" s="668"/>
      <c r="C124" s="280"/>
      <c r="D124" s="280"/>
      <c r="E124" s="280"/>
      <c r="F124" s="280"/>
      <c r="G124" s="280"/>
      <c r="H124" s="280"/>
      <c r="I124" s="280"/>
      <c r="J124" s="280"/>
      <c r="K124" s="619"/>
    </row>
    <row r="125" customFormat="false" ht="12.75" hidden="false" customHeight="false" outlineLevel="0" collapsed="false">
      <c r="B125" s="668"/>
      <c r="C125" s="280"/>
      <c r="D125" s="280"/>
      <c r="E125" s="280"/>
      <c r="F125" s="280"/>
      <c r="G125" s="280"/>
      <c r="H125" s="280"/>
      <c r="I125" s="280"/>
      <c r="J125" s="280"/>
      <c r="K125" s="619"/>
    </row>
    <row r="126" customFormat="false" ht="13.5" hidden="false" customHeight="false" outlineLevel="0" collapsed="false">
      <c r="B126" s="680" t="s">
        <v>2337</v>
      </c>
      <c r="C126" s="280"/>
      <c r="D126" s="280"/>
      <c r="E126" s="280"/>
      <c r="F126" s="280"/>
      <c r="G126" s="280"/>
      <c r="H126" s="280"/>
      <c r="I126" s="280"/>
      <c r="J126" s="280"/>
      <c r="K126" s="619"/>
    </row>
    <row r="127" customFormat="false" ht="14.25" hidden="false" customHeight="false" outlineLevel="0" collapsed="false">
      <c r="B127" s="755" t="s">
        <v>1039</v>
      </c>
      <c r="C127" s="636" t="s">
        <v>511</v>
      </c>
      <c r="D127" s="636" t="s">
        <v>512</v>
      </c>
      <c r="E127" s="636" t="s">
        <v>513</v>
      </c>
      <c r="F127" s="280"/>
      <c r="G127" s="280"/>
      <c r="H127" s="280"/>
      <c r="I127" s="280"/>
      <c r="J127" s="280"/>
      <c r="K127" s="619"/>
    </row>
    <row r="128" customFormat="false" ht="15" hidden="false" customHeight="false" outlineLevel="0" collapsed="false">
      <c r="B128" s="756" t="s">
        <v>783</v>
      </c>
      <c r="C128" s="55" t="s">
        <v>784</v>
      </c>
      <c r="D128" s="55" t="s">
        <v>784</v>
      </c>
      <c r="E128" s="55" t="s">
        <v>167</v>
      </c>
      <c r="F128" s="280"/>
      <c r="G128" s="280"/>
      <c r="H128" s="280"/>
      <c r="I128" s="280"/>
      <c r="J128" s="280"/>
      <c r="K128" s="619"/>
    </row>
    <row r="129" customFormat="false" ht="12.75" hidden="false" customHeight="false" outlineLevel="0" collapsed="false">
      <c r="B129" s="757" t="s">
        <v>1067</v>
      </c>
      <c r="C129" s="588" t="s">
        <v>1698</v>
      </c>
      <c r="D129" s="588" t="s">
        <v>1072</v>
      </c>
      <c r="E129" s="588" t="s">
        <v>1069</v>
      </c>
      <c r="F129" s="280"/>
      <c r="G129" s="280"/>
      <c r="H129" s="280"/>
      <c r="I129" s="280"/>
      <c r="J129" s="280"/>
      <c r="K129" s="619"/>
    </row>
    <row r="130" customFormat="false" ht="12.75" hidden="false" customHeight="false" outlineLevel="0" collapsed="false">
      <c r="B130" s="758" t="s">
        <v>1076</v>
      </c>
      <c r="C130" s="388" t="s">
        <v>1704</v>
      </c>
      <c r="D130" s="388" t="s">
        <v>1705</v>
      </c>
      <c r="E130" s="388" t="s">
        <v>1078</v>
      </c>
      <c r="F130" s="280"/>
      <c r="G130" s="280"/>
      <c r="H130" s="280"/>
      <c r="I130" s="280"/>
      <c r="J130" s="280"/>
      <c r="K130" s="619"/>
    </row>
    <row r="131" customFormat="false" ht="12.75" hidden="false" customHeight="false" outlineLevel="0" collapsed="false">
      <c r="B131" s="668"/>
      <c r="C131" s="280"/>
      <c r="D131" s="280"/>
      <c r="E131" s="280"/>
      <c r="F131" s="280"/>
      <c r="G131" s="280"/>
      <c r="H131" s="280"/>
      <c r="I131" s="280"/>
      <c r="J131" s="280"/>
      <c r="K131" s="619"/>
    </row>
    <row r="132" customFormat="false" ht="12.75" hidden="false" customHeight="false" outlineLevel="0" collapsed="false">
      <c r="B132" s="668"/>
      <c r="C132" s="280"/>
      <c r="D132" s="280"/>
      <c r="E132" s="280"/>
      <c r="F132" s="280"/>
      <c r="G132" s="280"/>
      <c r="H132" s="280"/>
      <c r="I132" s="280"/>
      <c r="J132" s="280"/>
      <c r="K132" s="619"/>
    </row>
    <row r="133" customFormat="false" ht="13.5" hidden="false" customHeight="false" outlineLevel="0" collapsed="false">
      <c r="B133" s="680" t="s">
        <v>2200</v>
      </c>
      <c r="C133" s="280"/>
      <c r="D133" s="280"/>
      <c r="E133" s="280"/>
      <c r="F133" s="280"/>
      <c r="G133" s="280"/>
      <c r="H133" s="280"/>
      <c r="I133" s="280"/>
      <c r="J133" s="280"/>
      <c r="K133" s="619"/>
    </row>
    <row r="134" customFormat="false" ht="14.25" hidden="false" customHeight="false" outlineLevel="0" collapsed="false">
      <c r="B134" s="755" t="s">
        <v>1039</v>
      </c>
      <c r="C134" s="636" t="s">
        <v>511</v>
      </c>
      <c r="D134" s="636" t="s">
        <v>512</v>
      </c>
      <c r="E134" s="636" t="s">
        <v>513</v>
      </c>
      <c r="F134" s="280"/>
      <c r="G134" s="280"/>
      <c r="H134" s="280"/>
      <c r="I134" s="280"/>
      <c r="J134" s="280"/>
      <c r="K134" s="619"/>
    </row>
    <row r="135" customFormat="false" ht="15" hidden="false" customHeight="false" outlineLevel="0" collapsed="false">
      <c r="B135" s="756" t="s">
        <v>783</v>
      </c>
      <c r="C135" s="55" t="s">
        <v>784</v>
      </c>
      <c r="D135" s="55" t="s">
        <v>784</v>
      </c>
      <c r="E135" s="55" t="s">
        <v>167</v>
      </c>
      <c r="F135" s="280"/>
      <c r="G135" s="280"/>
      <c r="H135" s="280"/>
      <c r="I135" s="280"/>
      <c r="J135" s="280"/>
      <c r="K135" s="619"/>
    </row>
    <row r="136" customFormat="false" ht="12.75" hidden="false" customHeight="false" outlineLevel="0" collapsed="false">
      <c r="B136" s="758" t="s">
        <v>1067</v>
      </c>
      <c r="C136" s="712" t="n">
        <f aca="false">D136-298.15*(E136-2*C123-1.5*C122)/1000</f>
        <v>-1582.2574048</v>
      </c>
      <c r="D136" s="712" t="n">
        <v>-1675.7</v>
      </c>
      <c r="E136" s="712" t="n">
        <v>50.92</v>
      </c>
      <c r="F136" s="280"/>
      <c r="G136" s="280"/>
      <c r="H136" s="280"/>
      <c r="I136" s="280"/>
      <c r="J136" s="280"/>
      <c r="K136" s="619"/>
    </row>
    <row r="137" customFormat="false" ht="12.75" hidden="false" customHeight="false" outlineLevel="0" collapsed="false">
      <c r="B137" s="758" t="s">
        <v>1076</v>
      </c>
      <c r="C137" s="712" t="n">
        <f aca="false">D137-298.15*(E137-C123-1.5*C122-1.5*C121)/1000</f>
        <v>-1154.9032748</v>
      </c>
      <c r="D137" s="712" t="n">
        <v>-1293.128</v>
      </c>
      <c r="E137" s="712" t="n">
        <v>68.44</v>
      </c>
      <c r="F137" s="280"/>
      <c r="G137" s="280"/>
      <c r="H137" s="280"/>
      <c r="I137" s="280"/>
      <c r="J137" s="280"/>
      <c r="K137" s="619"/>
    </row>
    <row r="138" customFormat="false" ht="13.5" hidden="false" customHeight="false" outlineLevel="0" collapsed="false">
      <c r="B138" s="178"/>
      <c r="C138" s="674"/>
      <c r="D138" s="674"/>
      <c r="E138" s="674"/>
      <c r="F138" s="674"/>
      <c r="G138" s="674"/>
      <c r="H138" s="674"/>
      <c r="I138" s="674"/>
      <c r="J138" s="674"/>
      <c r="K138" s="675"/>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U13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0" activeCellId="2" sqref="B16:B122 E16:F122 B10"/>
    </sheetView>
  </sheetViews>
  <sheetFormatPr defaultRowHeight="12.75" zeroHeight="false" outlineLevelRow="0" outlineLevelCol="0"/>
  <cols>
    <col collapsed="false" customWidth="true" hidden="false" outlineLevel="0" max="1025" min="1" style="0" width="11.42"/>
  </cols>
  <sheetData>
    <row r="1" customFormat="false" ht="12.75" hidden="false" customHeight="false" outlineLevel="0" collapsed="false">
      <c r="A1" s="9" t="str">
        <f aca="true">MID(CELL("filename",$A$1),   FIND("\[",CELL("filename",$A$1))+2,   FIND("]",CELL("filename",$A$1),FIND("\[",CELL("filename",$A$1))+2)-FIND("\[",CELL("filename",$A$1))-2)</f>
        <v>TDProperties_Rev0_v69.xlsx</v>
      </c>
    </row>
    <row r="2" customFormat="false" ht="12.75" hidden="false" customHeight="false" outlineLevel="0" collapsed="false">
      <c r="A2" s="0" t="str">
        <f aca="true">MID(CELL("filename",A1),FIND("]",CELL("filename",A1))+1,256)</f>
        <v>Elements Lewis</v>
      </c>
    </row>
    <row r="4" customFormat="false" ht="12.75" hidden="false" customHeight="false" outlineLevel="0" collapsed="false">
      <c r="A4" s="9" t="s">
        <v>149</v>
      </c>
    </row>
    <row r="5" customFormat="false" ht="12.75" hidden="false" customHeight="false" outlineLevel="0" collapsed="false">
      <c r="A5" s="9"/>
    </row>
    <row r="6" customFormat="false" ht="12.75" hidden="false" customHeight="false" outlineLevel="0" collapsed="false">
      <c r="A6" s="10" t="s">
        <v>150</v>
      </c>
      <c r="I6" s="44"/>
    </row>
    <row r="7" customFormat="false" ht="12.75" hidden="false" customHeight="false" outlineLevel="0" collapsed="false">
      <c r="A7" s="10"/>
      <c r="I7" s="44"/>
    </row>
    <row r="8" customFormat="false" ht="12.75" hidden="false" customHeight="false" outlineLevel="0" collapsed="false">
      <c r="A8" s="10" t="s">
        <v>151</v>
      </c>
      <c r="I8" s="45"/>
    </row>
    <row r="9" customFormat="false" ht="12.75" hidden="false" customHeight="false" outlineLevel="0" collapsed="false">
      <c r="A9" s="10"/>
      <c r="I9" s="45"/>
    </row>
    <row r="10" customFormat="false" ht="12.75" hidden="false" customHeight="false" outlineLevel="0" collapsed="false">
      <c r="A10" s="10"/>
      <c r="I10" s="45"/>
    </row>
    <row r="11" customFormat="false" ht="12.75" hidden="false" customHeight="false" outlineLevel="0" collapsed="false">
      <c r="A11" s="10"/>
      <c r="B11" s="9" t="s">
        <v>152</v>
      </c>
      <c r="F11" s="9" t="s">
        <v>152</v>
      </c>
      <c r="I11" s="45"/>
      <c r="J11" s="9" t="s">
        <v>153</v>
      </c>
      <c r="O11" s="9" t="s">
        <v>153</v>
      </c>
      <c r="S11" s="9" t="s">
        <v>153</v>
      </c>
    </row>
    <row r="12" customFormat="false" ht="12.75" hidden="false" customHeight="false" outlineLevel="0" collapsed="false">
      <c r="B12" s="9" t="s">
        <v>154</v>
      </c>
      <c r="F12" s="46" t="s">
        <v>155</v>
      </c>
      <c r="G12" s="10"/>
      <c r="J12" s="46" t="s">
        <v>156</v>
      </c>
      <c r="O12" s="46" t="s">
        <v>157</v>
      </c>
      <c r="S12" s="46" t="s">
        <v>158</v>
      </c>
    </row>
    <row r="13" customFormat="false" ht="12.75" hidden="false" customHeight="false" outlineLevel="0" collapsed="false">
      <c r="B13" s="9" t="s">
        <v>159</v>
      </c>
      <c r="C13" s="9"/>
      <c r="D13" s="9"/>
      <c r="F13" s="9" t="s">
        <v>159</v>
      </c>
      <c r="O13" s="46"/>
    </row>
    <row r="14" customFormat="false" ht="13.5" hidden="false" customHeight="false" outlineLevel="0" collapsed="false">
      <c r="B14" s="2"/>
      <c r="C14" s="2"/>
      <c r="D14" s="2"/>
      <c r="E14" s="2"/>
      <c r="F14" s="2"/>
      <c r="G14" s="2"/>
      <c r="H14" s="2"/>
      <c r="J14" s="2"/>
      <c r="K14" s="2"/>
      <c r="L14" s="2"/>
      <c r="O14" s="46"/>
      <c r="P14" s="2"/>
      <c r="Q14" s="2"/>
      <c r="S14" s="2"/>
      <c r="T14" s="2"/>
      <c r="U14" s="2"/>
    </row>
    <row r="15" customFormat="false" ht="13.5" hidden="false" customHeight="false" outlineLevel="0" collapsed="false">
      <c r="B15" s="47" t="s">
        <v>160</v>
      </c>
      <c r="C15" s="48" t="s">
        <v>161</v>
      </c>
      <c r="D15" s="48" t="s">
        <v>161</v>
      </c>
      <c r="E15" s="49"/>
      <c r="F15" s="48" t="s">
        <v>160</v>
      </c>
      <c r="G15" s="48" t="s">
        <v>161</v>
      </c>
      <c r="H15" s="48" t="s">
        <v>161</v>
      </c>
      <c r="J15" s="48" t="s">
        <v>160</v>
      </c>
      <c r="K15" s="48" t="s">
        <v>161</v>
      </c>
      <c r="L15" s="48" t="s">
        <v>161</v>
      </c>
      <c r="O15" s="48" t="s">
        <v>160</v>
      </c>
      <c r="P15" s="48" t="s">
        <v>161</v>
      </c>
      <c r="Q15" s="48" t="s">
        <v>161</v>
      </c>
      <c r="S15" s="48" t="s">
        <v>160</v>
      </c>
      <c r="T15" s="48" t="s">
        <v>161</v>
      </c>
      <c r="U15" s="48" t="s">
        <v>161</v>
      </c>
    </row>
    <row r="16" customFormat="false" ht="12.75" hidden="false" customHeight="false" outlineLevel="0" collapsed="false">
      <c r="B16" s="13" t="s">
        <v>17</v>
      </c>
      <c r="C16" s="50" t="s">
        <v>162</v>
      </c>
      <c r="D16" s="51" t="s">
        <v>163</v>
      </c>
      <c r="E16" s="52"/>
      <c r="F16" s="11"/>
      <c r="G16" s="50" t="s">
        <v>162</v>
      </c>
      <c r="H16" s="51" t="s">
        <v>163</v>
      </c>
      <c r="J16" s="11"/>
      <c r="K16" s="50" t="s">
        <v>162</v>
      </c>
      <c r="L16" s="51" t="s">
        <v>163</v>
      </c>
      <c r="N16" s="14"/>
      <c r="O16" s="11"/>
      <c r="P16" s="50" t="s">
        <v>162</v>
      </c>
      <c r="Q16" s="51" t="s">
        <v>163</v>
      </c>
      <c r="S16" s="11"/>
      <c r="T16" s="50" t="s">
        <v>162</v>
      </c>
      <c r="U16" s="51" t="s">
        <v>163</v>
      </c>
    </row>
    <row r="17" customFormat="false" ht="12.75" hidden="false" customHeight="false" outlineLevel="0" collapsed="false">
      <c r="B17" s="18" t="s">
        <v>21</v>
      </c>
      <c r="C17" s="53" t="s">
        <v>164</v>
      </c>
      <c r="D17" s="54" t="s">
        <v>165</v>
      </c>
      <c r="E17" s="52"/>
      <c r="F17" s="16" t="s">
        <v>20</v>
      </c>
      <c r="G17" s="53" t="s">
        <v>164</v>
      </c>
      <c r="H17" s="54" t="s">
        <v>165</v>
      </c>
      <c r="J17" s="16" t="s">
        <v>20</v>
      </c>
      <c r="K17" s="53" t="s">
        <v>164</v>
      </c>
      <c r="L17" s="54" t="s">
        <v>165</v>
      </c>
      <c r="N17" s="19"/>
      <c r="O17" s="16" t="s">
        <v>20</v>
      </c>
      <c r="P17" s="53" t="s">
        <v>164</v>
      </c>
      <c r="Q17" s="54" t="s">
        <v>165</v>
      </c>
      <c r="S17" s="16" t="s">
        <v>20</v>
      </c>
      <c r="T17" s="53" t="s">
        <v>164</v>
      </c>
      <c r="U17" s="54" t="s">
        <v>165</v>
      </c>
    </row>
    <row r="18" customFormat="false" ht="12.75" hidden="false" customHeight="false" outlineLevel="0" collapsed="false">
      <c r="B18" s="18" t="s">
        <v>25</v>
      </c>
      <c r="C18" s="53" t="n">
        <v>1917</v>
      </c>
      <c r="D18" s="54" t="n">
        <v>1922</v>
      </c>
      <c r="E18" s="52"/>
      <c r="F18" s="16" t="s">
        <v>17</v>
      </c>
      <c r="G18" s="53" t="n">
        <v>1917</v>
      </c>
      <c r="H18" s="54" t="n">
        <v>1922</v>
      </c>
      <c r="J18" s="16" t="s">
        <v>17</v>
      </c>
      <c r="K18" s="53" t="n">
        <v>1917</v>
      </c>
      <c r="L18" s="54" t="n">
        <v>1922</v>
      </c>
      <c r="N18" s="19" t="s">
        <v>24</v>
      </c>
      <c r="O18" s="16" t="s">
        <v>17</v>
      </c>
      <c r="P18" s="53" t="n">
        <v>1917</v>
      </c>
      <c r="Q18" s="54" t="n">
        <v>1922</v>
      </c>
      <c r="S18" s="16" t="s">
        <v>17</v>
      </c>
      <c r="T18" s="53" t="n">
        <v>1917</v>
      </c>
      <c r="U18" s="54" t="n">
        <v>1922</v>
      </c>
    </row>
    <row r="19" customFormat="false" ht="15" hidden="false" customHeight="false" outlineLevel="0" collapsed="false">
      <c r="B19" s="23" t="s">
        <v>26</v>
      </c>
      <c r="C19" s="55" t="s">
        <v>166</v>
      </c>
      <c r="D19" s="55" t="s">
        <v>166</v>
      </c>
      <c r="E19" s="49"/>
      <c r="F19" s="21" t="s">
        <v>29</v>
      </c>
      <c r="G19" s="55" t="s">
        <v>166</v>
      </c>
      <c r="H19" s="55" t="s">
        <v>166</v>
      </c>
      <c r="J19" s="21" t="s">
        <v>29</v>
      </c>
      <c r="K19" s="55" t="s">
        <v>167</v>
      </c>
      <c r="L19" s="55" t="s">
        <v>167</v>
      </c>
      <c r="N19" s="24" t="s">
        <v>28</v>
      </c>
      <c r="O19" s="21" t="s">
        <v>29</v>
      </c>
      <c r="P19" s="55" t="s">
        <v>167</v>
      </c>
      <c r="Q19" s="55" t="s">
        <v>167</v>
      </c>
      <c r="S19" s="21" t="s">
        <v>29</v>
      </c>
      <c r="T19" s="55" t="s">
        <v>166</v>
      </c>
      <c r="U19" s="55" t="s">
        <v>166</v>
      </c>
    </row>
    <row r="20" customFormat="false" ht="12.75" hidden="false" customHeight="false" outlineLevel="0" collapsed="false">
      <c r="B20" s="30" t="s">
        <v>30</v>
      </c>
      <c r="C20" s="56"/>
      <c r="D20" s="57"/>
      <c r="E20" s="58"/>
      <c r="F20" s="26" t="s">
        <v>30</v>
      </c>
      <c r="G20" s="59"/>
      <c r="H20" s="57"/>
      <c r="J20" s="26" t="s">
        <v>30</v>
      </c>
      <c r="K20" s="60" t="str">
        <f aca="false">IF(IF(ISBLANK(G20),1,(TRIM(G20)="")),"",ROUND(4.184*G20,3))</f>
        <v/>
      </c>
      <c r="L20" s="61" t="str">
        <f aca="false">IF(IF(ISBLANK(H20),1,(TRIM(H20)="")),"",ROUND(4.184*H20,3))</f>
        <v/>
      </c>
      <c r="N20" s="29"/>
      <c r="O20" s="26" t="s">
        <v>30</v>
      </c>
      <c r="P20" s="60" t="str">
        <f aca="false">IF(IF(ISBLANK(G20),1,(TRIM(G20)="")),"",ROUND(4.184*G20+$N20*0.1094,3))</f>
        <v/>
      </c>
      <c r="Q20" s="61" t="str">
        <f aca="false">IF(IF(ISBLANK(H20),1,(TRIM(H20)="")),"",ROUND(4.184*H20+$N20*0.1094,3))</f>
        <v/>
      </c>
      <c r="S20" s="26" t="s">
        <v>30</v>
      </c>
      <c r="T20" s="60" t="str">
        <f aca="false">IF(IF(ISBLANK(G20),1,(TRIM(G20)="")),"",ROUND(G20+($N20*0.1094/4.184),3))</f>
        <v/>
      </c>
      <c r="U20" s="61" t="str">
        <f aca="false">IF(IF(ISBLANK(H20),1,(TRIM(H20)="")),"",ROUND(H20+($N20*0.1094/4.184),3))</f>
        <v/>
      </c>
    </row>
    <row r="21" customFormat="false" ht="12.75" hidden="false" customHeight="false" outlineLevel="0" collapsed="false">
      <c r="B21" s="35" t="s">
        <v>31</v>
      </c>
      <c r="C21" s="62" t="n">
        <v>10.2</v>
      </c>
      <c r="D21" s="63" t="n">
        <v>10.25</v>
      </c>
      <c r="E21" s="58"/>
      <c r="F21" s="31" t="s">
        <v>31</v>
      </c>
      <c r="G21" s="62" t="n">
        <v>10.2</v>
      </c>
      <c r="H21" s="63" t="n">
        <v>10.25</v>
      </c>
      <c r="J21" s="31" t="s">
        <v>31</v>
      </c>
      <c r="K21" s="60" t="n">
        <f aca="false">IF(IF(ISBLANK(G21),1,(TRIM(G21)="")),"",ROUND(4.184*G21,3))</f>
        <v>42.677</v>
      </c>
      <c r="L21" s="61" t="n">
        <f aca="false">IF(IF(ISBLANK(H21),1,(TRIM(H21)="")),"",ROUND(4.184*H21,3))</f>
        <v>42.886</v>
      </c>
      <c r="N21" s="34"/>
      <c r="O21" s="31" t="s">
        <v>31</v>
      </c>
      <c r="P21" s="60" t="n">
        <f aca="false">IF(IF(ISBLANK(G21),1,(TRIM(G21)="")),"",ROUND(4.184*G21+$N21*0.1094,3))</f>
        <v>42.677</v>
      </c>
      <c r="Q21" s="61" t="n">
        <f aca="false">IF(IF(ISBLANK(H21),1,(TRIM(H21)="")),"",ROUND(4.184*H21+$N21*0.1094,3))</f>
        <v>42.886</v>
      </c>
      <c r="S21" s="31" t="s">
        <v>31</v>
      </c>
      <c r="T21" s="60" t="n">
        <f aca="false">IF(IF(ISBLANK(G21),1,(TRIM(G21)="")),"",ROUND(G21+($N21*0.1094/4.184),3))</f>
        <v>10.2</v>
      </c>
      <c r="U21" s="61" t="n">
        <f aca="false">IF(IF(ISBLANK(H21),1,(TRIM(H21)="")),"",ROUND(H21+($N21*0.1094/4.184),3))</f>
        <v>10.25</v>
      </c>
    </row>
    <row r="22" customFormat="false" ht="12.75" hidden="false" customHeight="false" outlineLevel="0" collapsed="false">
      <c r="B22" s="35" t="s">
        <v>32</v>
      </c>
      <c r="C22" s="62" t="n">
        <v>6.9</v>
      </c>
      <c r="D22" s="63" t="n">
        <v>6.82</v>
      </c>
      <c r="E22" s="58"/>
      <c r="F22" s="31" t="s">
        <v>32</v>
      </c>
      <c r="G22" s="62" t="n">
        <v>6.9</v>
      </c>
      <c r="H22" s="63" t="n">
        <v>6.82</v>
      </c>
      <c r="J22" s="31" t="s">
        <v>32</v>
      </c>
      <c r="K22" s="60" t="n">
        <f aca="false">IF(IF(ISBLANK(G22),1,(TRIM(G22)="")),"",ROUND(4.184*G22,3))</f>
        <v>28.87</v>
      </c>
      <c r="L22" s="61" t="n">
        <f aca="false">IF(IF(ISBLANK(H22),1,(TRIM(H22)="")),"",ROUND(4.184*H22,3))</f>
        <v>28.535</v>
      </c>
      <c r="N22" s="34"/>
      <c r="O22" s="31" t="s">
        <v>32</v>
      </c>
      <c r="P22" s="60" t="n">
        <f aca="false">IF(IF(ISBLANK(G22),1,(TRIM(G22)="")),"",ROUND(4.184*G22+$N22*0.1094,3))</f>
        <v>28.87</v>
      </c>
      <c r="Q22" s="61" t="n">
        <f aca="false">IF(IF(ISBLANK(H22),1,(TRIM(H22)="")),"",ROUND(4.184*H22+$N22*0.1094,3))</f>
        <v>28.535</v>
      </c>
      <c r="S22" s="31" t="s">
        <v>32</v>
      </c>
      <c r="T22" s="60" t="n">
        <f aca="false">IF(IF(ISBLANK(G22),1,(TRIM(G22)="")),"",ROUND(G22+($N22*0.1094/4.184),3))</f>
        <v>6.9</v>
      </c>
      <c r="U22" s="61" t="n">
        <f aca="false">IF(IF(ISBLANK(H22),1,(TRIM(H22)="")),"",ROUND(H22+($N22*0.1094/4.184),3))</f>
        <v>6.82</v>
      </c>
    </row>
    <row r="23" customFormat="false" ht="12.75" hidden="false" customHeight="false" outlineLevel="0" collapsed="false">
      <c r="B23" s="35" t="s">
        <v>33</v>
      </c>
      <c r="C23" s="64"/>
      <c r="D23" s="63"/>
      <c r="E23" s="58"/>
      <c r="F23" s="31" t="s">
        <v>33</v>
      </c>
      <c r="G23" s="64"/>
      <c r="H23" s="63"/>
      <c r="J23" s="31" t="s">
        <v>33</v>
      </c>
      <c r="K23" s="60" t="str">
        <f aca="false">IF(IF(ISBLANK(G23),1,(TRIM(G23)="")),"",ROUND(4.184*G23,3))</f>
        <v/>
      </c>
      <c r="L23" s="61" t="str">
        <f aca="false">IF(IF(ISBLANK(H23),1,(TRIM(H23)="")),"",ROUND(4.184*H23,3))</f>
        <v/>
      </c>
      <c r="N23" s="34"/>
      <c r="O23" s="31" t="s">
        <v>33</v>
      </c>
      <c r="P23" s="60" t="str">
        <f aca="false">IF(IF(ISBLANK(G23),1,(TRIM(G23)="")),"",ROUND(4.184*G23+$N23*0.1094,3))</f>
        <v/>
      </c>
      <c r="Q23" s="61" t="str">
        <f aca="false">IF(IF(ISBLANK(H23),1,(TRIM(H23)="")),"",ROUND(4.184*H23+$N23*0.1094,3))</f>
        <v/>
      </c>
      <c r="S23" s="31" t="s">
        <v>33</v>
      </c>
      <c r="T23" s="60" t="str">
        <f aca="false">IF(IF(ISBLANK(G23),1,(TRIM(G23)="")),"",ROUND(G23+($N23*0.1094/4.184),3))</f>
        <v/>
      </c>
      <c r="U23" s="61" t="str">
        <f aca="false">IF(IF(ISBLANK(H23),1,(TRIM(H23)="")),"",ROUND(H23+($N23*0.1094/4.184),3))</f>
        <v/>
      </c>
    </row>
    <row r="24" customFormat="false" ht="12.75" hidden="false" customHeight="false" outlineLevel="0" collapsed="false">
      <c r="B24" s="35" t="s">
        <v>34</v>
      </c>
      <c r="C24" s="62" t="n">
        <v>36.4</v>
      </c>
      <c r="D24" s="65" t="s">
        <v>168</v>
      </c>
      <c r="E24" s="66"/>
      <c r="F24" s="31" t="s">
        <v>34</v>
      </c>
      <c r="G24" s="62" t="n">
        <v>36.4</v>
      </c>
      <c r="H24" s="65" t="s">
        <v>168</v>
      </c>
      <c r="J24" s="31" t="s">
        <v>34</v>
      </c>
      <c r="K24" s="60" t="n">
        <f aca="false">IF(IF(ISBLANK(G24),1,(TRIM(G24)="")),"",ROUND(4.184*G24,3))</f>
        <v>152.298</v>
      </c>
      <c r="L24" s="61" t="n">
        <f aca="false">IF(IF(ISBLANK(H24),1,(TRIM(H24)="")),"",ROUND(4.184*H24,3))</f>
        <v>153.553</v>
      </c>
      <c r="N24" s="34" t="n">
        <v>1</v>
      </c>
      <c r="O24" s="31" t="s">
        <v>34</v>
      </c>
      <c r="P24" s="60" t="n">
        <f aca="false">IF(IF(ISBLANK(G24),1,(TRIM(G24)="")),"",ROUND(4.184*G24+$N24*0.1094,3))</f>
        <v>152.407</v>
      </c>
      <c r="Q24" s="61" t="n">
        <f aca="false">IF(IF(ISBLANK(H24),1,(TRIM(H24)="")),"",ROUND(4.184*H24+$N24*0.1094,3))</f>
        <v>153.662</v>
      </c>
      <c r="S24" s="31" t="s">
        <v>34</v>
      </c>
      <c r="T24" s="60" t="n">
        <f aca="false">IF(IF(ISBLANK(G24),1,(TRIM(G24)="")),"",ROUND(G24+($N24*0.1094/4.184),3))</f>
        <v>36.426</v>
      </c>
      <c r="U24" s="61" t="n">
        <f aca="false">IF(IF(ISBLANK(H24),1,(TRIM(H24)="")),"",ROUND(H24+($N24*0.1094/4.184),3))</f>
        <v>36.726</v>
      </c>
    </row>
    <row r="25" customFormat="false" ht="12.75" hidden="false" customHeight="false" outlineLevel="0" collapsed="false">
      <c r="B25" s="35" t="s">
        <v>35</v>
      </c>
      <c r="C25" s="62"/>
      <c r="D25" s="63"/>
      <c r="E25" s="58"/>
      <c r="F25" s="31" t="s">
        <v>35</v>
      </c>
      <c r="G25" s="62"/>
      <c r="H25" s="63"/>
      <c r="J25" s="31" t="s">
        <v>35</v>
      </c>
      <c r="K25" s="60" t="str">
        <f aca="false">IF(IF(ISBLANK(G25),1,(TRIM(G25)="")),"",ROUND(4.184*G25,3))</f>
        <v/>
      </c>
      <c r="L25" s="61" t="str">
        <f aca="false">IF(IF(ISBLANK(H25),1,(TRIM(H25)="")),"",ROUND(4.184*H25,3))</f>
        <v/>
      </c>
      <c r="N25" s="34"/>
      <c r="O25" s="31" t="s">
        <v>35</v>
      </c>
      <c r="P25" s="60" t="str">
        <f aca="false">IF(IF(ISBLANK(G25),1,(TRIM(G25)="")),"",ROUND(4.184*G25+$N25*0.1094,3))</f>
        <v/>
      </c>
      <c r="Q25" s="61" t="str">
        <f aca="false">IF(IF(ISBLANK(H25),1,(TRIM(H25)="")),"",ROUND(4.184*H25+$N25*0.1094,3))</f>
        <v/>
      </c>
      <c r="S25" s="31" t="s">
        <v>35</v>
      </c>
      <c r="T25" s="60" t="str">
        <f aca="false">IF(IF(ISBLANK(G25),1,(TRIM(G25)="")),"",ROUND(G25+($N25*0.1094/4.184),3))</f>
        <v/>
      </c>
      <c r="U25" s="61" t="str">
        <f aca="false">IF(IF(ISBLANK(H25),1,(TRIM(H25)="")),"",ROUND(H25+($N25*0.1094/4.184),3))</f>
        <v/>
      </c>
    </row>
    <row r="26" customFormat="false" ht="12.75" hidden="false" customHeight="false" outlineLevel="0" collapsed="false">
      <c r="B26" s="35" t="s">
        <v>38</v>
      </c>
      <c r="C26" s="64"/>
      <c r="D26" s="63"/>
      <c r="E26" s="58"/>
      <c r="F26" s="31" t="s">
        <v>37</v>
      </c>
      <c r="G26" s="64"/>
      <c r="H26" s="63"/>
      <c r="J26" s="31" t="s">
        <v>37</v>
      </c>
      <c r="K26" s="60" t="str">
        <f aca="false">IF(IF(ISBLANK(G26),1,(TRIM(G26)="")),"",ROUND(4.184*G26,3))</f>
        <v/>
      </c>
      <c r="L26" s="61" t="str">
        <f aca="false">IF(IF(ISBLANK(H26),1,(TRIM(H26)="")),"",ROUND(4.184*H26,3))</f>
        <v/>
      </c>
      <c r="N26" s="37"/>
      <c r="O26" s="31" t="s">
        <v>37</v>
      </c>
      <c r="P26" s="60" t="str">
        <f aca="false">IF(IF(ISBLANK(G26),1,(TRIM(G26)="")),"",ROUND(4.184*G26+$N26*0.1094,3))</f>
        <v/>
      </c>
      <c r="Q26" s="61" t="str">
        <f aca="false">IF(IF(ISBLANK(H26),1,(TRIM(H26)="")),"",ROUND(4.184*H26+$N26*0.1094,3))</f>
        <v/>
      </c>
      <c r="S26" s="31" t="s">
        <v>37</v>
      </c>
      <c r="T26" s="60" t="str">
        <f aca="false">IF(IF(ISBLANK(G26),1,(TRIM(G26)="")),"",ROUND(G26+($N26*0.1094/4.184),3))</f>
        <v/>
      </c>
      <c r="U26" s="61" t="str">
        <f aca="false">IF(IF(ISBLANK(H26),1,(TRIM(H26)="")),"",ROUND(H26+($N26*0.1094/4.184),3))</f>
        <v/>
      </c>
    </row>
    <row r="27" customFormat="false" ht="12.75" hidden="false" customHeight="false" outlineLevel="0" collapsed="false">
      <c r="B27" s="35" t="s">
        <v>39</v>
      </c>
      <c r="C27" s="64" t="s">
        <v>169</v>
      </c>
      <c r="D27" s="65" t="s">
        <v>169</v>
      </c>
      <c r="E27" s="66"/>
      <c r="F27" s="31" t="s">
        <v>39</v>
      </c>
      <c r="G27" s="64" t="s">
        <v>169</v>
      </c>
      <c r="H27" s="65" t="s">
        <v>169</v>
      </c>
      <c r="J27" s="31" t="s">
        <v>39</v>
      </c>
      <c r="K27" s="60" t="n">
        <f aca="false">IF(IF(ISBLANK(G27),1,(TRIM(G27)="")),"",ROUND(4.184*G27,3))</f>
        <v>46.024</v>
      </c>
      <c r="L27" s="61" t="n">
        <f aca="false">IF(IF(ISBLANK(H27),1,(TRIM(H27)="")),"",ROUND(4.184*H27,3))</f>
        <v>46.024</v>
      </c>
      <c r="N27" s="34"/>
      <c r="O27" s="31" t="s">
        <v>39</v>
      </c>
      <c r="P27" s="60" t="n">
        <f aca="false">IF(IF(ISBLANK(G27),1,(TRIM(G27)="")),"",ROUND(4.184*G27+$N27*0.1094,3))</f>
        <v>46.024</v>
      </c>
      <c r="Q27" s="61" t="n">
        <f aca="false">IF(IF(ISBLANK(H27),1,(TRIM(H27)="")),"",ROUND(4.184*H27+$N27*0.1094,3))</f>
        <v>46.024</v>
      </c>
      <c r="S27" s="31" t="s">
        <v>39</v>
      </c>
      <c r="T27" s="60" t="n">
        <f aca="false">IF(IF(ISBLANK(G27),1,(TRIM(G27)="")),"",ROUND(G27+($N27*0.1094/4.184),3))</f>
        <v>11</v>
      </c>
      <c r="U27" s="61" t="n">
        <f aca="false">IF(IF(ISBLANK(H27),1,(TRIM(H27)="")),"",ROUND(H27+($N27*0.1094/4.184),3))</f>
        <v>11</v>
      </c>
    </row>
    <row r="28" customFormat="false" ht="12.75" hidden="false" customHeight="false" outlineLevel="0" collapsed="false">
      <c r="B28" s="35" t="s">
        <v>40</v>
      </c>
      <c r="C28" s="62"/>
      <c r="D28" s="63"/>
      <c r="E28" s="58"/>
      <c r="F28" s="31" t="s">
        <v>40</v>
      </c>
      <c r="G28" s="62"/>
      <c r="H28" s="63"/>
      <c r="J28" s="31" t="s">
        <v>40</v>
      </c>
      <c r="K28" s="60" t="str">
        <f aca="false">IF(IF(ISBLANK(G28),1,(TRIM(G28)="")),"",ROUND(4.184*G28,3))</f>
        <v/>
      </c>
      <c r="L28" s="61" t="str">
        <f aca="false">IF(IF(ISBLANK(H28),1,(TRIM(H28)="")),"",ROUND(4.184*H28,3))</f>
        <v/>
      </c>
      <c r="N28" s="34"/>
      <c r="O28" s="31" t="s">
        <v>40</v>
      </c>
      <c r="P28" s="60" t="str">
        <f aca="false">IF(IF(ISBLANK(G28),1,(TRIM(G28)="")),"",ROUND(4.184*G28+$N28*0.1094,3))</f>
        <v/>
      </c>
      <c r="Q28" s="61" t="str">
        <f aca="false">IF(IF(ISBLANK(H28),1,(TRIM(H28)="")),"",ROUND(4.184*H28+$N28*0.1094,3))</f>
        <v/>
      </c>
      <c r="S28" s="31" t="s">
        <v>40</v>
      </c>
      <c r="T28" s="60" t="str">
        <f aca="false">IF(IF(ISBLANK(G28),1,(TRIM(G28)="")),"",ROUND(G28+($N28*0.1094/4.184),3))</f>
        <v/>
      </c>
      <c r="U28" s="61" t="str">
        <f aca="false">IF(IF(ISBLANK(H28),1,(TRIM(H28)="")),"",ROUND(H28+($N28*0.1094/4.184),3))</f>
        <v/>
      </c>
    </row>
    <row r="29" customFormat="false" ht="12.75" hidden="false" customHeight="false" outlineLevel="0" collapsed="false">
      <c r="B29" s="35" t="s">
        <v>41</v>
      </c>
      <c r="C29" s="62"/>
      <c r="D29" s="63"/>
      <c r="E29" s="58"/>
      <c r="F29" s="38" t="s">
        <v>41</v>
      </c>
      <c r="G29" s="62"/>
      <c r="H29" s="63"/>
      <c r="J29" s="38" t="s">
        <v>41</v>
      </c>
      <c r="K29" s="60" t="str">
        <f aca="false">IF(IF(ISBLANK(G29),1,(TRIM(G29)="")),"",ROUND(4.184*G29,3))</f>
        <v/>
      </c>
      <c r="L29" s="61" t="str">
        <f aca="false">IF(IF(ISBLANK(H29),1,(TRIM(H29)="")),"",ROUND(4.184*H29,3))</f>
        <v/>
      </c>
      <c r="N29" s="34"/>
      <c r="O29" s="38" t="s">
        <v>41</v>
      </c>
      <c r="P29" s="60" t="str">
        <f aca="false">IF(IF(ISBLANK(G29),1,(TRIM(G29)="")),"",ROUND(4.184*G29+$N29*0.1094,3))</f>
        <v/>
      </c>
      <c r="Q29" s="61" t="str">
        <f aca="false">IF(IF(ISBLANK(H29),1,(TRIM(H29)="")),"",ROUND(4.184*H29+$N29*0.1094,3))</f>
        <v/>
      </c>
      <c r="S29" s="38" t="s">
        <v>41</v>
      </c>
      <c r="T29" s="60" t="str">
        <f aca="false">IF(IF(ISBLANK(G29),1,(TRIM(G29)="")),"",ROUND(G29+($N29*0.1094/4.184),3))</f>
        <v/>
      </c>
      <c r="U29" s="61" t="str">
        <f aca="false">IF(IF(ISBLANK(H29),1,(TRIM(H29)="")),"",ROUND(H29+($N29*0.1094/4.184),3))</f>
        <v/>
      </c>
    </row>
    <row r="30" customFormat="false" ht="12.75" hidden="false" customHeight="false" outlineLevel="0" collapsed="false">
      <c r="B30" s="35" t="s">
        <v>42</v>
      </c>
      <c r="C30" s="62" t="n">
        <v>7.3</v>
      </c>
      <c r="D30" s="63" t="n">
        <v>7.3</v>
      </c>
      <c r="E30" s="58"/>
      <c r="F30" s="31" t="s">
        <v>42</v>
      </c>
      <c r="G30" s="62" t="n">
        <v>7.3</v>
      </c>
      <c r="H30" s="63" t="n">
        <v>7.3</v>
      </c>
      <c r="J30" s="31" t="s">
        <v>42</v>
      </c>
      <c r="K30" s="60" t="n">
        <f aca="false">IF(IF(ISBLANK(G30),1,(TRIM(G30)="")),"",ROUND(4.184*G30,3))</f>
        <v>30.543</v>
      </c>
      <c r="L30" s="61" t="n">
        <f aca="false">IF(IF(ISBLANK(H30),1,(TRIM(H30)="")),"",ROUND(4.184*H30,3))</f>
        <v>30.543</v>
      </c>
      <c r="N30" s="34"/>
      <c r="O30" s="31" t="s">
        <v>42</v>
      </c>
      <c r="P30" s="60" t="n">
        <f aca="false">IF(IF(ISBLANK(G30),1,(TRIM(G30)="")),"",ROUND(4.184*G30+$N30*0.1094,3))</f>
        <v>30.543</v>
      </c>
      <c r="Q30" s="61" t="n">
        <f aca="false">IF(IF(ISBLANK(H30),1,(TRIM(H30)="")),"",ROUND(4.184*H30+$N30*0.1094,3))</f>
        <v>30.543</v>
      </c>
      <c r="S30" s="31" t="s">
        <v>42</v>
      </c>
      <c r="T30" s="60" t="n">
        <f aca="false">IF(IF(ISBLANK(G30),1,(TRIM(G30)="")),"",ROUND(G30+($N30*0.1094/4.184),3))</f>
        <v>7.3</v>
      </c>
      <c r="U30" s="61" t="n">
        <f aca="false">IF(IF(ISBLANK(H30),1,(TRIM(H30)="")),"",ROUND(H30+($N30*0.1094/4.184),3))</f>
        <v>7.3</v>
      </c>
    </row>
    <row r="31" customFormat="false" ht="12.75" hidden="false" customHeight="false" outlineLevel="0" collapsed="false">
      <c r="B31" s="35" t="s">
        <v>43</v>
      </c>
      <c r="C31" s="62"/>
      <c r="D31" s="63"/>
      <c r="E31" s="58"/>
      <c r="F31" s="31" t="s">
        <v>43</v>
      </c>
      <c r="G31" s="62"/>
      <c r="H31" s="63"/>
      <c r="J31" s="31" t="s">
        <v>43</v>
      </c>
      <c r="K31" s="60" t="str">
        <f aca="false">IF(IF(ISBLANK(G31),1,(TRIM(G31)="")),"",ROUND(4.184*G31,3))</f>
        <v/>
      </c>
      <c r="L31" s="61" t="str">
        <f aca="false">IF(IF(ISBLANK(H31),1,(TRIM(H31)="")),"",ROUND(4.184*H31,3))</f>
        <v/>
      </c>
      <c r="N31" s="34"/>
      <c r="O31" s="31" t="s">
        <v>43</v>
      </c>
      <c r="P31" s="60" t="str">
        <f aca="false">IF(IF(ISBLANK(G31),1,(TRIM(G31)="")),"",ROUND(4.184*G31+$N31*0.1094,3))</f>
        <v/>
      </c>
      <c r="Q31" s="61" t="str">
        <f aca="false">IF(IF(ISBLANK(H31),1,(TRIM(H31)="")),"",ROUND(4.184*H31+$N31*0.1094,3))</f>
        <v/>
      </c>
      <c r="S31" s="31" t="s">
        <v>43</v>
      </c>
      <c r="T31" s="60" t="str">
        <f aca="false">IF(IF(ISBLANK(G31),1,(TRIM(G31)="")),"",ROUND(G31+($N31*0.1094/4.184),3))</f>
        <v/>
      </c>
      <c r="U31" s="61" t="str">
        <f aca="false">IF(IF(ISBLANK(H31),1,(TRIM(H31)="")),"",ROUND(H31+($N31*0.1094/4.184),3))</f>
        <v/>
      </c>
    </row>
    <row r="32" customFormat="false" ht="12.75" hidden="false" customHeight="false" outlineLevel="0" collapsed="false">
      <c r="B32" s="35" t="s">
        <v>44</v>
      </c>
      <c r="C32" s="64"/>
      <c r="D32" s="63"/>
      <c r="E32" s="58"/>
      <c r="F32" s="31" t="s">
        <v>44</v>
      </c>
      <c r="G32" s="64"/>
      <c r="H32" s="63"/>
      <c r="J32" s="31" t="s">
        <v>44</v>
      </c>
      <c r="K32" s="60" t="str">
        <f aca="false">IF(IF(ISBLANK(G32),1,(TRIM(G32)="")),"",ROUND(4.184*G32,3))</f>
        <v/>
      </c>
      <c r="L32" s="61" t="str">
        <f aca="false">IF(IF(ISBLANK(H32),1,(TRIM(H32)="")),"",ROUND(4.184*H32,3))</f>
        <v/>
      </c>
      <c r="N32" s="34"/>
      <c r="O32" s="31" t="s">
        <v>44</v>
      </c>
      <c r="P32" s="60" t="str">
        <f aca="false">IF(IF(ISBLANK(G32),1,(TRIM(G32)="")),"",ROUND(4.184*G32+$N32*0.1094,3))</f>
        <v/>
      </c>
      <c r="Q32" s="61" t="str">
        <f aca="false">IF(IF(ISBLANK(H32),1,(TRIM(H32)="")),"",ROUND(4.184*H32+$N32*0.1094,3))</f>
        <v/>
      </c>
      <c r="S32" s="31" t="s">
        <v>44</v>
      </c>
      <c r="T32" s="60" t="str">
        <f aca="false">IF(IF(ISBLANK(G32),1,(TRIM(G32)="")),"",ROUND(G32+($N32*0.1094/4.184),3))</f>
        <v/>
      </c>
      <c r="U32" s="61" t="str">
        <f aca="false">IF(IF(ISBLANK(H32),1,(TRIM(H32)="")),"",ROUND(H32+($N32*0.1094/4.184),3))</f>
        <v/>
      </c>
    </row>
    <row r="33" customFormat="false" ht="12.75" hidden="false" customHeight="false" outlineLevel="0" collapsed="false">
      <c r="B33" s="35" t="s">
        <v>47</v>
      </c>
      <c r="C33" s="62" t="n">
        <v>18.5</v>
      </c>
      <c r="D33" s="63" t="n">
        <v>16.3</v>
      </c>
      <c r="E33" s="58"/>
      <c r="F33" s="31" t="s">
        <v>46</v>
      </c>
      <c r="G33" s="64" t="s">
        <v>170</v>
      </c>
      <c r="H33" s="65" t="s">
        <v>171</v>
      </c>
      <c r="J33" s="31" t="s">
        <v>46</v>
      </c>
      <c r="K33" s="60" t="n">
        <f aca="false">IF(IF(ISBLANK(G33),1,(TRIM(G33)="")),"",ROUND(4.184*G33,3))</f>
        <v>154.808</v>
      </c>
      <c r="L33" s="61" t="n">
        <f aca="false">IF(IF(ISBLANK(H33),1,(TRIM(H33)="")),"",ROUND(4.184*H33,3))</f>
        <v>136.398</v>
      </c>
      <c r="N33" s="34"/>
      <c r="O33" s="31" t="s">
        <v>46</v>
      </c>
      <c r="P33" s="60" t="n">
        <f aca="false">IF(IF(ISBLANK(G33),1,(TRIM(G33)="")),"",ROUND(4.184*G33+$N33*0.1094,3))</f>
        <v>154.808</v>
      </c>
      <c r="Q33" s="61" t="n">
        <f aca="false">IF(IF(ISBLANK(H33),1,(TRIM(H33)="")),"",ROUND(4.184*H33+$N33*0.1094,3))</f>
        <v>136.398</v>
      </c>
      <c r="S33" s="31" t="s">
        <v>46</v>
      </c>
      <c r="T33" s="60" t="n">
        <f aca="false">IF(IF(ISBLANK(G33),1,(TRIM(G33)="")),"",ROUND(G33+($N33*0.1094/4.184),3))</f>
        <v>37</v>
      </c>
      <c r="U33" s="61" t="n">
        <f aca="false">IF(IF(ISBLANK(H33),1,(TRIM(H33)="")),"",ROUND(H33+($N33*0.1094/4.184),3))</f>
        <v>32.6</v>
      </c>
    </row>
    <row r="34" customFormat="false" ht="12.75" hidden="false" customHeight="false" outlineLevel="0" collapsed="false">
      <c r="B34" s="35" t="s">
        <v>48</v>
      </c>
      <c r="C34" s="62" t="n">
        <v>1.3</v>
      </c>
      <c r="D34" s="63" t="n">
        <v>1.3</v>
      </c>
      <c r="E34" s="58"/>
      <c r="F34" s="31" t="s">
        <v>48</v>
      </c>
      <c r="G34" s="62" t="n">
        <v>1.3</v>
      </c>
      <c r="H34" s="63" t="n">
        <v>1.3</v>
      </c>
      <c r="J34" s="31" t="s">
        <v>48</v>
      </c>
      <c r="K34" s="60" t="n">
        <f aca="false">IF(IF(ISBLANK(G34),1,(TRIM(G34)="")),"",ROUND(4.184*G34,3))</f>
        <v>5.439</v>
      </c>
      <c r="L34" s="61" t="n">
        <f aca="false">IF(IF(ISBLANK(H34),1,(TRIM(H34)="")),"",ROUND(4.184*H34,3))</f>
        <v>5.439</v>
      </c>
      <c r="N34" s="34"/>
      <c r="O34" s="31" t="s">
        <v>48</v>
      </c>
      <c r="P34" s="60" t="n">
        <f aca="false">IF(IF(ISBLANK(G34),1,(TRIM(G34)="")),"",ROUND(4.184*G34+$N34*0.1094,3))</f>
        <v>5.439</v>
      </c>
      <c r="Q34" s="61" t="n">
        <f aca="false">IF(IF(ISBLANK(H34),1,(TRIM(H34)="")),"",ROUND(4.184*H34+$N34*0.1094,3))</f>
        <v>5.439</v>
      </c>
      <c r="S34" s="31" t="s">
        <v>48</v>
      </c>
      <c r="T34" s="60" t="n">
        <f aca="false">IF(IF(ISBLANK(G34),1,(TRIM(G34)="")),"",ROUND(G34+($N34*0.1094/4.184),3))</f>
        <v>1.3</v>
      </c>
      <c r="U34" s="61" t="n">
        <f aca="false">IF(IF(ISBLANK(H34),1,(TRIM(H34)="")),"",ROUND(H34+($N34*0.1094/4.184),3))</f>
        <v>1.3</v>
      </c>
    </row>
    <row r="35" customFormat="false" ht="12.75" hidden="false" customHeight="false" outlineLevel="0" collapsed="false">
      <c r="B35" s="35" t="s">
        <v>49</v>
      </c>
      <c r="C35" s="64" t="s">
        <v>169</v>
      </c>
      <c r="D35" s="63" t="n">
        <v>10.64</v>
      </c>
      <c r="E35" s="58"/>
      <c r="F35" s="31" t="s">
        <v>49</v>
      </c>
      <c r="G35" s="64" t="s">
        <v>169</v>
      </c>
      <c r="H35" s="63" t="n">
        <v>10.64</v>
      </c>
      <c r="J35" s="31" t="s">
        <v>49</v>
      </c>
      <c r="K35" s="60" t="n">
        <f aca="false">IF(IF(ISBLANK(G35),1,(TRIM(G35)="")),"",ROUND(4.184*G35,3))</f>
        <v>46.024</v>
      </c>
      <c r="L35" s="61" t="n">
        <f aca="false">IF(IF(ISBLANK(H35),1,(TRIM(H35)="")),"",ROUND(4.184*H35,3))</f>
        <v>44.518</v>
      </c>
      <c r="N35" s="34"/>
      <c r="O35" s="31" t="s">
        <v>49</v>
      </c>
      <c r="P35" s="60" t="n">
        <f aca="false">IF(IF(ISBLANK(G35),1,(TRIM(G35)="")),"",ROUND(4.184*G35+$N35*0.1094,3))</f>
        <v>46.024</v>
      </c>
      <c r="Q35" s="61" t="n">
        <f aca="false">IF(IF(ISBLANK(H35),1,(TRIM(H35)="")),"",ROUND(4.184*H35+$N35*0.1094,3))</f>
        <v>44.518</v>
      </c>
      <c r="S35" s="31" t="s">
        <v>49</v>
      </c>
      <c r="T35" s="60" t="n">
        <f aca="false">IF(IF(ISBLANK(G35),1,(TRIM(G35)="")),"",ROUND(G35+($N35*0.1094/4.184),3))</f>
        <v>11</v>
      </c>
      <c r="U35" s="61" t="n">
        <f aca="false">IF(IF(ISBLANK(H35),1,(TRIM(H35)="")),"",ROUND(H35+($N35*0.1094/4.184),3))</f>
        <v>10.64</v>
      </c>
    </row>
    <row r="36" customFormat="false" ht="12.75" hidden="false" customHeight="false" outlineLevel="0" collapsed="false">
      <c r="B36" s="35" t="s">
        <v>50</v>
      </c>
      <c r="C36" s="62" t="n">
        <v>11.6</v>
      </c>
      <c r="D36" s="65" t="s">
        <v>172</v>
      </c>
      <c r="E36" s="66"/>
      <c r="F36" s="31" t="s">
        <v>50</v>
      </c>
      <c r="G36" s="62" t="n">
        <v>11.6</v>
      </c>
      <c r="H36" s="65" t="s">
        <v>172</v>
      </c>
      <c r="J36" s="31" t="s">
        <v>50</v>
      </c>
      <c r="K36" s="60" t="n">
        <f aca="false">IF(IF(ISBLANK(G36),1,(TRIM(G36)="")),"",ROUND(4.184*G36,3))</f>
        <v>48.534</v>
      </c>
      <c r="L36" s="61" t="n">
        <f aca="false">IF(IF(ISBLANK(H36),1,(TRIM(H36)="")),"",ROUND(4.184*H36,3))</f>
        <v>49.371</v>
      </c>
      <c r="N36" s="34"/>
      <c r="O36" s="31" t="s">
        <v>50</v>
      </c>
      <c r="P36" s="60" t="n">
        <f aca="false">IF(IF(ISBLANK(G36),1,(TRIM(G36)="")),"",ROUND(4.184*G36+$N36*0.1094,3))</f>
        <v>48.534</v>
      </c>
      <c r="Q36" s="61" t="n">
        <f aca="false">IF(IF(ISBLANK(H36),1,(TRIM(H36)="")),"",ROUND(4.184*H36+$N36*0.1094,3))</f>
        <v>49.371</v>
      </c>
      <c r="S36" s="31" t="s">
        <v>50</v>
      </c>
      <c r="T36" s="60" t="n">
        <f aca="false">IF(IF(ISBLANK(G36),1,(TRIM(G36)="")),"",ROUND(G36+($N36*0.1094/4.184),3))</f>
        <v>11.6</v>
      </c>
      <c r="U36" s="61" t="n">
        <f aca="false">IF(IF(ISBLANK(H36),1,(TRIM(H36)="")),"",ROUND(H36+($N36*0.1094/4.184),3))</f>
        <v>11.8</v>
      </c>
    </row>
    <row r="37" customFormat="false" ht="12.75" hidden="false" customHeight="false" outlineLevel="0" collapsed="false">
      <c r="B37" s="35" t="s">
        <v>51</v>
      </c>
      <c r="C37" s="62" t="n">
        <v>13.8</v>
      </c>
      <c r="D37" s="63" t="n">
        <v>13.8</v>
      </c>
      <c r="E37" s="58"/>
      <c r="F37" s="31" t="s">
        <v>51</v>
      </c>
      <c r="G37" s="62" t="n">
        <v>13.8</v>
      </c>
      <c r="H37" s="63" t="n">
        <v>13.8</v>
      </c>
      <c r="J37" s="31" t="s">
        <v>51</v>
      </c>
      <c r="K37" s="60" t="n">
        <f aca="false">IF(IF(ISBLANK(G37),1,(TRIM(G37)="")),"",ROUND(4.184*G37,3))</f>
        <v>57.739</v>
      </c>
      <c r="L37" s="61" t="n">
        <f aca="false">IF(IF(ISBLANK(H37),1,(TRIM(H37)="")),"",ROUND(4.184*H37,3))</f>
        <v>57.739</v>
      </c>
      <c r="N37" s="34"/>
      <c r="O37" s="31" t="s">
        <v>51</v>
      </c>
      <c r="P37" s="60" t="n">
        <f aca="false">IF(IF(ISBLANK(G37),1,(TRIM(G37)="")),"",ROUND(4.184*G37+$N37*0.1094,3))</f>
        <v>57.739</v>
      </c>
      <c r="Q37" s="61" t="n">
        <f aca="false">IF(IF(ISBLANK(H37),1,(TRIM(H37)="")),"",ROUND(4.184*H37+$N37*0.1094,3))</f>
        <v>57.739</v>
      </c>
      <c r="S37" s="31" t="s">
        <v>51</v>
      </c>
      <c r="T37" s="60" t="n">
        <f aca="false">IF(IF(ISBLANK(G37),1,(TRIM(G37)="")),"",ROUND(G37+($N37*0.1094/4.184),3))</f>
        <v>13.8</v>
      </c>
      <c r="U37" s="61" t="n">
        <f aca="false">IF(IF(ISBLANK(H37),1,(TRIM(H37)="")),"",ROUND(H37+($N37*0.1094/4.184),3))</f>
        <v>13.8</v>
      </c>
    </row>
    <row r="38" customFormat="false" ht="12.75" hidden="false" customHeight="false" outlineLevel="0" collapsed="false">
      <c r="B38" s="35" t="s">
        <v>52</v>
      </c>
      <c r="C38" s="64"/>
      <c r="D38" s="63"/>
      <c r="E38" s="58"/>
      <c r="F38" s="31" t="s">
        <v>52</v>
      </c>
      <c r="G38" s="64"/>
      <c r="H38" s="63"/>
      <c r="J38" s="31" t="s">
        <v>52</v>
      </c>
      <c r="K38" s="60" t="str">
        <f aca="false">IF(IF(ISBLANK(G38),1,(TRIM(G38)="")),"",ROUND(4.184*G38,3))</f>
        <v/>
      </c>
      <c r="L38" s="61" t="str">
        <f aca="false">IF(IF(ISBLANK(H38),1,(TRIM(H38)="")),"",ROUND(4.184*H38,3))</f>
        <v/>
      </c>
      <c r="N38" s="34"/>
      <c r="O38" s="31" t="s">
        <v>52</v>
      </c>
      <c r="P38" s="60" t="str">
        <f aca="false">IF(IF(ISBLANK(G38),1,(TRIM(G38)="")),"",ROUND(4.184*G38+$N38*0.1094,3))</f>
        <v/>
      </c>
      <c r="Q38" s="61" t="str">
        <f aca="false">IF(IF(ISBLANK(H38),1,(TRIM(H38)="")),"",ROUND(4.184*H38+$N38*0.1094,3))</f>
        <v/>
      </c>
      <c r="S38" s="31" t="s">
        <v>52</v>
      </c>
      <c r="T38" s="60" t="str">
        <f aca="false">IF(IF(ISBLANK(G38),1,(TRIM(G38)="")),"",ROUND(G38+($N38*0.1094/4.184),3))</f>
        <v/>
      </c>
      <c r="U38" s="61" t="str">
        <f aca="false">IF(IF(ISBLANK(H38),1,(TRIM(H38)="")),"",ROUND(H38+($N38*0.1094/4.184),3))</f>
        <v/>
      </c>
    </row>
    <row r="39" customFormat="false" ht="12.75" hidden="false" customHeight="false" outlineLevel="0" collapsed="false">
      <c r="B39" s="35" t="s">
        <v>55</v>
      </c>
      <c r="C39" s="62" t="n">
        <v>25.7</v>
      </c>
      <c r="D39" s="63" t="n">
        <v>26.3</v>
      </c>
      <c r="E39" s="58"/>
      <c r="F39" s="31" t="s">
        <v>54</v>
      </c>
      <c r="G39" s="64" t="s">
        <v>173</v>
      </c>
      <c r="H39" s="65" t="s">
        <v>174</v>
      </c>
      <c r="J39" s="31" t="s">
        <v>54</v>
      </c>
      <c r="K39" s="60" t="n">
        <f aca="false">IF(IF(ISBLANK(G39),1,(TRIM(G39)="")),"",ROUND(4.184*G39,3))</f>
        <v>215.058</v>
      </c>
      <c r="L39" s="61" t="n">
        <f aca="false">IF(IF(ISBLANK(H39),1,(TRIM(H39)="")),"",ROUND(4.184*H39,3))</f>
        <v>220.078</v>
      </c>
      <c r="N39" s="34" t="n">
        <v>1</v>
      </c>
      <c r="O39" s="31" t="s">
        <v>54</v>
      </c>
      <c r="P39" s="60" t="n">
        <f aca="false">IF(IF(ISBLANK(G39),1,(TRIM(G39)="")),"",ROUND(4.184*G39+$N39*0.1094,3))</f>
        <v>215.167</v>
      </c>
      <c r="Q39" s="61" t="n">
        <f aca="false">IF(IF(ISBLANK(H39),1,(TRIM(H39)="")),"",ROUND(4.184*H39+$N39*0.1094,3))</f>
        <v>220.188</v>
      </c>
      <c r="S39" s="31" t="s">
        <v>54</v>
      </c>
      <c r="T39" s="60" t="n">
        <f aca="false">IF(IF(ISBLANK(G39),1,(TRIM(G39)="")),"",ROUND(G39+($N39*0.1094/4.184),3))</f>
        <v>51.426</v>
      </c>
      <c r="U39" s="61" t="n">
        <f aca="false">IF(IF(ISBLANK(H39),1,(TRIM(H39)="")),"",ROUND(H39+($N39*0.1094/4.184),3))</f>
        <v>52.626</v>
      </c>
    </row>
    <row r="40" customFormat="false" ht="12.75" hidden="false" customHeight="false" outlineLevel="0" collapsed="false">
      <c r="B40" s="35" t="s">
        <v>56</v>
      </c>
      <c r="C40" s="64"/>
      <c r="D40" s="63"/>
      <c r="E40" s="58"/>
      <c r="F40" s="31" t="s">
        <v>56</v>
      </c>
      <c r="G40" s="64"/>
      <c r="H40" s="63"/>
      <c r="J40" s="31" t="s">
        <v>56</v>
      </c>
      <c r="K40" s="60" t="str">
        <f aca="false">IF(IF(ISBLANK(G40),1,(TRIM(G40)="")),"",ROUND(4.184*G40,3))</f>
        <v/>
      </c>
      <c r="L40" s="61" t="str">
        <f aca="false">IF(IF(ISBLANK(H40),1,(TRIM(H40)="")),"",ROUND(4.184*H40,3))</f>
        <v/>
      </c>
      <c r="N40" s="34"/>
      <c r="O40" s="31" t="s">
        <v>56</v>
      </c>
      <c r="P40" s="60" t="str">
        <f aca="false">IF(IF(ISBLANK(G40),1,(TRIM(G40)="")),"",ROUND(4.184*G40+$N40*0.1094,3))</f>
        <v/>
      </c>
      <c r="Q40" s="61" t="str">
        <f aca="false">IF(IF(ISBLANK(H40),1,(TRIM(H40)="")),"",ROUND(4.184*H40+$N40*0.1094,3))</f>
        <v/>
      </c>
      <c r="S40" s="31" t="s">
        <v>56</v>
      </c>
      <c r="T40" s="60" t="str">
        <f aca="false">IF(IF(ISBLANK(G40),1,(TRIM(G40)="")),"",ROUND(G40+($N40*0.1094/4.184),3))</f>
        <v/>
      </c>
      <c r="U40" s="61" t="str">
        <f aca="false">IF(IF(ISBLANK(H40),1,(TRIM(H40)="")),"",ROUND(H40+($N40*0.1094/4.184),3))</f>
        <v/>
      </c>
    </row>
    <row r="41" customFormat="false" ht="12.75" hidden="false" customHeight="false" outlineLevel="0" collapsed="false">
      <c r="B41" s="35" t="s">
        <v>57</v>
      </c>
      <c r="C41" s="62" t="n">
        <v>7.2</v>
      </c>
      <c r="D41" s="63" t="n">
        <v>7.2</v>
      </c>
      <c r="E41" s="58"/>
      <c r="F41" s="31" t="s">
        <v>57</v>
      </c>
      <c r="G41" s="62" t="n">
        <v>7.2</v>
      </c>
      <c r="H41" s="63" t="n">
        <v>7.2</v>
      </c>
      <c r="J41" s="31" t="s">
        <v>57</v>
      </c>
      <c r="K41" s="60" t="n">
        <f aca="false">IF(IF(ISBLANK(G41),1,(TRIM(G41)="")),"",ROUND(4.184*G41,3))</f>
        <v>30.125</v>
      </c>
      <c r="L41" s="61" t="n">
        <f aca="false">IF(IF(ISBLANK(H41),1,(TRIM(H41)="")),"",ROUND(4.184*H41,3))</f>
        <v>30.125</v>
      </c>
      <c r="N41" s="34"/>
      <c r="O41" s="31" t="s">
        <v>57</v>
      </c>
      <c r="P41" s="60" t="n">
        <f aca="false">IF(IF(ISBLANK(G41),1,(TRIM(G41)="")),"",ROUND(4.184*G41+$N41*0.1094,3))</f>
        <v>30.125</v>
      </c>
      <c r="Q41" s="61" t="n">
        <f aca="false">IF(IF(ISBLANK(H41),1,(TRIM(H41)="")),"",ROUND(4.184*H41+$N41*0.1094,3))</f>
        <v>30.125</v>
      </c>
      <c r="S41" s="31" t="s">
        <v>57</v>
      </c>
      <c r="T41" s="60" t="n">
        <f aca="false">IF(IF(ISBLANK(G41),1,(TRIM(G41)="")),"",ROUND(G41+($N41*0.1094/4.184),3))</f>
        <v>7.2</v>
      </c>
      <c r="U41" s="61" t="n">
        <f aca="false">IF(IF(ISBLANK(H41),1,(TRIM(H41)="")),"",ROUND(H41+($N41*0.1094/4.184),3))</f>
        <v>7.2</v>
      </c>
    </row>
    <row r="42" customFormat="false" ht="12.75" hidden="false" customHeight="false" outlineLevel="0" collapsed="false">
      <c r="B42" s="35" t="s">
        <v>58</v>
      </c>
      <c r="C42" s="62" t="n">
        <v>5.8</v>
      </c>
      <c r="D42" s="63" t="n">
        <v>5.8</v>
      </c>
      <c r="E42" s="58"/>
      <c r="F42" s="31" t="s">
        <v>58</v>
      </c>
      <c r="G42" s="62" t="n">
        <v>5.8</v>
      </c>
      <c r="H42" s="63" t="n">
        <v>5.8</v>
      </c>
      <c r="J42" s="31" t="s">
        <v>58</v>
      </c>
      <c r="K42" s="60" t="n">
        <f aca="false">IF(IF(ISBLANK(G42),1,(TRIM(G42)="")),"",ROUND(4.184*G42,3))</f>
        <v>24.267</v>
      </c>
      <c r="L42" s="61" t="n">
        <f aca="false">IF(IF(ISBLANK(H42),1,(TRIM(H42)="")),"",ROUND(4.184*H42,3))</f>
        <v>24.267</v>
      </c>
      <c r="N42" s="34"/>
      <c r="O42" s="31" t="s">
        <v>58</v>
      </c>
      <c r="P42" s="60" t="n">
        <f aca="false">IF(IF(ISBLANK(G42),1,(TRIM(G42)="")),"",ROUND(4.184*G42+$N42*0.1094,3))</f>
        <v>24.267</v>
      </c>
      <c r="Q42" s="61" t="n">
        <f aca="false">IF(IF(ISBLANK(H42),1,(TRIM(H42)="")),"",ROUND(4.184*H42+$N42*0.1094,3))</f>
        <v>24.267</v>
      </c>
      <c r="S42" s="31" t="s">
        <v>58</v>
      </c>
      <c r="T42" s="60" t="n">
        <f aca="false">IF(IF(ISBLANK(G42),1,(TRIM(G42)="")),"",ROUND(G42+($N42*0.1094/4.184),3))</f>
        <v>5.8</v>
      </c>
      <c r="U42" s="61" t="n">
        <f aca="false">IF(IF(ISBLANK(H42),1,(TRIM(H42)="")),"",ROUND(H42+($N42*0.1094/4.184),3))</f>
        <v>5.8</v>
      </c>
    </row>
    <row r="43" customFormat="false" ht="12.75" hidden="false" customHeight="false" outlineLevel="0" collapsed="false">
      <c r="B43" s="35" t="s">
        <v>59</v>
      </c>
      <c r="C43" s="62"/>
      <c r="D43" s="63"/>
      <c r="E43" s="58"/>
      <c r="F43" s="38" t="s">
        <v>59</v>
      </c>
      <c r="G43" s="62"/>
      <c r="H43" s="63"/>
      <c r="J43" s="38" t="s">
        <v>59</v>
      </c>
      <c r="K43" s="60" t="str">
        <f aca="false">IF(IF(ISBLANK(G43),1,(TRIM(G43)="")),"",ROUND(4.184*G43,3))</f>
        <v/>
      </c>
      <c r="L43" s="61" t="str">
        <f aca="false">IF(IF(ISBLANK(H43),1,(TRIM(H43)="")),"",ROUND(4.184*H43,3))</f>
        <v/>
      </c>
      <c r="N43" s="34"/>
      <c r="O43" s="38" t="s">
        <v>59</v>
      </c>
      <c r="P43" s="60" t="str">
        <f aca="false">IF(IF(ISBLANK(G43),1,(TRIM(G43)="")),"",ROUND(4.184*G43+$N43*0.1094,3))</f>
        <v/>
      </c>
      <c r="Q43" s="61" t="str">
        <f aca="false">IF(IF(ISBLANK(H43),1,(TRIM(H43)="")),"",ROUND(4.184*H43+$N43*0.1094,3))</f>
        <v/>
      </c>
      <c r="S43" s="38" t="s">
        <v>59</v>
      </c>
      <c r="T43" s="60" t="str">
        <f aca="false">IF(IF(ISBLANK(G43),1,(TRIM(G43)="")),"",ROUND(G43+($N43*0.1094/4.184),3))</f>
        <v/>
      </c>
      <c r="U43" s="61" t="str">
        <f aca="false">IF(IF(ISBLANK(H43),1,(TRIM(H43)="")),"",ROUND(H43+($N43*0.1094/4.184),3))</f>
        <v/>
      </c>
    </row>
    <row r="44" customFormat="false" ht="12.75" hidden="false" customHeight="false" outlineLevel="0" collapsed="false">
      <c r="B44" s="35" t="s">
        <v>60</v>
      </c>
      <c r="C44" s="64" t="s">
        <v>175</v>
      </c>
      <c r="D44" s="63" t="n">
        <v>8.18</v>
      </c>
      <c r="E44" s="58"/>
      <c r="F44" s="31" t="s">
        <v>60</v>
      </c>
      <c r="G44" s="64" t="s">
        <v>175</v>
      </c>
      <c r="H44" s="63" t="n">
        <v>8.18</v>
      </c>
      <c r="J44" s="31" t="s">
        <v>60</v>
      </c>
      <c r="K44" s="60" t="n">
        <f aca="false">IF(IF(ISBLANK(G44),1,(TRIM(G44)="")),"",ROUND(4.184*G44,3))</f>
        <v>33.472</v>
      </c>
      <c r="L44" s="61" t="n">
        <f aca="false">IF(IF(ISBLANK(H44),1,(TRIM(H44)="")),"",ROUND(4.184*H44,3))</f>
        <v>34.225</v>
      </c>
      <c r="N44" s="34"/>
      <c r="O44" s="31" t="s">
        <v>60</v>
      </c>
      <c r="P44" s="60" t="n">
        <f aca="false">IF(IF(ISBLANK(G44),1,(TRIM(G44)="")),"",ROUND(4.184*G44+$N44*0.1094,3))</f>
        <v>33.472</v>
      </c>
      <c r="Q44" s="61" t="n">
        <f aca="false">IF(IF(ISBLANK(H44),1,(TRIM(H44)="")),"",ROUND(4.184*H44+$N44*0.1094,3))</f>
        <v>34.225</v>
      </c>
      <c r="S44" s="31" t="s">
        <v>60</v>
      </c>
      <c r="T44" s="60" t="n">
        <f aca="false">IF(IF(ISBLANK(G44),1,(TRIM(G44)="")),"",ROUND(G44+($N44*0.1094/4.184),3))</f>
        <v>8</v>
      </c>
      <c r="U44" s="61" t="n">
        <f aca="false">IF(IF(ISBLANK(H44),1,(TRIM(H44)="")),"",ROUND(H44+($N44*0.1094/4.184),3))</f>
        <v>8.18</v>
      </c>
    </row>
    <row r="45" customFormat="false" ht="12.75" hidden="false" customHeight="false" outlineLevel="0" collapsed="false">
      <c r="B45" s="35" t="s">
        <v>61</v>
      </c>
      <c r="C45" s="62"/>
      <c r="D45" s="63"/>
      <c r="E45" s="58"/>
      <c r="F45" s="31" t="s">
        <v>61</v>
      </c>
      <c r="G45" s="62"/>
      <c r="H45" s="63"/>
      <c r="J45" s="31" t="s">
        <v>61</v>
      </c>
      <c r="K45" s="60" t="str">
        <f aca="false">IF(IF(ISBLANK(G45),1,(TRIM(G45)="")),"",ROUND(4.184*G45,3))</f>
        <v/>
      </c>
      <c r="L45" s="61" t="str">
        <f aca="false">IF(IF(ISBLANK(H45),1,(TRIM(H45)="")),"",ROUND(4.184*H45,3))</f>
        <v/>
      </c>
      <c r="N45" s="34"/>
      <c r="O45" s="31" t="s">
        <v>61</v>
      </c>
      <c r="P45" s="60" t="str">
        <f aca="false">IF(IF(ISBLANK(G45),1,(TRIM(G45)="")),"",ROUND(4.184*G45+$N45*0.1094,3))</f>
        <v/>
      </c>
      <c r="Q45" s="61" t="str">
        <f aca="false">IF(IF(ISBLANK(H45),1,(TRIM(H45)="")),"",ROUND(4.184*H45+$N45*0.1094,3))</f>
        <v/>
      </c>
      <c r="S45" s="31" t="s">
        <v>61</v>
      </c>
      <c r="T45" s="60" t="str">
        <f aca="false">IF(IF(ISBLANK(G45),1,(TRIM(G45)="")),"",ROUND(G45+($N45*0.1094/4.184),3))</f>
        <v/>
      </c>
      <c r="U45" s="61" t="str">
        <f aca="false">IF(IF(ISBLANK(H45),1,(TRIM(H45)="")),"",ROUND(H45+($N45*0.1094/4.184),3))</f>
        <v/>
      </c>
    </row>
    <row r="46" customFormat="false" ht="12.75" hidden="false" customHeight="false" outlineLevel="0" collapsed="false">
      <c r="B46" s="35" t="s">
        <v>62</v>
      </c>
      <c r="C46" s="62"/>
      <c r="D46" s="63"/>
      <c r="E46" s="58"/>
      <c r="F46" s="31" t="s">
        <v>62</v>
      </c>
      <c r="G46" s="62"/>
      <c r="H46" s="63"/>
      <c r="J46" s="31" t="s">
        <v>62</v>
      </c>
      <c r="K46" s="60" t="str">
        <f aca="false">IF(IF(ISBLANK(G46),1,(TRIM(G46)="")),"",ROUND(4.184*G46,3))</f>
        <v/>
      </c>
      <c r="L46" s="61" t="str">
        <f aca="false">IF(IF(ISBLANK(H46),1,(TRIM(H46)="")),"",ROUND(4.184*H46,3))</f>
        <v/>
      </c>
      <c r="N46" s="34"/>
      <c r="O46" s="31" t="s">
        <v>62</v>
      </c>
      <c r="P46" s="60" t="str">
        <f aca="false">IF(IF(ISBLANK(G46),1,(TRIM(G46)="")),"",ROUND(4.184*G46+$N46*0.1094,3))</f>
        <v/>
      </c>
      <c r="Q46" s="61" t="str">
        <f aca="false">IF(IF(ISBLANK(H46),1,(TRIM(H46)="")),"",ROUND(4.184*H46+$N46*0.1094,3))</f>
        <v/>
      </c>
      <c r="S46" s="31" t="s">
        <v>62</v>
      </c>
      <c r="T46" s="60" t="str">
        <f aca="false">IF(IF(ISBLANK(G46),1,(TRIM(G46)="")),"",ROUND(G46+($N46*0.1094/4.184),3))</f>
        <v/>
      </c>
      <c r="U46" s="61" t="str">
        <f aca="false">IF(IF(ISBLANK(H46),1,(TRIM(H46)="")),"",ROUND(H46+($N46*0.1094/4.184),3))</f>
        <v/>
      </c>
    </row>
    <row r="47" customFormat="false" ht="12.75" hidden="false" customHeight="false" outlineLevel="0" collapsed="false">
      <c r="B47" s="35" t="s">
        <v>63</v>
      </c>
      <c r="C47" s="64"/>
      <c r="D47" s="63"/>
      <c r="E47" s="58"/>
      <c r="F47" s="31" t="s">
        <v>63</v>
      </c>
      <c r="G47" s="64"/>
      <c r="H47" s="63"/>
      <c r="J47" s="31" t="s">
        <v>63</v>
      </c>
      <c r="K47" s="60" t="str">
        <f aca="false">IF(IF(ISBLANK(G47),1,(TRIM(G47)="")),"",ROUND(4.184*G47,3))</f>
        <v/>
      </c>
      <c r="L47" s="61" t="str">
        <f aca="false">IF(IF(ISBLANK(H47),1,(TRIM(H47)="")),"",ROUND(4.184*H47,3))</f>
        <v/>
      </c>
      <c r="N47" s="34"/>
      <c r="O47" s="31" t="s">
        <v>63</v>
      </c>
      <c r="P47" s="60" t="str">
        <f aca="false">IF(IF(ISBLANK(G47),1,(TRIM(G47)="")),"",ROUND(4.184*G47+$N47*0.1094,3))</f>
        <v/>
      </c>
      <c r="Q47" s="61" t="str">
        <f aca="false">IF(IF(ISBLANK(H47),1,(TRIM(H47)="")),"",ROUND(4.184*H47+$N47*0.1094,3))</f>
        <v/>
      </c>
      <c r="S47" s="31" t="s">
        <v>63</v>
      </c>
      <c r="T47" s="60" t="str">
        <f aca="false">IF(IF(ISBLANK(G47),1,(TRIM(G47)="")),"",ROUND(G47+($N47*0.1094/4.184),3))</f>
        <v/>
      </c>
      <c r="U47" s="61" t="str">
        <f aca="false">IF(IF(ISBLANK(H47),1,(TRIM(H47)="")),"",ROUND(H47+($N47*0.1094/4.184),3))</f>
        <v/>
      </c>
    </row>
    <row r="48" customFormat="false" ht="12.75" hidden="false" customHeight="false" outlineLevel="0" collapsed="false">
      <c r="B48" s="35" t="s">
        <v>64</v>
      </c>
      <c r="C48" s="62"/>
      <c r="D48" s="63"/>
      <c r="E48" s="58"/>
      <c r="F48" s="31" t="s">
        <v>64</v>
      </c>
      <c r="G48" s="62"/>
      <c r="H48" s="63"/>
      <c r="J48" s="31" t="s">
        <v>64</v>
      </c>
      <c r="K48" s="60" t="str">
        <f aca="false">IF(IF(ISBLANK(G48),1,(TRIM(G48)="")),"",ROUND(4.184*G48,3))</f>
        <v/>
      </c>
      <c r="L48" s="61" t="str">
        <f aca="false">IF(IF(ISBLANK(H48),1,(TRIM(H48)="")),"",ROUND(4.184*H48,3))</f>
        <v/>
      </c>
      <c r="N48" s="34"/>
      <c r="O48" s="31" t="s">
        <v>64</v>
      </c>
      <c r="P48" s="60" t="str">
        <f aca="false">IF(IF(ISBLANK(G48),1,(TRIM(G48)="")),"",ROUND(4.184*G48+$N48*0.1094,3))</f>
        <v/>
      </c>
      <c r="Q48" s="61" t="str">
        <f aca="false">IF(IF(ISBLANK(H48),1,(TRIM(H48)="")),"",ROUND(4.184*H48+$N48*0.1094,3))</f>
        <v/>
      </c>
      <c r="S48" s="31" t="s">
        <v>64</v>
      </c>
      <c r="T48" s="60" t="str">
        <f aca="false">IF(IF(ISBLANK(G48),1,(TRIM(G48)="")),"",ROUND(G48+($N48*0.1094/4.184),3))</f>
        <v/>
      </c>
      <c r="U48" s="61" t="str">
        <f aca="false">IF(IF(ISBLANK(H48),1,(TRIM(H48)="")),"",ROUND(H48+($N48*0.1094/4.184),3))</f>
        <v/>
      </c>
    </row>
    <row r="49" customFormat="false" ht="12.75" hidden="false" customHeight="false" outlineLevel="0" collapsed="false">
      <c r="B49" s="35" t="s">
        <v>67</v>
      </c>
      <c r="C49" s="62"/>
      <c r="D49" s="63"/>
      <c r="E49" s="58"/>
      <c r="F49" s="31" t="s">
        <v>66</v>
      </c>
      <c r="G49" s="62"/>
      <c r="H49" s="63"/>
      <c r="J49" s="31" t="s">
        <v>66</v>
      </c>
      <c r="K49" s="60" t="str">
        <f aca="false">IF(IF(ISBLANK(G49),1,(TRIM(G49)="")),"",ROUND(4.184*G49,3))</f>
        <v/>
      </c>
      <c r="L49" s="61" t="str">
        <f aca="false">IF(IF(ISBLANK(H49),1,(TRIM(H49)="")),"",ROUND(4.184*H49,3))</f>
        <v/>
      </c>
      <c r="N49" s="34" t="n">
        <v>1</v>
      </c>
      <c r="O49" s="31" t="s">
        <v>66</v>
      </c>
      <c r="P49" s="60" t="str">
        <f aca="false">IF(IF(ISBLANK(G49),1,(TRIM(G49)="")),"",ROUND(4.184*G49+$N49*0.1094,3))</f>
        <v/>
      </c>
      <c r="Q49" s="61" t="str">
        <f aca="false">IF(IF(ISBLANK(H49),1,(TRIM(H49)="")),"",ROUND(4.184*H49+$N49*0.1094,3))</f>
        <v/>
      </c>
      <c r="S49" s="31" t="s">
        <v>66</v>
      </c>
      <c r="T49" s="60" t="str">
        <f aca="false">IF(IF(ISBLANK(G49),1,(TRIM(G49)="")),"",ROUND(G49+($N49*0.1094/4.184),3))</f>
        <v/>
      </c>
      <c r="U49" s="61" t="str">
        <f aca="false">IF(IF(ISBLANK(H49),1,(TRIM(H49)="")),"",ROUND(H49+($N49*0.1094/4.184),3))</f>
        <v/>
      </c>
    </row>
    <row r="50" customFormat="false" ht="12.75" hidden="false" customHeight="false" outlineLevel="0" collapsed="false">
      <c r="B50" s="35" t="s">
        <v>68</v>
      </c>
      <c r="C50" s="62" t="n">
        <v>6.6</v>
      </c>
      <c r="D50" s="63" t="n">
        <v>6.71</v>
      </c>
      <c r="E50" s="58"/>
      <c r="F50" s="38" t="s">
        <v>68</v>
      </c>
      <c r="G50" s="62" t="n">
        <v>6.6</v>
      </c>
      <c r="H50" s="63" t="n">
        <v>6.71</v>
      </c>
      <c r="J50" s="38" t="s">
        <v>68</v>
      </c>
      <c r="K50" s="60" t="n">
        <f aca="false">IF(IF(ISBLANK(G50),1,(TRIM(G50)="")),"",ROUND(4.184*G50,3))</f>
        <v>27.614</v>
      </c>
      <c r="L50" s="61" t="n">
        <f aca="false">IF(IF(ISBLANK(H50),1,(TRIM(H50)="")),"",ROUND(4.184*H50,3))</f>
        <v>28.075</v>
      </c>
      <c r="N50" s="34"/>
      <c r="O50" s="38" t="s">
        <v>68</v>
      </c>
      <c r="P50" s="60" t="n">
        <f aca="false">IF(IF(ISBLANK(G50),1,(TRIM(G50)="")),"",ROUND(4.184*G50+$N50*0.1094,3))</f>
        <v>27.614</v>
      </c>
      <c r="Q50" s="61" t="n">
        <f aca="false">IF(IF(ISBLANK(H50),1,(TRIM(H50)="")),"",ROUND(4.184*H50+$N50*0.1094,3))</f>
        <v>28.075</v>
      </c>
      <c r="S50" s="38" t="s">
        <v>68</v>
      </c>
      <c r="T50" s="60" t="n">
        <f aca="false">IF(IF(ISBLANK(G50),1,(TRIM(G50)="")),"",ROUND(G50+($N50*0.1094/4.184),3))</f>
        <v>6.6</v>
      </c>
      <c r="U50" s="61" t="n">
        <f aca="false">IF(IF(ISBLANK(H50),1,(TRIM(H50)="")),"",ROUND(H50+($N50*0.1094/4.184),3))</f>
        <v>6.71</v>
      </c>
    </row>
    <row r="51" customFormat="false" ht="12.75" hidden="false" customHeight="false" outlineLevel="0" collapsed="false">
      <c r="B51" s="35" t="s">
        <v>69</v>
      </c>
      <c r="C51" s="64"/>
      <c r="D51" s="63"/>
      <c r="E51" s="58"/>
      <c r="F51" s="31" t="s">
        <v>69</v>
      </c>
      <c r="G51" s="64"/>
      <c r="H51" s="63"/>
      <c r="J51" s="31" t="s">
        <v>69</v>
      </c>
      <c r="K51" s="60" t="str">
        <f aca="false">IF(IF(ISBLANK(G51),1,(TRIM(G51)="")),"",ROUND(4.184*G51,3))</f>
        <v/>
      </c>
      <c r="L51" s="61" t="str">
        <f aca="false">IF(IF(ISBLANK(H51),1,(TRIM(H51)="")),"",ROUND(4.184*H51,3))</f>
        <v/>
      </c>
      <c r="N51" s="34"/>
      <c r="O51" s="31" t="s">
        <v>69</v>
      </c>
      <c r="P51" s="60" t="str">
        <f aca="false">IF(IF(ISBLANK(G51),1,(TRIM(G51)="")),"",ROUND(4.184*G51+$N51*0.1094,3))</f>
        <v/>
      </c>
      <c r="Q51" s="61" t="str">
        <f aca="false">IF(IF(ISBLANK(H51),1,(TRIM(H51)="")),"",ROUND(4.184*H51+$N51*0.1094,3))</f>
        <v/>
      </c>
      <c r="S51" s="31" t="s">
        <v>69</v>
      </c>
      <c r="T51" s="60" t="str">
        <f aca="false">IF(IF(ISBLANK(G51),1,(TRIM(G51)="")),"",ROUND(G51+($N51*0.1094/4.184),3))</f>
        <v/>
      </c>
      <c r="U51" s="61" t="str">
        <f aca="false">IF(IF(ISBLANK(H51),1,(TRIM(H51)="")),"",ROUND(H51+($N51*0.1094/4.184),3))</f>
        <v/>
      </c>
    </row>
    <row r="52" customFormat="false" ht="12.75" hidden="false" customHeight="false" outlineLevel="0" collapsed="false">
      <c r="B52" s="35" t="s">
        <v>70</v>
      </c>
      <c r="C52" s="62"/>
      <c r="D52" s="63"/>
      <c r="E52" s="58"/>
      <c r="F52" s="38" t="s">
        <v>70</v>
      </c>
      <c r="G52" s="62"/>
      <c r="H52" s="63"/>
      <c r="J52" s="38" t="s">
        <v>70</v>
      </c>
      <c r="K52" s="60" t="str">
        <f aca="false">IF(IF(ISBLANK(G52),1,(TRIM(G52)="")),"",ROUND(4.184*G52,3))</f>
        <v/>
      </c>
      <c r="L52" s="61" t="str">
        <f aca="false">IF(IF(ISBLANK(H52),1,(TRIM(H52)="")),"",ROUND(4.184*H52,3))</f>
        <v/>
      </c>
      <c r="N52" s="34"/>
      <c r="O52" s="38" t="s">
        <v>70</v>
      </c>
      <c r="P52" s="60" t="str">
        <f aca="false">IF(IF(ISBLANK(G52),1,(TRIM(G52)="")),"",ROUND(4.184*G52+$N52*0.1094,3))</f>
        <v/>
      </c>
      <c r="Q52" s="61" t="str">
        <f aca="false">IF(IF(ISBLANK(H52),1,(TRIM(H52)="")),"",ROUND(4.184*H52+$N52*0.1094,3))</f>
        <v/>
      </c>
      <c r="S52" s="38" t="s">
        <v>70</v>
      </c>
      <c r="T52" s="60" t="str">
        <f aca="false">IF(IF(ISBLANK(G52),1,(TRIM(G52)="")),"",ROUND(G52+($N52*0.1094/4.184),3))</f>
        <v/>
      </c>
      <c r="U52" s="61" t="str">
        <f aca="false">IF(IF(ISBLANK(H52),1,(TRIM(H52)="")),"",ROUND(H52+($N52*0.1094/4.184),3))</f>
        <v/>
      </c>
    </row>
    <row r="53" customFormat="false" ht="12.75" hidden="false" customHeight="false" outlineLevel="0" collapsed="false">
      <c r="B53" s="35" t="s">
        <v>71</v>
      </c>
      <c r="C53" s="62"/>
      <c r="D53" s="63"/>
      <c r="E53" s="58"/>
      <c r="F53" s="31" t="s">
        <v>71</v>
      </c>
      <c r="G53" s="62"/>
      <c r="H53" s="63"/>
      <c r="J53" s="31" t="s">
        <v>71</v>
      </c>
      <c r="K53" s="60" t="str">
        <f aca="false">IF(IF(ISBLANK(G53),1,(TRIM(G53)="")),"",ROUND(4.184*G53,3))</f>
        <v/>
      </c>
      <c r="L53" s="61" t="str">
        <f aca="false">IF(IF(ISBLANK(H53),1,(TRIM(H53)="")),"",ROUND(4.184*H53,3))</f>
        <v/>
      </c>
      <c r="N53" s="34"/>
      <c r="O53" s="31" t="s">
        <v>71</v>
      </c>
      <c r="P53" s="60" t="str">
        <f aca="false">IF(IF(ISBLANK(G53),1,(TRIM(G53)="")),"",ROUND(4.184*G53+$N53*0.1094,3))</f>
        <v/>
      </c>
      <c r="Q53" s="61" t="str">
        <f aca="false">IF(IF(ISBLANK(H53),1,(TRIM(H53)="")),"",ROUND(4.184*H53+$N53*0.1094,3))</f>
        <v/>
      </c>
      <c r="S53" s="31" t="s">
        <v>71</v>
      </c>
      <c r="T53" s="60" t="str">
        <f aca="false">IF(IF(ISBLANK(G53),1,(TRIM(G53)="")),"",ROUND(G53+($N53*0.1094/4.184),3))</f>
        <v/>
      </c>
      <c r="U53" s="61" t="str">
        <f aca="false">IF(IF(ISBLANK(H53),1,(TRIM(H53)="")),"",ROUND(H53+($N53*0.1094/4.184),3))</f>
        <v/>
      </c>
    </row>
    <row r="54" customFormat="false" ht="12.75" hidden="false" customHeight="false" outlineLevel="0" collapsed="false">
      <c r="B54" s="35" t="s">
        <v>72</v>
      </c>
      <c r="C54" s="62"/>
      <c r="D54" s="63"/>
      <c r="E54" s="58"/>
      <c r="F54" s="31" t="s">
        <v>72</v>
      </c>
      <c r="G54" s="62"/>
      <c r="H54" s="63"/>
      <c r="J54" s="31" t="s">
        <v>72</v>
      </c>
      <c r="K54" s="60" t="str">
        <f aca="false">IF(IF(ISBLANK(G54),1,(TRIM(G54)="")),"",ROUND(4.184*G54,3))</f>
        <v/>
      </c>
      <c r="L54" s="61" t="str">
        <f aca="false">IF(IF(ISBLANK(H54),1,(TRIM(H54)="")),"",ROUND(4.184*H54,3))</f>
        <v/>
      </c>
      <c r="N54" s="34"/>
      <c r="O54" s="31" t="s">
        <v>72</v>
      </c>
      <c r="P54" s="60" t="str">
        <f aca="false">IF(IF(ISBLANK(G54),1,(TRIM(G54)="")),"",ROUND(4.184*G54+$N54*0.1094,3))</f>
        <v/>
      </c>
      <c r="Q54" s="61" t="str">
        <f aca="false">IF(IF(ISBLANK(H54),1,(TRIM(H54)="")),"",ROUND(4.184*H54+$N54*0.1094,3))</f>
        <v/>
      </c>
      <c r="S54" s="31" t="s">
        <v>72</v>
      </c>
      <c r="T54" s="60" t="str">
        <f aca="false">IF(IF(ISBLANK(G54),1,(TRIM(G54)="")),"",ROUND(G54+($N54*0.1094/4.184),3))</f>
        <v/>
      </c>
      <c r="U54" s="61" t="str">
        <f aca="false">IF(IF(ISBLANK(H54),1,(TRIM(H54)="")),"",ROUND(H54+($N54*0.1094/4.184),3))</f>
        <v/>
      </c>
    </row>
    <row r="55" customFormat="false" ht="12.75" hidden="false" customHeight="false" outlineLevel="0" collapsed="false">
      <c r="B55" s="35" t="s">
        <v>73</v>
      </c>
      <c r="C55" s="62"/>
      <c r="D55" s="63"/>
      <c r="E55" s="58"/>
      <c r="F55" s="31" t="s">
        <v>73</v>
      </c>
      <c r="G55" s="62"/>
      <c r="H55" s="63"/>
      <c r="J55" s="31" t="s">
        <v>73</v>
      </c>
      <c r="K55" s="60" t="str">
        <f aca="false">IF(IF(ISBLANK(G55),1,(TRIM(G55)="")),"",ROUND(4.184*G55,3))</f>
        <v/>
      </c>
      <c r="L55" s="61" t="str">
        <f aca="false">IF(IF(ISBLANK(H55),1,(TRIM(H55)="")),"",ROUND(4.184*H55,3))</f>
        <v/>
      </c>
      <c r="N55" s="34"/>
      <c r="O55" s="31" t="s">
        <v>73</v>
      </c>
      <c r="P55" s="60" t="str">
        <f aca="false">IF(IF(ISBLANK(G55),1,(TRIM(G55)="")),"",ROUND(4.184*G55+$N55*0.1094,3))</f>
        <v/>
      </c>
      <c r="Q55" s="61" t="str">
        <f aca="false">IF(IF(ISBLANK(H55),1,(TRIM(H55)="")),"",ROUND(4.184*H55+$N55*0.1094,3))</f>
        <v/>
      </c>
      <c r="S55" s="31" t="s">
        <v>73</v>
      </c>
      <c r="T55" s="60" t="str">
        <f aca="false">IF(IF(ISBLANK(G55),1,(TRIM(G55)="")),"",ROUND(G55+($N55*0.1094/4.184),3))</f>
        <v/>
      </c>
      <c r="U55" s="61" t="str">
        <f aca="false">IF(IF(ISBLANK(H55),1,(TRIM(H55)="")),"",ROUND(H55+($N55*0.1094/4.184),3))</f>
        <v/>
      </c>
    </row>
    <row r="56" customFormat="false" ht="12.75" hidden="false" customHeight="false" outlineLevel="0" collapsed="false">
      <c r="B56" s="35" t="s">
        <v>76</v>
      </c>
      <c r="C56" s="62" t="n">
        <v>15.9</v>
      </c>
      <c r="D56" s="63" t="n">
        <v>14.72</v>
      </c>
      <c r="E56" s="58"/>
      <c r="F56" s="31" t="s">
        <v>75</v>
      </c>
      <c r="G56" s="64" t="s">
        <v>176</v>
      </c>
      <c r="H56" s="65" t="s">
        <v>177</v>
      </c>
      <c r="J56" s="31" t="s">
        <v>75</v>
      </c>
      <c r="K56" s="60" t="n">
        <f aca="false">IF(IF(ISBLANK(G56),1,(TRIM(G56)="")),"",ROUND(4.184*G56,3))</f>
        <v>133.051</v>
      </c>
      <c r="L56" s="61" t="n">
        <f aca="false">IF(IF(ISBLANK(H56),1,(TRIM(H56)="")),"",ROUND(4.184*H56,3))</f>
        <v>123.177</v>
      </c>
      <c r="N56" s="34" t="n">
        <v>1</v>
      </c>
      <c r="O56" s="31" t="s">
        <v>75</v>
      </c>
      <c r="P56" s="60" t="n">
        <f aca="false">IF(IF(ISBLANK(G56),1,(TRIM(G56)="")),"",ROUND(4.184*G56+$N56*0.1094,3))</f>
        <v>133.161</v>
      </c>
      <c r="Q56" s="61" t="n">
        <f aca="false">IF(IF(ISBLANK(H56),1,(TRIM(H56)="")),"",ROUND(4.184*H56+$N56*0.1094,3))</f>
        <v>123.286</v>
      </c>
      <c r="S56" s="31" t="s">
        <v>75</v>
      </c>
      <c r="T56" s="60" t="n">
        <f aca="false">IF(IF(ISBLANK(G56),1,(TRIM(G56)="")),"",ROUND(G56+($N56*0.1094/4.184),3))</f>
        <v>31.826</v>
      </c>
      <c r="U56" s="61" t="n">
        <f aca="false">IF(IF(ISBLANK(H56),1,(TRIM(H56)="")),"",ROUND(H56+($N56*0.1094/4.184),3))</f>
        <v>29.466</v>
      </c>
    </row>
    <row r="57" customFormat="false" ht="12.75" hidden="false" customHeight="false" outlineLevel="0" collapsed="false">
      <c r="B57" s="35" t="s">
        <v>77</v>
      </c>
      <c r="C57" s="62" t="n">
        <v>29.2</v>
      </c>
      <c r="D57" s="63" t="n">
        <v>29.83</v>
      </c>
      <c r="E57" s="58"/>
      <c r="F57" s="31" t="s">
        <v>77</v>
      </c>
      <c r="G57" s="62" t="n">
        <v>29.2</v>
      </c>
      <c r="H57" s="63" t="n">
        <v>29.83</v>
      </c>
      <c r="J57" s="31" t="s">
        <v>77</v>
      </c>
      <c r="K57" s="60" t="n">
        <f aca="false">IF(IF(ISBLANK(G57),1,(TRIM(G57)="")),"",ROUND(4.184*G57,3))</f>
        <v>122.173</v>
      </c>
      <c r="L57" s="61" t="n">
        <f aca="false">IF(IF(ISBLANK(H57),1,(TRIM(H57)="")),"",ROUND(4.184*H57,3))</f>
        <v>124.809</v>
      </c>
      <c r="N57" s="34" t="n">
        <v>1</v>
      </c>
      <c r="O57" s="31" t="s">
        <v>77</v>
      </c>
      <c r="P57" s="60" t="n">
        <f aca="false">IF(IF(ISBLANK(G57),1,(TRIM(G57)="")),"",ROUND(4.184*G57+$N57*0.1094,3))</f>
        <v>122.282</v>
      </c>
      <c r="Q57" s="61" t="n">
        <f aca="false">IF(IF(ISBLANK(H57),1,(TRIM(H57)="")),"",ROUND(4.184*H57+$N57*0.1094,3))</f>
        <v>124.918</v>
      </c>
      <c r="S57" s="31" t="s">
        <v>77</v>
      </c>
      <c r="T57" s="60" t="n">
        <f aca="false">IF(IF(ISBLANK(G57),1,(TRIM(G57)="")),"",ROUND(G57+($N57*0.1094/4.184),3))</f>
        <v>29.226</v>
      </c>
      <c r="U57" s="61" t="n">
        <f aca="false">IF(IF(ISBLANK(H57),1,(TRIM(H57)="")),"",ROUND(H57+($N57*0.1094/4.184),3))</f>
        <v>29.856</v>
      </c>
    </row>
    <row r="58" customFormat="false" ht="12.75" hidden="false" customHeight="false" outlineLevel="0" collapsed="false">
      <c r="B58" s="35" t="s">
        <v>78</v>
      </c>
      <c r="C58" s="62"/>
      <c r="D58" s="63"/>
      <c r="E58" s="58"/>
      <c r="F58" s="31" t="s">
        <v>78</v>
      </c>
      <c r="G58" s="62"/>
      <c r="H58" s="63"/>
      <c r="J58" s="31" t="s">
        <v>78</v>
      </c>
      <c r="K58" s="60" t="str">
        <f aca="false">IF(IF(ISBLANK(G58),1,(TRIM(G58)="")),"",ROUND(4.184*G58,3))</f>
        <v/>
      </c>
      <c r="L58" s="61" t="str">
        <f aca="false">IF(IF(ISBLANK(H58),1,(TRIM(H58)="")),"",ROUND(4.184*H58,3))</f>
        <v/>
      </c>
      <c r="N58" s="34"/>
      <c r="O58" s="31" t="s">
        <v>78</v>
      </c>
      <c r="P58" s="60" t="str">
        <f aca="false">IF(IF(ISBLANK(G58),1,(TRIM(G58)="")),"",ROUND(4.184*G58+$N58*0.1094,3))</f>
        <v/>
      </c>
      <c r="Q58" s="61" t="str">
        <f aca="false">IF(IF(ISBLANK(H58),1,(TRIM(H58)="")),"",ROUND(4.184*H58+$N58*0.1094,3))</f>
        <v/>
      </c>
      <c r="S58" s="31" t="s">
        <v>78</v>
      </c>
      <c r="T58" s="60" t="str">
        <f aca="false">IF(IF(ISBLANK(G58),1,(TRIM(G58)="")),"",ROUND(G58+($N58*0.1094/4.184),3))</f>
        <v/>
      </c>
      <c r="U58" s="61" t="str">
        <f aca="false">IF(IF(ISBLANK(H58),1,(TRIM(H58)="")),"",ROUND(H58+($N58*0.1094/4.184),3))</f>
        <v/>
      </c>
    </row>
    <row r="59" customFormat="false" ht="12.75" hidden="false" customHeight="false" outlineLevel="0" collapsed="false">
      <c r="B59" s="35" t="s">
        <v>79</v>
      </c>
      <c r="C59" s="62" t="n">
        <v>17.8</v>
      </c>
      <c r="D59" s="63" t="n">
        <v>17.8</v>
      </c>
      <c r="E59" s="58"/>
      <c r="F59" s="31" t="s">
        <v>79</v>
      </c>
      <c r="G59" s="62" t="n">
        <v>17.8</v>
      </c>
      <c r="H59" s="63" t="n">
        <v>17.8</v>
      </c>
      <c r="J59" s="31" t="s">
        <v>79</v>
      </c>
      <c r="K59" s="60" t="n">
        <f aca="false">IF(IF(ISBLANK(G59),1,(TRIM(G59)="")),"",ROUND(4.184*G59,3))</f>
        <v>74.475</v>
      </c>
      <c r="L59" s="61" t="n">
        <f aca="false">IF(IF(ISBLANK(H59),1,(TRIM(H59)="")),"",ROUND(4.184*H59,3))</f>
        <v>74.475</v>
      </c>
      <c r="N59" s="34"/>
      <c r="O59" s="31" t="s">
        <v>79</v>
      </c>
      <c r="P59" s="60" t="n">
        <f aca="false">IF(IF(ISBLANK(G59),1,(TRIM(G59)="")),"",ROUND(4.184*G59+$N59*0.1094,3))</f>
        <v>74.475</v>
      </c>
      <c r="Q59" s="61" t="n">
        <f aca="false">IF(IF(ISBLANK(H59),1,(TRIM(H59)="")),"",ROUND(4.184*H59+$N59*0.1094,3))</f>
        <v>74.475</v>
      </c>
      <c r="S59" s="31" t="s">
        <v>79</v>
      </c>
      <c r="T59" s="60" t="n">
        <f aca="false">IF(IF(ISBLANK(G59),1,(TRIM(G59)="")),"",ROUND(G59+($N59*0.1094/4.184),3))</f>
        <v>17.8</v>
      </c>
      <c r="U59" s="61" t="n">
        <f aca="false">IF(IF(ISBLANK(H59),1,(TRIM(H59)="")),"",ROUND(H59+($N59*0.1094/4.184),3))</f>
        <v>17.8</v>
      </c>
    </row>
    <row r="60" customFormat="false" ht="12.75" hidden="false" customHeight="false" outlineLevel="0" collapsed="false">
      <c r="B60" s="35" t="s">
        <v>80</v>
      </c>
      <c r="C60" s="62"/>
      <c r="D60" s="63"/>
      <c r="E60" s="58"/>
      <c r="F60" s="31" t="s">
        <v>80</v>
      </c>
      <c r="G60" s="62"/>
      <c r="H60" s="63"/>
      <c r="J60" s="31" t="s">
        <v>80</v>
      </c>
      <c r="K60" s="60" t="str">
        <f aca="false">IF(IF(ISBLANK(G60),1,(TRIM(G60)="")),"",ROUND(4.184*G60,3))</f>
        <v/>
      </c>
      <c r="L60" s="61" t="str">
        <f aca="false">IF(IF(ISBLANK(H60),1,(TRIM(H60)="")),"",ROUND(4.184*H60,3))</f>
        <v/>
      </c>
      <c r="N60" s="34"/>
      <c r="O60" s="31" t="s">
        <v>80</v>
      </c>
      <c r="P60" s="60" t="str">
        <f aca="false">IF(IF(ISBLANK(G60),1,(TRIM(G60)="")),"",ROUND(4.184*G60+$N60*0.1094,3))</f>
        <v/>
      </c>
      <c r="Q60" s="61" t="str">
        <f aca="false">IF(IF(ISBLANK(H60),1,(TRIM(H60)="")),"",ROUND(4.184*H60+$N60*0.1094,3))</f>
        <v/>
      </c>
      <c r="S60" s="31" t="s">
        <v>80</v>
      </c>
      <c r="T60" s="60" t="str">
        <f aca="false">IF(IF(ISBLANK(G60),1,(TRIM(G60)="")),"",ROUND(G60+($N60*0.1094/4.184),3))</f>
        <v/>
      </c>
      <c r="U60" s="61" t="str">
        <f aca="false">IF(IF(ISBLANK(H60),1,(TRIM(H60)="")),"",ROUND(H60+($N60*0.1094/4.184),3))</f>
        <v/>
      </c>
    </row>
    <row r="61" customFormat="false" ht="12.75" hidden="false" customHeight="false" outlineLevel="0" collapsed="false">
      <c r="B61" s="35" t="s">
        <v>83</v>
      </c>
      <c r="C61" s="62" t="n">
        <v>15.7</v>
      </c>
      <c r="D61" s="63" t="n">
        <v>13.3</v>
      </c>
      <c r="E61" s="58"/>
      <c r="F61" s="31" t="s">
        <v>82</v>
      </c>
      <c r="G61" s="64" t="s">
        <v>178</v>
      </c>
      <c r="H61" s="65" t="s">
        <v>179</v>
      </c>
      <c r="J61" s="31" t="s">
        <v>82</v>
      </c>
      <c r="K61" s="60" t="n">
        <f aca="false">IF(IF(ISBLANK(G61),1,(TRIM(G61)="")),"",ROUND(4.184*G61,3))</f>
        <v>131.378</v>
      </c>
      <c r="L61" s="61" t="n">
        <f aca="false">IF(IF(ISBLANK(H61),1,(TRIM(H61)="")),"",ROUND(4.184*H61,3))</f>
        <v>111.294</v>
      </c>
      <c r="N61" s="34"/>
      <c r="O61" s="31" t="s">
        <v>82</v>
      </c>
      <c r="P61" s="60" t="n">
        <f aca="false">IF(IF(ISBLANK(G61),1,(TRIM(G61)="")),"",ROUND(4.184*G61+$N61*0.1094,3))</f>
        <v>131.378</v>
      </c>
      <c r="Q61" s="61" t="n">
        <f aca="false">IF(IF(ISBLANK(H61),1,(TRIM(H61)="")),"",ROUND(4.184*H61+$N61*0.1094,3))</f>
        <v>111.294</v>
      </c>
      <c r="S61" s="31" t="s">
        <v>82</v>
      </c>
      <c r="T61" s="60" t="n">
        <f aca="false">IF(IF(ISBLANK(G61),1,(TRIM(G61)="")),"",ROUND(G61+($N61*0.1094/4.184),3))</f>
        <v>31.4</v>
      </c>
      <c r="U61" s="61" t="n">
        <f aca="false">IF(IF(ISBLANK(H61),1,(TRIM(H61)="")),"",ROUND(H61+($N61*0.1094/4.184),3))</f>
        <v>26.6</v>
      </c>
    </row>
    <row r="62" customFormat="false" ht="12.75" hidden="false" customHeight="false" outlineLevel="0" collapsed="false">
      <c r="B62" s="35" t="s">
        <v>84</v>
      </c>
      <c r="C62" s="62"/>
      <c r="D62" s="63"/>
      <c r="E62" s="58"/>
      <c r="F62" s="31" t="s">
        <v>84</v>
      </c>
      <c r="G62" s="62"/>
      <c r="H62" s="63"/>
      <c r="J62" s="31" t="s">
        <v>84</v>
      </c>
      <c r="K62" s="60" t="str">
        <f aca="false">IF(IF(ISBLANK(G62),1,(TRIM(G62)="")),"",ROUND(4.184*G62,3))</f>
        <v/>
      </c>
      <c r="L62" s="61" t="str">
        <f aca="false">IF(IF(ISBLANK(H62),1,(TRIM(H62)="")),"",ROUND(4.184*H62,3))</f>
        <v/>
      </c>
      <c r="N62" s="34"/>
      <c r="O62" s="31" t="s">
        <v>84</v>
      </c>
      <c r="P62" s="60" t="str">
        <f aca="false">IF(IF(ISBLANK(G62),1,(TRIM(G62)="")),"",ROUND(4.184*G62+$N62*0.1094,3))</f>
        <v/>
      </c>
      <c r="Q62" s="61" t="str">
        <f aca="false">IF(IF(ISBLANK(H62),1,(TRIM(H62)="")),"",ROUND(4.184*H62+$N62*0.1094,3))</f>
        <v/>
      </c>
      <c r="S62" s="31" t="s">
        <v>84</v>
      </c>
      <c r="T62" s="60" t="str">
        <f aca="false">IF(IF(ISBLANK(G62),1,(TRIM(G62)="")),"",ROUND(G62+($N62*0.1094/4.184),3))</f>
        <v/>
      </c>
      <c r="U62" s="61" t="str">
        <f aca="false">IF(IF(ISBLANK(H62),1,(TRIM(H62)="")),"",ROUND(H62+($N62*0.1094/4.184),3))</f>
        <v/>
      </c>
    </row>
    <row r="63" customFormat="false" ht="12.75" hidden="false" customHeight="false" outlineLevel="0" collapsed="false">
      <c r="B63" s="35" t="s">
        <v>85</v>
      </c>
      <c r="C63" s="62" t="n">
        <v>8.7</v>
      </c>
      <c r="D63" s="63" t="n">
        <v>8.7</v>
      </c>
      <c r="E63" s="58"/>
      <c r="F63" s="31" t="s">
        <v>85</v>
      </c>
      <c r="G63" s="62" t="n">
        <v>8.7</v>
      </c>
      <c r="H63" s="63" t="n">
        <v>8.7</v>
      </c>
      <c r="J63" s="31" t="s">
        <v>85</v>
      </c>
      <c r="K63" s="60" t="n">
        <f aca="false">IF(IF(ISBLANK(G63),1,(TRIM(G63)="")),"",ROUND(4.184*G63,3))</f>
        <v>36.401</v>
      </c>
      <c r="L63" s="61" t="n">
        <f aca="false">IF(IF(ISBLANK(H63),1,(TRIM(H63)="")),"",ROUND(4.184*H63,3))</f>
        <v>36.401</v>
      </c>
      <c r="N63" s="34"/>
      <c r="O63" s="31" t="s">
        <v>85</v>
      </c>
      <c r="P63" s="60" t="n">
        <f aca="false">IF(IF(ISBLANK(G63),1,(TRIM(G63)="")),"",ROUND(4.184*G63+$N63*0.1094,3))</f>
        <v>36.401</v>
      </c>
      <c r="Q63" s="61" t="n">
        <f aca="false">IF(IF(ISBLANK(H63),1,(TRIM(H63)="")),"",ROUND(4.184*H63+$N63*0.1094,3))</f>
        <v>36.401</v>
      </c>
      <c r="S63" s="31" t="s">
        <v>85</v>
      </c>
      <c r="T63" s="60" t="n">
        <f aca="false">IF(IF(ISBLANK(G63),1,(TRIM(G63)="")),"",ROUND(G63+($N63*0.1094/4.184),3))</f>
        <v>8.7</v>
      </c>
      <c r="U63" s="61" t="n">
        <f aca="false">IF(IF(ISBLANK(H63),1,(TRIM(H63)="")),"",ROUND(H63+($N63*0.1094/4.184),3))</f>
        <v>8.7</v>
      </c>
    </row>
    <row r="64" customFormat="false" ht="12.75" hidden="false" customHeight="false" outlineLevel="0" collapsed="false">
      <c r="B64" s="35" t="s">
        <v>86</v>
      </c>
      <c r="C64" s="64" t="n">
        <v>19.7</v>
      </c>
      <c r="D64" s="63" t="n">
        <v>16.6</v>
      </c>
      <c r="E64" s="58"/>
      <c r="F64" s="38" t="s">
        <v>86</v>
      </c>
      <c r="G64" s="64" t="n">
        <v>19.7</v>
      </c>
      <c r="H64" s="63" t="n">
        <v>16.6</v>
      </c>
      <c r="J64" s="38" t="s">
        <v>86</v>
      </c>
      <c r="K64" s="60" t="n">
        <f aca="false">IF(IF(ISBLANK(G64),1,(TRIM(G64)="")),"",ROUND(4.184*G64,3))</f>
        <v>82.425</v>
      </c>
      <c r="L64" s="61" t="n">
        <f aca="false">IF(IF(ISBLANK(H64),1,(TRIM(H64)="")),"",ROUND(4.184*H64,3))</f>
        <v>69.454</v>
      </c>
      <c r="N64" s="34"/>
      <c r="O64" s="38" t="s">
        <v>86</v>
      </c>
      <c r="P64" s="60" t="n">
        <f aca="false">IF(IF(ISBLANK(G64),1,(TRIM(G64)="")),"",ROUND(4.184*G64+$N64*0.1094,3))</f>
        <v>82.425</v>
      </c>
      <c r="Q64" s="61" t="n">
        <f aca="false">IF(IF(ISBLANK(H64),1,(TRIM(H64)="")),"",ROUND(4.184*H64+$N64*0.1094,3))</f>
        <v>69.454</v>
      </c>
      <c r="S64" s="38" t="s">
        <v>86</v>
      </c>
      <c r="T64" s="60" t="n">
        <f aca="false">IF(IF(ISBLANK(G64),1,(TRIM(G64)="")),"",ROUND(G64+($N64*0.1094/4.184),3))</f>
        <v>19.7</v>
      </c>
      <c r="U64" s="61" t="n">
        <f aca="false">IF(IF(ISBLANK(H64),1,(TRIM(H64)="")),"",ROUND(H64+($N64*0.1094/4.184),3))</f>
        <v>16.6</v>
      </c>
    </row>
    <row r="65" customFormat="false" ht="12.75" hidden="false" customHeight="false" outlineLevel="0" collapsed="false">
      <c r="B65" s="35" t="s">
        <v>87</v>
      </c>
      <c r="C65" s="62"/>
      <c r="D65" s="63" t="n">
        <v>38.88</v>
      </c>
      <c r="E65" s="58"/>
      <c r="F65" s="31" t="s">
        <v>87</v>
      </c>
      <c r="G65" s="62"/>
      <c r="H65" s="63" t="n">
        <v>38.88</v>
      </c>
      <c r="J65" s="31" t="s">
        <v>87</v>
      </c>
      <c r="K65" s="60" t="str">
        <f aca="false">IF(IF(ISBLANK(G65),1,(TRIM(G65)="")),"",ROUND(4.184*G65,3))</f>
        <v/>
      </c>
      <c r="L65" s="61" t="n">
        <f aca="false">IF(IF(ISBLANK(H65),1,(TRIM(H65)="")),"",ROUND(4.184*H65,3))</f>
        <v>162.674</v>
      </c>
      <c r="N65" s="34" t="n">
        <v>1</v>
      </c>
      <c r="O65" s="31" t="s">
        <v>87</v>
      </c>
      <c r="P65" s="60" t="str">
        <f aca="false">IF(IF(ISBLANK(G65),1,(TRIM(G65)="")),"",ROUND(4.184*G65+$N65*0.1094,3))</f>
        <v/>
      </c>
      <c r="Q65" s="61" t="n">
        <f aca="false">IF(IF(ISBLANK(H65),1,(TRIM(H65)="")),"",ROUND(4.184*H65+$N65*0.1094,3))</f>
        <v>162.783</v>
      </c>
      <c r="S65" s="31" t="s">
        <v>87</v>
      </c>
      <c r="T65" s="60" t="str">
        <f aca="false">IF(IF(ISBLANK(G65),1,(TRIM(G65)="")),"",ROUND(G65+($N65*0.1094/4.184),3))</f>
        <v/>
      </c>
      <c r="U65" s="61" t="n">
        <f aca="false">IF(IF(ISBLANK(H65),1,(TRIM(H65)="")),"",ROUND(H65+($N65*0.1094/4.184),3))</f>
        <v>38.906</v>
      </c>
    </row>
    <row r="66" customFormat="false" ht="12.75" hidden="false" customHeight="false" outlineLevel="0" collapsed="false">
      <c r="B66" s="35" t="s">
        <v>88</v>
      </c>
      <c r="C66" s="62" t="n">
        <v>13.7</v>
      </c>
      <c r="D66" s="63" t="n">
        <v>13.7</v>
      </c>
      <c r="E66" s="58"/>
      <c r="F66" s="31" t="s">
        <v>88</v>
      </c>
      <c r="G66" s="62" t="n">
        <v>13.7</v>
      </c>
      <c r="H66" s="63" t="n">
        <v>13.7</v>
      </c>
      <c r="J66" s="31" t="s">
        <v>88</v>
      </c>
      <c r="K66" s="60" t="n">
        <f aca="false">IF(IF(ISBLANK(G66),1,(TRIM(G66)="")),"",ROUND(4.184*G66,3))</f>
        <v>57.321</v>
      </c>
      <c r="L66" s="61" t="n">
        <f aca="false">IF(IF(ISBLANK(H66),1,(TRIM(H66)="")),"",ROUND(4.184*H66,3))</f>
        <v>57.321</v>
      </c>
      <c r="N66" s="34"/>
      <c r="O66" s="31" t="s">
        <v>88</v>
      </c>
      <c r="P66" s="60" t="n">
        <f aca="false">IF(IF(ISBLANK(G66),1,(TRIM(G66)="")),"",ROUND(4.184*G66+$N66*0.1094,3))</f>
        <v>57.321</v>
      </c>
      <c r="Q66" s="61" t="n">
        <f aca="false">IF(IF(ISBLANK(H66),1,(TRIM(H66)="")),"",ROUND(4.184*H66+$N66*0.1094,3))</f>
        <v>57.321</v>
      </c>
      <c r="S66" s="31" t="s">
        <v>88</v>
      </c>
      <c r="T66" s="60" t="n">
        <f aca="false">IF(IF(ISBLANK(G66),1,(TRIM(G66)="")),"",ROUND(G66+($N66*0.1094/4.184),3))</f>
        <v>13.7</v>
      </c>
      <c r="U66" s="61" t="n">
        <f aca="false">IF(IF(ISBLANK(H66),1,(TRIM(H66)="")),"",ROUND(H66+($N66*0.1094/4.184),3))</f>
        <v>13.7</v>
      </c>
    </row>
    <row r="67" customFormat="false" ht="12.75" hidden="false" customHeight="false" outlineLevel="0" collapsed="false">
      <c r="B67" s="35" t="s">
        <v>89</v>
      </c>
      <c r="C67" s="62" t="n">
        <v>7.6</v>
      </c>
      <c r="D67" s="63" t="n">
        <v>7.6</v>
      </c>
      <c r="E67" s="58"/>
      <c r="F67" s="38" t="s">
        <v>89</v>
      </c>
      <c r="G67" s="62" t="n">
        <v>7.6</v>
      </c>
      <c r="H67" s="63" t="n">
        <v>7.6</v>
      </c>
      <c r="J67" s="38" t="s">
        <v>89</v>
      </c>
      <c r="K67" s="60" t="n">
        <f aca="false">IF(IF(ISBLANK(G67),1,(TRIM(G67)="")),"",ROUND(4.184*G67,3))</f>
        <v>31.798</v>
      </c>
      <c r="L67" s="61" t="n">
        <f aca="false">IF(IF(ISBLANK(H67),1,(TRIM(H67)="")),"",ROUND(4.184*H67,3))</f>
        <v>31.798</v>
      </c>
      <c r="N67" s="34"/>
      <c r="O67" s="38" t="s">
        <v>89</v>
      </c>
      <c r="P67" s="60" t="n">
        <f aca="false">IF(IF(ISBLANK(G67),1,(TRIM(G67)="")),"",ROUND(4.184*G67+$N67*0.1094,3))</f>
        <v>31.798</v>
      </c>
      <c r="Q67" s="61" t="n">
        <f aca="false">IF(IF(ISBLANK(H67),1,(TRIM(H67)="")),"",ROUND(4.184*H67+$N67*0.1094,3))</f>
        <v>31.798</v>
      </c>
      <c r="S67" s="38" t="s">
        <v>89</v>
      </c>
      <c r="T67" s="60" t="n">
        <f aca="false">IF(IF(ISBLANK(G67),1,(TRIM(G67)="")),"",ROUND(G67+($N67*0.1094/4.184),3))</f>
        <v>7.6</v>
      </c>
      <c r="U67" s="61" t="n">
        <f aca="false">IF(IF(ISBLANK(H67),1,(TRIM(H67)="")),"",ROUND(H67+($N67*0.1094/4.184),3))</f>
        <v>7.6</v>
      </c>
    </row>
    <row r="68" customFormat="false" ht="12.75" hidden="false" customHeight="false" outlineLevel="0" collapsed="false">
      <c r="B68" s="35" t="s">
        <v>90</v>
      </c>
      <c r="C68" s="64"/>
      <c r="D68" s="63"/>
      <c r="E68" s="58"/>
      <c r="F68" s="31" t="s">
        <v>90</v>
      </c>
      <c r="G68" s="64"/>
      <c r="H68" s="63"/>
      <c r="J68" s="31" t="s">
        <v>90</v>
      </c>
      <c r="K68" s="60" t="str">
        <f aca="false">IF(IF(ISBLANK(G68),1,(TRIM(G68)="")),"",ROUND(4.184*G68,3))</f>
        <v/>
      </c>
      <c r="L68" s="61" t="str">
        <f aca="false">IF(IF(ISBLANK(H68),1,(TRIM(H68)="")),"",ROUND(4.184*H68,3))</f>
        <v/>
      </c>
      <c r="N68" s="34"/>
      <c r="O68" s="31" t="s">
        <v>90</v>
      </c>
      <c r="P68" s="60" t="str">
        <f aca="false">IF(IF(ISBLANK(G68),1,(TRIM(G68)="")),"",ROUND(4.184*G68+$N68*0.1094,3))</f>
        <v/>
      </c>
      <c r="Q68" s="61" t="str">
        <f aca="false">IF(IF(ISBLANK(H68),1,(TRIM(H68)="")),"",ROUND(4.184*H68+$N68*0.1094,3))</f>
        <v/>
      </c>
      <c r="S68" s="31" t="s">
        <v>90</v>
      </c>
      <c r="T68" s="60" t="str">
        <f aca="false">IF(IF(ISBLANK(G68),1,(TRIM(G68)="")),"",ROUND(G68+($N68*0.1094/4.184),3))</f>
        <v/>
      </c>
      <c r="U68" s="61" t="str">
        <f aca="false">IF(IF(ISBLANK(H68),1,(TRIM(H68)="")),"",ROUND(H68+($N68*0.1094/4.184),3))</f>
        <v/>
      </c>
    </row>
    <row r="69" customFormat="false" ht="12.75" hidden="false" customHeight="false" outlineLevel="0" collapsed="false">
      <c r="B69" s="35" t="s">
        <v>91</v>
      </c>
      <c r="C69" s="62"/>
      <c r="D69" s="63"/>
      <c r="E69" s="58"/>
      <c r="F69" s="31" t="s">
        <v>91</v>
      </c>
      <c r="G69" s="62"/>
      <c r="H69" s="63"/>
      <c r="J69" s="31" t="s">
        <v>91</v>
      </c>
      <c r="K69" s="60" t="str">
        <f aca="false">IF(IF(ISBLANK(G69),1,(TRIM(G69)="")),"",ROUND(4.184*G69,3))</f>
        <v/>
      </c>
      <c r="L69" s="61" t="str">
        <f aca="false">IF(IF(ISBLANK(H69),1,(TRIM(H69)="")),"",ROUND(4.184*H69,3))</f>
        <v/>
      </c>
      <c r="N69" s="34"/>
      <c r="O69" s="31" t="s">
        <v>91</v>
      </c>
      <c r="P69" s="60" t="str">
        <f aca="false">IF(IF(ISBLANK(G69),1,(TRIM(G69)="")),"",ROUND(4.184*G69+$N69*0.1094,3))</f>
        <v/>
      </c>
      <c r="Q69" s="61" t="str">
        <f aca="false">IF(IF(ISBLANK(H69),1,(TRIM(H69)="")),"",ROUND(4.184*H69+$N69*0.1094,3))</f>
        <v/>
      </c>
      <c r="S69" s="31" t="s">
        <v>91</v>
      </c>
      <c r="T69" s="60" t="str">
        <f aca="false">IF(IF(ISBLANK(G69),1,(TRIM(G69)="")),"",ROUND(G69+($N69*0.1094/4.184),3))</f>
        <v/>
      </c>
      <c r="U69" s="61" t="str">
        <f aca="false">IF(IF(ISBLANK(H69),1,(TRIM(H69)="")),"",ROUND(H69+($N69*0.1094/4.184),3))</f>
        <v/>
      </c>
    </row>
    <row r="70" customFormat="false" ht="12.75" hidden="false" customHeight="false" outlineLevel="0" collapsed="false">
      <c r="B70" s="35" t="s">
        <v>92</v>
      </c>
      <c r="C70" s="64"/>
      <c r="D70" s="63"/>
      <c r="E70" s="58"/>
      <c r="F70" s="31" t="s">
        <v>92</v>
      </c>
      <c r="G70" s="64"/>
      <c r="H70" s="63"/>
      <c r="J70" s="31" t="s">
        <v>92</v>
      </c>
      <c r="K70" s="60" t="str">
        <f aca="false">IF(IF(ISBLANK(G70),1,(TRIM(G70)="")),"",ROUND(4.184*G70,3))</f>
        <v/>
      </c>
      <c r="L70" s="61" t="str">
        <f aca="false">IF(IF(ISBLANK(H70),1,(TRIM(H70)="")),"",ROUND(4.184*H70,3))</f>
        <v/>
      </c>
      <c r="N70" s="34"/>
      <c r="O70" s="31" t="s">
        <v>92</v>
      </c>
      <c r="P70" s="60" t="str">
        <f aca="false">IF(IF(ISBLANK(G70),1,(TRIM(G70)="")),"",ROUND(4.184*G70+$N70*0.1094,3))</f>
        <v/>
      </c>
      <c r="Q70" s="61" t="str">
        <f aca="false">IF(IF(ISBLANK(H70),1,(TRIM(H70)="")),"",ROUND(4.184*H70+$N70*0.1094,3))</f>
        <v/>
      </c>
      <c r="S70" s="31" t="s">
        <v>92</v>
      </c>
      <c r="T70" s="60" t="str">
        <f aca="false">IF(IF(ISBLANK(G70),1,(TRIM(G70)="")),"",ROUND(G70+($N70*0.1094/4.184),3))</f>
        <v/>
      </c>
      <c r="U70" s="61" t="str">
        <f aca="false">IF(IF(ISBLANK(H70),1,(TRIM(H70)="")),"",ROUND(H70+($N70*0.1094/4.184),3))</f>
        <v/>
      </c>
    </row>
    <row r="71" customFormat="false" ht="12.75" hidden="false" customHeight="false" outlineLevel="0" collapsed="false">
      <c r="B71" s="35" t="s">
        <v>93</v>
      </c>
      <c r="C71" s="62" t="n">
        <v>8.3</v>
      </c>
      <c r="D71" s="63" t="n">
        <v>8.3</v>
      </c>
      <c r="E71" s="58"/>
      <c r="F71" s="31" t="s">
        <v>93</v>
      </c>
      <c r="G71" s="62" t="n">
        <v>8.3</v>
      </c>
      <c r="H71" s="63" t="n">
        <v>8.3</v>
      </c>
      <c r="J71" s="31" t="s">
        <v>93</v>
      </c>
      <c r="K71" s="60" t="n">
        <f aca="false">IF(IF(ISBLANK(G71),1,(TRIM(G71)="")),"",ROUND(4.184*G71,3))</f>
        <v>34.727</v>
      </c>
      <c r="L71" s="61" t="n">
        <f aca="false">IF(IF(ISBLANK(H71),1,(TRIM(H71)="")),"",ROUND(4.184*H71,3))</f>
        <v>34.727</v>
      </c>
      <c r="N71" s="34"/>
      <c r="O71" s="31" t="s">
        <v>93</v>
      </c>
      <c r="P71" s="60" t="n">
        <f aca="false">IF(IF(ISBLANK(G71),1,(TRIM(G71)="")),"",ROUND(4.184*G71+$N71*0.1094,3))</f>
        <v>34.727</v>
      </c>
      <c r="Q71" s="61" t="n">
        <f aca="false">IF(IF(ISBLANK(H71),1,(TRIM(H71)="")),"",ROUND(4.184*H71+$N71*0.1094,3))</f>
        <v>34.727</v>
      </c>
      <c r="S71" s="31" t="s">
        <v>93</v>
      </c>
      <c r="T71" s="60" t="n">
        <f aca="false">IF(IF(ISBLANK(G71),1,(TRIM(G71)="")),"",ROUND(G71+($N71*0.1094/4.184),3))</f>
        <v>8.3</v>
      </c>
      <c r="U71" s="61" t="n">
        <f aca="false">IF(IF(ISBLANK(H71),1,(TRIM(H71)="")),"",ROUND(H71+($N71*0.1094/4.184),3))</f>
        <v>8.3</v>
      </c>
    </row>
    <row r="72" customFormat="false" ht="12.75" hidden="false" customHeight="false" outlineLevel="0" collapsed="false">
      <c r="B72" s="35" t="s">
        <v>94</v>
      </c>
      <c r="C72" s="62" t="n">
        <v>7.3</v>
      </c>
      <c r="D72" s="63" t="n">
        <v>7.3</v>
      </c>
      <c r="E72" s="58"/>
      <c r="F72" s="31" t="s">
        <v>94</v>
      </c>
      <c r="G72" s="62" t="n">
        <v>7.3</v>
      </c>
      <c r="H72" s="63" t="n">
        <v>7.3</v>
      </c>
      <c r="J72" s="31" t="s">
        <v>94</v>
      </c>
      <c r="K72" s="60" t="n">
        <f aca="false">IF(IF(ISBLANK(G72),1,(TRIM(G72)="")),"",ROUND(4.184*G72,3))</f>
        <v>30.543</v>
      </c>
      <c r="L72" s="61" t="n">
        <f aca="false">IF(IF(ISBLANK(H72),1,(TRIM(H72)="")),"",ROUND(4.184*H72,3))</f>
        <v>30.543</v>
      </c>
      <c r="N72" s="34"/>
      <c r="O72" s="31" t="s">
        <v>94</v>
      </c>
      <c r="P72" s="60" t="n">
        <f aca="false">IF(IF(ISBLANK(G72),1,(TRIM(G72)="")),"",ROUND(4.184*G72+$N72*0.1094,3))</f>
        <v>30.543</v>
      </c>
      <c r="Q72" s="61" t="n">
        <f aca="false">IF(IF(ISBLANK(H72),1,(TRIM(H72)="")),"",ROUND(4.184*H72+$N72*0.1094,3))</f>
        <v>30.543</v>
      </c>
      <c r="S72" s="31" t="s">
        <v>94</v>
      </c>
      <c r="T72" s="60" t="n">
        <f aca="false">IF(IF(ISBLANK(G72),1,(TRIM(G72)="")),"",ROUND(G72+($N72*0.1094/4.184),3))</f>
        <v>7.3</v>
      </c>
      <c r="U72" s="61" t="n">
        <f aca="false">IF(IF(ISBLANK(H72),1,(TRIM(H72)="")),"",ROUND(H72+($N72*0.1094/4.184),3))</f>
        <v>7.3</v>
      </c>
    </row>
    <row r="73" customFormat="false" ht="12.75" hidden="false" customHeight="false" outlineLevel="0" collapsed="false">
      <c r="B73" s="35" t="s">
        <v>95</v>
      </c>
      <c r="C73" s="62" t="n">
        <v>7.5</v>
      </c>
      <c r="D73" s="63" t="n">
        <v>7.5</v>
      </c>
      <c r="E73" s="58"/>
      <c r="F73" s="31" t="s">
        <v>95</v>
      </c>
      <c r="G73" s="62" t="n">
        <v>7.5</v>
      </c>
      <c r="H73" s="63" t="n">
        <v>7.5</v>
      </c>
      <c r="J73" s="31" t="s">
        <v>95</v>
      </c>
      <c r="K73" s="60" t="n">
        <f aca="false">IF(IF(ISBLANK(G73),1,(TRIM(G73)="")),"",ROUND(4.184*G73,3))</f>
        <v>31.38</v>
      </c>
      <c r="L73" s="61" t="n">
        <f aca="false">IF(IF(ISBLANK(H73),1,(TRIM(H73)="")),"",ROUND(4.184*H73,3))</f>
        <v>31.38</v>
      </c>
      <c r="N73" s="34"/>
      <c r="O73" s="31" t="s">
        <v>95</v>
      </c>
      <c r="P73" s="60" t="n">
        <f aca="false">IF(IF(ISBLANK(G73),1,(TRIM(G73)="")),"",ROUND(4.184*G73+$N73*0.1094,3))</f>
        <v>31.38</v>
      </c>
      <c r="Q73" s="61" t="n">
        <f aca="false">IF(IF(ISBLANK(H73),1,(TRIM(H73)="")),"",ROUND(4.184*H73+$N73*0.1094,3))</f>
        <v>31.38</v>
      </c>
      <c r="S73" s="31" t="s">
        <v>95</v>
      </c>
      <c r="T73" s="60" t="n">
        <f aca="false">IF(IF(ISBLANK(G73),1,(TRIM(G73)="")),"",ROUND(G73+($N73*0.1094/4.184),3))</f>
        <v>7.5</v>
      </c>
      <c r="U73" s="61" t="n">
        <f aca="false">IF(IF(ISBLANK(H73),1,(TRIM(H73)="")),"",ROUND(H73+($N73*0.1094/4.184),3))</f>
        <v>7.5</v>
      </c>
    </row>
    <row r="74" customFormat="false" ht="12.75" hidden="false" customHeight="false" outlineLevel="0" collapsed="false">
      <c r="B74" s="35" t="s">
        <v>98</v>
      </c>
      <c r="C74" s="64" t="n">
        <v>22.8</v>
      </c>
      <c r="D74" s="63" t="n">
        <v>22.8</v>
      </c>
      <c r="E74" s="58"/>
      <c r="F74" s="31" t="s">
        <v>97</v>
      </c>
      <c r="G74" s="64" t="s">
        <v>180</v>
      </c>
      <c r="H74" s="65" t="s">
        <v>180</v>
      </c>
      <c r="J74" s="31" t="s">
        <v>97</v>
      </c>
      <c r="K74" s="60" t="n">
        <f aca="false">IF(IF(ISBLANK(G74),1,(TRIM(G74)="")),"",ROUND(4.184*G74,3))</f>
        <v>190.79</v>
      </c>
      <c r="L74" s="61" t="n">
        <f aca="false">IF(IF(ISBLANK(H74),1,(TRIM(H74)="")),"",ROUND(4.184*H74,3))</f>
        <v>190.79</v>
      </c>
      <c r="N74" s="34" t="n">
        <v>1</v>
      </c>
      <c r="O74" s="31" t="s">
        <v>97</v>
      </c>
      <c r="P74" s="60" t="n">
        <f aca="false">IF(IF(ISBLANK(G74),1,(TRIM(G74)="")),"",ROUND(4.184*G74+$N74*0.1094,3))</f>
        <v>190.9</v>
      </c>
      <c r="Q74" s="61" t="n">
        <f aca="false">IF(IF(ISBLANK(H74),1,(TRIM(H74)="")),"",ROUND(4.184*H74+$N74*0.1094,3))</f>
        <v>190.9</v>
      </c>
      <c r="S74" s="31" t="s">
        <v>97</v>
      </c>
      <c r="T74" s="60" t="n">
        <f aca="false">IF(IF(ISBLANK(G74),1,(TRIM(G74)="")),"",ROUND(G74+($N74*0.1094/4.184),3))</f>
        <v>45.626</v>
      </c>
      <c r="U74" s="61" t="n">
        <f aca="false">IF(IF(ISBLANK(H74),1,(TRIM(H74)="")),"",ROUND(H74+($N74*0.1094/4.184),3))</f>
        <v>45.626</v>
      </c>
    </row>
    <row r="75" customFormat="false" ht="12.75" hidden="false" customHeight="false" outlineLevel="0" collapsed="false">
      <c r="B75" s="35" t="s">
        <v>99</v>
      </c>
      <c r="C75" s="62" t="n">
        <v>12.2</v>
      </c>
      <c r="D75" s="65" t="n">
        <v>12.2</v>
      </c>
      <c r="E75" s="66"/>
      <c r="F75" s="38" t="s">
        <v>99</v>
      </c>
      <c r="G75" s="62" t="n">
        <v>12.2</v>
      </c>
      <c r="H75" s="65" t="n">
        <v>12.2</v>
      </c>
      <c r="J75" s="38" t="s">
        <v>99</v>
      </c>
      <c r="K75" s="60" t="n">
        <f aca="false">IF(IF(ISBLANK(G75),1,(TRIM(G75)="")),"",ROUND(4.184*G75,3))</f>
        <v>51.045</v>
      </c>
      <c r="L75" s="61" t="n">
        <f aca="false">IF(IF(ISBLANK(H75),1,(TRIM(H75)="")),"",ROUND(4.184*H75,3))</f>
        <v>51.045</v>
      </c>
      <c r="N75" s="34"/>
      <c r="O75" s="38" t="s">
        <v>99</v>
      </c>
      <c r="P75" s="60" t="n">
        <f aca="false">IF(IF(ISBLANK(G75),1,(TRIM(G75)="")),"",ROUND(4.184*G75+$N75*0.1094,3))</f>
        <v>51.045</v>
      </c>
      <c r="Q75" s="61" t="n">
        <f aca="false">IF(IF(ISBLANK(H75),1,(TRIM(H75)="")),"",ROUND(4.184*H75+$N75*0.1094,3))</f>
        <v>51.045</v>
      </c>
      <c r="S75" s="38" t="s">
        <v>99</v>
      </c>
      <c r="T75" s="60" t="n">
        <f aca="false">IF(IF(ISBLANK(G75),1,(TRIM(G75)="")),"",ROUND(G75+($N75*0.1094/4.184),3))</f>
        <v>12.2</v>
      </c>
      <c r="U75" s="61" t="n">
        <f aca="false">IF(IF(ISBLANK(H75),1,(TRIM(H75)="")),"",ROUND(H75+($N75*0.1094/4.184),3))</f>
        <v>12.2</v>
      </c>
    </row>
    <row r="76" customFormat="false" ht="12.75" hidden="false" customHeight="false" outlineLevel="0" collapsed="false">
      <c r="B76" s="35" t="s">
        <v>100</v>
      </c>
      <c r="C76" s="62"/>
      <c r="D76" s="63"/>
      <c r="E76" s="58"/>
      <c r="F76" s="31" t="s">
        <v>100</v>
      </c>
      <c r="G76" s="62"/>
      <c r="H76" s="63"/>
      <c r="J76" s="31" t="s">
        <v>100</v>
      </c>
      <c r="K76" s="60" t="str">
        <f aca="false">IF(IF(ISBLANK(G76),1,(TRIM(G76)="")),"",ROUND(4.184*G76,3))</f>
        <v/>
      </c>
      <c r="L76" s="61" t="str">
        <f aca="false">IF(IF(ISBLANK(H76),1,(TRIM(H76)="")),"",ROUND(4.184*H76,3))</f>
        <v/>
      </c>
      <c r="N76" s="34"/>
      <c r="O76" s="31" t="s">
        <v>100</v>
      </c>
      <c r="P76" s="60" t="str">
        <f aca="false">IF(IF(ISBLANK(G76),1,(TRIM(G76)="")),"",ROUND(4.184*G76+$N76*0.1094,3))</f>
        <v/>
      </c>
      <c r="Q76" s="61" t="str">
        <f aca="false">IF(IF(ISBLANK(H76),1,(TRIM(H76)="")),"",ROUND(4.184*H76+$N76*0.1094,3))</f>
        <v/>
      </c>
      <c r="S76" s="31" t="s">
        <v>100</v>
      </c>
      <c r="T76" s="60" t="str">
        <f aca="false">IF(IF(ISBLANK(G76),1,(TRIM(G76)="")),"",ROUND(G76+($N76*0.1094/4.184),3))</f>
        <v/>
      </c>
      <c r="U76" s="61" t="str">
        <f aca="false">IF(IF(ISBLANK(H76),1,(TRIM(H76)="")),"",ROUND(H76+($N76*0.1094/4.184),3))</f>
        <v/>
      </c>
    </row>
    <row r="77" customFormat="false" ht="12.75" hidden="false" customHeight="false" outlineLevel="0" collapsed="false">
      <c r="B77" s="35" t="s">
        <v>101</v>
      </c>
      <c r="C77" s="62"/>
      <c r="D77" s="63"/>
      <c r="E77" s="58"/>
      <c r="F77" s="31" t="s">
        <v>101</v>
      </c>
      <c r="G77" s="62"/>
      <c r="H77" s="63"/>
      <c r="J77" s="31" t="s">
        <v>101</v>
      </c>
      <c r="K77" s="60" t="str">
        <f aca="false">IF(IF(ISBLANK(G77),1,(TRIM(G77)="")),"",ROUND(4.184*G77,3))</f>
        <v/>
      </c>
      <c r="L77" s="61" t="str">
        <f aca="false">IF(IF(ISBLANK(H77),1,(TRIM(H77)="")),"",ROUND(4.184*H77,3))</f>
        <v/>
      </c>
      <c r="N77" s="34"/>
      <c r="O77" s="31" t="s">
        <v>101</v>
      </c>
      <c r="P77" s="60" t="str">
        <f aca="false">IF(IF(ISBLANK(G77),1,(TRIM(G77)="")),"",ROUND(4.184*G77+$N77*0.1094,3))</f>
        <v/>
      </c>
      <c r="Q77" s="61" t="str">
        <f aca="false">IF(IF(ISBLANK(H77),1,(TRIM(H77)="")),"",ROUND(4.184*H77+$N77*0.1094,3))</f>
        <v/>
      </c>
      <c r="S77" s="31" t="s">
        <v>101</v>
      </c>
      <c r="T77" s="60" t="str">
        <f aca="false">IF(IF(ISBLANK(G77),1,(TRIM(G77)="")),"",ROUND(G77+($N77*0.1094/4.184),3))</f>
        <v/>
      </c>
      <c r="U77" s="61" t="str">
        <f aca="false">IF(IF(ISBLANK(H77),1,(TRIM(H77)="")),"",ROUND(H77+($N77*0.1094/4.184),3))</f>
        <v/>
      </c>
    </row>
    <row r="78" customFormat="false" ht="12.75" hidden="false" customHeight="false" outlineLevel="0" collapsed="false">
      <c r="B78" s="35" t="s">
        <v>102</v>
      </c>
      <c r="C78" s="62"/>
      <c r="D78" s="63" t="n">
        <v>34.66</v>
      </c>
      <c r="E78" s="58"/>
      <c r="F78" s="31" t="s">
        <v>102</v>
      </c>
      <c r="G78" s="62"/>
      <c r="H78" s="63" t="n">
        <v>34.66</v>
      </c>
      <c r="J78" s="31" t="s">
        <v>102</v>
      </c>
      <c r="K78" s="60" t="str">
        <f aca="false">IF(IF(ISBLANK(G78),1,(TRIM(G78)="")),"",ROUND(4.184*G78,3))</f>
        <v/>
      </c>
      <c r="L78" s="61" t="n">
        <f aca="false">IF(IF(ISBLANK(H78),1,(TRIM(H78)="")),"",ROUND(4.184*H78,3))</f>
        <v>145.017</v>
      </c>
      <c r="N78" s="34" t="n">
        <v>1</v>
      </c>
      <c r="O78" s="31" t="s">
        <v>102</v>
      </c>
      <c r="P78" s="60" t="str">
        <f aca="false">IF(IF(ISBLANK(G78),1,(TRIM(G78)="")),"",ROUND(4.184*G78+$N78*0.1094,3))</f>
        <v/>
      </c>
      <c r="Q78" s="61" t="n">
        <f aca="false">IF(IF(ISBLANK(H78),1,(TRIM(H78)="")),"",ROUND(4.184*H78+$N78*0.1094,3))</f>
        <v>145.127</v>
      </c>
      <c r="S78" s="31" t="s">
        <v>102</v>
      </c>
      <c r="T78" s="60" t="str">
        <f aca="false">IF(IF(ISBLANK(G78),1,(TRIM(G78)="")),"",ROUND(G78+($N78*0.1094/4.184),3))</f>
        <v/>
      </c>
      <c r="U78" s="61" t="n">
        <f aca="false">IF(IF(ISBLANK(H78),1,(TRIM(H78)="")),"",ROUND(H78+($N78*0.1094/4.184),3))</f>
        <v>34.686</v>
      </c>
    </row>
    <row r="79" customFormat="false" ht="12.75" hidden="false" customHeight="false" outlineLevel="0" collapsed="false">
      <c r="B79" s="35" t="s">
        <v>103</v>
      </c>
      <c r="C79" s="62" t="n">
        <v>7.2</v>
      </c>
      <c r="D79" s="63" t="n">
        <v>7.2</v>
      </c>
      <c r="E79" s="58"/>
      <c r="F79" s="31" t="s">
        <v>103</v>
      </c>
      <c r="G79" s="62" t="n">
        <v>7.2</v>
      </c>
      <c r="H79" s="63" t="n">
        <v>7.2</v>
      </c>
      <c r="J79" s="31" t="s">
        <v>103</v>
      </c>
      <c r="K79" s="60" t="n">
        <f aca="false">IF(IF(ISBLANK(G79),1,(TRIM(G79)="")),"",ROUND(4.184*G79,3))</f>
        <v>30.125</v>
      </c>
      <c r="L79" s="61" t="n">
        <f aca="false">IF(IF(ISBLANK(H79),1,(TRIM(H79)="")),"",ROUND(4.184*H79,3))</f>
        <v>30.125</v>
      </c>
      <c r="N79" s="34"/>
      <c r="O79" s="31" t="s">
        <v>103</v>
      </c>
      <c r="P79" s="60" t="n">
        <f aca="false">IF(IF(ISBLANK(G79),1,(TRIM(G79)="")),"",ROUND(4.184*G79+$N79*0.1094,3))</f>
        <v>30.125</v>
      </c>
      <c r="Q79" s="61" t="n">
        <f aca="false">IF(IF(ISBLANK(H79),1,(TRIM(H79)="")),"",ROUND(4.184*H79+$N79*0.1094,3))</f>
        <v>30.125</v>
      </c>
      <c r="S79" s="31" t="s">
        <v>103</v>
      </c>
      <c r="T79" s="60" t="n">
        <f aca="false">IF(IF(ISBLANK(G79),1,(TRIM(G79)="")),"",ROUND(G79+($N79*0.1094/4.184),3))</f>
        <v>7.2</v>
      </c>
      <c r="U79" s="61" t="n">
        <f aca="false">IF(IF(ISBLANK(H79),1,(TRIM(H79)="")),"",ROUND(H79+($N79*0.1094/4.184),3))</f>
        <v>7.2</v>
      </c>
    </row>
    <row r="80" customFormat="false" ht="12.75" hidden="false" customHeight="false" outlineLevel="0" collapsed="false">
      <c r="B80" s="35" t="s">
        <v>104</v>
      </c>
      <c r="C80" s="64"/>
      <c r="D80" s="63"/>
      <c r="E80" s="58"/>
      <c r="F80" s="31" t="s">
        <v>104</v>
      </c>
      <c r="G80" s="64"/>
      <c r="H80" s="63"/>
      <c r="J80" s="31" t="s">
        <v>104</v>
      </c>
      <c r="K80" s="60" t="str">
        <f aca="false">IF(IF(ISBLANK(G80),1,(TRIM(G80)="")),"",ROUND(4.184*G80,3))</f>
        <v/>
      </c>
      <c r="L80" s="61" t="str">
        <f aca="false">IF(IF(ISBLANK(H80),1,(TRIM(H80)="")),"",ROUND(4.184*H80,3))</f>
        <v/>
      </c>
      <c r="N80" s="34"/>
      <c r="O80" s="31" t="s">
        <v>104</v>
      </c>
      <c r="P80" s="60" t="str">
        <f aca="false">IF(IF(ISBLANK(G80),1,(TRIM(G80)="")),"",ROUND(4.184*G80+$N80*0.1094,3))</f>
        <v/>
      </c>
      <c r="Q80" s="61" t="str">
        <f aca="false">IF(IF(ISBLANK(H80),1,(TRIM(H80)="")),"",ROUND(4.184*H80+$N80*0.1094,3))</f>
        <v/>
      </c>
      <c r="S80" s="31" t="s">
        <v>104</v>
      </c>
      <c r="T80" s="60" t="str">
        <f aca="false">IF(IF(ISBLANK(G80),1,(TRIM(G80)="")),"",ROUND(G80+($N80*0.1094/4.184),3))</f>
        <v/>
      </c>
      <c r="U80" s="61" t="str">
        <f aca="false">IF(IF(ISBLANK(H80),1,(TRIM(H80)="")),"",ROUND(H80+($N80*0.1094/4.184),3))</f>
        <v/>
      </c>
    </row>
    <row r="81" customFormat="false" ht="12.75" hidden="false" customHeight="false" outlineLevel="0" collapsed="false">
      <c r="B81" s="35" t="s">
        <v>105</v>
      </c>
      <c r="C81" s="64"/>
      <c r="D81" s="63"/>
      <c r="E81" s="58"/>
      <c r="F81" s="31" t="s">
        <v>105</v>
      </c>
      <c r="G81" s="64"/>
      <c r="H81" s="63"/>
      <c r="J81" s="31" t="s">
        <v>105</v>
      </c>
      <c r="K81" s="60" t="str">
        <f aca="false">IF(IF(ISBLANK(G81),1,(TRIM(G81)="")),"",ROUND(4.184*G81,3))</f>
        <v/>
      </c>
      <c r="L81" s="61" t="str">
        <f aca="false">IF(IF(ISBLANK(H81),1,(TRIM(H81)="")),"",ROUND(4.184*H81,3))</f>
        <v/>
      </c>
      <c r="N81" s="34"/>
      <c r="O81" s="31" t="s">
        <v>105</v>
      </c>
      <c r="P81" s="60" t="str">
        <f aca="false">IF(IF(ISBLANK(G81),1,(TRIM(G81)="")),"",ROUND(4.184*G81+$N81*0.1094,3))</f>
        <v/>
      </c>
      <c r="Q81" s="61" t="str">
        <f aca="false">IF(IF(ISBLANK(H81),1,(TRIM(H81)="")),"",ROUND(4.184*H81+$N81*0.1094,3))</f>
        <v/>
      </c>
      <c r="S81" s="31" t="s">
        <v>105</v>
      </c>
      <c r="T81" s="60" t="str">
        <f aca="false">IF(IF(ISBLANK(G81),1,(TRIM(G81)="")),"",ROUND(G81+($N81*0.1094/4.184),3))</f>
        <v/>
      </c>
      <c r="U81" s="61" t="str">
        <f aca="false">IF(IF(ISBLANK(H81),1,(TRIM(H81)="")),"",ROUND(H81+($N81*0.1094/4.184),3))</f>
        <v/>
      </c>
    </row>
    <row r="82" customFormat="false" ht="12.75" hidden="false" customHeight="false" outlineLevel="0" collapsed="false">
      <c r="B82" s="35" t="s">
        <v>108</v>
      </c>
      <c r="C82" s="62" t="n">
        <v>24.1</v>
      </c>
      <c r="D82" s="65" t="s">
        <v>181</v>
      </c>
      <c r="E82" s="66"/>
      <c r="F82" s="31" t="s">
        <v>107</v>
      </c>
      <c r="G82" s="64" t="s">
        <v>182</v>
      </c>
      <c r="H82" s="65" t="s">
        <v>183</v>
      </c>
      <c r="J82" s="31" t="s">
        <v>107</v>
      </c>
      <c r="K82" s="60" t="n">
        <f aca="false">IF(IF(ISBLANK(G82),1,(TRIM(G82)="")),"",ROUND(4.184*G82,3))</f>
        <v>201.669</v>
      </c>
      <c r="L82" s="61" t="n">
        <f aca="false">IF(IF(ISBLANK(H82),1,(TRIM(H82)="")),"",ROUND(4.184*H82,3))</f>
        <v>200.832</v>
      </c>
      <c r="N82" s="34" t="n">
        <v>1</v>
      </c>
      <c r="O82" s="31" t="s">
        <v>107</v>
      </c>
      <c r="P82" s="60" t="n">
        <f aca="false">IF(IF(ISBLANK(G82),1,(TRIM(G82)="")),"",ROUND(4.184*G82+$N82*0.1094,3))</f>
        <v>201.778</v>
      </c>
      <c r="Q82" s="61" t="n">
        <f aca="false">IF(IF(ISBLANK(H82),1,(TRIM(H82)="")),"",ROUND(4.184*H82+$N82*0.1094,3))</f>
        <v>200.941</v>
      </c>
      <c r="S82" s="31" t="s">
        <v>107</v>
      </c>
      <c r="T82" s="60" t="n">
        <f aca="false">IF(IF(ISBLANK(G82),1,(TRIM(G82)="")),"",ROUND(G82+($N82*0.1094/4.184),3))</f>
        <v>48.226</v>
      </c>
      <c r="U82" s="61" t="n">
        <f aca="false">IF(IF(ISBLANK(H82),1,(TRIM(H82)="")),"",ROUND(H82+($N82*0.1094/4.184),3))</f>
        <v>48.026</v>
      </c>
    </row>
    <row r="83" customFormat="false" ht="12.75" hidden="false" customHeight="false" outlineLevel="0" collapsed="false">
      <c r="B83" s="35" t="s">
        <v>109</v>
      </c>
      <c r="C83" s="64" t="n">
        <v>7.8</v>
      </c>
      <c r="D83" s="63" t="n">
        <v>7.8</v>
      </c>
      <c r="E83" s="58"/>
      <c r="F83" s="31" t="s">
        <v>109</v>
      </c>
      <c r="G83" s="64" t="n">
        <v>7.8</v>
      </c>
      <c r="H83" s="63" t="n">
        <v>7.8</v>
      </c>
      <c r="J83" s="31" t="s">
        <v>109</v>
      </c>
      <c r="K83" s="60" t="n">
        <f aca="false">IF(IF(ISBLANK(G83),1,(TRIM(G83)="")),"",ROUND(4.184*G83,3))</f>
        <v>32.635</v>
      </c>
      <c r="L83" s="61" t="n">
        <f aca="false">IF(IF(ISBLANK(H83),1,(TRIM(H83)="")),"",ROUND(4.184*H83,3))</f>
        <v>32.635</v>
      </c>
      <c r="N83" s="34"/>
      <c r="O83" s="31" t="s">
        <v>109</v>
      </c>
      <c r="P83" s="60" t="n">
        <f aca="false">IF(IF(ISBLANK(G83),1,(TRIM(G83)="")),"",ROUND(4.184*G83+$N83*0.1094,3))</f>
        <v>32.635</v>
      </c>
      <c r="Q83" s="61" t="n">
        <f aca="false">IF(IF(ISBLANK(H83),1,(TRIM(H83)="")),"",ROUND(4.184*H83+$N83*0.1094,3))</f>
        <v>32.635</v>
      </c>
      <c r="S83" s="31" t="s">
        <v>109</v>
      </c>
      <c r="T83" s="60" t="n">
        <f aca="false">IF(IF(ISBLANK(G83),1,(TRIM(G83)="")),"",ROUND(G83+($N83*0.1094/4.184),3))</f>
        <v>7.8</v>
      </c>
      <c r="U83" s="61" t="n">
        <f aca="false">IF(IF(ISBLANK(H83),1,(TRIM(H83)="")),"",ROUND(H83+($N83*0.1094/4.184),3))</f>
        <v>7.8</v>
      </c>
    </row>
    <row r="84" customFormat="false" ht="12.75" hidden="false" customHeight="false" outlineLevel="0" collapsed="false">
      <c r="B84" s="35" t="s">
        <v>110</v>
      </c>
      <c r="C84" s="62"/>
      <c r="D84" s="63"/>
      <c r="E84" s="58"/>
      <c r="F84" s="31" t="s">
        <v>110</v>
      </c>
      <c r="G84" s="62"/>
      <c r="H84" s="63"/>
      <c r="J84" s="31" t="s">
        <v>110</v>
      </c>
      <c r="K84" s="60" t="str">
        <f aca="false">IF(IF(ISBLANK(G84),1,(TRIM(G84)="")),"",ROUND(4.184*G84,3))</f>
        <v/>
      </c>
      <c r="L84" s="61" t="str">
        <f aca="false">IF(IF(ISBLANK(H84),1,(TRIM(H84)="")),"",ROUND(4.184*H84,3))</f>
        <v/>
      </c>
      <c r="N84" s="34"/>
      <c r="O84" s="31" t="s">
        <v>110</v>
      </c>
      <c r="P84" s="60" t="str">
        <f aca="false">IF(IF(ISBLANK(G84),1,(TRIM(G84)="")),"",ROUND(4.184*G84+$N84*0.1094,3))</f>
        <v/>
      </c>
      <c r="Q84" s="61" t="str">
        <f aca="false">IF(IF(ISBLANK(H84),1,(TRIM(H84)="")),"",ROUND(4.184*H84+$N84*0.1094,3))</f>
        <v/>
      </c>
      <c r="S84" s="31" t="s">
        <v>110</v>
      </c>
      <c r="T84" s="60" t="str">
        <f aca="false">IF(IF(ISBLANK(G84),1,(TRIM(G84)="")),"",ROUND(G84+($N84*0.1094/4.184),3))</f>
        <v/>
      </c>
      <c r="U84" s="61" t="str">
        <f aca="false">IF(IF(ISBLANK(H84),1,(TRIM(H84)="")),"",ROUND(H84+($N84*0.1094/4.184),3))</f>
        <v/>
      </c>
    </row>
    <row r="85" customFormat="false" ht="12.75" hidden="false" customHeight="false" outlineLevel="0" collapsed="false">
      <c r="B85" s="35" t="s">
        <v>111</v>
      </c>
      <c r="C85" s="62"/>
      <c r="D85" s="63"/>
      <c r="E85" s="58"/>
      <c r="F85" s="31" t="s">
        <v>111</v>
      </c>
      <c r="G85" s="62"/>
      <c r="H85" s="63"/>
      <c r="J85" s="31" t="s">
        <v>111</v>
      </c>
      <c r="K85" s="60" t="str">
        <f aca="false">IF(IF(ISBLANK(G85),1,(TRIM(G85)="")),"",ROUND(4.184*G85,3))</f>
        <v/>
      </c>
      <c r="L85" s="61" t="str">
        <f aca="false">IF(IF(ISBLANK(H85),1,(TRIM(H85)="")),"",ROUND(4.184*H85,3))</f>
        <v/>
      </c>
      <c r="N85" s="34"/>
      <c r="O85" s="31" t="s">
        <v>111</v>
      </c>
      <c r="P85" s="60" t="str">
        <f aca="false">IF(IF(ISBLANK(G85),1,(TRIM(G85)="")),"",ROUND(4.184*G85+$N85*0.1094,3))</f>
        <v/>
      </c>
      <c r="Q85" s="61" t="str">
        <f aca="false">IF(IF(ISBLANK(H85),1,(TRIM(H85)="")),"",ROUND(4.184*H85+$N85*0.1094,3))</f>
        <v/>
      </c>
      <c r="S85" s="31" t="s">
        <v>111</v>
      </c>
      <c r="T85" s="60" t="str">
        <f aca="false">IF(IF(ISBLANK(G85),1,(TRIM(G85)="")),"",ROUND(G85+($N85*0.1094/4.184),3))</f>
        <v/>
      </c>
      <c r="U85" s="61" t="str">
        <f aca="false">IF(IF(ISBLANK(H85),1,(TRIM(H85)="")),"",ROUND(H85+($N85*0.1094/4.184),3))</f>
        <v/>
      </c>
    </row>
    <row r="86" customFormat="false" ht="12.75" hidden="false" customHeight="false" outlineLevel="0" collapsed="false">
      <c r="B86" s="35" t="s">
        <v>112</v>
      </c>
      <c r="C86" s="62" t="n">
        <v>15.4</v>
      </c>
      <c r="D86" s="63" t="n">
        <v>15.53</v>
      </c>
      <c r="E86" s="58"/>
      <c r="F86" s="31" t="s">
        <v>112</v>
      </c>
      <c r="G86" s="62" t="n">
        <v>15.4</v>
      </c>
      <c r="H86" s="63" t="n">
        <v>15.53</v>
      </c>
      <c r="J86" s="31" t="s">
        <v>112</v>
      </c>
      <c r="K86" s="60" t="n">
        <f aca="false">IF(IF(ISBLANK(G86),1,(TRIM(G86)="")),"",ROUND(4.184*G86,3))</f>
        <v>64.434</v>
      </c>
      <c r="L86" s="61" t="n">
        <f aca="false">IF(IF(ISBLANK(H86),1,(TRIM(H86)="")),"",ROUND(4.184*H86,3))</f>
        <v>64.978</v>
      </c>
      <c r="N86" s="34"/>
      <c r="O86" s="31" t="s">
        <v>112</v>
      </c>
      <c r="P86" s="60" t="n">
        <f aca="false">IF(IF(ISBLANK(G86),1,(TRIM(G86)="")),"",ROUND(4.184*G86+$N86*0.1094,3))</f>
        <v>64.434</v>
      </c>
      <c r="Q86" s="61" t="n">
        <f aca="false">IF(IF(ISBLANK(H86),1,(TRIM(H86)="")),"",ROUND(4.184*H86+$N86*0.1094,3))</f>
        <v>64.978</v>
      </c>
      <c r="S86" s="31" t="s">
        <v>112</v>
      </c>
      <c r="T86" s="60" t="n">
        <f aca="false">IF(IF(ISBLANK(G86),1,(TRIM(G86)="")),"",ROUND(G86+($N86*0.1094/4.184),3))</f>
        <v>15.4</v>
      </c>
      <c r="U86" s="61" t="n">
        <f aca="false">IF(IF(ISBLANK(H86),1,(TRIM(H86)="")),"",ROUND(H86+($N86*0.1094/4.184),3))</f>
        <v>15.53</v>
      </c>
    </row>
    <row r="87" customFormat="false" ht="12.75" hidden="false" customHeight="false" outlineLevel="0" collapsed="false">
      <c r="B87" s="35" t="s">
        <v>113</v>
      </c>
      <c r="C87" s="62" t="n">
        <v>8.9</v>
      </c>
      <c r="D87" s="63" t="n">
        <v>8.9</v>
      </c>
      <c r="E87" s="58"/>
      <c r="F87" s="38" t="s">
        <v>113</v>
      </c>
      <c r="G87" s="62" t="n">
        <v>8.9</v>
      </c>
      <c r="H87" s="63" t="n">
        <v>8.9</v>
      </c>
      <c r="J87" s="38" t="s">
        <v>113</v>
      </c>
      <c r="K87" s="60" t="n">
        <f aca="false">IF(IF(ISBLANK(G87),1,(TRIM(G87)="")),"",ROUND(4.184*G87,3))</f>
        <v>37.238</v>
      </c>
      <c r="L87" s="61" t="n">
        <f aca="false">IF(IF(ISBLANK(H87),1,(TRIM(H87)="")),"",ROUND(4.184*H87,3))</f>
        <v>37.238</v>
      </c>
      <c r="N87" s="34"/>
      <c r="O87" s="38" t="s">
        <v>113</v>
      </c>
      <c r="P87" s="60" t="n">
        <f aca="false">IF(IF(ISBLANK(G87),1,(TRIM(G87)="")),"",ROUND(4.184*G87+$N87*0.1094,3))</f>
        <v>37.238</v>
      </c>
      <c r="Q87" s="61" t="n">
        <f aca="false">IF(IF(ISBLANK(H87),1,(TRIM(H87)="")),"",ROUND(4.184*H87+$N87*0.1094,3))</f>
        <v>37.238</v>
      </c>
      <c r="S87" s="38" t="s">
        <v>113</v>
      </c>
      <c r="T87" s="60" t="n">
        <f aca="false">IF(IF(ISBLANK(G87),1,(TRIM(G87)="")),"",ROUND(G87+($N87*0.1094/4.184),3))</f>
        <v>8.9</v>
      </c>
      <c r="U87" s="61" t="n">
        <f aca="false">IF(IF(ISBLANK(H87),1,(TRIM(H87)="")),"",ROUND(H87+($N87*0.1094/4.184),3))</f>
        <v>8.9</v>
      </c>
    </row>
    <row r="88" customFormat="false" ht="12.75" hidden="false" customHeight="false" outlineLevel="0" collapsed="false">
      <c r="B88" s="35" t="s">
        <v>114</v>
      </c>
      <c r="C88" s="64"/>
      <c r="D88" s="63"/>
      <c r="E88" s="58"/>
      <c r="F88" s="31" t="s">
        <v>114</v>
      </c>
      <c r="G88" s="64"/>
      <c r="H88" s="63"/>
      <c r="J88" s="31" t="s">
        <v>114</v>
      </c>
      <c r="K88" s="60" t="str">
        <f aca="false">IF(IF(ISBLANK(G88),1,(TRIM(G88)="")),"",ROUND(4.184*G88,3))</f>
        <v/>
      </c>
      <c r="L88" s="61" t="str">
        <f aca="false">IF(IF(ISBLANK(H88),1,(TRIM(H88)="")),"",ROUND(4.184*H88,3))</f>
        <v/>
      </c>
      <c r="N88" s="34"/>
      <c r="O88" s="31" t="s">
        <v>114</v>
      </c>
      <c r="P88" s="60" t="str">
        <f aca="false">IF(IF(ISBLANK(G88),1,(TRIM(G88)="")),"",ROUND(4.184*G88+$N88*0.1094,3))</f>
        <v/>
      </c>
      <c r="Q88" s="61" t="str">
        <f aca="false">IF(IF(ISBLANK(H88),1,(TRIM(H88)="")),"",ROUND(4.184*H88+$N88*0.1094,3))</f>
        <v/>
      </c>
      <c r="S88" s="31" t="s">
        <v>114</v>
      </c>
      <c r="T88" s="60" t="str">
        <f aca="false">IF(IF(ISBLANK(G88),1,(TRIM(G88)="")),"",ROUND(G88+($N88*0.1094/4.184),3))</f>
        <v/>
      </c>
      <c r="U88" s="61" t="str">
        <f aca="false">IF(IF(ISBLANK(H88),1,(TRIM(H88)="")),"",ROUND(H88+($N88*0.1094/4.184),3))</f>
        <v/>
      </c>
    </row>
    <row r="89" customFormat="false" ht="12.75" hidden="false" customHeight="false" outlineLevel="0" collapsed="false">
      <c r="B89" s="35" t="s">
        <v>115</v>
      </c>
      <c r="C89" s="64"/>
      <c r="D89" s="63"/>
      <c r="E89" s="58"/>
      <c r="F89" s="38" t="s">
        <v>115</v>
      </c>
      <c r="G89" s="64"/>
      <c r="H89" s="63"/>
      <c r="J89" s="38" t="s">
        <v>115</v>
      </c>
      <c r="K89" s="60" t="str">
        <f aca="false">IF(IF(ISBLANK(G89),1,(TRIM(G89)="")),"",ROUND(4.184*G89,3))</f>
        <v/>
      </c>
      <c r="L89" s="61" t="str">
        <f aca="false">IF(IF(ISBLANK(H89),1,(TRIM(H89)="")),"",ROUND(4.184*H89,3))</f>
        <v/>
      </c>
      <c r="N89" s="34"/>
      <c r="O89" s="38" t="s">
        <v>115</v>
      </c>
      <c r="P89" s="60" t="str">
        <f aca="false">IF(IF(ISBLANK(G89),1,(TRIM(G89)="")),"",ROUND(4.184*G89+$N89*0.1094,3))</f>
        <v/>
      </c>
      <c r="Q89" s="61" t="str">
        <f aca="false">IF(IF(ISBLANK(H89),1,(TRIM(H89)="")),"",ROUND(4.184*H89+$N89*0.1094,3))</f>
        <v/>
      </c>
      <c r="S89" s="38" t="s">
        <v>115</v>
      </c>
      <c r="T89" s="60" t="str">
        <f aca="false">IF(IF(ISBLANK(G89),1,(TRIM(G89)="")),"",ROUND(G89+($N89*0.1094/4.184),3))</f>
        <v/>
      </c>
      <c r="U89" s="61" t="str">
        <f aca="false">IF(IF(ISBLANK(H89),1,(TRIM(H89)="")),"",ROUND(H89+($N89*0.1094/4.184),3))</f>
        <v/>
      </c>
    </row>
    <row r="90" customFormat="false" ht="12.75" hidden="false" customHeight="false" outlineLevel="0" collapsed="false">
      <c r="B90" s="35" t="s">
        <v>116</v>
      </c>
      <c r="C90" s="62"/>
      <c r="D90" s="63"/>
      <c r="E90" s="58"/>
      <c r="F90" s="31" t="s">
        <v>116</v>
      </c>
      <c r="G90" s="62"/>
      <c r="H90" s="63"/>
      <c r="J90" s="31" t="s">
        <v>116</v>
      </c>
      <c r="K90" s="60" t="str">
        <f aca="false">IF(IF(ISBLANK(G90),1,(TRIM(G90)="")),"",ROUND(4.184*G90,3))</f>
        <v/>
      </c>
      <c r="L90" s="61" t="str">
        <f aca="false">IF(IF(ISBLANK(H90),1,(TRIM(H90)="")),"",ROUND(4.184*H90,3))</f>
        <v/>
      </c>
      <c r="N90" s="34"/>
      <c r="O90" s="31" t="s">
        <v>116</v>
      </c>
      <c r="P90" s="60" t="str">
        <f aca="false">IF(IF(ISBLANK(G90),1,(TRIM(G90)="")),"",ROUND(4.184*G90+$N90*0.1094,3))</f>
        <v/>
      </c>
      <c r="Q90" s="61" t="str">
        <f aca="false">IF(IF(ISBLANK(H90),1,(TRIM(H90)="")),"",ROUND(4.184*H90+$N90*0.1094,3))</f>
        <v/>
      </c>
      <c r="S90" s="31" t="s">
        <v>116</v>
      </c>
      <c r="T90" s="60" t="str">
        <f aca="false">IF(IF(ISBLANK(G90),1,(TRIM(G90)="")),"",ROUND(G90+($N90*0.1094/4.184),3))</f>
        <v/>
      </c>
      <c r="U90" s="61" t="str">
        <f aca="false">IF(IF(ISBLANK(H90),1,(TRIM(H90)="")),"",ROUND(H90+($N90*0.1094/4.184),3))</f>
        <v/>
      </c>
    </row>
    <row r="91" customFormat="false" ht="12.75" hidden="false" customHeight="false" outlineLevel="0" collapsed="false">
      <c r="B91" s="35" t="s">
        <v>117</v>
      </c>
      <c r="C91" s="64" t="s">
        <v>184</v>
      </c>
      <c r="D91" s="65" t="s">
        <v>184</v>
      </c>
      <c r="E91" s="66"/>
      <c r="F91" s="31" t="s">
        <v>117</v>
      </c>
      <c r="G91" s="64" t="s">
        <v>184</v>
      </c>
      <c r="H91" s="65" t="s">
        <v>184</v>
      </c>
      <c r="J91" s="31" t="s">
        <v>117</v>
      </c>
      <c r="K91" s="60" t="n">
        <f aca="false">IF(IF(ISBLANK(G91),1,(TRIM(G91)="")),"",ROUND(4.184*G91,3))</f>
        <v>41.84</v>
      </c>
      <c r="L91" s="61" t="n">
        <f aca="false">IF(IF(ISBLANK(H91),1,(TRIM(H91)="")),"",ROUND(4.184*H91,3))</f>
        <v>41.84</v>
      </c>
      <c r="N91" s="34"/>
      <c r="O91" s="31" t="s">
        <v>117</v>
      </c>
      <c r="P91" s="60" t="n">
        <f aca="false">IF(IF(ISBLANK(G91),1,(TRIM(G91)="")),"",ROUND(4.184*G91+$N91*0.1094,3))</f>
        <v>41.84</v>
      </c>
      <c r="Q91" s="61" t="n">
        <f aca="false">IF(IF(ISBLANK(H91),1,(TRIM(H91)="")),"",ROUND(4.184*H91+$N91*0.1094,3))</f>
        <v>41.84</v>
      </c>
      <c r="S91" s="31" t="s">
        <v>117</v>
      </c>
      <c r="T91" s="60" t="n">
        <f aca="false">IF(IF(ISBLANK(G91),1,(TRIM(G91)="")),"",ROUND(G91+($N91*0.1094/4.184),3))</f>
        <v>10</v>
      </c>
      <c r="U91" s="61" t="n">
        <f aca="false">IF(IF(ISBLANK(H91),1,(TRIM(H91)="")),"",ROUND(H91+($N91*0.1094/4.184),3))</f>
        <v>10</v>
      </c>
    </row>
    <row r="92" customFormat="false" ht="12.75" hidden="false" customHeight="false" outlineLevel="0" collapsed="false">
      <c r="B92" s="35" t="s">
        <v>118</v>
      </c>
      <c r="C92" s="64"/>
      <c r="D92" s="63"/>
      <c r="E92" s="58"/>
      <c r="F92" s="31" t="s">
        <v>118</v>
      </c>
      <c r="G92" s="64"/>
      <c r="H92" s="63"/>
      <c r="J92" s="31" t="s">
        <v>118</v>
      </c>
      <c r="K92" s="60" t="str">
        <f aca="false">IF(IF(ISBLANK(G92),1,(TRIM(G92)="")),"",ROUND(4.184*G92,3))</f>
        <v/>
      </c>
      <c r="L92" s="61" t="str">
        <f aca="false">IF(IF(ISBLANK(H92),1,(TRIM(H92)="")),"",ROUND(4.184*H92,3))</f>
        <v/>
      </c>
      <c r="N92" s="34"/>
      <c r="O92" s="31" t="s">
        <v>118</v>
      </c>
      <c r="P92" s="60" t="str">
        <f aca="false">IF(IF(ISBLANK(G92),1,(TRIM(G92)="")),"",ROUND(4.184*G92+$N92*0.1094,3))</f>
        <v/>
      </c>
      <c r="Q92" s="61" t="str">
        <f aca="false">IF(IF(ISBLANK(H92),1,(TRIM(H92)="")),"",ROUND(4.184*H92+$N92*0.1094,3))</f>
        <v/>
      </c>
      <c r="S92" s="31" t="s">
        <v>118</v>
      </c>
      <c r="T92" s="60" t="str">
        <f aca="false">IF(IF(ISBLANK(G92),1,(TRIM(G92)="")),"",ROUND(G92+($N92*0.1094/4.184),3))</f>
        <v/>
      </c>
      <c r="U92" s="61" t="str">
        <f aca="false">IF(IF(ISBLANK(H92),1,(TRIM(H92)="")),"",ROUND(H92+($N92*0.1094/4.184),3))</f>
        <v/>
      </c>
    </row>
    <row r="93" customFormat="false" ht="12.75" hidden="false" customHeight="false" outlineLevel="0" collapsed="false">
      <c r="B93" s="35" t="s">
        <v>119</v>
      </c>
      <c r="C93" s="62"/>
      <c r="D93" s="63"/>
      <c r="E93" s="58"/>
      <c r="F93" s="38" t="s">
        <v>119</v>
      </c>
      <c r="G93" s="62"/>
      <c r="H93" s="63"/>
      <c r="J93" s="38" t="s">
        <v>119</v>
      </c>
      <c r="K93" s="60" t="str">
        <f aca="false">IF(IF(ISBLANK(G93),1,(TRIM(G93)="")),"",ROUND(4.184*G93,3))</f>
        <v/>
      </c>
      <c r="L93" s="61" t="str">
        <f aca="false">IF(IF(ISBLANK(H93),1,(TRIM(H93)="")),"",ROUND(4.184*H93,3))</f>
        <v/>
      </c>
      <c r="N93" s="34"/>
      <c r="O93" s="38" t="s">
        <v>119</v>
      </c>
      <c r="P93" s="60" t="str">
        <f aca="false">IF(IF(ISBLANK(G93),1,(TRIM(G93)="")),"",ROUND(4.184*G93+$N93*0.1094,3))</f>
        <v/>
      </c>
      <c r="Q93" s="61" t="str">
        <f aca="false">IF(IF(ISBLANK(H93),1,(TRIM(H93)="")),"",ROUND(4.184*H93+$N93*0.1094,3))</f>
        <v/>
      </c>
      <c r="S93" s="38" t="s">
        <v>119</v>
      </c>
      <c r="T93" s="60" t="str">
        <f aca="false">IF(IF(ISBLANK(G93),1,(TRIM(G93)="")),"",ROUND(G93+($N93*0.1094/4.184),3))</f>
        <v/>
      </c>
      <c r="U93" s="61" t="str">
        <f aca="false">IF(IF(ISBLANK(H93),1,(TRIM(H93)="")),"",ROUND(H93+($N93*0.1094/4.184),3))</f>
        <v/>
      </c>
    </row>
    <row r="94" customFormat="false" ht="12.75" hidden="false" customHeight="false" outlineLevel="0" collapsed="false">
      <c r="B94" s="35" t="s">
        <v>120</v>
      </c>
      <c r="C94" s="62"/>
      <c r="D94" s="63"/>
      <c r="E94" s="58"/>
      <c r="F94" s="38" t="s">
        <v>120</v>
      </c>
      <c r="G94" s="62"/>
      <c r="H94" s="63"/>
      <c r="J94" s="38" t="s">
        <v>120</v>
      </c>
      <c r="K94" s="60" t="str">
        <f aca="false">IF(IF(ISBLANK(G94),1,(TRIM(G94)="")),"",ROUND(4.184*G94,3))</f>
        <v/>
      </c>
      <c r="L94" s="61" t="str">
        <f aca="false">IF(IF(ISBLANK(H94),1,(TRIM(H94)="")),"",ROUND(4.184*H94,3))</f>
        <v/>
      </c>
      <c r="N94" s="34"/>
      <c r="O94" s="38" t="s">
        <v>120</v>
      </c>
      <c r="P94" s="60" t="str">
        <f aca="false">IF(IF(ISBLANK(G94),1,(TRIM(G94)="")),"",ROUND(4.184*G94+$N94*0.1094,3))</f>
        <v/>
      </c>
      <c r="Q94" s="61" t="str">
        <f aca="false">IF(IF(ISBLANK(H94),1,(TRIM(H94)="")),"",ROUND(4.184*H94+$N94*0.1094,3))</f>
        <v/>
      </c>
      <c r="S94" s="38" t="s">
        <v>120</v>
      </c>
      <c r="T94" s="60" t="str">
        <f aca="false">IF(IF(ISBLANK(G94),1,(TRIM(G94)="")),"",ROUND(G94+($N94*0.1094/4.184),3))</f>
        <v/>
      </c>
      <c r="U94" s="61" t="str">
        <f aca="false">IF(IF(ISBLANK(H94),1,(TRIM(H94)="")),"",ROUND(H94+($N94*0.1094/4.184),3))</f>
        <v/>
      </c>
    </row>
    <row r="95" customFormat="false" ht="12.75" hidden="false" customHeight="false" outlineLevel="0" collapsed="false">
      <c r="B95" s="35" t="s">
        <v>121</v>
      </c>
      <c r="C95" s="62"/>
      <c r="D95" s="63"/>
      <c r="E95" s="58"/>
      <c r="F95" s="31" t="s">
        <v>121</v>
      </c>
      <c r="G95" s="62"/>
      <c r="H95" s="63"/>
      <c r="J95" s="31" t="s">
        <v>121</v>
      </c>
      <c r="K95" s="60" t="str">
        <f aca="false">IF(IF(ISBLANK(G95),1,(TRIM(G95)="")),"",ROUND(4.184*G95,3))</f>
        <v/>
      </c>
      <c r="L95" s="61" t="str">
        <f aca="false">IF(IF(ISBLANK(H95),1,(TRIM(H95)="")),"",ROUND(4.184*H95,3))</f>
        <v/>
      </c>
      <c r="N95" s="34"/>
      <c r="O95" s="31" t="s">
        <v>121</v>
      </c>
      <c r="P95" s="60" t="str">
        <f aca="false">IF(IF(ISBLANK(G95),1,(TRIM(G95)="")),"",ROUND(4.184*G95+$N95*0.1094,3))</f>
        <v/>
      </c>
      <c r="Q95" s="61" t="str">
        <f aca="false">IF(IF(ISBLANK(H95),1,(TRIM(H95)="")),"",ROUND(4.184*H95+$N95*0.1094,3))</f>
        <v/>
      </c>
      <c r="S95" s="31" t="s">
        <v>121</v>
      </c>
      <c r="T95" s="60" t="str">
        <f aca="false">IF(IF(ISBLANK(G95),1,(TRIM(G95)="")),"",ROUND(G95+($N95*0.1094/4.184),3))</f>
        <v/>
      </c>
      <c r="U95" s="61" t="str">
        <f aca="false">IF(IF(ISBLANK(H95),1,(TRIM(H95)="")),"",ROUND(H95+($N95*0.1094/4.184),3))</f>
        <v/>
      </c>
    </row>
    <row r="96" customFormat="false" ht="12.75" hidden="false" customHeight="false" outlineLevel="0" collapsed="false">
      <c r="B96" s="35" t="s">
        <v>122</v>
      </c>
      <c r="C96" s="62" t="n">
        <v>7.6</v>
      </c>
      <c r="D96" s="63" t="n">
        <v>7.6</v>
      </c>
      <c r="E96" s="58"/>
      <c r="F96" s="38" t="s">
        <v>122</v>
      </c>
      <c r="G96" s="62" t="n">
        <v>7.6</v>
      </c>
      <c r="H96" s="63" t="n">
        <v>7.6</v>
      </c>
      <c r="J96" s="38" t="s">
        <v>122</v>
      </c>
      <c r="K96" s="60" t="n">
        <f aca="false">IF(IF(ISBLANK(G96),1,(TRIM(G96)="")),"",ROUND(4.184*G96,3))</f>
        <v>31.798</v>
      </c>
      <c r="L96" s="61" t="n">
        <f aca="false">IF(IF(ISBLANK(H96),1,(TRIM(H96)="")),"",ROUND(4.184*H96,3))</f>
        <v>31.798</v>
      </c>
      <c r="N96" s="34"/>
      <c r="O96" s="38" t="s">
        <v>122</v>
      </c>
      <c r="P96" s="60" t="n">
        <f aca="false">IF(IF(ISBLANK(G96),1,(TRIM(G96)="")),"",ROUND(4.184*G96+$N96*0.1094,3))</f>
        <v>31.798</v>
      </c>
      <c r="Q96" s="61" t="n">
        <f aca="false">IF(IF(ISBLANK(H96),1,(TRIM(H96)="")),"",ROUND(4.184*H96+$N96*0.1094,3))</f>
        <v>31.798</v>
      </c>
      <c r="S96" s="38" t="s">
        <v>122</v>
      </c>
      <c r="T96" s="60" t="n">
        <f aca="false">IF(IF(ISBLANK(G96),1,(TRIM(G96)="")),"",ROUND(G96+($N96*0.1094/4.184),3))</f>
        <v>7.6</v>
      </c>
      <c r="U96" s="61" t="n">
        <f aca="false">IF(IF(ISBLANK(H96),1,(TRIM(H96)="")),"",ROUND(H96+($N96*0.1094/4.184),3))</f>
        <v>7.6</v>
      </c>
    </row>
    <row r="97" customFormat="false" ht="12.75" hidden="false" customHeight="false" outlineLevel="0" collapsed="false">
      <c r="B97" s="35" t="s">
        <v>123</v>
      </c>
      <c r="C97" s="62"/>
      <c r="D97" s="63" t="n">
        <v>41.81</v>
      </c>
      <c r="E97" s="58"/>
      <c r="F97" s="31" t="s">
        <v>123</v>
      </c>
      <c r="G97" s="62"/>
      <c r="H97" s="63" t="n">
        <v>41.81</v>
      </c>
      <c r="J97" s="31" t="s">
        <v>123</v>
      </c>
      <c r="K97" s="60" t="str">
        <f aca="false">IF(IF(ISBLANK(G97),1,(TRIM(G97)="")),"",ROUND(4.184*G97,3))</f>
        <v/>
      </c>
      <c r="L97" s="61" t="n">
        <f aca="false">IF(IF(ISBLANK(H97),1,(TRIM(H97)="")),"",ROUND(4.184*H97,3))</f>
        <v>174.933</v>
      </c>
      <c r="N97" s="34" t="n">
        <v>1</v>
      </c>
      <c r="O97" s="31" t="s">
        <v>123</v>
      </c>
      <c r="P97" s="60" t="str">
        <f aca="false">IF(IF(ISBLANK(G97),1,(TRIM(G97)="")),"",ROUND(4.184*G97+$N97*0.1094,3))</f>
        <v/>
      </c>
      <c r="Q97" s="61" t="n">
        <f aca="false">IF(IF(ISBLANK(H97),1,(TRIM(H97)="")),"",ROUND(4.184*H97+$N97*0.1094,3))</f>
        <v>175.042</v>
      </c>
      <c r="S97" s="31" t="s">
        <v>123</v>
      </c>
      <c r="T97" s="60" t="str">
        <f aca="false">IF(IF(ISBLANK(G97),1,(TRIM(G97)="")),"",ROUND(G97+($N97*0.1094/4.184),3))</f>
        <v/>
      </c>
      <c r="U97" s="61" t="n">
        <f aca="false">IF(IF(ISBLANK(H97),1,(TRIM(H97)="")),"",ROUND(H97+($N97*0.1094/4.184),3))</f>
        <v>41.836</v>
      </c>
    </row>
    <row r="98" customFormat="false" ht="12.75" hidden="false" customHeight="false" outlineLevel="0" collapsed="false">
      <c r="B98" s="35" t="s">
        <v>124</v>
      </c>
      <c r="C98" s="62" t="n">
        <v>6.9</v>
      </c>
      <c r="D98" s="63" t="n">
        <v>6.9</v>
      </c>
      <c r="E98" s="58"/>
      <c r="F98" s="38" t="s">
        <v>124</v>
      </c>
      <c r="G98" s="62" t="n">
        <v>6.9</v>
      </c>
      <c r="H98" s="63" t="n">
        <v>6.9</v>
      </c>
      <c r="J98" s="38" t="s">
        <v>124</v>
      </c>
      <c r="K98" s="60" t="n">
        <f aca="false">IF(IF(ISBLANK(G98),1,(TRIM(G98)="")),"",ROUND(4.184*G98,3))</f>
        <v>28.87</v>
      </c>
      <c r="L98" s="61" t="n">
        <f aca="false">IF(IF(ISBLANK(H98),1,(TRIM(H98)="")),"",ROUND(4.184*H98,3))</f>
        <v>28.87</v>
      </c>
      <c r="N98" s="34"/>
      <c r="O98" s="38" t="s">
        <v>124</v>
      </c>
      <c r="P98" s="60" t="n">
        <f aca="false">IF(IF(ISBLANK(G98),1,(TRIM(G98)="")),"",ROUND(4.184*G98+$N98*0.1094,3))</f>
        <v>28.87</v>
      </c>
      <c r="Q98" s="61" t="n">
        <f aca="false">IF(IF(ISBLANK(H98),1,(TRIM(H98)="")),"",ROUND(4.184*H98+$N98*0.1094,3))</f>
        <v>28.87</v>
      </c>
      <c r="S98" s="38" t="s">
        <v>124</v>
      </c>
      <c r="T98" s="60" t="n">
        <f aca="false">IF(IF(ISBLANK(G98),1,(TRIM(G98)="")),"",ROUND(G98+($N98*0.1094/4.184),3))</f>
        <v>6.9</v>
      </c>
      <c r="U98" s="61" t="n">
        <f aca="false">IF(IF(ISBLANK(H98),1,(TRIM(H98)="")),"",ROUND(H98+($N98*0.1094/4.184),3))</f>
        <v>6.9</v>
      </c>
    </row>
    <row r="99" customFormat="false" ht="12.75" hidden="false" customHeight="false" outlineLevel="0" collapsed="false">
      <c r="B99" s="35" t="s">
        <v>125</v>
      </c>
      <c r="C99" s="62" t="n">
        <v>7.6</v>
      </c>
      <c r="D99" s="63" t="n">
        <v>7.6</v>
      </c>
      <c r="E99" s="58"/>
      <c r="F99" s="38" t="s">
        <v>125</v>
      </c>
      <c r="G99" s="62" t="n">
        <v>7.6</v>
      </c>
      <c r="H99" s="63" t="n">
        <v>7.6</v>
      </c>
      <c r="J99" s="38" t="s">
        <v>125</v>
      </c>
      <c r="K99" s="60" t="n">
        <f aca="false">IF(IF(ISBLANK(G99),1,(TRIM(G99)="")),"",ROUND(4.184*G99,3))</f>
        <v>31.798</v>
      </c>
      <c r="L99" s="61" t="n">
        <f aca="false">IF(IF(ISBLANK(H99),1,(TRIM(H99)="")),"",ROUND(4.184*H99,3))</f>
        <v>31.798</v>
      </c>
      <c r="N99" s="34"/>
      <c r="O99" s="38" t="s">
        <v>125</v>
      </c>
      <c r="P99" s="60" t="n">
        <f aca="false">IF(IF(ISBLANK(G99),1,(TRIM(G99)="")),"",ROUND(4.184*G99+$N99*0.1094,3))</f>
        <v>31.798</v>
      </c>
      <c r="Q99" s="61" t="n">
        <f aca="false">IF(IF(ISBLANK(H99),1,(TRIM(H99)="")),"",ROUND(4.184*H99+$N99*0.1094,3))</f>
        <v>31.798</v>
      </c>
      <c r="S99" s="38" t="s">
        <v>125</v>
      </c>
      <c r="T99" s="60" t="n">
        <f aca="false">IF(IF(ISBLANK(G99),1,(TRIM(G99)="")),"",ROUND(G99+($N99*0.1094/4.184),3))</f>
        <v>7.6</v>
      </c>
      <c r="U99" s="61" t="n">
        <f aca="false">IF(IF(ISBLANK(H99),1,(TRIM(H99)="")),"",ROUND(H99+($N99*0.1094/4.184),3))</f>
        <v>7.6</v>
      </c>
    </row>
    <row r="100" customFormat="false" ht="12.75" hidden="false" customHeight="false" outlineLevel="0" collapsed="false">
      <c r="B100" s="35" t="s">
        <v>126</v>
      </c>
      <c r="C100" s="62"/>
      <c r="D100" s="63"/>
      <c r="E100" s="58"/>
      <c r="F100" s="31" t="s">
        <v>126</v>
      </c>
      <c r="G100" s="62"/>
      <c r="H100" s="63"/>
      <c r="J100" s="31" t="s">
        <v>126</v>
      </c>
      <c r="K100" s="60" t="str">
        <f aca="false">IF(IF(ISBLANK(G100),1,(TRIM(G100)="")),"",ROUND(4.184*G100,3))</f>
        <v/>
      </c>
      <c r="L100" s="61" t="str">
        <f aca="false">IF(IF(ISBLANK(H100),1,(TRIM(H100)="")),"",ROUND(4.184*H100,3))</f>
        <v/>
      </c>
      <c r="N100" s="34"/>
      <c r="O100" s="31" t="s">
        <v>126</v>
      </c>
      <c r="P100" s="60" t="str">
        <f aca="false">IF(IF(ISBLANK(G100),1,(TRIM(G100)="")),"",ROUND(4.184*G100+$N100*0.1094,3))</f>
        <v/>
      </c>
      <c r="Q100" s="61" t="str">
        <f aca="false">IF(IF(ISBLANK(H100),1,(TRIM(H100)="")),"",ROUND(4.184*H100+$N100*0.1094,3))</f>
        <v/>
      </c>
      <c r="S100" s="31" t="s">
        <v>126</v>
      </c>
      <c r="T100" s="60" t="str">
        <f aca="false">IF(IF(ISBLANK(G100),1,(TRIM(G100)="")),"",ROUND(G100+($N100*0.1094/4.184),3))</f>
        <v/>
      </c>
      <c r="U100" s="61" t="str">
        <f aca="false">IF(IF(ISBLANK(H100),1,(TRIM(H100)="")),"",ROUND(H100+($N100*0.1094/4.184),3))</f>
        <v/>
      </c>
    </row>
    <row r="101" customFormat="false" ht="12.75" hidden="false" customHeight="false" outlineLevel="0" collapsed="false">
      <c r="B101" s="35" t="s">
        <v>127</v>
      </c>
      <c r="C101" s="62"/>
      <c r="D101" s="63"/>
      <c r="E101" s="58"/>
      <c r="F101" s="31" t="s">
        <v>127</v>
      </c>
      <c r="G101" s="62"/>
      <c r="H101" s="63"/>
      <c r="J101" s="31" t="s">
        <v>127</v>
      </c>
      <c r="K101" s="60" t="str">
        <f aca="false">IF(IF(ISBLANK(G101),1,(TRIM(G101)="")),"",ROUND(4.184*G101,3))</f>
        <v/>
      </c>
      <c r="L101" s="61" t="str">
        <f aca="false">IF(IF(ISBLANK(H101),1,(TRIM(H101)="")),"",ROUND(4.184*H101,3))</f>
        <v/>
      </c>
      <c r="N101" s="34"/>
      <c r="O101" s="31" t="s">
        <v>127</v>
      </c>
      <c r="P101" s="60" t="str">
        <f aca="false">IF(IF(ISBLANK(G101),1,(TRIM(G101)="")),"",ROUND(4.184*G101+$N101*0.1094,3))</f>
        <v/>
      </c>
      <c r="Q101" s="61" t="str">
        <f aca="false">IF(IF(ISBLANK(H101),1,(TRIM(H101)="")),"",ROUND(4.184*H101+$N101*0.1094,3))</f>
        <v/>
      </c>
      <c r="S101" s="31" t="s">
        <v>127</v>
      </c>
      <c r="T101" s="60" t="str">
        <f aca="false">IF(IF(ISBLANK(G101),1,(TRIM(G101)="")),"",ROUND(G101+($N101*0.1094/4.184),3))</f>
        <v/>
      </c>
      <c r="U101" s="61" t="str">
        <f aca="false">IF(IF(ISBLANK(H101),1,(TRIM(H101)="")),"",ROUND(H101+($N101*0.1094/4.184),3))</f>
        <v/>
      </c>
    </row>
    <row r="102" customFormat="false" ht="12.75" hidden="false" customHeight="false" outlineLevel="0" collapsed="false">
      <c r="B102" s="35" t="s">
        <v>128</v>
      </c>
      <c r="C102" s="62"/>
      <c r="D102" s="63"/>
      <c r="E102" s="58"/>
      <c r="F102" s="38" t="s">
        <v>128</v>
      </c>
      <c r="G102" s="62"/>
      <c r="H102" s="63"/>
      <c r="J102" s="38" t="s">
        <v>128</v>
      </c>
      <c r="K102" s="60" t="str">
        <f aca="false">IF(IF(ISBLANK(G102),1,(TRIM(G102)="")),"",ROUND(4.184*G102,3))</f>
        <v/>
      </c>
      <c r="L102" s="61" t="str">
        <f aca="false">IF(IF(ISBLANK(H102),1,(TRIM(H102)="")),"",ROUND(4.184*H102,3))</f>
        <v/>
      </c>
      <c r="N102" s="34"/>
      <c r="O102" s="38" t="s">
        <v>128</v>
      </c>
      <c r="P102" s="60" t="str">
        <f aca="false">IF(IF(ISBLANK(G102),1,(TRIM(G102)="")),"",ROUND(4.184*G102+$N102*0.1094,3))</f>
        <v/>
      </c>
      <c r="Q102" s="61" t="str">
        <f aca="false">IF(IF(ISBLANK(H102),1,(TRIM(H102)="")),"",ROUND(4.184*H102+$N102*0.1094,3))</f>
        <v/>
      </c>
      <c r="S102" s="38" t="s">
        <v>128</v>
      </c>
      <c r="T102" s="60" t="str">
        <f aca="false">IF(IF(ISBLANK(G102),1,(TRIM(G102)="")),"",ROUND(G102+($N102*0.1094/4.184),3))</f>
        <v/>
      </c>
      <c r="U102" s="61" t="str">
        <f aca="false">IF(IF(ISBLANK(H102),1,(TRIM(H102)="")),"",ROUND(H102+($N102*0.1094/4.184),3))</f>
        <v/>
      </c>
    </row>
    <row r="103" customFormat="false" ht="12.75" hidden="false" customHeight="false" outlineLevel="0" collapsed="false">
      <c r="B103" s="35" t="s">
        <v>129</v>
      </c>
      <c r="C103" s="62" t="n">
        <v>4.7</v>
      </c>
      <c r="D103" s="63" t="n">
        <v>4.7</v>
      </c>
      <c r="E103" s="58"/>
      <c r="F103" s="31" t="s">
        <v>129</v>
      </c>
      <c r="G103" s="62" t="n">
        <v>4.7</v>
      </c>
      <c r="H103" s="63" t="n">
        <v>4.7</v>
      </c>
      <c r="J103" s="31" t="s">
        <v>129</v>
      </c>
      <c r="K103" s="60" t="n">
        <f aca="false">IF(IF(ISBLANK(G103),1,(TRIM(G103)="")),"",ROUND(4.184*G103,3))</f>
        <v>19.665</v>
      </c>
      <c r="L103" s="61" t="n">
        <f aca="false">IF(IF(ISBLANK(H103),1,(TRIM(H103)="")),"",ROUND(4.184*H103,3))</f>
        <v>19.665</v>
      </c>
      <c r="N103" s="34"/>
      <c r="O103" s="31" t="s">
        <v>129</v>
      </c>
      <c r="P103" s="60" t="n">
        <f aca="false">IF(IF(ISBLANK(G103),1,(TRIM(G103)="")),"",ROUND(4.184*G103+$N103*0.1094,3))</f>
        <v>19.665</v>
      </c>
      <c r="Q103" s="61" t="n">
        <f aca="false">IF(IF(ISBLANK(H103),1,(TRIM(H103)="")),"",ROUND(4.184*H103+$N103*0.1094,3))</f>
        <v>19.665</v>
      </c>
      <c r="S103" s="31" t="s">
        <v>129</v>
      </c>
      <c r="T103" s="60" t="n">
        <f aca="false">IF(IF(ISBLANK(G103),1,(TRIM(G103)="")),"",ROUND(G103+($N103*0.1094/4.184),3))</f>
        <v>4.7</v>
      </c>
      <c r="U103" s="61" t="n">
        <f aca="false">IF(IF(ISBLANK(H103),1,(TRIM(H103)="")),"",ROUND(H103+($N103*0.1094/4.184),3))</f>
        <v>4.7</v>
      </c>
    </row>
    <row r="104" customFormat="false" ht="12.75" hidden="false" customHeight="false" outlineLevel="0" collapsed="false">
      <c r="B104" s="35" t="s">
        <v>130</v>
      </c>
      <c r="C104" s="62"/>
      <c r="D104" s="63"/>
      <c r="E104" s="58"/>
      <c r="F104" s="31" t="s">
        <v>130</v>
      </c>
      <c r="G104" s="62"/>
      <c r="H104" s="63"/>
      <c r="J104" s="31" t="s">
        <v>130</v>
      </c>
      <c r="K104" s="60" t="str">
        <f aca="false">IF(IF(ISBLANK(G104),1,(TRIM(G104)="")),"",ROUND(4.184*G104,3))</f>
        <v/>
      </c>
      <c r="L104" s="61" t="str">
        <f aca="false">IF(IF(ISBLANK(H104),1,(TRIM(H104)="")),"",ROUND(4.184*H104,3))</f>
        <v/>
      </c>
      <c r="N104" s="34"/>
      <c r="O104" s="31" t="s">
        <v>130</v>
      </c>
      <c r="P104" s="60" t="str">
        <f aca="false">IF(IF(ISBLANK(G104),1,(TRIM(G104)="")),"",ROUND(4.184*G104+$N104*0.1094,3))</f>
        <v/>
      </c>
      <c r="Q104" s="61" t="str">
        <f aca="false">IF(IF(ISBLANK(H104),1,(TRIM(H104)="")),"",ROUND(4.184*H104+$N104*0.1094,3))</f>
        <v/>
      </c>
      <c r="S104" s="31" t="s">
        <v>130</v>
      </c>
      <c r="T104" s="60" t="str">
        <f aca="false">IF(IF(ISBLANK(G104),1,(TRIM(G104)="")),"",ROUND(G104+($N104*0.1094/4.184),3))</f>
        <v/>
      </c>
      <c r="U104" s="61" t="str">
        <f aca="false">IF(IF(ISBLANK(H104),1,(TRIM(H104)="")),"",ROUND(H104+($N104*0.1094/4.184),3))</f>
        <v/>
      </c>
    </row>
    <row r="105" customFormat="false" ht="12.75" hidden="false" customHeight="false" outlineLevel="0" collapsed="false">
      <c r="B105" s="35" t="s">
        <v>131</v>
      </c>
      <c r="C105" s="62" t="n">
        <v>11.5</v>
      </c>
      <c r="D105" s="63" t="n">
        <v>11.17</v>
      </c>
      <c r="E105" s="58"/>
      <c r="F105" s="31" t="s">
        <v>131</v>
      </c>
      <c r="G105" s="62" t="n">
        <v>11.5</v>
      </c>
      <c r="H105" s="63" t="n">
        <v>11.17</v>
      </c>
      <c r="J105" s="31" t="s">
        <v>131</v>
      </c>
      <c r="K105" s="60" t="n">
        <f aca="false">IF(IF(ISBLANK(G105),1,(TRIM(G105)="")),"",ROUND(4.184*G105,3))</f>
        <v>48.116</v>
      </c>
      <c r="L105" s="61" t="n">
        <f aca="false">IF(IF(ISBLANK(H105),1,(TRIM(H105)="")),"",ROUND(4.184*H105,3))</f>
        <v>46.735</v>
      </c>
      <c r="N105" s="34"/>
      <c r="O105" s="31" t="s">
        <v>131</v>
      </c>
      <c r="P105" s="60" t="n">
        <f aca="false">IF(IF(ISBLANK(G105),1,(TRIM(G105)="")),"",ROUND(4.184*G105+$N105*0.1094,3))</f>
        <v>48.116</v>
      </c>
      <c r="Q105" s="61" t="n">
        <f aca="false">IF(IF(ISBLANK(H105),1,(TRIM(H105)="")),"",ROUND(4.184*H105+$N105*0.1094,3))</f>
        <v>46.735</v>
      </c>
      <c r="S105" s="31" t="s">
        <v>131</v>
      </c>
      <c r="T105" s="60" t="n">
        <f aca="false">IF(IF(ISBLANK(G105),1,(TRIM(G105)="")),"",ROUND(G105+($N105*0.1094/4.184),3))</f>
        <v>11.5</v>
      </c>
      <c r="U105" s="61" t="n">
        <f aca="false">IF(IF(ISBLANK(H105),1,(TRIM(H105)="")),"",ROUND(H105+($N105*0.1094/4.184),3))</f>
        <v>11.17</v>
      </c>
    </row>
    <row r="106" customFormat="false" ht="12.75" hidden="false" customHeight="false" outlineLevel="0" collapsed="false">
      <c r="B106" s="35" t="s">
        <v>132</v>
      </c>
      <c r="C106" s="62"/>
      <c r="D106" s="63"/>
      <c r="E106" s="58"/>
      <c r="F106" s="38" t="s">
        <v>132</v>
      </c>
      <c r="G106" s="62"/>
      <c r="H106" s="63"/>
      <c r="J106" s="38" t="s">
        <v>132</v>
      </c>
      <c r="K106" s="60" t="str">
        <f aca="false">IF(IF(ISBLANK(G106),1,(TRIM(G106)="")),"",ROUND(4.184*G106,3))</f>
        <v/>
      </c>
      <c r="L106" s="61" t="str">
        <f aca="false">IF(IF(ISBLANK(H106),1,(TRIM(H106)="")),"",ROUND(4.184*H106,3))</f>
        <v/>
      </c>
      <c r="N106" s="34"/>
      <c r="O106" s="38" t="s">
        <v>132</v>
      </c>
      <c r="P106" s="60" t="str">
        <f aca="false">IF(IF(ISBLANK(G106),1,(TRIM(G106)="")),"",ROUND(4.184*G106+$N106*0.1094,3))</f>
        <v/>
      </c>
      <c r="Q106" s="61" t="str">
        <f aca="false">IF(IF(ISBLANK(H106),1,(TRIM(H106)="")),"",ROUND(4.184*H106+$N106*0.1094,3))</f>
        <v/>
      </c>
      <c r="S106" s="38" t="s">
        <v>132</v>
      </c>
      <c r="T106" s="60" t="str">
        <f aca="false">IF(IF(ISBLANK(G106),1,(TRIM(G106)="")),"",ROUND(G106+($N106*0.1094/4.184),3))</f>
        <v/>
      </c>
      <c r="U106" s="61" t="str">
        <f aca="false">IF(IF(ISBLANK(H106),1,(TRIM(H106)="")),"",ROUND(H106+($N106*0.1094/4.184),3))</f>
        <v/>
      </c>
    </row>
    <row r="107" customFormat="false" ht="12.75" hidden="false" customHeight="false" outlineLevel="0" collapsed="false">
      <c r="B107" s="35" t="s">
        <v>133</v>
      </c>
      <c r="C107" s="62"/>
      <c r="D107" s="63"/>
      <c r="E107" s="58"/>
      <c r="F107" s="31" t="s">
        <v>133</v>
      </c>
      <c r="G107" s="62"/>
      <c r="H107" s="63"/>
      <c r="J107" s="31" t="s">
        <v>133</v>
      </c>
      <c r="K107" s="60" t="str">
        <f aca="false">IF(IF(ISBLANK(G107),1,(TRIM(G107)="")),"",ROUND(4.184*G107,3))</f>
        <v/>
      </c>
      <c r="L107" s="61" t="str">
        <f aca="false">IF(IF(ISBLANK(H107),1,(TRIM(H107)="")),"",ROUND(4.184*H107,3))</f>
        <v/>
      </c>
      <c r="N107" s="34"/>
      <c r="O107" s="31" t="s">
        <v>133</v>
      </c>
      <c r="P107" s="60" t="str">
        <f aca="false">IF(IF(ISBLANK(G107),1,(TRIM(G107)="")),"",ROUND(4.184*G107+$N107*0.1094,3))</f>
        <v/>
      </c>
      <c r="Q107" s="61" t="str">
        <f aca="false">IF(IF(ISBLANK(H107),1,(TRIM(H107)="")),"",ROUND(4.184*H107+$N107*0.1094,3))</f>
        <v/>
      </c>
      <c r="S107" s="31" t="s">
        <v>133</v>
      </c>
      <c r="T107" s="60" t="str">
        <f aca="false">IF(IF(ISBLANK(G107),1,(TRIM(G107)="")),"",ROUND(G107+($N107*0.1094/4.184),3))</f>
        <v/>
      </c>
      <c r="U107" s="61" t="str">
        <f aca="false">IF(IF(ISBLANK(H107),1,(TRIM(H107)="")),"",ROUND(H107+($N107*0.1094/4.184),3))</f>
        <v/>
      </c>
    </row>
    <row r="108" customFormat="false" ht="12.75" hidden="false" customHeight="false" outlineLevel="0" collapsed="false">
      <c r="B108" s="35" t="s">
        <v>134</v>
      </c>
      <c r="C108" s="62"/>
      <c r="D108" s="63"/>
      <c r="E108" s="58"/>
      <c r="F108" s="31" t="s">
        <v>134</v>
      </c>
      <c r="G108" s="62"/>
      <c r="H108" s="63"/>
      <c r="J108" s="31" t="s">
        <v>134</v>
      </c>
      <c r="K108" s="60" t="str">
        <f aca="false">IF(IF(ISBLANK(G108),1,(TRIM(G108)="")),"",ROUND(4.184*G108,3))</f>
        <v/>
      </c>
      <c r="L108" s="61" t="str">
        <f aca="false">IF(IF(ISBLANK(H108),1,(TRIM(H108)="")),"",ROUND(4.184*H108,3))</f>
        <v/>
      </c>
      <c r="N108" s="34"/>
      <c r="O108" s="31" t="s">
        <v>134</v>
      </c>
      <c r="P108" s="60" t="str">
        <f aca="false">IF(IF(ISBLANK(G108),1,(TRIM(G108)="")),"",ROUND(4.184*G108+$N108*0.1094,3))</f>
        <v/>
      </c>
      <c r="Q108" s="61" t="str">
        <f aca="false">IF(IF(ISBLANK(H108),1,(TRIM(H108)="")),"",ROUND(4.184*H108+$N108*0.1094,3))</f>
        <v/>
      </c>
      <c r="S108" s="31" t="s">
        <v>134</v>
      </c>
      <c r="T108" s="60" t="str">
        <f aca="false">IF(IF(ISBLANK(G108),1,(TRIM(G108)="")),"",ROUND(G108+($N108*0.1094/4.184),3))</f>
        <v/>
      </c>
      <c r="U108" s="61" t="str">
        <f aca="false">IF(IF(ISBLANK(H108),1,(TRIM(H108)="")),"",ROUND(H108+($N108*0.1094/4.184),3))</f>
        <v/>
      </c>
    </row>
    <row r="109" customFormat="false" ht="12.75" hidden="false" customHeight="false" outlineLevel="0" collapsed="false">
      <c r="B109" s="35" t="s">
        <v>135</v>
      </c>
      <c r="C109" s="64"/>
      <c r="D109" s="63"/>
      <c r="E109" s="58"/>
      <c r="F109" s="31" t="s">
        <v>135</v>
      </c>
      <c r="G109" s="64"/>
      <c r="H109" s="63"/>
      <c r="J109" s="31" t="s">
        <v>135</v>
      </c>
      <c r="K109" s="60" t="str">
        <f aca="false">IF(IF(ISBLANK(G109),1,(TRIM(G109)="")),"",ROUND(4.184*G109,3))</f>
        <v/>
      </c>
      <c r="L109" s="61" t="str">
        <f aca="false">IF(IF(ISBLANK(H109),1,(TRIM(H109)="")),"",ROUND(4.184*H109,3))</f>
        <v/>
      </c>
      <c r="N109" s="34"/>
      <c r="O109" s="31" t="s">
        <v>135</v>
      </c>
      <c r="P109" s="60" t="str">
        <f aca="false">IF(IF(ISBLANK(G109),1,(TRIM(G109)="")),"",ROUND(4.184*G109+$N109*0.1094,3))</f>
        <v/>
      </c>
      <c r="Q109" s="61" t="str">
        <f aca="false">IF(IF(ISBLANK(H109),1,(TRIM(H109)="")),"",ROUND(4.184*H109+$N109*0.1094,3))</f>
        <v/>
      </c>
      <c r="S109" s="31" t="s">
        <v>135</v>
      </c>
      <c r="T109" s="60" t="str">
        <f aca="false">IF(IF(ISBLANK(G109),1,(TRIM(G109)="")),"",ROUND(G109+($N109*0.1094/4.184),3))</f>
        <v/>
      </c>
      <c r="U109" s="61" t="str">
        <f aca="false">IF(IF(ISBLANK(H109),1,(TRIM(H109)="")),"",ROUND(H109+($N109*0.1094/4.184),3))</f>
        <v/>
      </c>
    </row>
    <row r="110" customFormat="false" ht="12.75" hidden="false" customHeight="false" outlineLevel="0" collapsed="false">
      <c r="B110" s="35" t="s">
        <v>136</v>
      </c>
      <c r="C110" s="62"/>
      <c r="D110" s="63"/>
      <c r="E110" s="58"/>
      <c r="F110" s="38" t="s">
        <v>136</v>
      </c>
      <c r="G110" s="62"/>
      <c r="H110" s="63"/>
      <c r="J110" s="38" t="s">
        <v>136</v>
      </c>
      <c r="K110" s="60" t="str">
        <f aca="false">IF(IF(ISBLANK(G110),1,(TRIM(G110)="")),"",ROUND(4.184*G110,3))</f>
        <v/>
      </c>
      <c r="L110" s="61" t="str">
        <f aca="false">IF(IF(ISBLANK(H110),1,(TRIM(H110)="")),"",ROUND(4.184*H110,3))</f>
        <v/>
      </c>
      <c r="N110" s="34"/>
      <c r="O110" s="38" t="s">
        <v>136</v>
      </c>
      <c r="P110" s="60" t="str">
        <f aca="false">IF(IF(ISBLANK(G110),1,(TRIM(G110)="")),"",ROUND(4.184*G110+$N110*0.1094,3))</f>
        <v/>
      </c>
      <c r="Q110" s="61" t="str">
        <f aca="false">IF(IF(ISBLANK(H110),1,(TRIM(H110)="")),"",ROUND(4.184*H110+$N110*0.1094,3))</f>
        <v/>
      </c>
      <c r="S110" s="38" t="s">
        <v>136</v>
      </c>
      <c r="T110" s="60" t="str">
        <f aca="false">IF(IF(ISBLANK(G110),1,(TRIM(G110)="")),"",ROUND(G110+($N110*0.1094/4.184),3))</f>
        <v/>
      </c>
      <c r="U110" s="61" t="str">
        <f aca="false">IF(IF(ISBLANK(H110),1,(TRIM(H110)="")),"",ROUND(H110+($N110*0.1094/4.184),3))</f>
        <v/>
      </c>
    </row>
    <row r="111" customFormat="false" ht="12.75" hidden="false" customHeight="false" outlineLevel="0" collapsed="false">
      <c r="B111" s="35" t="s">
        <v>137</v>
      </c>
      <c r="C111" s="62" t="n">
        <v>13.6</v>
      </c>
      <c r="D111" s="63" t="n">
        <v>13.6</v>
      </c>
      <c r="E111" s="58"/>
      <c r="F111" s="38" t="s">
        <v>137</v>
      </c>
      <c r="G111" s="62" t="n">
        <v>13.6</v>
      </c>
      <c r="H111" s="63" t="n">
        <v>13.6</v>
      </c>
      <c r="J111" s="38" t="s">
        <v>137</v>
      </c>
      <c r="K111" s="60" t="n">
        <f aca="false">IF(IF(ISBLANK(G111),1,(TRIM(G111)="")),"",ROUND(4.184*G111,3))</f>
        <v>56.902</v>
      </c>
      <c r="L111" s="61" t="n">
        <f aca="false">IF(IF(ISBLANK(H111),1,(TRIM(H111)="")),"",ROUND(4.184*H111,3))</f>
        <v>56.902</v>
      </c>
      <c r="N111" s="34"/>
      <c r="O111" s="38" t="s">
        <v>137</v>
      </c>
      <c r="P111" s="60" t="n">
        <f aca="false">IF(IF(ISBLANK(G111),1,(TRIM(G111)="")),"",ROUND(4.184*G111+$N111*0.1094,3))</f>
        <v>56.902</v>
      </c>
      <c r="Q111" s="61" t="n">
        <f aca="false">IF(IF(ISBLANK(H111),1,(TRIM(H111)="")),"",ROUND(4.184*H111+$N111*0.1094,3))</f>
        <v>56.902</v>
      </c>
      <c r="S111" s="38" t="s">
        <v>137</v>
      </c>
      <c r="T111" s="60" t="n">
        <f aca="false">IF(IF(ISBLANK(G111),1,(TRIM(G111)="")),"",ROUND(G111+($N111*0.1094/4.184),3))</f>
        <v>13.6</v>
      </c>
      <c r="U111" s="61" t="n">
        <f aca="false">IF(IF(ISBLANK(H111),1,(TRIM(H111)="")),"",ROUND(H111+($N111*0.1094/4.184),3))</f>
        <v>13.6</v>
      </c>
    </row>
    <row r="112" customFormat="false" ht="12.75" hidden="false" customHeight="false" outlineLevel="0" collapsed="false">
      <c r="B112" s="35" t="s">
        <v>138</v>
      </c>
      <c r="C112" s="62" t="n">
        <v>6.6</v>
      </c>
      <c r="D112" s="63" t="n">
        <v>6.6</v>
      </c>
      <c r="E112" s="58"/>
      <c r="F112" s="31" t="s">
        <v>138</v>
      </c>
      <c r="G112" s="62" t="n">
        <v>6.6</v>
      </c>
      <c r="H112" s="63" t="n">
        <v>6.6</v>
      </c>
      <c r="J112" s="31" t="s">
        <v>138</v>
      </c>
      <c r="K112" s="60" t="n">
        <f aca="false">IF(IF(ISBLANK(G112),1,(TRIM(G112)="")),"",ROUND(4.184*G112,3))</f>
        <v>27.614</v>
      </c>
      <c r="L112" s="61" t="n">
        <f aca="false">IF(IF(ISBLANK(H112),1,(TRIM(H112)="")),"",ROUND(4.184*H112,3))</f>
        <v>27.614</v>
      </c>
      <c r="N112" s="34"/>
      <c r="O112" s="31" t="s">
        <v>138</v>
      </c>
      <c r="P112" s="60" t="n">
        <f aca="false">IF(IF(ISBLANK(G112),1,(TRIM(G112)="")),"",ROUND(4.184*G112+$N112*0.1094,3))</f>
        <v>27.614</v>
      </c>
      <c r="Q112" s="61" t="n">
        <f aca="false">IF(IF(ISBLANK(H112),1,(TRIM(H112)="")),"",ROUND(4.184*H112+$N112*0.1094,3))</f>
        <v>27.614</v>
      </c>
      <c r="S112" s="31" t="s">
        <v>138</v>
      </c>
      <c r="T112" s="60" t="n">
        <f aca="false">IF(IF(ISBLANK(G112),1,(TRIM(G112)="")),"",ROUND(G112+($N112*0.1094/4.184),3))</f>
        <v>6.6</v>
      </c>
      <c r="U112" s="61" t="n">
        <f aca="false">IF(IF(ISBLANK(H112),1,(TRIM(H112)="")),"",ROUND(H112+($N112*0.1094/4.184),3))</f>
        <v>6.6</v>
      </c>
    </row>
    <row r="113" customFormat="false" ht="12.75" hidden="false" customHeight="false" outlineLevel="0" collapsed="false">
      <c r="B113" s="35" t="s">
        <v>139</v>
      </c>
      <c r="C113" s="62" t="n">
        <v>14.6</v>
      </c>
      <c r="D113" s="63" t="n">
        <v>14.6</v>
      </c>
      <c r="E113" s="58"/>
      <c r="F113" s="31" t="s">
        <v>139</v>
      </c>
      <c r="G113" s="62" t="n">
        <v>14.6</v>
      </c>
      <c r="H113" s="63" t="n">
        <v>14.6</v>
      </c>
      <c r="J113" s="31" t="s">
        <v>139</v>
      </c>
      <c r="K113" s="60" t="n">
        <f aca="false">IF(IF(ISBLANK(G113),1,(TRIM(G113)="")),"",ROUND(4.184*G113,3))</f>
        <v>61.086</v>
      </c>
      <c r="L113" s="61" t="n">
        <f aca="false">IF(IF(ISBLANK(H113),1,(TRIM(H113)="")),"",ROUND(4.184*H113,3))</f>
        <v>61.086</v>
      </c>
      <c r="N113" s="34"/>
      <c r="O113" s="31" t="s">
        <v>139</v>
      </c>
      <c r="P113" s="60" t="n">
        <f aca="false">IF(IF(ISBLANK(G113),1,(TRIM(G113)="")),"",ROUND(4.184*G113+$N113*0.1094,3))</f>
        <v>61.086</v>
      </c>
      <c r="Q113" s="61" t="n">
        <f aca="false">IF(IF(ISBLANK(H113),1,(TRIM(H113)="")),"",ROUND(4.184*H113+$N113*0.1094,3))</f>
        <v>61.086</v>
      </c>
      <c r="S113" s="31" t="s">
        <v>139</v>
      </c>
      <c r="T113" s="60" t="n">
        <f aca="false">IF(IF(ISBLANK(G113),1,(TRIM(G113)="")),"",ROUND(G113+($N113*0.1094/4.184),3))</f>
        <v>14.6</v>
      </c>
      <c r="U113" s="61" t="n">
        <f aca="false">IF(IF(ISBLANK(H113),1,(TRIM(H113)="")),"",ROUND(H113+($N113*0.1094/4.184),3))</f>
        <v>14.6</v>
      </c>
    </row>
    <row r="114" customFormat="false" ht="12.75" hidden="false" customHeight="false" outlineLevel="0" collapsed="false">
      <c r="B114" s="35" t="s">
        <v>140</v>
      </c>
      <c r="C114" s="62"/>
      <c r="D114" s="63"/>
      <c r="E114" s="58"/>
      <c r="F114" s="31" t="s">
        <v>140</v>
      </c>
      <c r="G114" s="62"/>
      <c r="H114" s="63"/>
      <c r="J114" s="31" t="s">
        <v>140</v>
      </c>
      <c r="K114" s="60" t="str">
        <f aca="false">IF(IF(ISBLANK(G114),1,(TRIM(G114)="")),"",ROUND(4.184*G114,3))</f>
        <v/>
      </c>
      <c r="L114" s="61" t="str">
        <f aca="false">IF(IF(ISBLANK(H114),1,(TRIM(H114)="")),"",ROUND(4.184*H114,3))</f>
        <v/>
      </c>
      <c r="N114" s="34"/>
      <c r="O114" s="31" t="s">
        <v>140</v>
      </c>
      <c r="P114" s="60" t="str">
        <f aca="false">IF(IF(ISBLANK(G114),1,(TRIM(G114)="")),"",ROUND(4.184*G114+$N114*0.1094,3))</f>
        <v/>
      </c>
      <c r="Q114" s="61" t="str">
        <f aca="false">IF(IF(ISBLANK(H114),1,(TRIM(H114)="")),"",ROUND(4.184*H114+$N114*0.1094,3))</f>
        <v/>
      </c>
      <c r="S114" s="31" t="s">
        <v>140</v>
      </c>
      <c r="T114" s="60" t="str">
        <f aca="false">IF(IF(ISBLANK(G114),1,(TRIM(G114)="")),"",ROUND(G114+($N114*0.1094/4.184),3))</f>
        <v/>
      </c>
      <c r="U114" s="61" t="str">
        <f aca="false">IF(IF(ISBLANK(H114),1,(TRIM(H114)="")),"",ROUND(H114+($N114*0.1094/4.184),3))</f>
        <v/>
      </c>
    </row>
    <row r="115" customFormat="false" ht="12.75" hidden="false" customHeight="false" outlineLevel="0" collapsed="false">
      <c r="B115" s="35" t="s">
        <v>141</v>
      </c>
      <c r="C115" s="62" t="n">
        <v>11.1</v>
      </c>
      <c r="D115" s="63" t="n">
        <v>11.1</v>
      </c>
      <c r="E115" s="58"/>
      <c r="F115" s="31" t="s">
        <v>141</v>
      </c>
      <c r="G115" s="62" t="n">
        <v>11.1</v>
      </c>
      <c r="H115" s="63" t="n">
        <v>11.1</v>
      </c>
      <c r="J115" s="31" t="s">
        <v>141</v>
      </c>
      <c r="K115" s="60" t="n">
        <f aca="false">IF(IF(ISBLANK(G115),1,(TRIM(G115)="")),"",ROUND(4.184*G115,3))</f>
        <v>46.442</v>
      </c>
      <c r="L115" s="61" t="n">
        <f aca="false">IF(IF(ISBLANK(H115),1,(TRIM(H115)="")),"",ROUND(4.184*H115,3))</f>
        <v>46.442</v>
      </c>
      <c r="N115" s="34"/>
      <c r="O115" s="31" t="s">
        <v>141</v>
      </c>
      <c r="P115" s="60" t="n">
        <f aca="false">IF(IF(ISBLANK(G115),1,(TRIM(G115)="")),"",ROUND(4.184*G115+$N115*0.1094,3))</f>
        <v>46.442</v>
      </c>
      <c r="Q115" s="61" t="n">
        <f aca="false">IF(IF(ISBLANK(H115),1,(TRIM(H115)="")),"",ROUND(4.184*H115+$N115*0.1094,3))</f>
        <v>46.442</v>
      </c>
      <c r="S115" s="31" t="s">
        <v>141</v>
      </c>
      <c r="T115" s="60" t="n">
        <f aca="false">IF(IF(ISBLANK(G115),1,(TRIM(G115)="")),"",ROUND(G115+($N115*0.1094/4.184),3))</f>
        <v>11.1</v>
      </c>
      <c r="U115" s="61" t="n">
        <f aca="false">IF(IF(ISBLANK(H115),1,(TRIM(H115)="")),"",ROUND(H115+($N115*0.1094/4.184),3))</f>
        <v>11.1</v>
      </c>
    </row>
    <row r="116" customFormat="false" ht="12.75" hidden="false" customHeight="false" outlineLevel="0" collapsed="false">
      <c r="B116" s="35" t="s">
        <v>142</v>
      </c>
      <c r="C116" s="62"/>
      <c r="D116" s="63"/>
      <c r="E116" s="58"/>
      <c r="F116" s="31" t="s">
        <v>142</v>
      </c>
      <c r="G116" s="62"/>
      <c r="H116" s="63"/>
      <c r="J116" s="31" t="s">
        <v>142</v>
      </c>
      <c r="K116" s="60" t="str">
        <f aca="false">IF(IF(ISBLANK(G116),1,(TRIM(G116)="")),"",ROUND(4.184*G116,3))</f>
        <v/>
      </c>
      <c r="L116" s="61" t="str">
        <f aca="false">IF(IF(ISBLANK(H116),1,(TRIM(H116)="")),"",ROUND(4.184*H116,3))</f>
        <v/>
      </c>
      <c r="N116" s="34"/>
      <c r="O116" s="31" t="s">
        <v>142</v>
      </c>
      <c r="P116" s="60" t="str">
        <f aca="false">IF(IF(ISBLANK(G116),1,(TRIM(G116)="")),"",ROUND(4.184*G116+$N116*0.1094,3))</f>
        <v/>
      </c>
      <c r="Q116" s="61" t="str">
        <f aca="false">IF(IF(ISBLANK(H116),1,(TRIM(H116)="")),"",ROUND(4.184*H116+$N116*0.1094,3))</f>
        <v/>
      </c>
      <c r="S116" s="31" t="s">
        <v>142</v>
      </c>
      <c r="T116" s="60" t="str">
        <f aca="false">IF(IF(ISBLANK(G116),1,(TRIM(G116)="")),"",ROUND(G116+($N116*0.1094/4.184),3))</f>
        <v/>
      </c>
      <c r="U116" s="61" t="str">
        <f aca="false">IF(IF(ISBLANK(H116),1,(TRIM(H116)="")),"",ROUND(H116+($N116*0.1094/4.184),3))</f>
        <v/>
      </c>
    </row>
    <row r="117" customFormat="false" ht="12.75" hidden="false" customHeight="false" outlineLevel="0" collapsed="false">
      <c r="B117" s="35" t="s">
        <v>143</v>
      </c>
      <c r="C117" s="62" t="n">
        <v>8.4</v>
      </c>
      <c r="D117" s="63" t="n">
        <v>8.4</v>
      </c>
      <c r="E117" s="58"/>
      <c r="F117" s="31" t="s">
        <v>143</v>
      </c>
      <c r="G117" s="62" t="n">
        <v>8.4</v>
      </c>
      <c r="H117" s="63" t="n">
        <v>8.4</v>
      </c>
      <c r="J117" s="31" t="s">
        <v>143</v>
      </c>
      <c r="K117" s="60" t="n">
        <f aca="false">IF(IF(ISBLANK(G117),1,(TRIM(G117)="")),"",ROUND(4.184*G117,3))</f>
        <v>35.146</v>
      </c>
      <c r="L117" s="61" t="n">
        <f aca="false">IF(IF(ISBLANK(H117),1,(TRIM(H117)="")),"",ROUND(4.184*H117,3))</f>
        <v>35.146</v>
      </c>
      <c r="N117" s="34"/>
      <c r="O117" s="31" t="s">
        <v>143</v>
      </c>
      <c r="P117" s="60" t="n">
        <f aca="false">IF(IF(ISBLANK(G117),1,(TRIM(G117)="")),"",ROUND(4.184*G117+$N117*0.1094,3))</f>
        <v>35.146</v>
      </c>
      <c r="Q117" s="61" t="n">
        <f aca="false">IF(IF(ISBLANK(H117),1,(TRIM(H117)="")),"",ROUND(4.184*H117+$N117*0.1094,3))</f>
        <v>35.146</v>
      </c>
      <c r="S117" s="31" t="s">
        <v>143</v>
      </c>
      <c r="T117" s="60" t="n">
        <f aca="false">IF(IF(ISBLANK(G117),1,(TRIM(G117)="")),"",ROUND(G117+($N117*0.1094/4.184),3))</f>
        <v>8.4</v>
      </c>
      <c r="U117" s="61" t="n">
        <f aca="false">IF(IF(ISBLANK(H117),1,(TRIM(H117)="")),"",ROUND(H117+($N117*0.1094/4.184),3))</f>
        <v>8.4</v>
      </c>
    </row>
    <row r="118" customFormat="false" ht="12.75" hidden="false" customHeight="false" outlineLevel="0" collapsed="false">
      <c r="B118" s="35" t="s">
        <v>144</v>
      </c>
      <c r="C118" s="62"/>
      <c r="D118" s="63" t="n">
        <v>40.23</v>
      </c>
      <c r="E118" s="58"/>
      <c r="F118" s="31" t="s">
        <v>144</v>
      </c>
      <c r="G118" s="62"/>
      <c r="H118" s="63" t="n">
        <v>40.23</v>
      </c>
      <c r="J118" s="31" t="s">
        <v>144</v>
      </c>
      <c r="K118" s="60" t="str">
        <f aca="false">IF(IF(ISBLANK(G118),1,(TRIM(G118)="")),"",ROUND(4.184*G118,3))</f>
        <v/>
      </c>
      <c r="L118" s="61" t="n">
        <f aca="false">IF(IF(ISBLANK(H118),1,(TRIM(H118)="")),"",ROUND(4.184*H118,3))</f>
        <v>168.322</v>
      </c>
      <c r="N118" s="34" t="n">
        <v>1</v>
      </c>
      <c r="O118" s="31" t="s">
        <v>144</v>
      </c>
      <c r="P118" s="60" t="str">
        <f aca="false">IF(IF(ISBLANK(G118),1,(TRIM(G118)="")),"",ROUND(4.184*G118+$N118*0.1094,3))</f>
        <v/>
      </c>
      <c r="Q118" s="61" t="n">
        <f aca="false">IF(IF(ISBLANK(H118),1,(TRIM(H118)="")),"",ROUND(4.184*H118+$N118*0.1094,3))</f>
        <v>168.432</v>
      </c>
      <c r="S118" s="31" t="s">
        <v>144</v>
      </c>
      <c r="T118" s="60" t="str">
        <f aca="false">IF(IF(ISBLANK(G118),1,(TRIM(G118)="")),"",ROUND(G118+($N118*0.1094/4.184),3))</f>
        <v/>
      </c>
      <c r="U118" s="61" t="n">
        <f aca="false">IF(IF(ISBLANK(H118),1,(TRIM(H118)="")),"",ROUND(H118+($N118*0.1094/4.184),3))</f>
        <v>40.256</v>
      </c>
    </row>
    <row r="119" customFormat="false" ht="12.75" hidden="false" customHeight="false" outlineLevel="0" collapsed="false">
      <c r="B119" s="35" t="s">
        <v>145</v>
      </c>
      <c r="C119" s="62"/>
      <c r="D119" s="63"/>
      <c r="E119" s="58"/>
      <c r="F119" s="31" t="s">
        <v>145</v>
      </c>
      <c r="G119" s="62"/>
      <c r="H119" s="63"/>
      <c r="J119" s="31" t="s">
        <v>145</v>
      </c>
      <c r="K119" s="60" t="str">
        <f aca="false">IF(IF(ISBLANK(G119),1,(TRIM(G119)="")),"",ROUND(4.184*G119,3))</f>
        <v/>
      </c>
      <c r="L119" s="61" t="str">
        <f aca="false">IF(IF(ISBLANK(H119),1,(TRIM(H119)="")),"",ROUND(4.184*H119,3))</f>
        <v/>
      </c>
      <c r="N119" s="34"/>
      <c r="O119" s="31" t="s">
        <v>145</v>
      </c>
      <c r="P119" s="60" t="str">
        <f aca="false">IF(IF(ISBLANK(G119),1,(TRIM(G119)="")),"",ROUND(4.184*G119+$N119*0.1094,3))</f>
        <v/>
      </c>
      <c r="Q119" s="61" t="str">
        <f aca="false">IF(IF(ISBLANK(H119),1,(TRIM(H119)="")),"",ROUND(4.184*H119+$N119*0.1094,3))</f>
        <v/>
      </c>
      <c r="S119" s="31" t="s">
        <v>145</v>
      </c>
      <c r="T119" s="60" t="str">
        <f aca="false">IF(IF(ISBLANK(G119),1,(TRIM(G119)="")),"",ROUND(G119+($N119*0.1094/4.184),3))</f>
        <v/>
      </c>
      <c r="U119" s="61" t="str">
        <f aca="false">IF(IF(ISBLANK(H119),1,(TRIM(H119)="")),"",ROUND(H119+($N119*0.1094/4.184),3))</f>
        <v/>
      </c>
    </row>
    <row r="120" customFormat="false" ht="12.75" hidden="false" customHeight="false" outlineLevel="0" collapsed="false">
      <c r="B120" s="35" t="s">
        <v>146</v>
      </c>
      <c r="C120" s="64"/>
      <c r="D120" s="63"/>
      <c r="E120" s="58"/>
      <c r="F120" s="31" t="s">
        <v>146</v>
      </c>
      <c r="G120" s="64"/>
      <c r="H120" s="63"/>
      <c r="J120" s="31" t="s">
        <v>146</v>
      </c>
      <c r="K120" s="60" t="str">
        <f aca="false">IF(IF(ISBLANK(G120),1,(TRIM(G120)="")),"",ROUND(4.184*G120,3))</f>
        <v/>
      </c>
      <c r="L120" s="61" t="str">
        <f aca="false">IF(IF(ISBLANK(H120),1,(TRIM(H120)="")),"",ROUND(4.184*H120,3))</f>
        <v/>
      </c>
      <c r="N120" s="34"/>
      <c r="O120" s="31" t="s">
        <v>146</v>
      </c>
      <c r="P120" s="60" t="str">
        <f aca="false">IF(IF(ISBLANK(G120),1,(TRIM(G120)="")),"",ROUND(4.184*G120+$N120*0.1094,3))</f>
        <v/>
      </c>
      <c r="Q120" s="61" t="str">
        <f aca="false">IF(IF(ISBLANK(H120),1,(TRIM(H120)="")),"",ROUND(4.184*H120+$N120*0.1094,3))</f>
        <v/>
      </c>
      <c r="S120" s="31" t="s">
        <v>146</v>
      </c>
      <c r="T120" s="60" t="str">
        <f aca="false">IF(IF(ISBLANK(G120),1,(TRIM(G120)="")),"",ROUND(G120+($N120*0.1094/4.184),3))</f>
        <v/>
      </c>
      <c r="U120" s="61" t="str">
        <f aca="false">IF(IF(ISBLANK(H120),1,(TRIM(H120)="")),"",ROUND(H120+($N120*0.1094/4.184),3))</f>
        <v/>
      </c>
    </row>
    <row r="121" customFormat="false" ht="12.75" hidden="false" customHeight="false" outlineLevel="0" collapsed="false">
      <c r="B121" s="35" t="s">
        <v>147</v>
      </c>
      <c r="C121" s="62" t="n">
        <v>9.8</v>
      </c>
      <c r="D121" s="63" t="n">
        <v>9.83</v>
      </c>
      <c r="E121" s="58"/>
      <c r="F121" s="31" t="s">
        <v>147</v>
      </c>
      <c r="G121" s="62" t="n">
        <v>9.8</v>
      </c>
      <c r="H121" s="63" t="n">
        <v>9.83</v>
      </c>
      <c r="J121" s="31" t="s">
        <v>147</v>
      </c>
      <c r="K121" s="60" t="n">
        <f aca="false">IF(IF(ISBLANK(G121),1,(TRIM(G121)="")),"",ROUND(4.184*G121,3))</f>
        <v>41.003</v>
      </c>
      <c r="L121" s="61" t="n">
        <f aca="false">IF(IF(ISBLANK(H121),1,(TRIM(H121)="")),"",ROUND(4.184*H121,3))</f>
        <v>41.129</v>
      </c>
      <c r="N121" s="34"/>
      <c r="O121" s="31" t="s">
        <v>147</v>
      </c>
      <c r="P121" s="60" t="n">
        <f aca="false">IF(IF(ISBLANK(G121),1,(TRIM(G121)="")),"",ROUND(4.184*G121+$N121*0.1094,3))</f>
        <v>41.003</v>
      </c>
      <c r="Q121" s="61" t="n">
        <f aca="false">IF(IF(ISBLANK(H121),1,(TRIM(H121)="")),"",ROUND(4.184*H121+$N121*0.1094,3))</f>
        <v>41.129</v>
      </c>
      <c r="S121" s="31" t="s">
        <v>147</v>
      </c>
      <c r="T121" s="60" t="n">
        <f aca="false">IF(IF(ISBLANK(G121),1,(TRIM(G121)="")),"",ROUND(G121+($N121*0.1094/4.184),3))</f>
        <v>9.8</v>
      </c>
      <c r="U121" s="61" t="n">
        <f aca="false">IF(IF(ISBLANK(H121),1,(TRIM(H121)="")),"",ROUND(H121+($N121*0.1094/4.184),3))</f>
        <v>9.83</v>
      </c>
    </row>
    <row r="122" customFormat="false" ht="13.5" hidden="false" customHeight="false" outlineLevel="0" collapsed="false">
      <c r="B122" s="43" t="s">
        <v>148</v>
      </c>
      <c r="C122" s="67" t="n">
        <v>9.5</v>
      </c>
      <c r="D122" s="68" t="n">
        <v>9.5</v>
      </c>
      <c r="E122" s="58"/>
      <c r="F122" s="39" t="s">
        <v>148</v>
      </c>
      <c r="G122" s="67" t="n">
        <v>9.5</v>
      </c>
      <c r="H122" s="68" t="n">
        <v>9.5</v>
      </c>
      <c r="J122" s="39" t="s">
        <v>148</v>
      </c>
      <c r="K122" s="60" t="n">
        <f aca="false">IF(IF(ISBLANK(G122),1,(TRIM(G122)="")),"",ROUND(4.184*G122,3))</f>
        <v>39.748</v>
      </c>
      <c r="L122" s="61" t="n">
        <f aca="false">IF(IF(ISBLANK(H122),1,(TRIM(H122)="")),"",ROUND(4.184*H122,3))</f>
        <v>39.748</v>
      </c>
      <c r="N122" s="42"/>
      <c r="O122" s="39" t="s">
        <v>148</v>
      </c>
      <c r="P122" s="60" t="n">
        <f aca="false">IF(IF(ISBLANK(G122),1,(TRIM(G122)="")),"",ROUND(4.184*G122+$N122*0.1094,3))</f>
        <v>39.748</v>
      </c>
      <c r="Q122" s="61" t="n">
        <f aca="false">IF(IF(ISBLANK(H122),1,(TRIM(H122)="")),"",ROUND(4.184*H122+$N122*0.1094,3))</f>
        <v>39.748</v>
      </c>
      <c r="S122" s="39" t="s">
        <v>148</v>
      </c>
      <c r="T122" s="60" t="n">
        <f aca="false">IF(IF(ISBLANK(G122),1,(TRIM(G122)="")),"",ROUND(G122+($N122*0.1094/4.184),3))</f>
        <v>9.5</v>
      </c>
      <c r="U122" s="61" t="n">
        <f aca="false">IF(IF(ISBLANK(H122),1,(TRIM(H122)="")),"",ROUND(H122+($N122*0.1094/4.184),3))</f>
        <v>9.5</v>
      </c>
    </row>
    <row r="123" customFormat="false" ht="13.5" hidden="false" customHeight="false" outlineLevel="0" collapsed="false">
      <c r="B123" s="69" t="s">
        <v>185</v>
      </c>
      <c r="C123" s="70" t="n">
        <f aca="false">COUNTA(C20:C122)</f>
        <v>46</v>
      </c>
      <c r="D123" s="70" t="n">
        <f aca="false">COUNTA(D20:D122)</f>
        <v>50</v>
      </c>
      <c r="E123" s="71"/>
      <c r="F123" s="72" t="s">
        <v>185</v>
      </c>
      <c r="G123" s="70" t="n">
        <f aca="false">COUNTA(G20:G122)</f>
        <v>46</v>
      </c>
      <c r="H123" s="70" t="n">
        <f aca="false">COUNTA(H20:H122)</f>
        <v>50</v>
      </c>
      <c r="J123" s="72" t="s">
        <v>185</v>
      </c>
      <c r="K123" s="70" t="n">
        <f aca="false">COUNT(K20:K122)</f>
        <v>46</v>
      </c>
      <c r="L123" s="70" t="n">
        <f aca="false">COUNT(L20:L122)</f>
        <v>50</v>
      </c>
      <c r="O123" s="72" t="s">
        <v>185</v>
      </c>
      <c r="P123" s="70" t="n">
        <f aca="false">COUNT(P20:P122)</f>
        <v>46</v>
      </c>
      <c r="Q123" s="70" t="n">
        <f aca="false">COUNT(Q20:Q122)</f>
        <v>50</v>
      </c>
      <c r="S123" s="72" t="s">
        <v>185</v>
      </c>
      <c r="T123" s="70" t="n">
        <f aca="false">COUNT(T20:T122)</f>
        <v>46</v>
      </c>
      <c r="U123" s="70" t="n">
        <f aca="false">COUNT(U20:U122)</f>
        <v>50</v>
      </c>
    </row>
    <row r="124" customFormat="false" ht="12.75" hidden="false" customHeight="false" outlineLevel="0" collapsed="false">
      <c r="F124" s="73"/>
    </row>
    <row r="126" customFormat="false" ht="13.5" hidden="false" customHeight="false" outlineLevel="0" collapsed="false"/>
    <row r="127" customFormat="false" ht="13.5" hidden="false" customHeight="false" outlineLevel="0" collapsed="false">
      <c r="B127" s="47" t="s">
        <v>186</v>
      </c>
      <c r="C127" s="48" t="s">
        <v>161</v>
      </c>
      <c r="D127" s="48" t="s">
        <v>161</v>
      </c>
      <c r="E127" s="49"/>
      <c r="F127" s="47" t="s">
        <v>186</v>
      </c>
      <c r="G127" s="48" t="s">
        <v>161</v>
      </c>
      <c r="H127" s="48" t="s">
        <v>161</v>
      </c>
      <c r="J127" s="47" t="s">
        <v>186</v>
      </c>
      <c r="K127" s="48" t="s">
        <v>161</v>
      </c>
      <c r="L127" s="48" t="s">
        <v>161</v>
      </c>
      <c r="O127" s="47" t="s">
        <v>186</v>
      </c>
      <c r="P127" s="48" t="s">
        <v>161</v>
      </c>
      <c r="Q127" s="48" t="s">
        <v>161</v>
      </c>
      <c r="S127" s="47" t="s">
        <v>186</v>
      </c>
      <c r="T127" s="48" t="s">
        <v>161</v>
      </c>
      <c r="U127" s="48" t="s">
        <v>161</v>
      </c>
    </row>
    <row r="128" customFormat="false" ht="12.75" hidden="false" customHeight="false" outlineLevel="0" collapsed="false">
      <c r="B128" s="11"/>
      <c r="C128" s="50" t="s">
        <v>162</v>
      </c>
      <c r="D128" s="51" t="s">
        <v>163</v>
      </c>
      <c r="E128" s="52"/>
      <c r="F128" s="11"/>
      <c r="G128" s="50" t="s">
        <v>162</v>
      </c>
      <c r="H128" s="51" t="s">
        <v>163</v>
      </c>
      <c r="J128" s="11"/>
      <c r="K128" s="50" t="s">
        <v>162</v>
      </c>
      <c r="L128" s="51" t="s">
        <v>163</v>
      </c>
      <c r="N128" s="14"/>
      <c r="O128" s="11"/>
      <c r="P128" s="50" t="s">
        <v>162</v>
      </c>
      <c r="Q128" s="51" t="s">
        <v>163</v>
      </c>
      <c r="S128" s="11"/>
      <c r="T128" s="50" t="s">
        <v>162</v>
      </c>
      <c r="U128" s="51" t="s">
        <v>163</v>
      </c>
    </row>
    <row r="129" customFormat="false" ht="12.75" hidden="false" customHeight="false" outlineLevel="0" collapsed="false">
      <c r="B129" s="16"/>
      <c r="C129" s="53" t="s">
        <v>164</v>
      </c>
      <c r="D129" s="54" t="s">
        <v>165</v>
      </c>
      <c r="E129" s="52"/>
      <c r="F129" s="16" t="s">
        <v>20</v>
      </c>
      <c r="G129" s="53" t="s">
        <v>164</v>
      </c>
      <c r="H129" s="54" t="s">
        <v>165</v>
      </c>
      <c r="J129" s="16" t="s">
        <v>20</v>
      </c>
      <c r="K129" s="53" t="s">
        <v>164</v>
      </c>
      <c r="L129" s="54" t="s">
        <v>165</v>
      </c>
      <c r="N129" s="19"/>
      <c r="O129" s="16" t="s">
        <v>20</v>
      </c>
      <c r="P129" s="53" t="s">
        <v>164</v>
      </c>
      <c r="Q129" s="54" t="s">
        <v>165</v>
      </c>
      <c r="S129" s="16" t="s">
        <v>20</v>
      </c>
      <c r="T129" s="53" t="s">
        <v>164</v>
      </c>
      <c r="U129" s="54" t="s">
        <v>165</v>
      </c>
    </row>
    <row r="130" customFormat="false" ht="12.75" hidden="false" customHeight="false" outlineLevel="0" collapsed="false">
      <c r="B130" s="16"/>
      <c r="C130" s="53" t="n">
        <v>1917</v>
      </c>
      <c r="D130" s="54" t="n">
        <v>1922</v>
      </c>
      <c r="E130" s="52"/>
      <c r="F130" s="16" t="s">
        <v>17</v>
      </c>
      <c r="G130" s="53" t="n">
        <v>1917</v>
      </c>
      <c r="H130" s="54" t="n">
        <v>1922</v>
      </c>
      <c r="J130" s="16" t="s">
        <v>17</v>
      </c>
      <c r="K130" s="53" t="n">
        <v>1917</v>
      </c>
      <c r="L130" s="54" t="n">
        <v>1922</v>
      </c>
      <c r="N130" s="19" t="s">
        <v>24</v>
      </c>
      <c r="O130" s="16" t="s">
        <v>17</v>
      </c>
      <c r="P130" s="53" t="n">
        <v>1917</v>
      </c>
      <c r="Q130" s="54" t="n">
        <v>1922</v>
      </c>
      <c r="S130" s="16" t="s">
        <v>17</v>
      </c>
      <c r="T130" s="53" t="n">
        <v>1917</v>
      </c>
      <c r="U130" s="54" t="n">
        <v>1922</v>
      </c>
    </row>
    <row r="131" customFormat="false" ht="15" hidden="false" customHeight="false" outlineLevel="0" collapsed="false">
      <c r="B131" s="21" t="s">
        <v>26</v>
      </c>
      <c r="C131" s="55" t="s">
        <v>166</v>
      </c>
      <c r="D131" s="55" t="s">
        <v>166</v>
      </c>
      <c r="E131" s="49"/>
      <c r="F131" s="21" t="s">
        <v>29</v>
      </c>
      <c r="G131" s="55" t="s">
        <v>166</v>
      </c>
      <c r="H131" s="55" t="s">
        <v>166</v>
      </c>
      <c r="J131" s="21" t="s">
        <v>29</v>
      </c>
      <c r="K131" s="55" t="s">
        <v>167</v>
      </c>
      <c r="L131" s="55" t="s">
        <v>167</v>
      </c>
      <c r="N131" s="24" t="s">
        <v>28</v>
      </c>
      <c r="O131" s="21" t="s">
        <v>29</v>
      </c>
      <c r="P131" s="55" t="s">
        <v>167</v>
      </c>
      <c r="Q131" s="55" t="s">
        <v>167</v>
      </c>
      <c r="S131" s="21" t="s">
        <v>29</v>
      </c>
      <c r="T131" s="55" t="s">
        <v>166</v>
      </c>
      <c r="U131" s="55" t="s">
        <v>166</v>
      </c>
    </row>
    <row r="132" customFormat="false" ht="12.75" hidden="false" customHeight="false" outlineLevel="0" collapsed="false">
      <c r="B132" s="74" t="s">
        <v>187</v>
      </c>
      <c r="C132" s="75"/>
      <c r="D132" s="76"/>
      <c r="E132" s="77"/>
      <c r="F132" s="74" t="s">
        <v>187</v>
      </c>
      <c r="G132" s="75"/>
      <c r="H132" s="76"/>
      <c r="J132" s="74" t="s">
        <v>187</v>
      </c>
      <c r="K132" s="78"/>
      <c r="L132" s="79"/>
      <c r="N132" s="34"/>
      <c r="O132" s="74" t="s">
        <v>187</v>
      </c>
      <c r="P132" s="78"/>
      <c r="Q132" s="79"/>
      <c r="S132" s="74" t="s">
        <v>187</v>
      </c>
      <c r="T132" s="78"/>
      <c r="U132" s="79"/>
    </row>
    <row r="133" customFormat="false" ht="13.5" hidden="false" customHeight="false" outlineLevel="0" collapsed="false">
      <c r="B133" s="39" t="s">
        <v>188</v>
      </c>
      <c r="C133" s="75"/>
      <c r="D133" s="76"/>
      <c r="E133" s="77"/>
      <c r="F133" s="39" t="s">
        <v>188</v>
      </c>
      <c r="G133" s="75"/>
      <c r="H133" s="76"/>
      <c r="J133" s="39" t="s">
        <v>188</v>
      </c>
      <c r="K133" s="78"/>
      <c r="L133" s="79"/>
      <c r="N133" s="42"/>
      <c r="O133" s="39" t="s">
        <v>188</v>
      </c>
      <c r="P133" s="78"/>
      <c r="Q133" s="79"/>
      <c r="S133" s="39" t="s">
        <v>188</v>
      </c>
      <c r="T133" s="78"/>
      <c r="U133" s="79"/>
    </row>
    <row r="134" customFormat="false" ht="13.5" hidden="false" customHeight="false" outlineLevel="0" collapsed="false">
      <c r="B134" s="80" t="s">
        <v>16</v>
      </c>
      <c r="C134" s="81" t="s">
        <v>189</v>
      </c>
      <c r="D134" s="82" t="s">
        <v>189</v>
      </c>
      <c r="E134" s="83"/>
      <c r="F134" s="80" t="s">
        <v>16</v>
      </c>
      <c r="G134" s="81" t="s">
        <v>189</v>
      </c>
      <c r="H134" s="82" t="s">
        <v>189</v>
      </c>
      <c r="J134" s="80" t="s">
        <v>16</v>
      </c>
      <c r="K134" s="81" t="s">
        <v>189</v>
      </c>
      <c r="L134" s="82" t="s">
        <v>189</v>
      </c>
      <c r="O134" s="80" t="s">
        <v>16</v>
      </c>
      <c r="P134" s="81" t="s">
        <v>189</v>
      </c>
      <c r="Q134" s="82" t="s">
        <v>189</v>
      </c>
      <c r="S134" s="80" t="s">
        <v>16</v>
      </c>
      <c r="T134" s="81" t="s">
        <v>189</v>
      </c>
      <c r="U134" s="82" t="s">
        <v>189</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W13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0" activeCellId="2" sqref="B16:B122 E16:F122 B10"/>
    </sheetView>
  </sheetViews>
  <sheetFormatPr defaultRowHeight="12.75" zeroHeight="false" outlineLevelRow="0" outlineLevelCol="0"/>
  <cols>
    <col collapsed="false" customWidth="true" hidden="false" outlineLevel="0" max="1025" min="1" style="0" width="11.42"/>
  </cols>
  <sheetData>
    <row r="1" customFormat="false" ht="12.75" hidden="false" customHeight="false" outlineLevel="0" collapsed="false">
      <c r="A1" s="9" t="str">
        <f aca="true">MID(CELL("filename",$A$1),   FIND("\[",CELL("filename",$A$1))+2,   FIND("]",CELL("filename",$A$1),FIND("\[",CELL("filename",$A$1))+2)-FIND("\[",CELL("filename",$A$1))-2)</f>
        <v>TDProperties_Rev0_v69.xlsx</v>
      </c>
    </row>
    <row r="2" customFormat="false" ht="12.75" hidden="false" customHeight="false" outlineLevel="0" collapsed="false">
      <c r="A2" s="0" t="str">
        <f aca="true">MID(CELL("filename",A1),FIND("]",CELL("filename",A1))+1,256)</f>
        <v>Elements ICT 29</v>
      </c>
    </row>
    <row r="4" customFormat="false" ht="12.75" hidden="false" customHeight="false" outlineLevel="0" collapsed="false">
      <c r="A4" s="9" t="s">
        <v>190</v>
      </c>
    </row>
    <row r="5" customFormat="false" ht="12.75" hidden="false" customHeight="false" outlineLevel="0" collapsed="false">
      <c r="E5" s="10"/>
      <c r="V5" s="10"/>
      <c r="W5" s="10"/>
    </row>
    <row r="6" customFormat="false" ht="12.75" hidden="false" customHeight="false" outlineLevel="0" collapsed="false">
      <c r="A6" s="10" t="s">
        <v>150</v>
      </c>
      <c r="E6" s="10"/>
      <c r="G6" s="10"/>
      <c r="H6" s="10"/>
      <c r="S6" s="10"/>
      <c r="T6" s="10"/>
      <c r="U6" s="10"/>
      <c r="V6" s="10"/>
      <c r="W6" s="10"/>
    </row>
    <row r="7" customFormat="false" ht="12.75" hidden="false" customHeight="false" outlineLevel="0" collapsed="false">
      <c r="A7" s="10"/>
      <c r="E7" s="10"/>
      <c r="G7" s="10"/>
      <c r="H7" s="10"/>
      <c r="S7" s="10"/>
      <c r="T7" s="10"/>
      <c r="U7" s="10"/>
      <c r="V7" s="10"/>
      <c r="W7" s="10"/>
    </row>
    <row r="8" customFormat="false" ht="12.75" hidden="false" customHeight="false" outlineLevel="0" collapsed="false">
      <c r="A8" s="10"/>
      <c r="E8" s="10"/>
      <c r="G8" s="10"/>
      <c r="S8" s="10"/>
      <c r="T8" s="10"/>
      <c r="U8" s="10"/>
      <c r="V8" s="10"/>
      <c r="W8" s="10"/>
    </row>
    <row r="9" customFormat="false" ht="12.75" hidden="false" customHeight="false" outlineLevel="0" collapsed="false">
      <c r="E9" s="10"/>
      <c r="G9" s="10"/>
      <c r="R9" s="10"/>
      <c r="S9" s="10"/>
      <c r="T9" s="10"/>
      <c r="U9" s="10"/>
      <c r="V9" s="10"/>
      <c r="W9" s="10"/>
    </row>
    <row r="10" customFormat="false" ht="12.75" hidden="false" customHeight="false" outlineLevel="0" collapsed="false">
      <c r="R10" s="10"/>
      <c r="S10" s="10"/>
      <c r="T10" s="10"/>
      <c r="U10" s="10"/>
      <c r="V10" s="10"/>
      <c r="W10" s="10"/>
    </row>
    <row r="11" customFormat="false" ht="12.75" hidden="false" customHeight="false" outlineLevel="0" collapsed="false">
      <c r="B11" s="9" t="s">
        <v>152</v>
      </c>
      <c r="E11" s="9" t="s">
        <v>152</v>
      </c>
      <c r="G11" s="10"/>
      <c r="H11" s="9" t="s">
        <v>153</v>
      </c>
      <c r="L11" s="9" t="s">
        <v>153</v>
      </c>
      <c r="O11" s="9" t="s">
        <v>153</v>
      </c>
      <c r="R11" s="10"/>
      <c r="S11" s="10"/>
      <c r="T11" s="10"/>
      <c r="U11" s="10"/>
      <c r="V11" s="10"/>
      <c r="W11" s="10"/>
    </row>
    <row r="12" customFormat="false" ht="12.75" hidden="false" customHeight="false" outlineLevel="0" collapsed="false">
      <c r="B12" s="9" t="s">
        <v>154</v>
      </c>
      <c r="E12" s="46" t="s">
        <v>155</v>
      </c>
      <c r="G12" s="10"/>
      <c r="H12" s="46" t="s">
        <v>159</v>
      </c>
      <c r="L12" s="46" t="s">
        <v>157</v>
      </c>
      <c r="O12" s="46" t="s">
        <v>158</v>
      </c>
      <c r="R12" s="10"/>
      <c r="S12" s="10"/>
      <c r="T12" s="10"/>
      <c r="U12" s="10"/>
      <c r="V12" s="10"/>
      <c r="W12" s="10"/>
    </row>
    <row r="13" customFormat="false" ht="12.75" hidden="false" customHeight="false" outlineLevel="0" collapsed="false">
      <c r="B13" s="9" t="s">
        <v>156</v>
      </c>
      <c r="C13" s="9"/>
      <c r="D13" s="10"/>
      <c r="E13" s="9" t="s">
        <v>156</v>
      </c>
      <c r="F13" s="10"/>
      <c r="G13" s="10"/>
      <c r="L13" s="46"/>
      <c r="O13" s="46"/>
    </row>
    <row r="14" customFormat="false" ht="13.5" hidden="false" customHeight="false" outlineLevel="0" collapsed="false">
      <c r="A14" s="2"/>
      <c r="B14" s="2"/>
      <c r="C14" s="2"/>
      <c r="D14" s="10"/>
      <c r="E14" s="46"/>
      <c r="F14" s="2"/>
      <c r="G14" s="10"/>
      <c r="H14" s="46"/>
      <c r="I14" s="2"/>
      <c r="J14" s="2"/>
      <c r="L14" s="46"/>
      <c r="M14" s="9"/>
      <c r="O14" s="46"/>
      <c r="P14" s="9"/>
    </row>
    <row r="15" customFormat="false" ht="13.5" hidden="false" customHeight="false" outlineLevel="0" collapsed="false">
      <c r="B15" s="47" t="s">
        <v>160</v>
      </c>
      <c r="C15" s="48" t="s">
        <v>161</v>
      </c>
      <c r="D15" s="49"/>
      <c r="E15" s="48" t="s">
        <v>160</v>
      </c>
      <c r="F15" s="48" t="s">
        <v>161</v>
      </c>
      <c r="G15" s="52"/>
      <c r="H15" s="48" t="s">
        <v>160</v>
      </c>
      <c r="I15" s="48" t="s">
        <v>161</v>
      </c>
      <c r="J15" s="49"/>
      <c r="L15" s="48" t="s">
        <v>160</v>
      </c>
      <c r="M15" s="48" t="s">
        <v>161</v>
      </c>
      <c r="O15" s="48" t="s">
        <v>160</v>
      </c>
      <c r="P15" s="48" t="s">
        <v>161</v>
      </c>
    </row>
    <row r="16" customFormat="false" ht="12.75" hidden="false" customHeight="false" outlineLevel="0" collapsed="false">
      <c r="B16" s="13" t="s">
        <v>17</v>
      </c>
      <c r="C16" s="50" t="s">
        <v>191</v>
      </c>
      <c r="D16" s="49"/>
      <c r="E16" s="11"/>
      <c r="F16" s="50" t="s">
        <v>191</v>
      </c>
      <c r="G16" s="52"/>
      <c r="H16" s="11"/>
      <c r="I16" s="50" t="s">
        <v>191</v>
      </c>
      <c r="J16" s="49"/>
      <c r="K16" s="14"/>
      <c r="L16" s="11"/>
      <c r="M16" s="50" t="s">
        <v>191</v>
      </c>
      <c r="O16" s="11"/>
      <c r="P16" s="50" t="s">
        <v>191</v>
      </c>
      <c r="V16" s="10"/>
      <c r="W16" s="10"/>
    </row>
    <row r="17" customFormat="false" ht="12.75" hidden="false" customHeight="false" outlineLevel="0" collapsed="false">
      <c r="B17" s="18" t="s">
        <v>21</v>
      </c>
      <c r="C17" s="53" t="s">
        <v>192</v>
      </c>
      <c r="D17" s="49"/>
      <c r="E17" s="16" t="s">
        <v>20</v>
      </c>
      <c r="F17" s="53" t="s">
        <v>192</v>
      </c>
      <c r="G17" s="52"/>
      <c r="H17" s="16" t="s">
        <v>20</v>
      </c>
      <c r="I17" s="53" t="s">
        <v>192</v>
      </c>
      <c r="J17" s="49"/>
      <c r="K17" s="19"/>
      <c r="L17" s="16" t="s">
        <v>20</v>
      </c>
      <c r="M17" s="53" t="s">
        <v>192</v>
      </c>
      <c r="O17" s="16" t="s">
        <v>20</v>
      </c>
      <c r="P17" s="53" t="s">
        <v>192</v>
      </c>
      <c r="S17" s="10"/>
      <c r="T17" s="10"/>
      <c r="U17" s="10"/>
      <c r="V17" s="10"/>
      <c r="W17" s="10"/>
    </row>
    <row r="18" customFormat="false" ht="12.75" hidden="false" customHeight="false" outlineLevel="0" collapsed="false">
      <c r="B18" s="18" t="s">
        <v>25</v>
      </c>
      <c r="C18" s="53" t="n">
        <v>1929</v>
      </c>
      <c r="D18" s="49"/>
      <c r="E18" s="16" t="s">
        <v>17</v>
      </c>
      <c r="F18" s="53" t="n">
        <v>1929</v>
      </c>
      <c r="G18" s="52"/>
      <c r="H18" s="16" t="s">
        <v>17</v>
      </c>
      <c r="I18" s="53" t="n">
        <v>1929</v>
      </c>
      <c r="J18" s="49"/>
      <c r="K18" s="19" t="s">
        <v>24</v>
      </c>
      <c r="L18" s="16" t="s">
        <v>17</v>
      </c>
      <c r="M18" s="53" t="n">
        <v>1929</v>
      </c>
      <c r="O18" s="16" t="s">
        <v>17</v>
      </c>
      <c r="P18" s="53" t="n">
        <v>1929</v>
      </c>
      <c r="S18" s="10"/>
      <c r="T18" s="10"/>
      <c r="U18" s="10"/>
      <c r="V18" s="10"/>
      <c r="W18" s="10"/>
    </row>
    <row r="19" customFormat="false" ht="15" hidden="false" customHeight="false" outlineLevel="0" collapsed="false">
      <c r="B19" s="23" t="s">
        <v>26</v>
      </c>
      <c r="C19" s="55" t="s">
        <v>167</v>
      </c>
      <c r="D19" s="52"/>
      <c r="E19" s="21" t="s">
        <v>29</v>
      </c>
      <c r="F19" s="55" t="s">
        <v>167</v>
      </c>
      <c r="G19" s="52"/>
      <c r="H19" s="21" t="s">
        <v>29</v>
      </c>
      <c r="I19" s="55" t="s">
        <v>166</v>
      </c>
      <c r="J19" s="49"/>
      <c r="K19" s="24" t="s">
        <v>28</v>
      </c>
      <c r="L19" s="21" t="s">
        <v>29</v>
      </c>
      <c r="M19" s="55" t="s">
        <v>167</v>
      </c>
      <c r="O19" s="21" t="s">
        <v>29</v>
      </c>
      <c r="P19" s="55" t="s">
        <v>166</v>
      </c>
      <c r="S19" s="10"/>
      <c r="T19" s="10"/>
      <c r="U19" s="10"/>
      <c r="V19" s="10"/>
      <c r="W19" s="10"/>
    </row>
    <row r="20" customFormat="false" ht="12.75" hidden="false" customHeight="false" outlineLevel="0" collapsed="false">
      <c r="B20" s="30" t="s">
        <v>30</v>
      </c>
      <c r="C20" s="56"/>
      <c r="D20" s="66"/>
      <c r="E20" s="26" t="s">
        <v>30</v>
      </c>
      <c r="F20" s="56"/>
      <c r="G20" s="84"/>
      <c r="H20" s="26" t="s">
        <v>30</v>
      </c>
      <c r="I20" s="85" t="str">
        <f aca="false">IF(IF(ISBLANK(F20),1,(TRIM(F20)="")),"",ROUND(F20/4.184,3))</f>
        <v/>
      </c>
      <c r="J20" s="86"/>
      <c r="K20" s="29"/>
      <c r="L20" s="26" t="s">
        <v>30</v>
      </c>
      <c r="M20" s="85" t="str">
        <f aca="false">IF(IF(ISBLANK(F20),1,(TRIM(F20)="")),"",ROUND(F20+$K20*0.1094,3))</f>
        <v/>
      </c>
      <c r="O20" s="26" t="s">
        <v>30</v>
      </c>
      <c r="P20" s="85" t="str">
        <f aca="false">IF(IF(ISBLANK(F20),1,(TRIM(F20)="")),"",ROUND((F20+$K20*0.1094)/4.184,3))</f>
        <v/>
      </c>
      <c r="R20" s="10"/>
      <c r="S20" s="10"/>
      <c r="T20" s="10"/>
      <c r="U20" s="10"/>
      <c r="V20" s="10"/>
      <c r="W20" s="10"/>
    </row>
    <row r="21" customFormat="false" ht="12.75" hidden="false" customHeight="false" outlineLevel="0" collapsed="false">
      <c r="A21" s="87"/>
      <c r="B21" s="35" t="s">
        <v>31</v>
      </c>
      <c r="C21" s="64" t="n">
        <v>42.7</v>
      </c>
      <c r="D21" s="66"/>
      <c r="E21" s="31" t="s">
        <v>31</v>
      </c>
      <c r="F21" s="64" t="n">
        <v>42.7</v>
      </c>
      <c r="G21" s="84"/>
      <c r="H21" s="31" t="s">
        <v>31</v>
      </c>
      <c r="I21" s="85" t="n">
        <f aca="false">IF(IF(ISBLANK(F21),1,(TRIM(F21)="")),"",ROUND(F21/4.184,3))</f>
        <v>10.206</v>
      </c>
      <c r="J21" s="86"/>
      <c r="K21" s="34"/>
      <c r="L21" s="31" t="s">
        <v>31</v>
      </c>
      <c r="M21" s="85" t="n">
        <f aca="false">IF(IF(ISBLANK(F21),1,(TRIM(F21)="")),"",ROUND(F21+$K21*0.1094,3))</f>
        <v>42.7</v>
      </c>
      <c r="O21" s="31" t="s">
        <v>31</v>
      </c>
      <c r="P21" s="85" t="n">
        <f aca="false">IF(IF(ISBLANK(F21),1,(TRIM(F21)="")),"",ROUND((F21+$K21*0.1094)/4.184,3))</f>
        <v>10.206</v>
      </c>
      <c r="R21" s="10"/>
      <c r="S21" s="10"/>
      <c r="T21" s="10"/>
      <c r="U21" s="10"/>
      <c r="V21" s="10"/>
      <c r="W21" s="10"/>
    </row>
    <row r="22" customFormat="false" ht="12.75" hidden="false" customHeight="false" outlineLevel="0" collapsed="false">
      <c r="B22" s="35" t="s">
        <v>32</v>
      </c>
      <c r="C22" s="64" t="n">
        <v>28.15</v>
      </c>
      <c r="D22" s="66"/>
      <c r="E22" s="31" t="s">
        <v>32</v>
      </c>
      <c r="F22" s="64" t="n">
        <v>28.15</v>
      </c>
      <c r="G22" s="84"/>
      <c r="H22" s="31" t="s">
        <v>32</v>
      </c>
      <c r="I22" s="85" t="n">
        <f aca="false">IF(IF(ISBLANK(F22),1,(TRIM(F22)="")),"",ROUND(F22/4.184,3))</f>
        <v>6.728</v>
      </c>
      <c r="J22" s="86"/>
      <c r="K22" s="34"/>
      <c r="L22" s="31" t="s">
        <v>32</v>
      </c>
      <c r="M22" s="85" t="n">
        <f aca="false">IF(IF(ISBLANK(F22),1,(TRIM(F22)="")),"",ROUND(F22+$K22*0.1094,3))</f>
        <v>28.15</v>
      </c>
      <c r="O22" s="31" t="s">
        <v>32</v>
      </c>
      <c r="P22" s="85" t="n">
        <f aca="false">IF(IF(ISBLANK(F22),1,(TRIM(F22)="")),"",ROUND((F22+$K22*0.1094)/4.184,3))</f>
        <v>6.728</v>
      </c>
      <c r="R22" s="10"/>
      <c r="S22" s="10"/>
      <c r="T22" s="10"/>
      <c r="U22" s="10"/>
      <c r="V22" s="10"/>
      <c r="W22" s="10"/>
    </row>
    <row r="23" customFormat="false" ht="12.75" hidden="false" customHeight="false" outlineLevel="0" collapsed="false">
      <c r="B23" s="35" t="s">
        <v>33</v>
      </c>
      <c r="C23" s="64"/>
      <c r="D23" s="66"/>
      <c r="E23" s="31" t="s">
        <v>33</v>
      </c>
      <c r="F23" s="64"/>
      <c r="G23" s="84"/>
      <c r="H23" s="31" t="s">
        <v>33</v>
      </c>
      <c r="I23" s="85" t="str">
        <f aca="false">IF(IF(ISBLANK(F23),1,(TRIM(F23)="")),"",ROUND(F23/4.184,3))</f>
        <v/>
      </c>
      <c r="J23" s="86"/>
      <c r="K23" s="34"/>
      <c r="L23" s="31" t="s">
        <v>33</v>
      </c>
      <c r="M23" s="85" t="str">
        <f aca="false">IF(IF(ISBLANK(F23),1,(TRIM(F23)="")),"",ROUND(F23+$K23*0.1094,3))</f>
        <v/>
      </c>
      <c r="O23" s="31" t="s">
        <v>33</v>
      </c>
      <c r="P23" s="85" t="str">
        <f aca="false">IF(IF(ISBLANK(F23),1,(TRIM(F23)="")),"",ROUND((F23+$K23*0.1094)/4.184,3))</f>
        <v/>
      </c>
    </row>
    <row r="24" customFormat="false" ht="12.75" hidden="false" customHeight="false" outlineLevel="0" collapsed="false">
      <c r="B24" s="35" t="s">
        <v>34</v>
      </c>
      <c r="C24" s="64" t="s">
        <v>193</v>
      </c>
      <c r="D24" s="66"/>
      <c r="E24" s="31" t="s">
        <v>34</v>
      </c>
      <c r="F24" s="64" t="s">
        <v>193</v>
      </c>
      <c r="G24" s="88"/>
      <c r="H24" s="31" t="s">
        <v>34</v>
      </c>
      <c r="I24" s="85" t="n">
        <f aca="false">IF(IF(ISBLANK(F24),1,(TRIM(F24)="")),"",ROUND(F24/4.184,3))</f>
        <v>36.807</v>
      </c>
      <c r="J24" s="86"/>
      <c r="K24" s="34" t="n">
        <v>1</v>
      </c>
      <c r="L24" s="31" t="s">
        <v>34</v>
      </c>
      <c r="M24" s="85" t="n">
        <f aca="false">IF(IF(ISBLANK(F24),1,(TRIM(F24)="")),"",ROUND(F24+$K24*0.1094,3))</f>
        <v>154.109</v>
      </c>
      <c r="O24" s="31" t="s">
        <v>34</v>
      </c>
      <c r="P24" s="85" t="n">
        <f aca="false">IF(IF(ISBLANK(F24),1,(TRIM(F24)="")),"",ROUND((F24+$K24*0.1094)/4.184,3))</f>
        <v>36.833</v>
      </c>
    </row>
    <row r="25" customFormat="false" ht="12.75" hidden="false" customHeight="false" outlineLevel="0" collapsed="false">
      <c r="B25" s="35" t="s">
        <v>35</v>
      </c>
      <c r="C25" s="64"/>
      <c r="D25" s="66"/>
      <c r="E25" s="31" t="s">
        <v>35</v>
      </c>
      <c r="F25" s="64"/>
      <c r="G25" s="84"/>
      <c r="H25" s="31" t="s">
        <v>35</v>
      </c>
      <c r="I25" s="85" t="str">
        <f aca="false">IF(IF(ISBLANK(F25),1,(TRIM(F25)="")),"",ROUND(F25/4.184,3))</f>
        <v/>
      </c>
      <c r="J25" s="86"/>
      <c r="K25" s="34"/>
      <c r="L25" s="31" t="s">
        <v>35</v>
      </c>
      <c r="M25" s="85" t="str">
        <f aca="false">IF(IF(ISBLANK(F25),1,(TRIM(F25)="")),"",ROUND(F25+$K25*0.1094,3))</f>
        <v/>
      </c>
      <c r="O25" s="31" t="s">
        <v>35</v>
      </c>
      <c r="P25" s="85" t="str">
        <f aca="false">IF(IF(ISBLANK(F25),1,(TRIM(F25)="")),"",ROUND((F25+$K25*0.1094)/4.184,3))</f>
        <v/>
      </c>
    </row>
    <row r="26" s="90" customFormat="true" ht="12.75" hidden="false" customHeight="false" outlineLevel="0" collapsed="false">
      <c r="A26" s="89"/>
      <c r="B26" s="35" t="s">
        <v>38</v>
      </c>
      <c r="C26" s="64"/>
      <c r="D26" s="66"/>
      <c r="E26" s="38" t="s">
        <v>37</v>
      </c>
      <c r="F26" s="64"/>
      <c r="G26" s="84"/>
      <c r="H26" s="38" t="s">
        <v>37</v>
      </c>
      <c r="I26" s="85" t="str">
        <f aca="false">IF(IF(ISBLANK(F26),1,(TRIM(F26)="")),"",ROUND(F26/4.184,3))</f>
        <v/>
      </c>
      <c r="J26" s="86"/>
      <c r="K26" s="37"/>
      <c r="L26" s="38" t="s">
        <v>37</v>
      </c>
      <c r="M26" s="85" t="str">
        <f aca="false">IF(IF(ISBLANK(F26),1,(TRIM(F26)="")),"",ROUND(F26+$K26*0.1094,3))</f>
        <v/>
      </c>
      <c r="O26" s="38" t="s">
        <v>37</v>
      </c>
      <c r="P26" s="85" t="str">
        <f aca="false">IF(IF(ISBLANK(F26),1,(TRIM(F26)="")),"",ROUND((F26+$K26*0.1094)/4.184,3))</f>
        <v/>
      </c>
      <c r="V26" s="10"/>
      <c r="W26" s="10"/>
    </row>
    <row r="27" customFormat="false" ht="12.75" hidden="false" customHeight="false" outlineLevel="0" collapsed="false">
      <c r="B27" s="35" t="s">
        <v>39</v>
      </c>
      <c r="C27" s="64"/>
      <c r="D27" s="66"/>
      <c r="E27" s="31" t="s">
        <v>39</v>
      </c>
      <c r="F27" s="64"/>
      <c r="G27" s="84"/>
      <c r="H27" s="31" t="s">
        <v>39</v>
      </c>
      <c r="I27" s="85" t="str">
        <f aca="false">IF(IF(ISBLANK(F27),1,(TRIM(F27)="")),"",ROUND(F27/4.184,3))</f>
        <v/>
      </c>
      <c r="J27" s="86"/>
      <c r="K27" s="34"/>
      <c r="L27" s="31" t="s">
        <v>39</v>
      </c>
      <c r="M27" s="85" t="str">
        <f aca="false">IF(IF(ISBLANK(F27),1,(TRIM(F27)="")),"",ROUND(F27+$K27*0.1094,3))</f>
        <v/>
      </c>
      <c r="O27" s="31" t="s">
        <v>39</v>
      </c>
      <c r="P27" s="85" t="str">
        <f aca="false">IF(IF(ISBLANK(F27),1,(TRIM(F27)="")),"",ROUND((F27+$K27*0.1094)/4.184,3))</f>
        <v/>
      </c>
      <c r="S27" s="10"/>
      <c r="T27" s="10"/>
      <c r="U27" s="10"/>
      <c r="V27" s="10"/>
      <c r="W27" s="10"/>
    </row>
    <row r="28" customFormat="false" ht="12.75" hidden="false" customHeight="false" outlineLevel="0" collapsed="false">
      <c r="B28" s="35" t="s">
        <v>40</v>
      </c>
      <c r="C28" s="64"/>
      <c r="D28" s="66"/>
      <c r="E28" s="31" t="s">
        <v>40</v>
      </c>
      <c r="F28" s="64"/>
      <c r="G28" s="84"/>
      <c r="H28" s="31" t="s">
        <v>40</v>
      </c>
      <c r="I28" s="85" t="str">
        <f aca="false">IF(IF(ISBLANK(F28),1,(TRIM(F28)="")),"",ROUND(F28/4.184,3))</f>
        <v/>
      </c>
      <c r="J28" s="86"/>
      <c r="K28" s="34"/>
      <c r="L28" s="31" t="s">
        <v>40</v>
      </c>
      <c r="M28" s="85" t="str">
        <f aca="false">IF(IF(ISBLANK(F28),1,(TRIM(F28)="")),"",ROUND(F28+$K28*0.1094,3))</f>
        <v/>
      </c>
      <c r="O28" s="31" t="s">
        <v>40</v>
      </c>
      <c r="P28" s="85" t="str">
        <f aca="false">IF(IF(ISBLANK(F28),1,(TRIM(F28)="")),"",ROUND((F28+$K28*0.1094)/4.184,3))</f>
        <v/>
      </c>
      <c r="S28" s="10"/>
      <c r="T28" s="10"/>
      <c r="U28" s="10"/>
      <c r="V28" s="10"/>
      <c r="W28" s="10"/>
    </row>
    <row r="29" customFormat="false" ht="12.75" hidden="false" customHeight="false" outlineLevel="0" collapsed="false">
      <c r="B29" s="35" t="s">
        <v>41</v>
      </c>
      <c r="C29" s="64"/>
      <c r="D29" s="66"/>
      <c r="E29" s="38" t="s">
        <v>41</v>
      </c>
      <c r="F29" s="64"/>
      <c r="G29" s="84"/>
      <c r="H29" s="38" t="s">
        <v>41</v>
      </c>
      <c r="I29" s="85" t="str">
        <f aca="false">IF(IF(ISBLANK(F29),1,(TRIM(F29)="")),"",ROUND(F29/4.184,3))</f>
        <v/>
      </c>
      <c r="J29" s="86"/>
      <c r="K29" s="34"/>
      <c r="L29" s="38" t="s">
        <v>41</v>
      </c>
      <c r="M29" s="85" t="str">
        <f aca="false">IF(IF(ISBLANK(F29),1,(TRIM(F29)="")),"",ROUND(F29+$K29*0.1094,3))</f>
        <v/>
      </c>
      <c r="O29" s="38" t="s">
        <v>41</v>
      </c>
      <c r="P29" s="85" t="str">
        <f aca="false">IF(IF(ISBLANK(F29),1,(TRIM(F29)="")),"",ROUND((F29+$K29*0.1094)/4.184,3))</f>
        <v/>
      </c>
      <c r="S29" s="10"/>
      <c r="T29" s="10"/>
      <c r="U29" s="10"/>
      <c r="V29" s="10"/>
      <c r="W29" s="10"/>
    </row>
    <row r="30" customFormat="false" ht="12.75" hidden="false" customHeight="false" outlineLevel="0" collapsed="false">
      <c r="B30" s="35" t="s">
        <v>42</v>
      </c>
      <c r="C30" s="64"/>
      <c r="D30" s="66"/>
      <c r="E30" s="31" t="s">
        <v>42</v>
      </c>
      <c r="F30" s="64"/>
      <c r="G30" s="84"/>
      <c r="H30" s="31" t="s">
        <v>42</v>
      </c>
      <c r="I30" s="85" t="str">
        <f aca="false">IF(IF(ISBLANK(F30),1,(TRIM(F30)="")),"",ROUND(F30/4.184,3))</f>
        <v/>
      </c>
      <c r="J30" s="86"/>
      <c r="K30" s="34"/>
      <c r="L30" s="31" t="s">
        <v>42</v>
      </c>
      <c r="M30" s="85" t="str">
        <f aca="false">IF(IF(ISBLANK(F30),1,(TRIM(F30)="")),"",ROUND(F30+$K30*0.1094,3))</f>
        <v/>
      </c>
      <c r="O30" s="31" t="s">
        <v>42</v>
      </c>
      <c r="P30" s="85" t="str">
        <f aca="false">IF(IF(ISBLANK(F30),1,(TRIM(F30)="")),"",ROUND((F30+$K30*0.1094)/4.184,3))</f>
        <v/>
      </c>
      <c r="R30" s="10"/>
      <c r="S30" s="10"/>
      <c r="T30" s="10"/>
      <c r="U30" s="10"/>
      <c r="V30" s="10"/>
      <c r="W30" s="10"/>
    </row>
    <row r="31" customFormat="false" ht="12.75" hidden="false" customHeight="false" outlineLevel="0" collapsed="false">
      <c r="B31" s="35" t="s">
        <v>43</v>
      </c>
      <c r="C31" s="64"/>
      <c r="D31" s="66"/>
      <c r="E31" s="31" t="s">
        <v>43</v>
      </c>
      <c r="F31" s="64"/>
      <c r="G31" s="84"/>
      <c r="H31" s="31" t="s">
        <v>43</v>
      </c>
      <c r="I31" s="85" t="str">
        <f aca="false">IF(IF(ISBLANK(F31),1,(TRIM(F31)="")),"",ROUND(F31/4.184,3))</f>
        <v/>
      </c>
      <c r="J31" s="86"/>
      <c r="K31" s="34"/>
      <c r="L31" s="31" t="s">
        <v>43</v>
      </c>
      <c r="M31" s="85" t="str">
        <f aca="false">IF(IF(ISBLANK(F31),1,(TRIM(F31)="")),"",ROUND(F31+$K31*0.1094,3))</f>
        <v/>
      </c>
      <c r="O31" s="31" t="s">
        <v>43</v>
      </c>
      <c r="P31" s="85" t="str">
        <f aca="false">IF(IF(ISBLANK(F31),1,(TRIM(F31)="")),"",ROUND((F31+$K31*0.1094)/4.184,3))</f>
        <v/>
      </c>
      <c r="R31" s="10"/>
      <c r="S31" s="10"/>
      <c r="T31" s="10"/>
      <c r="U31" s="10"/>
      <c r="V31" s="10"/>
      <c r="W31" s="10"/>
    </row>
    <row r="32" customFormat="false" ht="12.75" hidden="false" customHeight="false" outlineLevel="0" collapsed="false">
      <c r="B32" s="35" t="s">
        <v>44</v>
      </c>
      <c r="C32" s="64"/>
      <c r="D32" s="66"/>
      <c r="E32" s="31" t="s">
        <v>44</v>
      </c>
      <c r="F32" s="64"/>
      <c r="G32" s="84"/>
      <c r="H32" s="31" t="s">
        <v>44</v>
      </c>
      <c r="I32" s="85" t="str">
        <f aca="false">IF(IF(ISBLANK(F32),1,(TRIM(F32)="")),"",ROUND(F32/4.184,3))</f>
        <v/>
      </c>
      <c r="J32" s="86"/>
      <c r="K32" s="34"/>
      <c r="L32" s="31" t="s">
        <v>44</v>
      </c>
      <c r="M32" s="85" t="str">
        <f aca="false">IF(IF(ISBLANK(F32),1,(TRIM(F32)="")),"",ROUND(F32+$K32*0.1094,3))</f>
        <v/>
      </c>
      <c r="O32" s="31" t="s">
        <v>44</v>
      </c>
      <c r="P32" s="85" t="str">
        <f aca="false">IF(IF(ISBLANK(F32),1,(TRIM(F32)="")),"",ROUND((F32+$K32*0.1094)/4.184,3))</f>
        <v/>
      </c>
      <c r="R32" s="10"/>
      <c r="S32" s="10"/>
      <c r="T32" s="10"/>
      <c r="U32" s="10"/>
      <c r="V32" s="10"/>
      <c r="W32" s="10"/>
    </row>
    <row r="33" s="90" customFormat="true" ht="12.75" hidden="false" customHeight="false" outlineLevel="0" collapsed="false">
      <c r="A33" s="89"/>
      <c r="B33" s="35" t="s">
        <v>47</v>
      </c>
      <c r="C33" s="64"/>
      <c r="D33" s="66"/>
      <c r="E33" s="38" t="s">
        <v>46</v>
      </c>
      <c r="F33" s="64"/>
      <c r="G33" s="84"/>
      <c r="H33" s="38" t="s">
        <v>46</v>
      </c>
      <c r="I33" s="85" t="str">
        <f aca="false">IF(IF(ISBLANK(F33),1,(TRIM(F33)="")),"",ROUND(F33/4.184,3))</f>
        <v/>
      </c>
      <c r="J33" s="86"/>
      <c r="K33" s="34"/>
      <c r="L33" s="38" t="s">
        <v>46</v>
      </c>
      <c r="M33" s="85" t="str">
        <f aca="false">IF(IF(ISBLANK(F33),1,(TRIM(F33)="")),"",ROUND(F33+$K33*0.1094,3))</f>
        <v/>
      </c>
      <c r="O33" s="38" t="s">
        <v>46</v>
      </c>
      <c r="P33" s="85" t="str">
        <f aca="false">IF(IF(ISBLANK(F33),1,(TRIM(F33)="")),"",ROUND((F33+$K33*0.1094)/4.184,3))</f>
        <v/>
      </c>
      <c r="R33" s="10"/>
      <c r="S33" s="10"/>
      <c r="T33" s="10"/>
      <c r="U33" s="10"/>
      <c r="V33" s="10"/>
      <c r="W33" s="10"/>
    </row>
    <row r="34" customFormat="false" ht="12.75" hidden="false" customHeight="false" outlineLevel="0" collapsed="false">
      <c r="B34" s="35" t="s">
        <v>48</v>
      </c>
      <c r="C34" s="64" t="n">
        <v>5.81</v>
      </c>
      <c r="D34" s="66"/>
      <c r="E34" s="31" t="s">
        <v>48</v>
      </c>
      <c r="F34" s="64" t="n">
        <v>5.81</v>
      </c>
      <c r="G34" s="84"/>
      <c r="H34" s="31" t="s">
        <v>48</v>
      </c>
      <c r="I34" s="85" t="n">
        <f aca="false">IF(IF(ISBLANK(F34),1,(TRIM(F34)="")),"",ROUND(F34/4.184,3))</f>
        <v>1.389</v>
      </c>
      <c r="J34" s="86"/>
      <c r="K34" s="34"/>
      <c r="L34" s="31" t="s">
        <v>48</v>
      </c>
      <c r="M34" s="85" t="n">
        <f aca="false">IF(IF(ISBLANK(F34),1,(TRIM(F34)="")),"",ROUND(F34+$K34*0.1094,3))</f>
        <v>5.81</v>
      </c>
      <c r="O34" s="31" t="s">
        <v>48</v>
      </c>
      <c r="P34" s="85" t="n">
        <f aca="false">IF(IF(ISBLANK(F34),1,(TRIM(F34)="")),"",ROUND((F34+$K34*0.1094)/4.184,3))</f>
        <v>1.389</v>
      </c>
    </row>
    <row r="35" customFormat="false" ht="12.75" hidden="false" customHeight="false" outlineLevel="0" collapsed="false">
      <c r="B35" s="35" t="s">
        <v>49</v>
      </c>
      <c r="C35" s="64" t="n">
        <v>43.5</v>
      </c>
      <c r="D35" s="66"/>
      <c r="E35" s="31" t="s">
        <v>49</v>
      </c>
      <c r="F35" s="64" t="n">
        <v>43.5</v>
      </c>
      <c r="G35" s="84"/>
      <c r="H35" s="31" t="s">
        <v>49</v>
      </c>
      <c r="I35" s="85" t="n">
        <f aca="false">IF(IF(ISBLANK(F35),1,(TRIM(F35)="")),"",ROUND(F35/4.184,3))</f>
        <v>10.397</v>
      </c>
      <c r="J35" s="86"/>
      <c r="K35" s="34"/>
      <c r="L35" s="31" t="s">
        <v>49</v>
      </c>
      <c r="M35" s="85" t="n">
        <f aca="false">IF(IF(ISBLANK(F35),1,(TRIM(F35)="")),"",ROUND(F35+$K35*0.1094,3))</f>
        <v>43.5</v>
      </c>
      <c r="O35" s="31" t="s">
        <v>49</v>
      </c>
      <c r="P35" s="85" t="n">
        <f aca="false">IF(IF(ISBLANK(F35),1,(TRIM(F35)="")),"",ROUND((F35+$K35*0.1094)/4.184,3))</f>
        <v>10.397</v>
      </c>
    </row>
    <row r="36" customFormat="false" ht="12.75" hidden="false" customHeight="false" outlineLevel="0" collapsed="false">
      <c r="B36" s="35" t="s">
        <v>50</v>
      </c>
      <c r="C36" s="64" t="n">
        <v>48.9</v>
      </c>
      <c r="D36" s="66"/>
      <c r="E36" s="31" t="s">
        <v>50</v>
      </c>
      <c r="F36" s="64" t="n">
        <v>48.9</v>
      </c>
      <c r="G36" s="84"/>
      <c r="H36" s="31" t="s">
        <v>50</v>
      </c>
      <c r="I36" s="85" t="n">
        <f aca="false">IF(IF(ISBLANK(F36),1,(TRIM(F36)="")),"",ROUND(F36/4.184,3))</f>
        <v>11.687</v>
      </c>
      <c r="J36" s="86"/>
      <c r="K36" s="34"/>
      <c r="L36" s="31" t="s">
        <v>50</v>
      </c>
      <c r="M36" s="85" t="n">
        <f aca="false">IF(IF(ISBLANK(F36),1,(TRIM(F36)="")),"",ROUND(F36+$K36*0.1094,3))</f>
        <v>48.9</v>
      </c>
      <c r="O36" s="31" t="s">
        <v>50</v>
      </c>
      <c r="P36" s="85" t="n">
        <f aca="false">IF(IF(ISBLANK(F36),1,(TRIM(F36)="")),"",ROUND((F36+$K36*0.1094)/4.184,3))</f>
        <v>11.687</v>
      </c>
    </row>
    <row r="37" customFormat="false" ht="12.75" hidden="false" customHeight="false" outlineLevel="0" collapsed="false">
      <c r="A37" s="10"/>
      <c r="B37" s="35" t="s">
        <v>51</v>
      </c>
      <c r="C37" s="64"/>
      <c r="D37" s="66"/>
      <c r="E37" s="31" t="s">
        <v>51</v>
      </c>
      <c r="F37" s="64"/>
      <c r="G37" s="84"/>
      <c r="H37" s="31" t="s">
        <v>51</v>
      </c>
      <c r="I37" s="85" t="str">
        <f aca="false">IF(IF(ISBLANK(F37),1,(TRIM(F37)="")),"",ROUND(F37/4.184,3))</f>
        <v/>
      </c>
      <c r="J37" s="86"/>
      <c r="K37" s="34"/>
      <c r="L37" s="31" t="s">
        <v>51</v>
      </c>
      <c r="M37" s="85" t="str">
        <f aca="false">IF(IF(ISBLANK(F37),1,(TRIM(F37)="")),"",ROUND(F37+$K37*0.1094,3))</f>
        <v/>
      </c>
      <c r="O37" s="31" t="s">
        <v>51</v>
      </c>
      <c r="P37" s="85" t="str">
        <f aca="false">IF(IF(ISBLANK(F37),1,(TRIM(F37)="")),"",ROUND((F37+$K37*0.1094)/4.184,3))</f>
        <v/>
      </c>
      <c r="V37" s="10"/>
      <c r="W37" s="10"/>
    </row>
    <row r="38" customFormat="false" ht="12.75" hidden="false" customHeight="false" outlineLevel="0" collapsed="false">
      <c r="B38" s="35" t="s">
        <v>52</v>
      </c>
      <c r="C38" s="64"/>
      <c r="D38" s="66"/>
      <c r="E38" s="31" t="s">
        <v>52</v>
      </c>
      <c r="F38" s="64"/>
      <c r="G38" s="84"/>
      <c r="H38" s="31" t="s">
        <v>52</v>
      </c>
      <c r="I38" s="85" t="str">
        <f aca="false">IF(IF(ISBLANK(F38),1,(TRIM(F38)="")),"",ROUND(F38/4.184,3))</f>
        <v/>
      </c>
      <c r="J38" s="86"/>
      <c r="K38" s="34"/>
      <c r="L38" s="31" t="s">
        <v>52</v>
      </c>
      <c r="M38" s="85" t="str">
        <f aca="false">IF(IF(ISBLANK(F38),1,(TRIM(F38)="")),"",ROUND(F38+$K38*0.1094,3))</f>
        <v/>
      </c>
      <c r="O38" s="31" t="s">
        <v>52</v>
      </c>
      <c r="P38" s="85" t="str">
        <f aca="false">IF(IF(ISBLANK(F38),1,(TRIM(F38)="")),"",ROUND((F38+$K38*0.1094)/4.184,3))</f>
        <v/>
      </c>
      <c r="S38" s="10"/>
      <c r="T38" s="10"/>
      <c r="U38" s="10"/>
      <c r="V38" s="10"/>
      <c r="W38" s="10"/>
    </row>
    <row r="39" s="90" customFormat="true" ht="12.75" hidden="false" customHeight="false" outlineLevel="0" collapsed="false">
      <c r="A39" s="89"/>
      <c r="B39" s="35" t="s">
        <v>55</v>
      </c>
      <c r="C39" s="64"/>
      <c r="D39" s="66"/>
      <c r="E39" s="38" t="s">
        <v>54</v>
      </c>
      <c r="F39" s="64"/>
      <c r="G39" s="84"/>
      <c r="H39" s="38" t="s">
        <v>54</v>
      </c>
      <c r="I39" s="85" t="str">
        <f aca="false">IF(IF(ISBLANK(F39),1,(TRIM(F39)="")),"",ROUND(F39/4.184,3))</f>
        <v/>
      </c>
      <c r="J39" s="86"/>
      <c r="K39" s="34" t="n">
        <v>1</v>
      </c>
      <c r="L39" s="38" t="s">
        <v>54</v>
      </c>
      <c r="M39" s="85" t="str">
        <f aca="false">IF(IF(ISBLANK(F39),1,(TRIM(F39)="")),"",ROUND(F39+$K39*0.1094,3))</f>
        <v/>
      </c>
      <c r="O39" s="38" t="s">
        <v>54</v>
      </c>
      <c r="P39" s="85" t="str">
        <f aca="false">IF(IF(ISBLANK(F39),1,(TRIM(F39)="")),"",ROUND((F39+$K39*0.1094)/4.184,3))</f>
        <v/>
      </c>
      <c r="S39" s="10"/>
      <c r="T39" s="10"/>
      <c r="U39" s="10"/>
      <c r="V39" s="10"/>
      <c r="W39" s="10"/>
    </row>
    <row r="40" customFormat="false" ht="12.75" hidden="false" customHeight="false" outlineLevel="0" collapsed="false">
      <c r="A40" s="10"/>
      <c r="B40" s="35" t="s">
        <v>56</v>
      </c>
      <c r="C40" s="64"/>
      <c r="D40" s="66"/>
      <c r="E40" s="31" t="s">
        <v>56</v>
      </c>
      <c r="F40" s="64"/>
      <c r="G40" s="84"/>
      <c r="H40" s="31" t="s">
        <v>56</v>
      </c>
      <c r="I40" s="85" t="str">
        <f aca="false">IF(IF(ISBLANK(F40),1,(TRIM(F40)="")),"",ROUND(F40/4.184,3))</f>
        <v/>
      </c>
      <c r="J40" s="86"/>
      <c r="K40" s="34"/>
      <c r="L40" s="31" t="s">
        <v>56</v>
      </c>
      <c r="M40" s="85" t="str">
        <f aca="false">IF(IF(ISBLANK(F40),1,(TRIM(F40)="")),"",ROUND(F40+$K40*0.1094,3))</f>
        <v/>
      </c>
      <c r="O40" s="31" t="s">
        <v>56</v>
      </c>
      <c r="P40" s="85" t="str">
        <f aca="false">IF(IF(ISBLANK(F40),1,(TRIM(F40)="")),"",ROUND((F40+$K40*0.1094)/4.184,3))</f>
        <v/>
      </c>
      <c r="S40" s="10"/>
      <c r="T40" s="10"/>
      <c r="U40" s="10"/>
      <c r="V40" s="10"/>
      <c r="W40" s="10"/>
    </row>
    <row r="41" customFormat="false" ht="12.75" hidden="false" customHeight="false" outlineLevel="0" collapsed="false">
      <c r="B41" s="35" t="s">
        <v>57</v>
      </c>
      <c r="C41" s="64"/>
      <c r="D41" s="66"/>
      <c r="E41" s="31" t="s">
        <v>57</v>
      </c>
      <c r="F41" s="64"/>
      <c r="G41" s="84"/>
      <c r="H41" s="31" t="s">
        <v>57</v>
      </c>
      <c r="I41" s="85" t="str">
        <f aca="false">IF(IF(ISBLANK(F41),1,(TRIM(F41)="")),"",ROUND(F41/4.184,3))</f>
        <v/>
      </c>
      <c r="J41" s="86"/>
      <c r="K41" s="34"/>
      <c r="L41" s="31" t="s">
        <v>57</v>
      </c>
      <c r="M41" s="85" t="str">
        <f aca="false">IF(IF(ISBLANK(F41),1,(TRIM(F41)="")),"",ROUND(F41+$K41*0.1094,3))</f>
        <v/>
      </c>
      <c r="O41" s="31" t="s">
        <v>57</v>
      </c>
      <c r="P41" s="85" t="str">
        <f aca="false">IF(IF(ISBLANK(F41),1,(TRIM(F41)="")),"",ROUND((F41+$K41*0.1094)/4.184,3))</f>
        <v/>
      </c>
      <c r="R41" s="10"/>
      <c r="S41" s="10"/>
      <c r="T41" s="10"/>
      <c r="U41" s="10"/>
      <c r="V41" s="10"/>
      <c r="W41" s="10"/>
    </row>
    <row r="42" customFormat="false" ht="12.75" hidden="false" customHeight="false" outlineLevel="0" collapsed="false">
      <c r="B42" s="35" t="s">
        <v>58</v>
      </c>
      <c r="C42" s="64"/>
      <c r="D42" s="66"/>
      <c r="E42" s="31" t="s">
        <v>58</v>
      </c>
      <c r="F42" s="64"/>
      <c r="G42" s="84"/>
      <c r="H42" s="31" t="s">
        <v>58</v>
      </c>
      <c r="I42" s="85" t="str">
        <f aca="false">IF(IF(ISBLANK(F42),1,(TRIM(F42)="")),"",ROUND(F42/4.184,3))</f>
        <v/>
      </c>
      <c r="J42" s="86"/>
      <c r="K42" s="34"/>
      <c r="L42" s="31" t="s">
        <v>58</v>
      </c>
      <c r="M42" s="85" t="str">
        <f aca="false">IF(IF(ISBLANK(F42),1,(TRIM(F42)="")),"",ROUND(F42+$K42*0.1094,3))</f>
        <v/>
      </c>
      <c r="O42" s="31" t="s">
        <v>58</v>
      </c>
      <c r="P42" s="85" t="str">
        <f aca="false">IF(IF(ISBLANK(F42),1,(TRIM(F42)="")),"",ROUND((F42+$K42*0.1094)/4.184,3))</f>
        <v/>
      </c>
      <c r="R42" s="10"/>
      <c r="S42" s="10"/>
      <c r="T42" s="10"/>
      <c r="U42" s="10"/>
      <c r="V42" s="10"/>
      <c r="W42" s="10"/>
    </row>
    <row r="43" customFormat="false" ht="12.75" hidden="false" customHeight="false" outlineLevel="0" collapsed="false">
      <c r="B43" s="35" t="s">
        <v>59</v>
      </c>
      <c r="C43" s="64"/>
      <c r="D43" s="66"/>
      <c r="E43" s="38" t="s">
        <v>59</v>
      </c>
      <c r="F43" s="64"/>
      <c r="G43" s="84"/>
      <c r="H43" s="38" t="s">
        <v>59</v>
      </c>
      <c r="I43" s="85" t="str">
        <f aca="false">IF(IF(ISBLANK(F43),1,(TRIM(F43)="")),"",ROUND(F43/4.184,3))</f>
        <v/>
      </c>
      <c r="J43" s="86"/>
      <c r="K43" s="34"/>
      <c r="L43" s="38" t="s">
        <v>59</v>
      </c>
      <c r="M43" s="85" t="str">
        <f aca="false">IF(IF(ISBLANK(F43),1,(TRIM(F43)="")),"",ROUND(F43+$K43*0.1094,3))</f>
        <v/>
      </c>
      <c r="O43" s="38" t="s">
        <v>59</v>
      </c>
      <c r="P43" s="85" t="str">
        <f aca="false">IF(IF(ISBLANK(F43),1,(TRIM(F43)="")),"",ROUND((F43+$K43*0.1094)/4.184,3))</f>
        <v/>
      </c>
      <c r="R43" s="10"/>
      <c r="S43" s="10"/>
      <c r="T43" s="10"/>
      <c r="U43" s="10"/>
      <c r="V43" s="10"/>
      <c r="W43" s="10"/>
    </row>
    <row r="44" customFormat="false" ht="12.75" hidden="false" customHeight="false" outlineLevel="0" collapsed="false">
      <c r="B44" s="35" t="s">
        <v>60</v>
      </c>
      <c r="C44" s="64" t="s">
        <v>194</v>
      </c>
      <c r="D44" s="66"/>
      <c r="E44" s="31" t="s">
        <v>60</v>
      </c>
      <c r="F44" s="64" t="s">
        <v>194</v>
      </c>
      <c r="G44" s="91"/>
      <c r="H44" s="31" t="s">
        <v>60</v>
      </c>
      <c r="I44" s="85" t="n">
        <f aca="false">IF(IF(ISBLANK(F44),1,(TRIM(F44)="")),"",ROUND(F44/4.184,3))</f>
        <v>8.031</v>
      </c>
      <c r="J44" s="86"/>
      <c r="K44" s="34"/>
      <c r="L44" s="31" t="s">
        <v>60</v>
      </c>
      <c r="M44" s="85" t="n">
        <f aca="false">IF(IF(ISBLANK(F44),1,(TRIM(F44)="")),"",ROUND(F44+$K44*0.1094,3))</f>
        <v>33.6</v>
      </c>
      <c r="O44" s="31" t="s">
        <v>60</v>
      </c>
      <c r="P44" s="85" t="n">
        <f aca="false">IF(IF(ISBLANK(F44),1,(TRIM(F44)="")),"",ROUND((F44+$K44*0.1094)/4.184,3))</f>
        <v>8.031</v>
      </c>
      <c r="R44" s="10"/>
      <c r="S44" s="10"/>
      <c r="T44" s="10"/>
      <c r="U44" s="10"/>
      <c r="V44" s="10"/>
      <c r="W44" s="10"/>
    </row>
    <row r="45" customFormat="false" ht="12.75" hidden="false" customHeight="false" outlineLevel="0" collapsed="false">
      <c r="B45" s="35" t="s">
        <v>61</v>
      </c>
      <c r="C45" s="64"/>
      <c r="D45" s="66"/>
      <c r="E45" s="31" t="s">
        <v>61</v>
      </c>
      <c r="F45" s="64"/>
      <c r="G45" s="84"/>
      <c r="H45" s="31" t="s">
        <v>61</v>
      </c>
      <c r="I45" s="85" t="str">
        <f aca="false">IF(IF(ISBLANK(F45),1,(TRIM(F45)="")),"",ROUND(F45/4.184,3))</f>
        <v/>
      </c>
      <c r="J45" s="86"/>
      <c r="K45" s="34"/>
      <c r="L45" s="31" t="s">
        <v>61</v>
      </c>
      <c r="M45" s="85" t="str">
        <f aca="false">IF(IF(ISBLANK(F45),1,(TRIM(F45)="")),"",ROUND(F45+$K45*0.1094,3))</f>
        <v/>
      </c>
      <c r="O45" s="31" t="s">
        <v>61</v>
      </c>
      <c r="P45" s="85" t="str">
        <f aca="false">IF(IF(ISBLANK(F45),1,(TRIM(F45)="")),"",ROUND((F45+$K45*0.1094)/4.184,3))</f>
        <v/>
      </c>
    </row>
    <row r="46" customFormat="false" ht="12.75" hidden="false" customHeight="false" outlineLevel="0" collapsed="false">
      <c r="B46" s="35" t="s">
        <v>62</v>
      </c>
      <c r="C46" s="64"/>
      <c r="D46" s="66"/>
      <c r="E46" s="31" t="s">
        <v>62</v>
      </c>
      <c r="F46" s="64"/>
      <c r="G46" s="84"/>
      <c r="H46" s="31" t="s">
        <v>62</v>
      </c>
      <c r="I46" s="85" t="str">
        <f aca="false">IF(IF(ISBLANK(F46),1,(TRIM(F46)="")),"",ROUND(F46/4.184,3))</f>
        <v/>
      </c>
      <c r="J46" s="86"/>
      <c r="K46" s="34"/>
      <c r="L46" s="31" t="s">
        <v>62</v>
      </c>
      <c r="M46" s="85" t="str">
        <f aca="false">IF(IF(ISBLANK(F46),1,(TRIM(F46)="")),"",ROUND(F46+$K46*0.1094,3))</f>
        <v/>
      </c>
      <c r="O46" s="31" t="s">
        <v>62</v>
      </c>
      <c r="P46" s="85" t="str">
        <f aca="false">IF(IF(ISBLANK(F46),1,(TRIM(F46)="")),"",ROUND((F46+$K46*0.1094)/4.184,3))</f>
        <v/>
      </c>
    </row>
    <row r="47" customFormat="false" ht="12.75" hidden="false" customHeight="false" outlineLevel="0" collapsed="false">
      <c r="B47" s="35" t="s">
        <v>63</v>
      </c>
      <c r="C47" s="64"/>
      <c r="D47" s="66"/>
      <c r="E47" s="31" t="s">
        <v>63</v>
      </c>
      <c r="F47" s="64"/>
      <c r="G47" s="84"/>
      <c r="H47" s="31" t="s">
        <v>63</v>
      </c>
      <c r="I47" s="85" t="str">
        <f aca="false">IF(IF(ISBLANK(F47),1,(TRIM(F47)="")),"",ROUND(F47/4.184,3))</f>
        <v/>
      </c>
      <c r="J47" s="86"/>
      <c r="K47" s="34"/>
      <c r="L47" s="31" t="s">
        <v>63</v>
      </c>
      <c r="M47" s="85" t="str">
        <f aca="false">IF(IF(ISBLANK(F47),1,(TRIM(F47)="")),"",ROUND(F47+$K47*0.1094,3))</f>
        <v/>
      </c>
      <c r="O47" s="31" t="s">
        <v>63</v>
      </c>
      <c r="P47" s="85" t="str">
        <f aca="false">IF(IF(ISBLANK(F47),1,(TRIM(F47)="")),"",ROUND((F47+$K47*0.1094)/4.184,3))</f>
        <v/>
      </c>
    </row>
    <row r="48" customFormat="false" ht="12.75" hidden="false" customHeight="false" outlineLevel="0" collapsed="false">
      <c r="B48" s="35" t="s">
        <v>64</v>
      </c>
      <c r="C48" s="64"/>
      <c r="D48" s="66"/>
      <c r="E48" s="31" t="s">
        <v>64</v>
      </c>
      <c r="F48" s="64"/>
      <c r="G48" s="84"/>
      <c r="H48" s="31" t="s">
        <v>64</v>
      </c>
      <c r="I48" s="85" t="str">
        <f aca="false">IF(IF(ISBLANK(F48),1,(TRIM(F48)="")),"",ROUND(F48/4.184,3))</f>
        <v/>
      </c>
      <c r="J48" s="86"/>
      <c r="K48" s="34"/>
      <c r="L48" s="31" t="s">
        <v>64</v>
      </c>
      <c r="M48" s="85" t="str">
        <f aca="false">IF(IF(ISBLANK(F48),1,(TRIM(F48)="")),"",ROUND(F48+$K48*0.1094,3))</f>
        <v/>
      </c>
      <c r="O48" s="31" t="s">
        <v>64</v>
      </c>
      <c r="P48" s="85" t="str">
        <f aca="false">IF(IF(ISBLANK(F48),1,(TRIM(F48)="")),"",ROUND((F48+$K48*0.1094)/4.184,3))</f>
        <v/>
      </c>
      <c r="V48" s="10"/>
      <c r="W48" s="10"/>
    </row>
    <row r="49" s="90" customFormat="true" ht="12.75" hidden="false" customHeight="false" outlineLevel="0" collapsed="false">
      <c r="A49" s="89"/>
      <c r="B49" s="35" t="s">
        <v>67</v>
      </c>
      <c r="C49" s="64"/>
      <c r="D49" s="66"/>
      <c r="E49" s="38" t="s">
        <v>66</v>
      </c>
      <c r="F49" s="64"/>
      <c r="G49" s="84"/>
      <c r="H49" s="38" t="s">
        <v>66</v>
      </c>
      <c r="I49" s="85" t="str">
        <f aca="false">IF(IF(ISBLANK(F49),1,(TRIM(F49)="")),"",ROUND(F49/4.184,3))</f>
        <v/>
      </c>
      <c r="J49" s="86"/>
      <c r="K49" s="34" t="n">
        <v>1</v>
      </c>
      <c r="L49" s="38" t="s">
        <v>66</v>
      </c>
      <c r="M49" s="85" t="str">
        <f aca="false">IF(IF(ISBLANK(F49),1,(TRIM(F49)="")),"",ROUND(F49+$K49*0.1094,3))</f>
        <v/>
      </c>
      <c r="O49" s="38" t="s">
        <v>66</v>
      </c>
      <c r="P49" s="85" t="str">
        <f aca="false">IF(IF(ISBLANK(F49),1,(TRIM(F49)="")),"",ROUND((F49+$K49*0.1094)/4.184,3))</f>
        <v/>
      </c>
      <c r="S49" s="10"/>
      <c r="T49" s="10"/>
      <c r="U49" s="10"/>
      <c r="V49" s="10"/>
      <c r="W49" s="10"/>
    </row>
    <row r="50" customFormat="false" ht="12.75" hidden="false" customHeight="false" outlineLevel="0" collapsed="false">
      <c r="B50" s="35" t="s">
        <v>68</v>
      </c>
      <c r="C50" s="64" t="n">
        <v>28.6</v>
      </c>
      <c r="D50" s="66"/>
      <c r="E50" s="38" t="s">
        <v>68</v>
      </c>
      <c r="F50" s="64" t="n">
        <v>28.6</v>
      </c>
      <c r="G50" s="84"/>
      <c r="H50" s="38" t="s">
        <v>68</v>
      </c>
      <c r="I50" s="85" t="n">
        <f aca="false">IF(IF(ISBLANK(F50),1,(TRIM(F50)="")),"",ROUND(F50/4.184,3))</f>
        <v>6.836</v>
      </c>
      <c r="J50" s="86"/>
      <c r="K50" s="34"/>
      <c r="L50" s="38" t="s">
        <v>68</v>
      </c>
      <c r="M50" s="85" t="n">
        <f aca="false">IF(IF(ISBLANK(F50),1,(TRIM(F50)="")),"",ROUND(F50+$K50*0.1094,3))</f>
        <v>28.6</v>
      </c>
      <c r="O50" s="38" t="s">
        <v>68</v>
      </c>
      <c r="P50" s="85" t="n">
        <f aca="false">IF(IF(ISBLANK(F50),1,(TRIM(F50)="")),"",ROUND((F50+$K50*0.1094)/4.184,3))</f>
        <v>6.836</v>
      </c>
      <c r="S50" s="10"/>
      <c r="T50" s="10"/>
      <c r="U50" s="10"/>
      <c r="V50" s="10"/>
      <c r="W50" s="10"/>
    </row>
    <row r="51" customFormat="false" ht="12.75" hidden="false" customHeight="false" outlineLevel="0" collapsed="false">
      <c r="B51" s="35" t="s">
        <v>69</v>
      </c>
      <c r="C51" s="64"/>
      <c r="D51" s="66"/>
      <c r="E51" s="31" t="s">
        <v>69</v>
      </c>
      <c r="F51" s="64"/>
      <c r="G51" s="84"/>
      <c r="H51" s="31" t="s">
        <v>69</v>
      </c>
      <c r="I51" s="85" t="str">
        <f aca="false">IF(IF(ISBLANK(F51),1,(TRIM(F51)="")),"",ROUND(F51/4.184,3))</f>
        <v/>
      </c>
      <c r="J51" s="86"/>
      <c r="K51" s="34"/>
      <c r="L51" s="31" t="s">
        <v>69</v>
      </c>
      <c r="M51" s="85" t="str">
        <f aca="false">IF(IF(ISBLANK(F51),1,(TRIM(F51)="")),"",ROUND(F51+$K51*0.1094,3))</f>
        <v/>
      </c>
      <c r="O51" s="31" t="s">
        <v>69</v>
      </c>
      <c r="P51" s="85" t="str">
        <f aca="false">IF(IF(ISBLANK(F51),1,(TRIM(F51)="")),"",ROUND((F51+$K51*0.1094)/4.184,3))</f>
        <v/>
      </c>
      <c r="S51" s="10"/>
      <c r="T51" s="10"/>
      <c r="U51" s="10"/>
      <c r="V51" s="10"/>
      <c r="W51" s="10"/>
    </row>
    <row r="52" customFormat="false" ht="12.75" hidden="false" customHeight="false" outlineLevel="0" collapsed="false">
      <c r="B52" s="35" t="s">
        <v>70</v>
      </c>
      <c r="C52" s="64"/>
      <c r="D52" s="66"/>
      <c r="E52" s="38" t="s">
        <v>70</v>
      </c>
      <c r="F52" s="64"/>
      <c r="G52" s="84"/>
      <c r="H52" s="38" t="s">
        <v>70</v>
      </c>
      <c r="I52" s="85" t="str">
        <f aca="false">IF(IF(ISBLANK(F52),1,(TRIM(F52)="")),"",ROUND(F52/4.184,3))</f>
        <v/>
      </c>
      <c r="J52" s="86"/>
      <c r="K52" s="34"/>
      <c r="L52" s="38" t="s">
        <v>70</v>
      </c>
      <c r="M52" s="85" t="str">
        <f aca="false">IF(IF(ISBLANK(F52),1,(TRIM(F52)="")),"",ROUND(F52+$K52*0.1094,3))</f>
        <v/>
      </c>
      <c r="O52" s="38" t="s">
        <v>70</v>
      </c>
      <c r="P52" s="85" t="str">
        <f aca="false">IF(IF(ISBLANK(F52),1,(TRIM(F52)="")),"",ROUND((F52+$K52*0.1094)/4.184,3))</f>
        <v/>
      </c>
      <c r="R52" s="10"/>
      <c r="S52" s="10"/>
      <c r="T52" s="10"/>
      <c r="U52" s="10"/>
      <c r="V52" s="10"/>
      <c r="W52" s="10"/>
    </row>
    <row r="53" customFormat="false" ht="12.75" hidden="false" customHeight="false" outlineLevel="0" collapsed="false">
      <c r="B53" s="35" t="s">
        <v>71</v>
      </c>
      <c r="C53" s="64"/>
      <c r="D53" s="66"/>
      <c r="E53" s="31" t="s">
        <v>71</v>
      </c>
      <c r="F53" s="64"/>
      <c r="G53" s="84"/>
      <c r="H53" s="31" t="s">
        <v>71</v>
      </c>
      <c r="I53" s="85" t="str">
        <f aca="false">IF(IF(ISBLANK(F53),1,(TRIM(F53)="")),"",ROUND(F53/4.184,3))</f>
        <v/>
      </c>
      <c r="J53" s="86"/>
      <c r="K53" s="34"/>
      <c r="L53" s="31" t="s">
        <v>71</v>
      </c>
      <c r="M53" s="85" t="str">
        <f aca="false">IF(IF(ISBLANK(F53),1,(TRIM(F53)="")),"",ROUND(F53+$K53*0.1094,3))</f>
        <v/>
      </c>
      <c r="O53" s="31" t="s">
        <v>71</v>
      </c>
      <c r="P53" s="85" t="str">
        <f aca="false">IF(IF(ISBLANK(F53),1,(TRIM(F53)="")),"",ROUND((F53+$K53*0.1094)/4.184,3))</f>
        <v/>
      </c>
      <c r="R53" s="10"/>
      <c r="S53" s="10"/>
      <c r="T53" s="10"/>
      <c r="U53" s="10"/>
      <c r="V53" s="10"/>
      <c r="W53" s="10"/>
    </row>
    <row r="54" customFormat="false" ht="12.75" hidden="false" customHeight="false" outlineLevel="0" collapsed="false">
      <c r="B54" s="35" t="s">
        <v>72</v>
      </c>
      <c r="C54" s="64"/>
      <c r="D54" s="66"/>
      <c r="E54" s="31" t="s">
        <v>72</v>
      </c>
      <c r="F54" s="64"/>
      <c r="G54" s="84"/>
      <c r="H54" s="31" t="s">
        <v>72</v>
      </c>
      <c r="I54" s="85" t="str">
        <f aca="false">IF(IF(ISBLANK(F54),1,(TRIM(F54)="")),"",ROUND(F54/4.184,3))</f>
        <v/>
      </c>
      <c r="J54" s="86"/>
      <c r="K54" s="34"/>
      <c r="L54" s="31" t="s">
        <v>72</v>
      </c>
      <c r="M54" s="85" t="str">
        <f aca="false">IF(IF(ISBLANK(F54),1,(TRIM(F54)="")),"",ROUND(F54+$K54*0.1094,3))</f>
        <v/>
      </c>
      <c r="O54" s="31" t="s">
        <v>72</v>
      </c>
      <c r="P54" s="85" t="str">
        <f aca="false">IF(IF(ISBLANK(F54),1,(TRIM(F54)="")),"",ROUND((F54+$K54*0.1094)/4.184,3))</f>
        <v/>
      </c>
      <c r="R54" s="10"/>
      <c r="S54" s="10"/>
      <c r="T54" s="10"/>
      <c r="U54" s="10"/>
      <c r="V54" s="10"/>
      <c r="W54" s="10"/>
    </row>
    <row r="55" customFormat="false" ht="12.75" hidden="false" customHeight="false" outlineLevel="0" collapsed="false">
      <c r="B55" s="35" t="s">
        <v>73</v>
      </c>
      <c r="C55" s="64"/>
      <c r="D55" s="66"/>
      <c r="E55" s="31" t="s">
        <v>73</v>
      </c>
      <c r="F55" s="64"/>
      <c r="G55" s="84"/>
      <c r="H55" s="31" t="s">
        <v>73</v>
      </c>
      <c r="I55" s="85" t="str">
        <f aca="false">IF(IF(ISBLANK(F55),1,(TRIM(F55)="")),"",ROUND(F55/4.184,3))</f>
        <v/>
      </c>
      <c r="J55" s="86"/>
      <c r="K55" s="34"/>
      <c r="L55" s="31" t="s">
        <v>73</v>
      </c>
      <c r="M55" s="85" t="str">
        <f aca="false">IF(IF(ISBLANK(F55),1,(TRIM(F55)="")),"",ROUND(F55+$K55*0.1094,3))</f>
        <v/>
      </c>
      <c r="O55" s="31" t="s">
        <v>73</v>
      </c>
      <c r="P55" s="85" t="str">
        <f aca="false">IF(IF(ISBLANK(F55),1,(TRIM(F55)="")),"",ROUND((F55+$K55*0.1094)/4.184,3))</f>
        <v/>
      </c>
      <c r="R55" s="10"/>
      <c r="S55" s="10"/>
      <c r="T55" s="10"/>
      <c r="U55" s="10"/>
      <c r="V55" s="10"/>
      <c r="W55" s="10"/>
    </row>
    <row r="56" s="90" customFormat="true" ht="12.75" hidden="false" customHeight="false" outlineLevel="0" collapsed="false">
      <c r="A56" s="89"/>
      <c r="B56" s="35" t="s">
        <v>76</v>
      </c>
      <c r="C56" s="64" t="s">
        <v>195</v>
      </c>
      <c r="D56" s="66"/>
      <c r="E56" s="38" t="s">
        <v>75</v>
      </c>
      <c r="F56" s="64" t="s">
        <v>196</v>
      </c>
      <c r="G56" s="88"/>
      <c r="H56" s="38" t="s">
        <v>75</v>
      </c>
      <c r="I56" s="85" t="n">
        <f aca="false">IF(IF(ISBLANK(F56),1,(TRIM(F56)="")),"",ROUND(F56/4.184,3))</f>
        <v>30.593</v>
      </c>
      <c r="J56" s="86"/>
      <c r="K56" s="34" t="n">
        <v>1</v>
      </c>
      <c r="L56" s="38" t="s">
        <v>75</v>
      </c>
      <c r="M56" s="85" t="n">
        <f aca="false">IF(IF(ISBLANK(F56),1,(TRIM(F56)="")),"",ROUND(F56+$K56*0.1094,3))</f>
        <v>128.109</v>
      </c>
      <c r="O56" s="38" t="s">
        <v>75</v>
      </c>
      <c r="P56" s="85" t="n">
        <f aca="false">IF(IF(ISBLANK(F56),1,(TRIM(F56)="")),"",ROUND((F56+$K56*0.1094)/4.184,3))</f>
        <v>30.619</v>
      </c>
    </row>
    <row r="57" customFormat="false" ht="12.75" hidden="false" customHeight="false" outlineLevel="0" collapsed="false">
      <c r="B57" s="35" t="s">
        <v>77</v>
      </c>
      <c r="C57" s="64"/>
      <c r="D57" s="66"/>
      <c r="E57" s="31" t="s">
        <v>77</v>
      </c>
      <c r="F57" s="64"/>
      <c r="G57" s="84"/>
      <c r="H57" s="31" t="s">
        <v>77</v>
      </c>
      <c r="I57" s="85" t="str">
        <f aca="false">IF(IF(ISBLANK(F57),1,(TRIM(F57)="")),"",ROUND(F57/4.184,3))</f>
        <v/>
      </c>
      <c r="J57" s="86"/>
      <c r="K57" s="34" t="n">
        <v>1</v>
      </c>
      <c r="L57" s="31" t="s">
        <v>77</v>
      </c>
      <c r="M57" s="85" t="str">
        <f aca="false">IF(IF(ISBLANK(F57),1,(TRIM(F57)="")),"",ROUND(F57+$K57*0.1094,3))</f>
        <v/>
      </c>
      <c r="O57" s="31" t="s">
        <v>77</v>
      </c>
      <c r="P57" s="85" t="str">
        <f aca="false">IF(IF(ISBLANK(F57),1,(TRIM(F57)="")),"",ROUND((F57+$K57*0.1094)/4.184,3))</f>
        <v/>
      </c>
    </row>
    <row r="58" customFormat="false" ht="12.75" hidden="false" customHeight="false" outlineLevel="0" collapsed="false">
      <c r="B58" s="35" t="s">
        <v>78</v>
      </c>
      <c r="C58" s="64"/>
      <c r="D58" s="66"/>
      <c r="E58" s="31" t="s">
        <v>78</v>
      </c>
      <c r="F58" s="64"/>
      <c r="G58" s="84"/>
      <c r="H58" s="31" t="s">
        <v>78</v>
      </c>
      <c r="I58" s="85" t="str">
        <f aca="false">IF(IF(ISBLANK(F58),1,(TRIM(F58)="")),"",ROUND(F58/4.184,3))</f>
        <v/>
      </c>
      <c r="J58" s="86"/>
      <c r="K58" s="34"/>
      <c r="L58" s="31" t="s">
        <v>78</v>
      </c>
      <c r="M58" s="85" t="str">
        <f aca="false">IF(IF(ISBLANK(F58),1,(TRIM(F58)="")),"",ROUND(F58+$K58*0.1094,3))</f>
        <v/>
      </c>
      <c r="O58" s="31" t="s">
        <v>78</v>
      </c>
      <c r="P58" s="85" t="str">
        <f aca="false">IF(IF(ISBLANK(F58),1,(TRIM(F58)="")),"",ROUND((F58+$K58*0.1094)/4.184,3))</f>
        <v/>
      </c>
    </row>
    <row r="59" customFormat="false" ht="12.75" hidden="false" customHeight="false" outlineLevel="0" collapsed="false">
      <c r="A59" s="10"/>
      <c r="B59" s="35" t="s">
        <v>79</v>
      </c>
      <c r="C59" s="64" t="n">
        <v>76.5</v>
      </c>
      <c r="D59" s="66"/>
      <c r="E59" s="31" t="s">
        <v>79</v>
      </c>
      <c r="F59" s="64" t="n">
        <v>76.5</v>
      </c>
      <c r="G59" s="84"/>
      <c r="H59" s="31" t="s">
        <v>79</v>
      </c>
      <c r="I59" s="85" t="n">
        <f aca="false">IF(IF(ISBLANK(F59),1,(TRIM(F59)="")),"",ROUND(F59/4.184,3))</f>
        <v>18.284</v>
      </c>
      <c r="J59" s="86"/>
      <c r="K59" s="34"/>
      <c r="L59" s="31" t="s">
        <v>79</v>
      </c>
      <c r="M59" s="85" t="n">
        <f aca="false">IF(IF(ISBLANK(F59),1,(TRIM(F59)="")),"",ROUND(F59+$K59*0.1094,3))</f>
        <v>76.5</v>
      </c>
      <c r="O59" s="31" t="s">
        <v>79</v>
      </c>
      <c r="P59" s="85" t="n">
        <f aca="false">IF(IF(ISBLANK(F59),1,(TRIM(F59)="")),"",ROUND((F59+$K59*0.1094)/4.184,3))</f>
        <v>18.284</v>
      </c>
      <c r="V59" s="10"/>
      <c r="W59" s="10"/>
    </row>
    <row r="60" customFormat="false" ht="12.75" hidden="false" customHeight="false" outlineLevel="0" collapsed="false">
      <c r="B60" s="35" t="s">
        <v>80</v>
      </c>
      <c r="C60" s="64"/>
      <c r="D60" s="66"/>
      <c r="E60" s="31" t="s">
        <v>80</v>
      </c>
      <c r="F60" s="64"/>
      <c r="G60" s="84"/>
      <c r="H60" s="31" t="s">
        <v>80</v>
      </c>
      <c r="I60" s="85" t="str">
        <f aca="false">IF(IF(ISBLANK(F60),1,(TRIM(F60)="")),"",ROUND(F60/4.184,3))</f>
        <v/>
      </c>
      <c r="J60" s="86"/>
      <c r="K60" s="34"/>
      <c r="L60" s="31" t="s">
        <v>80</v>
      </c>
      <c r="M60" s="85" t="str">
        <f aca="false">IF(IF(ISBLANK(F60),1,(TRIM(F60)="")),"",ROUND(F60+$K60*0.1094,3))</f>
        <v/>
      </c>
      <c r="O60" s="31" t="s">
        <v>80</v>
      </c>
      <c r="P60" s="85" t="str">
        <f aca="false">IF(IF(ISBLANK(F60),1,(TRIM(F60)="")),"",ROUND((F60+$K60*0.1094)/4.184,3))</f>
        <v/>
      </c>
      <c r="S60" s="10"/>
      <c r="T60" s="10"/>
      <c r="U60" s="10"/>
      <c r="V60" s="10"/>
      <c r="W60" s="10"/>
    </row>
    <row r="61" s="90" customFormat="true" ht="12.75" hidden="false" customHeight="false" outlineLevel="0" collapsed="false">
      <c r="A61" s="89"/>
      <c r="B61" s="35" t="s">
        <v>83</v>
      </c>
      <c r="C61" s="64" t="n">
        <v>58.4</v>
      </c>
      <c r="D61" s="66"/>
      <c r="E61" s="38" t="s">
        <v>82</v>
      </c>
      <c r="F61" s="64" t="s">
        <v>197</v>
      </c>
      <c r="G61" s="84"/>
      <c r="H61" s="38" t="s">
        <v>82</v>
      </c>
      <c r="I61" s="85" t="n">
        <f aca="false">IF(IF(ISBLANK(F61),1,(TRIM(F61)="")),"",ROUND(F61/4.184,3))</f>
        <v>27.916</v>
      </c>
      <c r="J61" s="86"/>
      <c r="K61" s="34"/>
      <c r="L61" s="38" t="s">
        <v>82</v>
      </c>
      <c r="M61" s="85" t="n">
        <f aca="false">IF(IF(ISBLANK(F61),1,(TRIM(F61)="")),"",ROUND(F61+$K61*0.1094,3))</f>
        <v>116.8</v>
      </c>
      <c r="O61" s="38" t="s">
        <v>82</v>
      </c>
      <c r="P61" s="85" t="n">
        <f aca="false">IF(IF(ISBLANK(F61),1,(TRIM(F61)="")),"",ROUND((F61+$K61*0.1094)/4.184,3))</f>
        <v>27.916</v>
      </c>
      <c r="S61" s="10"/>
      <c r="T61" s="10"/>
      <c r="U61" s="10"/>
      <c r="V61" s="10"/>
      <c r="W61" s="10"/>
    </row>
    <row r="62" customFormat="false" ht="12.75" hidden="false" customHeight="false" outlineLevel="0" collapsed="false">
      <c r="B62" s="35" t="s">
        <v>84</v>
      </c>
      <c r="C62" s="64"/>
      <c r="D62" s="66"/>
      <c r="E62" s="31" t="s">
        <v>84</v>
      </c>
      <c r="F62" s="64"/>
      <c r="G62" s="84"/>
      <c r="H62" s="31" t="s">
        <v>84</v>
      </c>
      <c r="I62" s="85" t="str">
        <f aca="false">IF(IF(ISBLANK(F62),1,(TRIM(F62)="")),"",ROUND(F62/4.184,3))</f>
        <v/>
      </c>
      <c r="J62" s="86"/>
      <c r="K62" s="34"/>
      <c r="L62" s="31" t="s">
        <v>84</v>
      </c>
      <c r="M62" s="85" t="str">
        <f aca="false">IF(IF(ISBLANK(F62),1,(TRIM(F62)="")),"",ROUND(F62+$K62*0.1094,3))</f>
        <v/>
      </c>
      <c r="O62" s="31" t="s">
        <v>84</v>
      </c>
      <c r="P62" s="85" t="str">
        <f aca="false">IF(IF(ISBLANK(F62),1,(TRIM(F62)="")),"",ROUND((F62+$K62*0.1094)/4.184,3))</f>
        <v/>
      </c>
      <c r="S62" s="10"/>
      <c r="T62" s="10"/>
      <c r="U62" s="10"/>
      <c r="V62" s="10"/>
      <c r="W62" s="10"/>
    </row>
    <row r="63" customFormat="false" ht="12.75" hidden="false" customHeight="false" outlineLevel="0" collapsed="false">
      <c r="B63" s="35" t="s">
        <v>85</v>
      </c>
      <c r="C63" s="64"/>
      <c r="D63" s="66"/>
      <c r="E63" s="31" t="s">
        <v>85</v>
      </c>
      <c r="F63" s="64"/>
      <c r="G63" s="84"/>
      <c r="H63" s="31" t="s">
        <v>85</v>
      </c>
      <c r="I63" s="85" t="str">
        <f aca="false">IF(IF(ISBLANK(F63),1,(TRIM(F63)="")),"",ROUND(F63/4.184,3))</f>
        <v/>
      </c>
      <c r="J63" s="86"/>
      <c r="K63" s="34"/>
      <c r="L63" s="31" t="s">
        <v>85</v>
      </c>
      <c r="M63" s="85" t="str">
        <f aca="false">IF(IF(ISBLANK(F63),1,(TRIM(F63)="")),"",ROUND(F63+$K63*0.1094,3))</f>
        <v/>
      </c>
      <c r="O63" s="31" t="s">
        <v>85</v>
      </c>
      <c r="P63" s="85" t="str">
        <f aca="false">IF(IF(ISBLANK(F63),1,(TRIM(F63)="")),"",ROUND((F63+$K63*0.1094)/4.184,3))</f>
        <v/>
      </c>
      <c r="R63" s="10"/>
      <c r="S63" s="10"/>
      <c r="T63" s="10"/>
      <c r="U63" s="10"/>
      <c r="V63" s="10"/>
      <c r="W63" s="10"/>
    </row>
    <row r="64" customFormat="false" ht="12.75" hidden="false" customHeight="false" outlineLevel="0" collapsed="false">
      <c r="B64" s="35" t="s">
        <v>86</v>
      </c>
      <c r="C64" s="64" t="s">
        <v>198</v>
      </c>
      <c r="D64" s="66"/>
      <c r="E64" s="38" t="s">
        <v>86</v>
      </c>
      <c r="F64" s="64" t="s">
        <v>198</v>
      </c>
      <c r="G64" s="88"/>
      <c r="H64" s="38" t="s">
        <v>86</v>
      </c>
      <c r="I64" s="85" t="n">
        <f aca="false">IF(IF(ISBLANK(F64),1,(TRIM(F64)="")),"",ROUND(F64/4.184,3))</f>
        <v>16.491</v>
      </c>
      <c r="J64" s="86"/>
      <c r="K64" s="34"/>
      <c r="L64" s="38" t="s">
        <v>86</v>
      </c>
      <c r="M64" s="85" t="n">
        <f aca="false">IF(IF(ISBLANK(F64),1,(TRIM(F64)="")),"",ROUND(F64+$K64*0.1094,3))</f>
        <v>69</v>
      </c>
      <c r="O64" s="38" t="s">
        <v>86</v>
      </c>
      <c r="P64" s="85" t="n">
        <f aca="false">IF(IF(ISBLANK(F64),1,(TRIM(F64)="")),"",ROUND((F64+$K64*0.1094)/4.184,3))</f>
        <v>16.491</v>
      </c>
      <c r="R64" s="10"/>
      <c r="S64" s="10"/>
      <c r="T64" s="10"/>
      <c r="U64" s="10"/>
      <c r="V64" s="10"/>
      <c r="W64" s="10"/>
    </row>
    <row r="65" customFormat="false" ht="12.75" hidden="false" customHeight="false" outlineLevel="0" collapsed="false">
      <c r="B65" s="35" t="s">
        <v>87</v>
      </c>
      <c r="C65" s="64"/>
      <c r="D65" s="66"/>
      <c r="E65" s="31" t="s">
        <v>87</v>
      </c>
      <c r="F65" s="64"/>
      <c r="G65" s="84"/>
      <c r="H65" s="31" t="s">
        <v>87</v>
      </c>
      <c r="I65" s="85" t="str">
        <f aca="false">IF(IF(ISBLANK(F65),1,(TRIM(F65)="")),"",ROUND(F65/4.184,3))</f>
        <v/>
      </c>
      <c r="J65" s="86"/>
      <c r="K65" s="34" t="n">
        <v>1</v>
      </c>
      <c r="L65" s="31" t="s">
        <v>87</v>
      </c>
      <c r="M65" s="85" t="str">
        <f aca="false">IF(IF(ISBLANK(F65),1,(TRIM(F65)="")),"",ROUND(F65+$K65*0.1094,3))</f>
        <v/>
      </c>
      <c r="O65" s="31" t="s">
        <v>87</v>
      </c>
      <c r="P65" s="85" t="str">
        <f aca="false">IF(IF(ISBLANK(F65),1,(TRIM(F65)="")),"",ROUND((F65+$K65*0.1094)/4.184,3))</f>
        <v/>
      </c>
      <c r="R65" s="10"/>
      <c r="S65" s="10"/>
      <c r="T65" s="10"/>
      <c r="U65" s="10"/>
      <c r="V65" s="10"/>
      <c r="W65" s="10"/>
    </row>
    <row r="66" customFormat="false" ht="12.75" hidden="false" customHeight="false" outlineLevel="0" collapsed="false">
      <c r="B66" s="35" t="s">
        <v>88</v>
      </c>
      <c r="C66" s="64"/>
      <c r="D66" s="66"/>
      <c r="E66" s="31" t="s">
        <v>88</v>
      </c>
      <c r="F66" s="64"/>
      <c r="G66" s="84"/>
      <c r="H66" s="31" t="s">
        <v>88</v>
      </c>
      <c r="I66" s="85" t="str">
        <f aca="false">IF(IF(ISBLANK(F66),1,(TRIM(F66)="")),"",ROUND(F66/4.184,3))</f>
        <v/>
      </c>
      <c r="J66" s="86"/>
      <c r="K66" s="34"/>
      <c r="L66" s="31" t="s">
        <v>88</v>
      </c>
      <c r="M66" s="85" t="str">
        <f aca="false">IF(IF(ISBLANK(F66),1,(TRIM(F66)="")),"",ROUND(F66+$K66*0.1094,3))</f>
        <v/>
      </c>
      <c r="O66" s="31" t="s">
        <v>88</v>
      </c>
      <c r="P66" s="85" t="str">
        <f aca="false">IF(IF(ISBLANK(F66),1,(TRIM(F66)="")),"",ROUND((F66+$K66*0.1094)/4.184,3))</f>
        <v/>
      </c>
      <c r="R66" s="10"/>
      <c r="S66" s="10"/>
      <c r="T66" s="10"/>
      <c r="U66" s="10"/>
      <c r="V66" s="10"/>
      <c r="W66" s="10"/>
    </row>
    <row r="67" customFormat="false" ht="12.75" hidden="false" customHeight="false" outlineLevel="0" collapsed="false">
      <c r="B67" s="35" t="s">
        <v>89</v>
      </c>
      <c r="C67" s="64"/>
      <c r="D67" s="66"/>
      <c r="E67" s="38" t="s">
        <v>89</v>
      </c>
      <c r="F67" s="64"/>
      <c r="G67" s="84"/>
      <c r="H67" s="38" t="s">
        <v>89</v>
      </c>
      <c r="I67" s="85" t="str">
        <f aca="false">IF(IF(ISBLANK(F67),1,(TRIM(F67)="")),"",ROUND(F67/4.184,3))</f>
        <v/>
      </c>
      <c r="J67" s="86"/>
      <c r="K67" s="34"/>
      <c r="L67" s="38" t="s">
        <v>89</v>
      </c>
      <c r="M67" s="85" t="str">
        <f aca="false">IF(IF(ISBLANK(F67),1,(TRIM(F67)="")),"",ROUND(F67+$K67*0.1094,3))</f>
        <v/>
      </c>
      <c r="O67" s="38" t="s">
        <v>89</v>
      </c>
      <c r="P67" s="85" t="str">
        <f aca="false">IF(IF(ISBLANK(F67),1,(TRIM(F67)="")),"",ROUND((F67+$K67*0.1094)/4.184,3))</f>
        <v/>
      </c>
    </row>
    <row r="68" customFormat="false" ht="12.75" hidden="false" customHeight="false" outlineLevel="0" collapsed="false">
      <c r="B68" s="35" t="s">
        <v>90</v>
      </c>
      <c r="C68" s="64"/>
      <c r="D68" s="66"/>
      <c r="E68" s="31" t="s">
        <v>90</v>
      </c>
      <c r="F68" s="64"/>
      <c r="G68" s="84"/>
      <c r="H68" s="31" t="s">
        <v>90</v>
      </c>
      <c r="I68" s="85" t="str">
        <f aca="false">IF(IF(ISBLANK(F68),1,(TRIM(F68)="")),"",ROUND(F68/4.184,3))</f>
        <v/>
      </c>
      <c r="J68" s="86"/>
      <c r="K68" s="34"/>
      <c r="L68" s="31" t="s">
        <v>90</v>
      </c>
      <c r="M68" s="85" t="str">
        <f aca="false">IF(IF(ISBLANK(F68),1,(TRIM(F68)="")),"",ROUND(F68+$K68*0.1094,3))</f>
        <v/>
      </c>
      <c r="O68" s="31" t="s">
        <v>90</v>
      </c>
      <c r="P68" s="85" t="str">
        <f aca="false">IF(IF(ISBLANK(F68),1,(TRIM(F68)="")),"",ROUND((F68+$K68*0.1094)/4.184,3))</f>
        <v/>
      </c>
    </row>
    <row r="69" customFormat="false" ht="12.75" hidden="false" customHeight="false" outlineLevel="0" collapsed="false">
      <c r="B69" s="35" t="s">
        <v>91</v>
      </c>
      <c r="C69" s="64"/>
      <c r="D69" s="66"/>
      <c r="E69" s="31" t="s">
        <v>91</v>
      </c>
      <c r="F69" s="64"/>
      <c r="G69" s="84"/>
      <c r="H69" s="31" t="s">
        <v>91</v>
      </c>
      <c r="I69" s="85" t="str">
        <f aca="false">IF(IF(ISBLANK(F69),1,(TRIM(F69)="")),"",ROUND(F69/4.184,3))</f>
        <v/>
      </c>
      <c r="J69" s="86"/>
      <c r="K69" s="34"/>
      <c r="L69" s="31" t="s">
        <v>91</v>
      </c>
      <c r="M69" s="85" t="str">
        <f aca="false">IF(IF(ISBLANK(F69),1,(TRIM(F69)="")),"",ROUND(F69+$K69*0.1094,3))</f>
        <v/>
      </c>
      <c r="O69" s="31" t="s">
        <v>91</v>
      </c>
      <c r="P69" s="85" t="str">
        <f aca="false">IF(IF(ISBLANK(F69),1,(TRIM(F69)="")),"",ROUND((F69+$K69*0.1094)/4.184,3))</f>
        <v/>
      </c>
    </row>
    <row r="70" customFormat="false" ht="12.75" hidden="false" customHeight="false" outlineLevel="0" collapsed="false">
      <c r="B70" s="35" t="s">
        <v>92</v>
      </c>
      <c r="C70" s="64"/>
      <c r="D70" s="66"/>
      <c r="E70" s="31" t="s">
        <v>92</v>
      </c>
      <c r="F70" s="64"/>
      <c r="G70" s="84"/>
      <c r="H70" s="31" t="s">
        <v>92</v>
      </c>
      <c r="I70" s="85" t="str">
        <f aca="false">IF(IF(ISBLANK(F70),1,(TRIM(F70)="")),"",ROUND(F70/4.184,3))</f>
        <v/>
      </c>
      <c r="J70" s="86"/>
      <c r="K70" s="34"/>
      <c r="L70" s="31" t="s">
        <v>92</v>
      </c>
      <c r="M70" s="85" t="str">
        <f aca="false">IF(IF(ISBLANK(F70),1,(TRIM(F70)="")),"",ROUND(F70+$K70*0.1094,3))</f>
        <v/>
      </c>
      <c r="O70" s="31" t="s">
        <v>92</v>
      </c>
      <c r="P70" s="85" t="str">
        <f aca="false">IF(IF(ISBLANK(F70),1,(TRIM(F70)="")),"",ROUND((F70+$K70*0.1094)/4.184,3))</f>
        <v/>
      </c>
      <c r="V70" s="10"/>
      <c r="W70" s="10"/>
    </row>
    <row r="71" customFormat="false" ht="12.75" hidden="false" customHeight="false" outlineLevel="0" collapsed="false">
      <c r="B71" s="35" t="s">
        <v>93</v>
      </c>
      <c r="C71" s="64" t="s">
        <v>199</v>
      </c>
      <c r="D71" s="66"/>
      <c r="E71" s="31" t="s">
        <v>93</v>
      </c>
      <c r="F71" s="64" t="s">
        <v>199</v>
      </c>
      <c r="G71" s="88"/>
      <c r="H71" s="31" t="s">
        <v>93</v>
      </c>
      <c r="I71" s="85" t="n">
        <f aca="false">IF(IF(ISBLANK(F71),1,(TRIM(F71)="")),"",ROUND(F71/4.184,3))</f>
        <v>8.126</v>
      </c>
      <c r="J71" s="86"/>
      <c r="K71" s="34"/>
      <c r="L71" s="31" t="s">
        <v>93</v>
      </c>
      <c r="M71" s="85" t="n">
        <f aca="false">IF(IF(ISBLANK(F71),1,(TRIM(F71)="")),"",ROUND(F71+$K71*0.1094,3))</f>
        <v>34</v>
      </c>
      <c r="O71" s="31" t="s">
        <v>93</v>
      </c>
      <c r="P71" s="85" t="n">
        <f aca="false">IF(IF(ISBLANK(F71),1,(TRIM(F71)="")),"",ROUND((F71+$K71*0.1094)/4.184,3))</f>
        <v>8.126</v>
      </c>
      <c r="S71" s="10"/>
      <c r="T71" s="10"/>
      <c r="U71" s="10"/>
      <c r="V71" s="10"/>
      <c r="W71" s="10"/>
    </row>
    <row r="72" customFormat="false" ht="12.75" hidden="false" customHeight="false" outlineLevel="0" collapsed="false">
      <c r="B72" s="35" t="s">
        <v>94</v>
      </c>
      <c r="C72" s="64"/>
      <c r="D72" s="66"/>
      <c r="E72" s="31" t="s">
        <v>94</v>
      </c>
      <c r="F72" s="64"/>
      <c r="G72" s="84"/>
      <c r="H72" s="31" t="s">
        <v>94</v>
      </c>
      <c r="I72" s="85" t="str">
        <f aca="false">IF(IF(ISBLANK(F72),1,(TRIM(F72)="")),"",ROUND(F72/4.184,3))</f>
        <v/>
      </c>
      <c r="J72" s="86"/>
      <c r="K72" s="34"/>
      <c r="L72" s="31" t="s">
        <v>94</v>
      </c>
      <c r="M72" s="85" t="str">
        <f aca="false">IF(IF(ISBLANK(F72),1,(TRIM(F72)="")),"",ROUND(F72+$K72*0.1094,3))</f>
        <v/>
      </c>
      <c r="O72" s="31" t="s">
        <v>94</v>
      </c>
      <c r="P72" s="85" t="str">
        <f aca="false">IF(IF(ISBLANK(F72),1,(TRIM(F72)="")),"",ROUND((F72+$K72*0.1094)/4.184,3))</f>
        <v/>
      </c>
      <c r="S72" s="10"/>
      <c r="T72" s="10"/>
      <c r="U72" s="10"/>
      <c r="V72" s="10"/>
      <c r="W72" s="10"/>
    </row>
    <row r="73" customFormat="false" ht="12.75" hidden="false" customHeight="false" outlineLevel="0" collapsed="false">
      <c r="B73" s="35" t="s">
        <v>95</v>
      </c>
      <c r="C73" s="64"/>
      <c r="D73" s="66"/>
      <c r="E73" s="31" t="s">
        <v>95</v>
      </c>
      <c r="F73" s="64"/>
      <c r="G73" s="84"/>
      <c r="H73" s="31" t="s">
        <v>95</v>
      </c>
      <c r="I73" s="85" t="str">
        <f aca="false">IF(IF(ISBLANK(F73),1,(TRIM(F73)="")),"",ROUND(F73/4.184,3))</f>
        <v/>
      </c>
      <c r="J73" s="86"/>
      <c r="K73" s="34"/>
      <c r="L73" s="31" t="s">
        <v>95</v>
      </c>
      <c r="M73" s="85" t="str">
        <f aca="false">IF(IF(ISBLANK(F73),1,(TRIM(F73)="")),"",ROUND(F73+$K73*0.1094,3))</f>
        <v/>
      </c>
      <c r="O73" s="31" t="s">
        <v>95</v>
      </c>
      <c r="P73" s="85" t="str">
        <f aca="false">IF(IF(ISBLANK(F73),1,(TRIM(F73)="")),"",ROUND((F73+$K73*0.1094)/4.184,3))</f>
        <v/>
      </c>
      <c r="S73" s="10"/>
      <c r="T73" s="10"/>
      <c r="U73" s="10"/>
      <c r="V73" s="10"/>
      <c r="W73" s="10"/>
    </row>
    <row r="74" s="90" customFormat="true" ht="12.75" hidden="false" customHeight="false" outlineLevel="0" collapsed="false">
      <c r="A74" s="89"/>
      <c r="B74" s="35" t="s">
        <v>98</v>
      </c>
      <c r="C74" s="64" t="n">
        <v>96.1</v>
      </c>
      <c r="D74" s="66"/>
      <c r="E74" s="38" t="s">
        <v>97</v>
      </c>
      <c r="F74" s="64" t="s">
        <v>200</v>
      </c>
      <c r="G74" s="84"/>
      <c r="H74" s="38" t="s">
        <v>97</v>
      </c>
      <c r="I74" s="85" t="n">
        <f aca="false">IF(IF(ISBLANK(F74),1,(TRIM(F74)="")),"",ROUND(F74/4.184,3))</f>
        <v>45.937</v>
      </c>
      <c r="J74" s="86"/>
      <c r="K74" s="34" t="n">
        <v>1</v>
      </c>
      <c r="L74" s="38" t="s">
        <v>97</v>
      </c>
      <c r="M74" s="85" t="n">
        <f aca="false">IF(IF(ISBLANK(F74),1,(TRIM(F74)="")),"",ROUND(F74+$K74*0.1094,3))</f>
        <v>192.309</v>
      </c>
      <c r="O74" s="38" t="s">
        <v>97</v>
      </c>
      <c r="P74" s="85" t="n">
        <f aca="false">IF(IF(ISBLANK(F74),1,(TRIM(F74)="")),"",ROUND((F74+$K74*0.1094)/4.184,3))</f>
        <v>45.963</v>
      </c>
      <c r="R74" s="10"/>
      <c r="S74" s="10"/>
      <c r="T74" s="10"/>
      <c r="U74" s="10"/>
      <c r="V74" s="10"/>
      <c r="W74" s="10"/>
    </row>
    <row r="75" customFormat="false" ht="12.75" hidden="false" customHeight="false" outlineLevel="0" collapsed="false">
      <c r="B75" s="35" t="s">
        <v>99</v>
      </c>
      <c r="C75" s="64" t="n">
        <v>52.2</v>
      </c>
      <c r="D75" s="66"/>
      <c r="E75" s="38" t="s">
        <v>99</v>
      </c>
      <c r="F75" s="64" t="n">
        <v>52.2</v>
      </c>
      <c r="G75" s="84"/>
      <c r="H75" s="38" t="s">
        <v>99</v>
      </c>
      <c r="I75" s="85" t="n">
        <f aca="false">IF(IF(ISBLANK(F75),1,(TRIM(F75)="")),"",ROUND(F75/4.184,3))</f>
        <v>12.476</v>
      </c>
      <c r="J75" s="86"/>
      <c r="K75" s="34"/>
      <c r="L75" s="38" t="s">
        <v>99</v>
      </c>
      <c r="M75" s="85" t="n">
        <f aca="false">IF(IF(ISBLANK(F75),1,(TRIM(F75)="")),"",ROUND(F75+$K75*0.1094,3))</f>
        <v>52.2</v>
      </c>
      <c r="O75" s="38" t="s">
        <v>99</v>
      </c>
      <c r="P75" s="85" t="n">
        <f aca="false">IF(IF(ISBLANK(F75),1,(TRIM(F75)="")),"",ROUND((F75+$K75*0.1094)/4.184,3))</f>
        <v>12.476</v>
      </c>
      <c r="R75" s="10"/>
      <c r="S75" s="10"/>
      <c r="T75" s="10"/>
      <c r="U75" s="10"/>
      <c r="V75" s="10"/>
      <c r="W75" s="10"/>
    </row>
    <row r="76" customFormat="false" ht="12.75" hidden="false" customHeight="false" outlineLevel="0" collapsed="false">
      <c r="B76" s="35" t="s">
        <v>100</v>
      </c>
      <c r="C76" s="64"/>
      <c r="D76" s="66"/>
      <c r="E76" s="31" t="s">
        <v>100</v>
      </c>
      <c r="F76" s="64"/>
      <c r="G76" s="84"/>
      <c r="H76" s="31" t="s">
        <v>100</v>
      </c>
      <c r="I76" s="85" t="str">
        <f aca="false">IF(IF(ISBLANK(F76),1,(TRIM(F76)="")),"",ROUND(F76/4.184,3))</f>
        <v/>
      </c>
      <c r="J76" s="86"/>
      <c r="K76" s="34"/>
      <c r="L76" s="31" t="s">
        <v>100</v>
      </c>
      <c r="M76" s="85" t="str">
        <f aca="false">IF(IF(ISBLANK(F76),1,(TRIM(F76)="")),"",ROUND(F76+$K76*0.1094,3))</f>
        <v/>
      </c>
      <c r="O76" s="31" t="s">
        <v>100</v>
      </c>
      <c r="P76" s="85" t="str">
        <f aca="false">IF(IF(ISBLANK(F76),1,(TRIM(F76)="")),"",ROUND((F76+$K76*0.1094)/4.184,3))</f>
        <v/>
      </c>
      <c r="R76" s="10"/>
      <c r="S76" s="10"/>
      <c r="T76" s="10"/>
      <c r="U76" s="10"/>
      <c r="V76" s="10"/>
      <c r="W76" s="10"/>
    </row>
    <row r="77" customFormat="false" ht="12.75" hidden="false" customHeight="false" outlineLevel="0" collapsed="false">
      <c r="B77" s="35" t="s">
        <v>101</v>
      </c>
      <c r="C77" s="64"/>
      <c r="D77" s="66"/>
      <c r="E77" s="31" t="s">
        <v>101</v>
      </c>
      <c r="F77" s="64"/>
      <c r="G77" s="84"/>
      <c r="H77" s="31" t="s">
        <v>101</v>
      </c>
      <c r="I77" s="85" t="str">
        <f aca="false">IF(IF(ISBLANK(F77),1,(TRIM(F77)="")),"",ROUND(F77/4.184,3))</f>
        <v/>
      </c>
      <c r="J77" s="86"/>
      <c r="K77" s="34"/>
      <c r="L77" s="31" t="s">
        <v>101</v>
      </c>
      <c r="M77" s="85" t="str">
        <f aca="false">IF(IF(ISBLANK(F77),1,(TRIM(F77)="")),"",ROUND(F77+$K77*0.1094,3))</f>
        <v/>
      </c>
      <c r="O77" s="31" t="s">
        <v>101</v>
      </c>
      <c r="P77" s="85" t="str">
        <f aca="false">IF(IF(ISBLANK(F77),1,(TRIM(F77)="")),"",ROUND((F77+$K77*0.1094)/4.184,3))</f>
        <v/>
      </c>
    </row>
    <row r="78" customFormat="false" ht="12.75" hidden="false" customHeight="false" outlineLevel="0" collapsed="false">
      <c r="B78" s="35" t="s">
        <v>102</v>
      </c>
      <c r="C78" s="64"/>
      <c r="D78" s="66"/>
      <c r="E78" s="31" t="s">
        <v>102</v>
      </c>
      <c r="F78" s="64"/>
      <c r="G78" s="84"/>
      <c r="H78" s="31" t="s">
        <v>102</v>
      </c>
      <c r="I78" s="85" t="str">
        <f aca="false">IF(IF(ISBLANK(F78),1,(TRIM(F78)="")),"",ROUND(F78/4.184,3))</f>
        <v/>
      </c>
      <c r="J78" s="86"/>
      <c r="K78" s="34" t="n">
        <v>1</v>
      </c>
      <c r="L78" s="31" t="s">
        <v>102</v>
      </c>
      <c r="M78" s="85" t="str">
        <f aca="false">IF(IF(ISBLANK(F78),1,(TRIM(F78)="")),"",ROUND(F78+$K78*0.1094,3))</f>
        <v/>
      </c>
      <c r="O78" s="31" t="s">
        <v>102</v>
      </c>
      <c r="P78" s="85" t="str">
        <f aca="false">IF(IF(ISBLANK(F78),1,(TRIM(F78)="")),"",ROUND((F78+$K78*0.1094)/4.184,3))</f>
        <v/>
      </c>
    </row>
    <row r="79" customFormat="false" ht="12.75" hidden="false" customHeight="false" outlineLevel="0" collapsed="false">
      <c r="B79" s="35" t="s">
        <v>103</v>
      </c>
      <c r="C79" s="64"/>
      <c r="D79" s="66"/>
      <c r="E79" s="31" t="s">
        <v>103</v>
      </c>
      <c r="F79" s="64"/>
      <c r="G79" s="84"/>
      <c r="H79" s="31" t="s">
        <v>103</v>
      </c>
      <c r="I79" s="85" t="str">
        <f aca="false">IF(IF(ISBLANK(F79),1,(TRIM(F79)="")),"",ROUND(F79/4.184,3))</f>
        <v/>
      </c>
      <c r="J79" s="86"/>
      <c r="K79" s="34"/>
      <c r="L79" s="31" t="s">
        <v>103</v>
      </c>
      <c r="M79" s="85" t="str">
        <f aca="false">IF(IF(ISBLANK(F79),1,(TRIM(F79)="")),"",ROUND(F79+$K79*0.1094,3))</f>
        <v/>
      </c>
      <c r="O79" s="31" t="s">
        <v>103</v>
      </c>
      <c r="P79" s="85" t="str">
        <f aca="false">IF(IF(ISBLANK(F79),1,(TRIM(F79)="")),"",ROUND((F79+$K79*0.1094)/4.184,3))</f>
        <v/>
      </c>
    </row>
    <row r="80" customFormat="false" ht="12.75" hidden="false" customHeight="false" outlineLevel="0" collapsed="false">
      <c r="B80" s="35" t="s">
        <v>104</v>
      </c>
      <c r="C80" s="64"/>
      <c r="D80" s="66"/>
      <c r="E80" s="31" t="s">
        <v>104</v>
      </c>
      <c r="F80" s="64"/>
      <c r="G80" s="84"/>
      <c r="H80" s="31" t="s">
        <v>104</v>
      </c>
      <c r="I80" s="85" t="str">
        <f aca="false">IF(IF(ISBLANK(F80),1,(TRIM(F80)="")),"",ROUND(F80/4.184,3))</f>
        <v/>
      </c>
      <c r="J80" s="86"/>
      <c r="K80" s="34"/>
      <c r="L80" s="31" t="s">
        <v>104</v>
      </c>
      <c r="M80" s="85" t="str">
        <f aca="false">IF(IF(ISBLANK(F80),1,(TRIM(F80)="")),"",ROUND(F80+$K80*0.1094,3))</f>
        <v/>
      </c>
      <c r="O80" s="31" t="s">
        <v>104</v>
      </c>
      <c r="P80" s="85" t="str">
        <f aca="false">IF(IF(ISBLANK(F80),1,(TRIM(F80)="")),"",ROUND((F80+$K80*0.1094)/4.184,3))</f>
        <v/>
      </c>
      <c r="V80" s="10"/>
      <c r="W80" s="10"/>
    </row>
    <row r="81" customFormat="false" ht="12.75" hidden="false" customHeight="false" outlineLevel="0" collapsed="false">
      <c r="B81" s="35" t="s">
        <v>105</v>
      </c>
      <c r="C81" s="64"/>
      <c r="D81" s="66"/>
      <c r="E81" s="31" t="s">
        <v>105</v>
      </c>
      <c r="F81" s="64"/>
      <c r="G81" s="84"/>
      <c r="H81" s="31" t="s">
        <v>105</v>
      </c>
      <c r="I81" s="85" t="str">
        <f aca="false">IF(IF(ISBLANK(F81),1,(TRIM(F81)="")),"",ROUND(F81/4.184,3))</f>
        <v/>
      </c>
      <c r="J81" s="86"/>
      <c r="K81" s="34"/>
      <c r="L81" s="31" t="s">
        <v>105</v>
      </c>
      <c r="M81" s="85" t="str">
        <f aca="false">IF(IF(ISBLANK(F81),1,(TRIM(F81)="")),"",ROUND(F81+$K81*0.1094,3))</f>
        <v/>
      </c>
      <c r="O81" s="31" t="s">
        <v>105</v>
      </c>
      <c r="P81" s="85" t="str">
        <f aca="false">IF(IF(ISBLANK(F81),1,(TRIM(F81)="")),"",ROUND((F81+$K81*0.1094)/4.184,3))</f>
        <v/>
      </c>
      <c r="S81" s="10"/>
      <c r="T81" s="10"/>
      <c r="U81" s="10"/>
      <c r="V81" s="10"/>
      <c r="W81" s="10"/>
    </row>
    <row r="82" s="90" customFormat="true" ht="12.75" hidden="false" customHeight="false" outlineLevel="0" collapsed="false">
      <c r="A82" s="89"/>
      <c r="B82" s="35" t="s">
        <v>108</v>
      </c>
      <c r="C82" s="64" t="n">
        <v>100.5</v>
      </c>
      <c r="D82" s="66"/>
      <c r="E82" s="38" t="s">
        <v>107</v>
      </c>
      <c r="F82" s="64" t="n">
        <v>100.5</v>
      </c>
      <c r="G82" s="84"/>
      <c r="H82" s="38" t="s">
        <v>107</v>
      </c>
      <c r="I82" s="85" t="n">
        <f aca="false">IF(IF(ISBLANK(F82),1,(TRIM(F82)="")),"",ROUND(F82/4.184,3))</f>
        <v>24.02</v>
      </c>
      <c r="J82" s="86"/>
      <c r="K82" s="34" t="n">
        <v>1</v>
      </c>
      <c r="L82" s="38" t="s">
        <v>107</v>
      </c>
      <c r="M82" s="85" t="n">
        <f aca="false">IF(IF(ISBLANK(F82),1,(TRIM(F82)="")),"",ROUND(F82+$K82*0.1094,3))</f>
        <v>100.609</v>
      </c>
      <c r="O82" s="38" t="s">
        <v>107</v>
      </c>
      <c r="P82" s="85" t="n">
        <f aca="false">IF(IF(ISBLANK(F82),1,(TRIM(F82)="")),"",ROUND((F82+$K82*0.1094)/4.184,3))</f>
        <v>24.046</v>
      </c>
      <c r="S82" s="10"/>
      <c r="T82" s="10"/>
      <c r="U82" s="10"/>
      <c r="V82" s="10"/>
      <c r="W82" s="10"/>
    </row>
    <row r="83" customFormat="false" ht="12.75" hidden="false" customHeight="false" outlineLevel="0" collapsed="false">
      <c r="B83" s="35" t="s">
        <v>109</v>
      </c>
      <c r="C83" s="64"/>
      <c r="D83" s="66"/>
      <c r="E83" s="31" t="s">
        <v>109</v>
      </c>
      <c r="F83" s="64"/>
      <c r="G83" s="84"/>
      <c r="H83" s="31" t="s">
        <v>109</v>
      </c>
      <c r="I83" s="85" t="str">
        <f aca="false">IF(IF(ISBLANK(F83),1,(TRIM(F83)="")),"",ROUND(F83/4.184,3))</f>
        <v/>
      </c>
      <c r="J83" s="86"/>
      <c r="K83" s="34"/>
      <c r="L83" s="31" t="s">
        <v>109</v>
      </c>
      <c r="M83" s="85" t="str">
        <f aca="false">IF(IF(ISBLANK(F83),1,(TRIM(F83)="")),"",ROUND(F83+$K83*0.1094,3))</f>
        <v/>
      </c>
      <c r="O83" s="31" t="s">
        <v>109</v>
      </c>
      <c r="P83" s="85" t="str">
        <f aca="false">IF(IF(ISBLANK(F83),1,(TRIM(F83)="")),"",ROUND((F83+$K83*0.1094)/4.184,3))</f>
        <v/>
      </c>
      <c r="S83" s="10"/>
      <c r="T83" s="10"/>
      <c r="U83" s="10"/>
      <c r="V83" s="10"/>
      <c r="W83" s="10"/>
    </row>
    <row r="84" customFormat="false" ht="12.75" hidden="false" customHeight="false" outlineLevel="0" collapsed="false">
      <c r="B84" s="35" t="s">
        <v>110</v>
      </c>
      <c r="C84" s="64"/>
      <c r="D84" s="66"/>
      <c r="E84" s="31" t="s">
        <v>110</v>
      </c>
      <c r="F84" s="64"/>
      <c r="G84" s="84"/>
      <c r="H84" s="31" t="s">
        <v>110</v>
      </c>
      <c r="I84" s="85" t="str">
        <f aca="false">IF(IF(ISBLANK(F84),1,(TRIM(F84)="")),"",ROUND(F84/4.184,3))</f>
        <v/>
      </c>
      <c r="J84" s="86"/>
      <c r="K84" s="34"/>
      <c r="L84" s="31" t="s">
        <v>110</v>
      </c>
      <c r="M84" s="85" t="str">
        <f aca="false">IF(IF(ISBLANK(F84),1,(TRIM(F84)="")),"",ROUND(F84+$K84*0.1094,3))</f>
        <v/>
      </c>
      <c r="O84" s="31" t="s">
        <v>110</v>
      </c>
      <c r="P84" s="85" t="str">
        <f aca="false">IF(IF(ISBLANK(F84),1,(TRIM(F84)="")),"",ROUND((F84+$K84*0.1094)/4.184,3))</f>
        <v/>
      </c>
      <c r="R84" s="10"/>
      <c r="S84" s="10"/>
      <c r="T84" s="10"/>
      <c r="U84" s="10"/>
      <c r="V84" s="10"/>
      <c r="W84" s="10"/>
    </row>
    <row r="85" customFormat="false" ht="12.75" hidden="false" customHeight="false" outlineLevel="0" collapsed="false">
      <c r="B85" s="35" t="s">
        <v>111</v>
      </c>
      <c r="C85" s="64"/>
      <c r="D85" s="66"/>
      <c r="E85" s="31" t="s">
        <v>111</v>
      </c>
      <c r="F85" s="64"/>
      <c r="G85" s="84"/>
      <c r="H85" s="31" t="s">
        <v>111</v>
      </c>
      <c r="I85" s="85" t="str">
        <f aca="false">IF(IF(ISBLANK(F85),1,(TRIM(F85)="")),"",ROUND(F85/4.184,3))</f>
        <v/>
      </c>
      <c r="J85" s="86"/>
      <c r="K85" s="34"/>
      <c r="L85" s="31" t="s">
        <v>111</v>
      </c>
      <c r="M85" s="85" t="str">
        <f aca="false">IF(IF(ISBLANK(F85),1,(TRIM(F85)="")),"",ROUND(F85+$K85*0.1094,3))</f>
        <v/>
      </c>
      <c r="O85" s="31" t="s">
        <v>111</v>
      </c>
      <c r="P85" s="85" t="str">
        <f aca="false">IF(IF(ISBLANK(F85),1,(TRIM(F85)="")),"",ROUND((F85+$K85*0.1094)/4.184,3))</f>
        <v/>
      </c>
      <c r="R85" s="10"/>
      <c r="S85" s="10"/>
      <c r="T85" s="10"/>
      <c r="U85" s="10"/>
      <c r="V85" s="10"/>
      <c r="W85" s="10"/>
    </row>
    <row r="86" customFormat="false" ht="12.75" hidden="false" customHeight="false" outlineLevel="0" collapsed="false">
      <c r="B86" s="35" t="s">
        <v>112</v>
      </c>
      <c r="C86" s="64" t="s">
        <v>201</v>
      </c>
      <c r="D86" s="66"/>
      <c r="E86" s="31" t="s">
        <v>112</v>
      </c>
      <c r="F86" s="64" t="s">
        <v>201</v>
      </c>
      <c r="G86" s="88"/>
      <c r="H86" s="31" t="s">
        <v>112</v>
      </c>
      <c r="I86" s="85" t="n">
        <f aca="false">IF(IF(ISBLANK(F86),1,(TRIM(F86)="")),"",ROUND(F86/4.184,3))</f>
        <v>15.535</v>
      </c>
      <c r="J86" s="86"/>
      <c r="K86" s="34"/>
      <c r="L86" s="31" t="s">
        <v>112</v>
      </c>
      <c r="M86" s="85" t="n">
        <f aca="false">IF(IF(ISBLANK(F86),1,(TRIM(F86)="")),"",ROUND(F86+$K86*0.1094,3))</f>
        <v>65</v>
      </c>
      <c r="O86" s="31" t="s">
        <v>112</v>
      </c>
      <c r="P86" s="85" t="n">
        <f aca="false">IF(IF(ISBLANK(F86),1,(TRIM(F86)="")),"",ROUND((F86+$K86*0.1094)/4.184,3))</f>
        <v>15.535</v>
      </c>
      <c r="R86" s="10"/>
      <c r="S86" s="10"/>
      <c r="T86" s="10"/>
      <c r="U86" s="10"/>
      <c r="V86" s="10"/>
      <c r="W86" s="10"/>
    </row>
    <row r="87" customFormat="false" ht="12.75" hidden="false" customHeight="false" outlineLevel="0" collapsed="false">
      <c r="B87" s="35" t="s">
        <v>113</v>
      </c>
      <c r="C87" s="64"/>
      <c r="D87" s="66"/>
      <c r="E87" s="38" t="s">
        <v>113</v>
      </c>
      <c r="F87" s="64"/>
      <c r="G87" s="84"/>
      <c r="H87" s="38" t="s">
        <v>113</v>
      </c>
      <c r="I87" s="85" t="str">
        <f aca="false">IF(IF(ISBLANK(F87),1,(TRIM(F87)="")),"",ROUND(F87/4.184,3))</f>
        <v/>
      </c>
      <c r="J87" s="86"/>
      <c r="K87" s="34"/>
      <c r="L87" s="38" t="s">
        <v>113</v>
      </c>
      <c r="M87" s="85" t="str">
        <f aca="false">IF(IF(ISBLANK(F87),1,(TRIM(F87)="")),"",ROUND(F87+$K87*0.1094,3))</f>
        <v/>
      </c>
      <c r="O87" s="38" t="s">
        <v>113</v>
      </c>
      <c r="P87" s="85" t="str">
        <f aca="false">IF(IF(ISBLANK(F87),1,(TRIM(F87)="")),"",ROUND((F87+$K87*0.1094)/4.184,3))</f>
        <v/>
      </c>
      <c r="R87" s="10"/>
      <c r="S87" s="10"/>
      <c r="T87" s="10"/>
      <c r="U87" s="10"/>
      <c r="V87" s="10"/>
      <c r="W87" s="10"/>
    </row>
    <row r="88" customFormat="false" ht="12.75" hidden="false" customHeight="false" outlineLevel="0" collapsed="false">
      <c r="B88" s="35" t="s">
        <v>114</v>
      </c>
      <c r="C88" s="64"/>
      <c r="D88" s="66"/>
      <c r="E88" s="31" t="s">
        <v>114</v>
      </c>
      <c r="F88" s="64"/>
      <c r="G88" s="84"/>
      <c r="H88" s="31" t="s">
        <v>114</v>
      </c>
      <c r="I88" s="85" t="str">
        <f aca="false">IF(IF(ISBLANK(F88),1,(TRIM(F88)="")),"",ROUND(F88/4.184,3))</f>
        <v/>
      </c>
      <c r="J88" s="86"/>
      <c r="K88" s="34"/>
      <c r="L88" s="31" t="s">
        <v>114</v>
      </c>
      <c r="M88" s="85" t="str">
        <f aca="false">IF(IF(ISBLANK(F88),1,(TRIM(F88)="")),"",ROUND(F88+$K88*0.1094,3))</f>
        <v/>
      </c>
      <c r="O88" s="31" t="s">
        <v>114</v>
      </c>
      <c r="P88" s="85" t="str">
        <f aca="false">IF(IF(ISBLANK(F88),1,(TRIM(F88)="")),"",ROUND((F88+$K88*0.1094)/4.184,3))</f>
        <v/>
      </c>
    </row>
    <row r="89" customFormat="false" ht="12.75" hidden="false" customHeight="false" outlineLevel="0" collapsed="false">
      <c r="B89" s="35" t="s">
        <v>115</v>
      </c>
      <c r="C89" s="64"/>
      <c r="D89" s="66"/>
      <c r="E89" s="38" t="s">
        <v>115</v>
      </c>
      <c r="F89" s="64"/>
      <c r="G89" s="84"/>
      <c r="H89" s="38" t="s">
        <v>115</v>
      </c>
      <c r="I89" s="85" t="str">
        <f aca="false">IF(IF(ISBLANK(F89),1,(TRIM(F89)="")),"",ROUND(F89/4.184,3))</f>
        <v/>
      </c>
      <c r="J89" s="86"/>
      <c r="K89" s="34"/>
      <c r="L89" s="38" t="s">
        <v>115</v>
      </c>
      <c r="M89" s="85" t="str">
        <f aca="false">IF(IF(ISBLANK(F89),1,(TRIM(F89)="")),"",ROUND(F89+$K89*0.1094,3))</f>
        <v/>
      </c>
      <c r="O89" s="38" t="s">
        <v>115</v>
      </c>
      <c r="P89" s="85" t="str">
        <f aca="false">IF(IF(ISBLANK(F89),1,(TRIM(F89)="")),"",ROUND((F89+$K89*0.1094)/4.184,3))</f>
        <v/>
      </c>
    </row>
    <row r="90" customFormat="false" ht="12.75" hidden="false" customHeight="false" outlineLevel="0" collapsed="false">
      <c r="B90" s="35" t="s">
        <v>116</v>
      </c>
      <c r="C90" s="64"/>
      <c r="D90" s="66"/>
      <c r="E90" s="31" t="s">
        <v>116</v>
      </c>
      <c r="F90" s="64"/>
      <c r="G90" s="84"/>
      <c r="H90" s="31" t="s">
        <v>116</v>
      </c>
      <c r="I90" s="85" t="str">
        <f aca="false">IF(IF(ISBLANK(F90),1,(TRIM(F90)="")),"",ROUND(F90/4.184,3))</f>
        <v/>
      </c>
      <c r="J90" s="86"/>
      <c r="K90" s="34"/>
      <c r="L90" s="31" t="s">
        <v>116</v>
      </c>
      <c r="M90" s="85" t="str">
        <f aca="false">IF(IF(ISBLANK(F90),1,(TRIM(F90)="")),"",ROUND(F90+$K90*0.1094,3))</f>
        <v/>
      </c>
      <c r="O90" s="31" t="s">
        <v>116</v>
      </c>
      <c r="P90" s="85" t="str">
        <f aca="false">IF(IF(ISBLANK(F90),1,(TRIM(F90)="")),"",ROUND((F90+$K90*0.1094)/4.184,3))</f>
        <v/>
      </c>
    </row>
    <row r="91" customFormat="false" ht="12.75" hidden="false" customHeight="false" outlineLevel="0" collapsed="false">
      <c r="B91" s="35" t="s">
        <v>117</v>
      </c>
      <c r="C91" s="64"/>
      <c r="D91" s="66"/>
      <c r="E91" s="31" t="s">
        <v>117</v>
      </c>
      <c r="F91" s="64"/>
      <c r="G91" s="84"/>
      <c r="H91" s="31" t="s">
        <v>117</v>
      </c>
      <c r="I91" s="85" t="str">
        <f aca="false">IF(IF(ISBLANK(F91),1,(TRIM(F91)="")),"",ROUND(F91/4.184,3))</f>
        <v/>
      </c>
      <c r="J91" s="86"/>
      <c r="K91" s="34"/>
      <c r="L91" s="31" t="s">
        <v>117</v>
      </c>
      <c r="M91" s="85" t="str">
        <f aca="false">IF(IF(ISBLANK(F91),1,(TRIM(F91)="")),"",ROUND(F91+$K91*0.1094,3))</f>
        <v/>
      </c>
      <c r="O91" s="31" t="s">
        <v>117</v>
      </c>
      <c r="P91" s="85" t="str">
        <f aca="false">IF(IF(ISBLANK(F91),1,(TRIM(F91)="")),"",ROUND((F91+$K91*0.1094)/4.184,3))</f>
        <v/>
      </c>
      <c r="V91" s="10"/>
      <c r="W91" s="10"/>
    </row>
    <row r="92" customFormat="false" ht="12.75" hidden="false" customHeight="false" outlineLevel="0" collapsed="false">
      <c r="B92" s="35" t="s">
        <v>118</v>
      </c>
      <c r="C92" s="64"/>
      <c r="D92" s="66"/>
      <c r="E92" s="31" t="s">
        <v>118</v>
      </c>
      <c r="F92" s="64"/>
      <c r="G92" s="84"/>
      <c r="H92" s="31" t="s">
        <v>118</v>
      </c>
      <c r="I92" s="85" t="str">
        <f aca="false">IF(IF(ISBLANK(F92),1,(TRIM(F92)="")),"",ROUND(F92/4.184,3))</f>
        <v/>
      </c>
      <c r="J92" s="86"/>
      <c r="K92" s="34"/>
      <c r="L92" s="31" t="s">
        <v>118</v>
      </c>
      <c r="M92" s="85" t="str">
        <f aca="false">IF(IF(ISBLANK(F92),1,(TRIM(F92)="")),"",ROUND(F92+$K92*0.1094,3))</f>
        <v/>
      </c>
      <c r="O92" s="31" t="s">
        <v>118</v>
      </c>
      <c r="P92" s="85" t="str">
        <f aca="false">IF(IF(ISBLANK(F92),1,(TRIM(F92)="")),"",ROUND((F92+$K92*0.1094)/4.184,3))</f>
        <v/>
      </c>
      <c r="S92" s="10"/>
      <c r="T92" s="10"/>
      <c r="U92" s="10"/>
      <c r="V92" s="10"/>
      <c r="W92" s="10"/>
    </row>
    <row r="93" customFormat="false" ht="12.75" hidden="false" customHeight="false" outlineLevel="0" collapsed="false">
      <c r="B93" s="35" t="s">
        <v>119</v>
      </c>
      <c r="C93" s="64"/>
      <c r="D93" s="66"/>
      <c r="E93" s="38" t="s">
        <v>119</v>
      </c>
      <c r="F93" s="64"/>
      <c r="G93" s="84"/>
      <c r="H93" s="38" t="s">
        <v>119</v>
      </c>
      <c r="I93" s="85" t="str">
        <f aca="false">IF(IF(ISBLANK(F93),1,(TRIM(F93)="")),"",ROUND(F93/4.184,3))</f>
        <v/>
      </c>
      <c r="J93" s="86"/>
      <c r="K93" s="34"/>
      <c r="L93" s="38" t="s">
        <v>119</v>
      </c>
      <c r="M93" s="85" t="str">
        <f aca="false">IF(IF(ISBLANK(F93),1,(TRIM(F93)="")),"",ROUND(F93+$K93*0.1094,3))</f>
        <v/>
      </c>
      <c r="O93" s="38" t="s">
        <v>119</v>
      </c>
      <c r="P93" s="85" t="str">
        <f aca="false">IF(IF(ISBLANK(F93),1,(TRIM(F93)="")),"",ROUND((F93+$K93*0.1094)/4.184,3))</f>
        <v/>
      </c>
      <c r="S93" s="10"/>
      <c r="T93" s="10"/>
      <c r="U93" s="10"/>
      <c r="V93" s="10"/>
      <c r="W93" s="10"/>
    </row>
    <row r="94" customFormat="false" ht="12.75" hidden="false" customHeight="false" outlineLevel="0" collapsed="false">
      <c r="B94" s="35" t="s">
        <v>120</v>
      </c>
      <c r="C94" s="64"/>
      <c r="D94" s="66"/>
      <c r="E94" s="38" t="s">
        <v>120</v>
      </c>
      <c r="F94" s="64"/>
      <c r="G94" s="84"/>
      <c r="H94" s="38" t="s">
        <v>120</v>
      </c>
      <c r="I94" s="85" t="str">
        <f aca="false">IF(IF(ISBLANK(F94),1,(TRIM(F94)="")),"",ROUND(F94/4.184,3))</f>
        <v/>
      </c>
      <c r="J94" s="86"/>
      <c r="K94" s="34"/>
      <c r="L94" s="38" t="s">
        <v>120</v>
      </c>
      <c r="M94" s="85" t="str">
        <f aca="false">IF(IF(ISBLANK(F94),1,(TRIM(F94)="")),"",ROUND(F94+$K94*0.1094,3))</f>
        <v/>
      </c>
      <c r="O94" s="38" t="s">
        <v>120</v>
      </c>
      <c r="P94" s="85" t="str">
        <f aca="false">IF(IF(ISBLANK(F94),1,(TRIM(F94)="")),"",ROUND((F94+$K94*0.1094)/4.184,3))</f>
        <v/>
      </c>
      <c r="S94" s="10"/>
      <c r="T94" s="10"/>
      <c r="U94" s="10"/>
      <c r="V94" s="10"/>
      <c r="W94" s="10"/>
    </row>
    <row r="95" customFormat="false" ht="12.75" hidden="false" customHeight="false" outlineLevel="0" collapsed="false">
      <c r="B95" s="35" t="s">
        <v>121</v>
      </c>
      <c r="C95" s="64"/>
      <c r="D95" s="66"/>
      <c r="E95" s="31" t="s">
        <v>121</v>
      </c>
      <c r="F95" s="64"/>
      <c r="G95" s="84"/>
      <c r="H95" s="31" t="s">
        <v>121</v>
      </c>
      <c r="I95" s="85" t="str">
        <f aca="false">IF(IF(ISBLANK(F95),1,(TRIM(F95)="")),"",ROUND(F95/4.184,3))</f>
        <v/>
      </c>
      <c r="J95" s="86"/>
      <c r="K95" s="34"/>
      <c r="L95" s="31" t="s">
        <v>121</v>
      </c>
      <c r="M95" s="85" t="str">
        <f aca="false">IF(IF(ISBLANK(F95),1,(TRIM(F95)="")),"",ROUND(F95+$K95*0.1094,3))</f>
        <v/>
      </c>
      <c r="O95" s="31" t="s">
        <v>121</v>
      </c>
      <c r="P95" s="85" t="str">
        <f aca="false">IF(IF(ISBLANK(F95),1,(TRIM(F95)="")),"",ROUND((F95+$K95*0.1094)/4.184,3))</f>
        <v/>
      </c>
      <c r="R95" s="10"/>
      <c r="S95" s="10"/>
      <c r="T95" s="10"/>
      <c r="U95" s="10"/>
      <c r="V95" s="10"/>
      <c r="W95" s="10"/>
    </row>
    <row r="96" customFormat="false" ht="12.75" hidden="false" customHeight="false" outlineLevel="0" collapsed="false">
      <c r="B96" s="35" t="s">
        <v>122</v>
      </c>
      <c r="C96" s="64"/>
      <c r="D96" s="66"/>
      <c r="E96" s="38" t="s">
        <v>122</v>
      </c>
      <c r="F96" s="64"/>
      <c r="G96" s="84"/>
      <c r="H96" s="38" t="s">
        <v>122</v>
      </c>
      <c r="I96" s="85" t="str">
        <f aca="false">IF(IF(ISBLANK(F96),1,(TRIM(F96)="")),"",ROUND(F96/4.184,3))</f>
        <v/>
      </c>
      <c r="J96" s="86"/>
      <c r="K96" s="34"/>
      <c r="L96" s="38" t="s">
        <v>122</v>
      </c>
      <c r="M96" s="85" t="str">
        <f aca="false">IF(IF(ISBLANK(F96),1,(TRIM(F96)="")),"",ROUND(F96+$K96*0.1094,3))</f>
        <v/>
      </c>
      <c r="O96" s="38" t="s">
        <v>122</v>
      </c>
      <c r="P96" s="85" t="str">
        <f aca="false">IF(IF(ISBLANK(F96),1,(TRIM(F96)="")),"",ROUND((F96+$K96*0.1094)/4.184,3))</f>
        <v/>
      </c>
      <c r="R96" s="10"/>
      <c r="S96" s="10"/>
      <c r="T96" s="10"/>
      <c r="U96" s="10"/>
      <c r="V96" s="10"/>
      <c r="W96" s="10"/>
    </row>
    <row r="97" customFormat="false" ht="12.75" hidden="false" customHeight="false" outlineLevel="0" collapsed="false">
      <c r="B97" s="35" t="s">
        <v>123</v>
      </c>
      <c r="C97" s="64"/>
      <c r="D97" s="66"/>
      <c r="E97" s="31" t="s">
        <v>123</v>
      </c>
      <c r="F97" s="64"/>
      <c r="G97" s="84"/>
      <c r="H97" s="31" t="s">
        <v>123</v>
      </c>
      <c r="I97" s="85" t="str">
        <f aca="false">IF(IF(ISBLANK(F97),1,(TRIM(F97)="")),"",ROUND(F97/4.184,3))</f>
        <v/>
      </c>
      <c r="J97" s="86"/>
      <c r="K97" s="34" t="n">
        <v>1</v>
      </c>
      <c r="L97" s="31" t="s">
        <v>123</v>
      </c>
      <c r="M97" s="85" t="str">
        <f aca="false">IF(IF(ISBLANK(F97),1,(TRIM(F97)="")),"",ROUND(F97+$K97*0.1094,3))</f>
        <v/>
      </c>
      <c r="O97" s="31" t="s">
        <v>123</v>
      </c>
      <c r="P97" s="85" t="str">
        <f aca="false">IF(IF(ISBLANK(F97),1,(TRIM(F97)="")),"",ROUND((F97+$K97*0.1094)/4.184,3))</f>
        <v/>
      </c>
      <c r="R97" s="10"/>
      <c r="S97" s="10"/>
      <c r="T97" s="10"/>
      <c r="U97" s="10"/>
      <c r="V97" s="10"/>
      <c r="W97" s="10"/>
    </row>
    <row r="98" customFormat="false" ht="12.75" hidden="false" customHeight="false" outlineLevel="0" collapsed="false">
      <c r="B98" s="35" t="s">
        <v>124</v>
      </c>
      <c r="C98" s="64"/>
      <c r="D98" s="66"/>
      <c r="E98" s="38" t="s">
        <v>124</v>
      </c>
      <c r="F98" s="64"/>
      <c r="G98" s="84"/>
      <c r="H98" s="38" t="s">
        <v>124</v>
      </c>
      <c r="I98" s="85" t="str">
        <f aca="false">IF(IF(ISBLANK(F98),1,(TRIM(F98)="")),"",ROUND(F98/4.184,3))</f>
        <v/>
      </c>
      <c r="J98" s="86"/>
      <c r="K98" s="34"/>
      <c r="L98" s="38" t="s">
        <v>124</v>
      </c>
      <c r="M98" s="85" t="str">
        <f aca="false">IF(IF(ISBLANK(F98),1,(TRIM(F98)="")),"",ROUND(F98+$K98*0.1094,3))</f>
        <v/>
      </c>
      <c r="O98" s="38" t="s">
        <v>124</v>
      </c>
      <c r="P98" s="85" t="str">
        <f aca="false">IF(IF(ISBLANK(F98),1,(TRIM(F98)="")),"",ROUND((F98+$K98*0.1094)/4.184,3))</f>
        <v/>
      </c>
      <c r="R98" s="10"/>
      <c r="S98" s="10"/>
      <c r="T98" s="10"/>
      <c r="U98" s="10"/>
      <c r="V98" s="10"/>
      <c r="W98" s="10"/>
    </row>
    <row r="99" customFormat="false" ht="12.75" hidden="false" customHeight="false" outlineLevel="0" collapsed="false">
      <c r="B99" s="35" t="s">
        <v>125</v>
      </c>
      <c r="C99" s="64" t="n">
        <v>32.2</v>
      </c>
      <c r="D99" s="66"/>
      <c r="E99" s="38" t="s">
        <v>125</v>
      </c>
      <c r="F99" s="64" t="n">
        <v>32.2</v>
      </c>
      <c r="G99" s="84"/>
      <c r="H99" s="38" t="s">
        <v>125</v>
      </c>
      <c r="I99" s="85" t="n">
        <f aca="false">IF(IF(ISBLANK(F99),1,(TRIM(F99)="")),"",ROUND(F99/4.184,3))</f>
        <v>7.696</v>
      </c>
      <c r="J99" s="86"/>
      <c r="K99" s="34"/>
      <c r="L99" s="38" t="s">
        <v>125</v>
      </c>
      <c r="M99" s="85" t="n">
        <f aca="false">IF(IF(ISBLANK(F99),1,(TRIM(F99)="")),"",ROUND(F99+$K99*0.1094,3))</f>
        <v>32.2</v>
      </c>
      <c r="O99" s="38" t="s">
        <v>125</v>
      </c>
      <c r="P99" s="85" t="n">
        <f aca="false">IF(IF(ISBLANK(F99),1,(TRIM(F99)="")),"",ROUND((F99+$K99*0.1094)/4.184,3))</f>
        <v>7.696</v>
      </c>
    </row>
    <row r="100" customFormat="false" ht="12.75" hidden="false" customHeight="false" outlineLevel="0" collapsed="false">
      <c r="B100" s="35" t="s">
        <v>126</v>
      </c>
      <c r="C100" s="64"/>
      <c r="D100" s="66"/>
      <c r="E100" s="31" t="s">
        <v>126</v>
      </c>
      <c r="F100" s="64"/>
      <c r="G100" s="84"/>
      <c r="H100" s="31" t="s">
        <v>126</v>
      </c>
      <c r="I100" s="85" t="str">
        <f aca="false">IF(IF(ISBLANK(F100),1,(TRIM(F100)="")),"",ROUND(F100/4.184,3))</f>
        <v/>
      </c>
      <c r="J100" s="86"/>
      <c r="K100" s="34"/>
      <c r="L100" s="31" t="s">
        <v>126</v>
      </c>
      <c r="M100" s="85" t="str">
        <f aca="false">IF(IF(ISBLANK(F100),1,(TRIM(F100)="")),"",ROUND(F100+$K100*0.1094,3))</f>
        <v/>
      </c>
      <c r="O100" s="31" t="s">
        <v>126</v>
      </c>
      <c r="P100" s="85" t="str">
        <f aca="false">IF(IF(ISBLANK(F100),1,(TRIM(F100)="")),"",ROUND((F100+$K100*0.1094)/4.184,3))</f>
        <v/>
      </c>
    </row>
    <row r="101" customFormat="false" ht="12.75" hidden="false" customHeight="false" outlineLevel="0" collapsed="false">
      <c r="B101" s="35" t="s">
        <v>127</v>
      </c>
      <c r="C101" s="64"/>
      <c r="D101" s="66"/>
      <c r="E101" s="31" t="s">
        <v>127</v>
      </c>
      <c r="F101" s="64"/>
      <c r="G101" s="84"/>
      <c r="H101" s="31" t="s">
        <v>127</v>
      </c>
      <c r="I101" s="85" t="str">
        <f aca="false">IF(IF(ISBLANK(F101),1,(TRIM(F101)="")),"",ROUND(F101/4.184,3))</f>
        <v/>
      </c>
      <c r="J101" s="86"/>
      <c r="K101" s="34"/>
      <c r="L101" s="31" t="s">
        <v>127</v>
      </c>
      <c r="M101" s="85" t="str">
        <f aca="false">IF(IF(ISBLANK(F101),1,(TRIM(F101)="")),"",ROUND(F101+$K101*0.1094,3))</f>
        <v/>
      </c>
      <c r="O101" s="31" t="s">
        <v>127</v>
      </c>
      <c r="P101" s="85" t="str">
        <f aca="false">IF(IF(ISBLANK(F101),1,(TRIM(F101)="")),"",ROUND((F101+$K101*0.1094)/4.184,3))</f>
        <v/>
      </c>
    </row>
    <row r="102" customFormat="false" ht="12.75" hidden="false" customHeight="false" outlineLevel="0" collapsed="false">
      <c r="B102" s="35" t="s">
        <v>128</v>
      </c>
      <c r="C102" s="64"/>
      <c r="D102" s="66"/>
      <c r="E102" s="38" t="s">
        <v>128</v>
      </c>
      <c r="F102" s="64"/>
      <c r="G102" s="84"/>
      <c r="H102" s="38" t="s">
        <v>128</v>
      </c>
      <c r="I102" s="85" t="str">
        <f aca="false">IF(IF(ISBLANK(F102),1,(TRIM(F102)="")),"",ROUND(F102/4.184,3))</f>
        <v/>
      </c>
      <c r="J102" s="86"/>
      <c r="K102" s="34"/>
      <c r="L102" s="38" t="s">
        <v>128</v>
      </c>
      <c r="M102" s="85" t="str">
        <f aca="false">IF(IF(ISBLANK(F102),1,(TRIM(F102)="")),"",ROUND(F102+$K102*0.1094,3))</f>
        <v/>
      </c>
      <c r="O102" s="38" t="s">
        <v>128</v>
      </c>
      <c r="P102" s="85" t="str">
        <f aca="false">IF(IF(ISBLANK(F102),1,(TRIM(F102)="")),"",ROUND((F102+$K102*0.1094)/4.184,3))</f>
        <v/>
      </c>
      <c r="V102" s="10"/>
      <c r="W102" s="10"/>
    </row>
    <row r="103" customFormat="false" ht="12.75" hidden="false" customHeight="false" outlineLevel="0" collapsed="false">
      <c r="B103" s="35" t="s">
        <v>129</v>
      </c>
      <c r="C103" s="64" t="s">
        <v>202</v>
      </c>
      <c r="D103" s="66"/>
      <c r="E103" s="31" t="s">
        <v>129</v>
      </c>
      <c r="F103" s="64" t="s">
        <v>202</v>
      </c>
      <c r="G103" s="88"/>
      <c r="H103" s="31" t="s">
        <v>129</v>
      </c>
      <c r="I103" s="85" t="n">
        <f aca="false">IF(IF(ISBLANK(F103),1,(TRIM(F103)="")),"",ROUND(F103/4.184,3))</f>
        <v>4.541</v>
      </c>
      <c r="J103" s="86"/>
      <c r="K103" s="34"/>
      <c r="L103" s="31" t="s">
        <v>129</v>
      </c>
      <c r="M103" s="85" t="n">
        <f aca="false">IF(IF(ISBLANK(F103),1,(TRIM(F103)="")),"",ROUND(F103+$K103*0.1094,3))</f>
        <v>19</v>
      </c>
      <c r="O103" s="31" t="s">
        <v>129</v>
      </c>
      <c r="P103" s="85" t="n">
        <f aca="false">IF(IF(ISBLANK(F103),1,(TRIM(F103)="")),"",ROUND((F103+$K103*0.1094)/4.184,3))</f>
        <v>4.541</v>
      </c>
      <c r="S103" s="10"/>
      <c r="T103" s="10"/>
      <c r="U103" s="10"/>
      <c r="V103" s="10"/>
      <c r="W103" s="10"/>
    </row>
    <row r="104" customFormat="false" ht="12.75" hidden="false" customHeight="false" outlineLevel="0" collapsed="false">
      <c r="B104" s="35" t="s">
        <v>130</v>
      </c>
      <c r="C104" s="64"/>
      <c r="D104" s="66"/>
      <c r="E104" s="31" t="s">
        <v>130</v>
      </c>
      <c r="F104" s="64"/>
      <c r="G104" s="84"/>
      <c r="H104" s="31" t="s">
        <v>130</v>
      </c>
      <c r="I104" s="85" t="str">
        <f aca="false">IF(IF(ISBLANK(F104),1,(TRIM(F104)="")),"",ROUND(F104/4.184,3))</f>
        <v/>
      </c>
      <c r="J104" s="86"/>
      <c r="K104" s="34"/>
      <c r="L104" s="31" t="s">
        <v>130</v>
      </c>
      <c r="M104" s="85" t="str">
        <f aca="false">IF(IF(ISBLANK(F104),1,(TRIM(F104)="")),"",ROUND(F104+$K104*0.1094,3))</f>
        <v/>
      </c>
      <c r="O104" s="31" t="s">
        <v>130</v>
      </c>
      <c r="P104" s="85" t="str">
        <f aca="false">IF(IF(ISBLANK(F104),1,(TRIM(F104)="")),"",ROUND((F104+$K104*0.1094)/4.184,3))</f>
        <v/>
      </c>
      <c r="S104" s="10"/>
      <c r="T104" s="10"/>
      <c r="U104" s="10"/>
      <c r="V104" s="10"/>
      <c r="W104" s="10"/>
    </row>
    <row r="105" customFormat="false" ht="12.75" hidden="false" customHeight="false" outlineLevel="0" collapsed="false">
      <c r="B105" s="35" t="s">
        <v>131</v>
      </c>
      <c r="C105" s="64" t="n">
        <v>52.3</v>
      </c>
      <c r="D105" s="66"/>
      <c r="E105" s="31" t="s">
        <v>131</v>
      </c>
      <c r="F105" s="64" t="n">
        <v>52.3</v>
      </c>
      <c r="G105" s="84"/>
      <c r="H105" s="31" t="s">
        <v>131</v>
      </c>
      <c r="I105" s="85" t="n">
        <f aca="false">IF(IF(ISBLANK(F105),1,(TRIM(F105)="")),"",ROUND(F105/4.184,3))</f>
        <v>12.5</v>
      </c>
      <c r="J105" s="86"/>
      <c r="K105" s="34"/>
      <c r="L105" s="31" t="s">
        <v>131</v>
      </c>
      <c r="M105" s="85" t="n">
        <f aca="false">IF(IF(ISBLANK(F105),1,(TRIM(F105)="")),"",ROUND(F105+$K105*0.1094,3))</f>
        <v>52.3</v>
      </c>
      <c r="O105" s="31" t="s">
        <v>131</v>
      </c>
      <c r="P105" s="85" t="n">
        <f aca="false">IF(IF(ISBLANK(F105),1,(TRIM(F105)="")),"",ROUND((F105+$K105*0.1094)/4.184,3))</f>
        <v>12.5</v>
      </c>
      <c r="S105" s="10"/>
      <c r="T105" s="10"/>
      <c r="U105" s="10"/>
      <c r="V105" s="10"/>
      <c r="W105" s="10"/>
    </row>
    <row r="106" customFormat="false" ht="12.75" hidden="false" customHeight="false" outlineLevel="0" collapsed="false">
      <c r="B106" s="35" t="s">
        <v>132</v>
      </c>
      <c r="C106" s="64"/>
      <c r="D106" s="66"/>
      <c r="E106" s="38" t="s">
        <v>132</v>
      </c>
      <c r="F106" s="64"/>
      <c r="G106" s="84"/>
      <c r="H106" s="38" t="s">
        <v>132</v>
      </c>
      <c r="I106" s="85" t="str">
        <f aca="false">IF(IF(ISBLANK(F106),1,(TRIM(F106)="")),"",ROUND(F106/4.184,3))</f>
        <v/>
      </c>
      <c r="J106" s="86"/>
      <c r="K106" s="34"/>
      <c r="L106" s="38" t="s">
        <v>132</v>
      </c>
      <c r="M106" s="85" t="str">
        <f aca="false">IF(IF(ISBLANK(F106),1,(TRIM(F106)="")),"",ROUND(F106+$K106*0.1094,3))</f>
        <v/>
      </c>
      <c r="O106" s="38" t="s">
        <v>132</v>
      </c>
      <c r="P106" s="85" t="str">
        <f aca="false">IF(IF(ISBLANK(F106),1,(TRIM(F106)="")),"",ROUND((F106+$K106*0.1094)/4.184,3))</f>
        <v/>
      </c>
      <c r="R106" s="10"/>
      <c r="S106" s="10"/>
      <c r="T106" s="10"/>
      <c r="U106" s="10"/>
      <c r="V106" s="10"/>
      <c r="W106" s="10"/>
    </row>
    <row r="107" customFormat="false" ht="12.75" hidden="false" customHeight="false" outlineLevel="0" collapsed="false">
      <c r="B107" s="35" t="s">
        <v>133</v>
      </c>
      <c r="C107" s="64"/>
      <c r="D107" s="66"/>
      <c r="E107" s="31" t="s">
        <v>133</v>
      </c>
      <c r="F107" s="64"/>
      <c r="G107" s="84"/>
      <c r="H107" s="31" t="s">
        <v>133</v>
      </c>
      <c r="I107" s="85" t="str">
        <f aca="false">IF(IF(ISBLANK(F107),1,(TRIM(F107)="")),"",ROUND(F107/4.184,3))</f>
        <v/>
      </c>
      <c r="J107" s="86"/>
      <c r="K107" s="34"/>
      <c r="L107" s="31" t="s">
        <v>133</v>
      </c>
      <c r="M107" s="85" t="str">
        <f aca="false">IF(IF(ISBLANK(F107),1,(TRIM(F107)="")),"",ROUND(F107+$K107*0.1094,3))</f>
        <v/>
      </c>
      <c r="O107" s="31" t="s">
        <v>133</v>
      </c>
      <c r="P107" s="85" t="str">
        <f aca="false">IF(IF(ISBLANK(F107),1,(TRIM(F107)="")),"",ROUND((F107+$K107*0.1094)/4.184,3))</f>
        <v/>
      </c>
      <c r="R107" s="10"/>
      <c r="S107" s="10"/>
      <c r="T107" s="10"/>
      <c r="U107" s="10"/>
      <c r="V107" s="10"/>
      <c r="W107" s="10"/>
    </row>
    <row r="108" customFormat="false" ht="12.75" hidden="false" customHeight="false" outlineLevel="0" collapsed="false">
      <c r="B108" s="35" t="s">
        <v>134</v>
      </c>
      <c r="C108" s="64"/>
      <c r="D108" s="66"/>
      <c r="E108" s="31" t="s">
        <v>134</v>
      </c>
      <c r="F108" s="64"/>
      <c r="G108" s="84"/>
      <c r="H108" s="31" t="s">
        <v>134</v>
      </c>
      <c r="I108" s="85" t="str">
        <f aca="false">IF(IF(ISBLANK(F108),1,(TRIM(F108)="")),"",ROUND(F108/4.184,3))</f>
        <v/>
      </c>
      <c r="J108" s="86"/>
      <c r="K108" s="34"/>
      <c r="L108" s="31" t="s">
        <v>134</v>
      </c>
      <c r="M108" s="85" t="str">
        <f aca="false">IF(IF(ISBLANK(F108),1,(TRIM(F108)="")),"",ROUND(F108+$K108*0.1094,3))</f>
        <v/>
      </c>
      <c r="O108" s="31" t="s">
        <v>134</v>
      </c>
      <c r="P108" s="85" t="str">
        <f aca="false">IF(IF(ISBLANK(F108),1,(TRIM(F108)="")),"",ROUND((F108+$K108*0.1094)/4.184,3))</f>
        <v/>
      </c>
      <c r="R108" s="10"/>
      <c r="S108" s="10"/>
      <c r="T108" s="10"/>
      <c r="U108" s="10"/>
      <c r="V108" s="10"/>
      <c r="W108" s="10"/>
    </row>
    <row r="109" customFormat="false" ht="12.75" hidden="false" customHeight="false" outlineLevel="0" collapsed="false">
      <c r="B109" s="35" t="s">
        <v>135</v>
      </c>
      <c r="C109" s="64"/>
      <c r="D109" s="66"/>
      <c r="E109" s="31" t="s">
        <v>135</v>
      </c>
      <c r="F109" s="64"/>
      <c r="G109" s="84"/>
      <c r="H109" s="31" t="s">
        <v>135</v>
      </c>
      <c r="I109" s="85" t="str">
        <f aca="false">IF(IF(ISBLANK(F109),1,(TRIM(F109)="")),"",ROUND(F109/4.184,3))</f>
        <v/>
      </c>
      <c r="J109" s="86"/>
      <c r="K109" s="34"/>
      <c r="L109" s="31" t="s">
        <v>135</v>
      </c>
      <c r="M109" s="85" t="str">
        <f aca="false">IF(IF(ISBLANK(F109),1,(TRIM(F109)="")),"",ROUND(F109+$K109*0.1094,3))</f>
        <v/>
      </c>
      <c r="O109" s="31" t="s">
        <v>135</v>
      </c>
      <c r="P109" s="85" t="str">
        <f aca="false">IF(IF(ISBLANK(F109),1,(TRIM(F109)="")),"",ROUND((F109+$K109*0.1094)/4.184,3))</f>
        <v/>
      </c>
      <c r="R109" s="10"/>
      <c r="S109" s="10"/>
      <c r="T109" s="10"/>
      <c r="U109" s="10"/>
      <c r="V109" s="10"/>
      <c r="W109" s="10"/>
    </row>
    <row r="110" customFormat="false" ht="12.75" hidden="false" customHeight="false" outlineLevel="0" collapsed="false">
      <c r="B110" s="35" t="s">
        <v>136</v>
      </c>
      <c r="C110" s="64"/>
      <c r="D110" s="66"/>
      <c r="E110" s="38" t="s">
        <v>136</v>
      </c>
      <c r="F110" s="64"/>
      <c r="G110" s="84"/>
      <c r="H110" s="38" t="s">
        <v>136</v>
      </c>
      <c r="I110" s="85" t="str">
        <f aca="false">IF(IF(ISBLANK(F110),1,(TRIM(F110)="")),"",ROUND(F110/4.184,3))</f>
        <v/>
      </c>
      <c r="J110" s="86"/>
      <c r="K110" s="34"/>
      <c r="L110" s="38" t="s">
        <v>136</v>
      </c>
      <c r="M110" s="85" t="str">
        <f aca="false">IF(IF(ISBLANK(F110),1,(TRIM(F110)="")),"",ROUND(F110+$K110*0.1094,3))</f>
        <v/>
      </c>
      <c r="O110" s="38" t="s">
        <v>136</v>
      </c>
      <c r="P110" s="85" t="str">
        <f aca="false">IF(IF(ISBLANK(F110),1,(TRIM(F110)="")),"",ROUND((F110+$K110*0.1094)/4.184,3))</f>
        <v/>
      </c>
    </row>
    <row r="111" customFormat="false" ht="12.75" hidden="false" customHeight="false" outlineLevel="0" collapsed="false">
      <c r="B111" s="35" t="s">
        <v>137</v>
      </c>
      <c r="C111" s="64"/>
      <c r="D111" s="66"/>
      <c r="E111" s="38" t="s">
        <v>137</v>
      </c>
      <c r="F111" s="64"/>
      <c r="G111" s="84"/>
      <c r="H111" s="38" t="s">
        <v>137</v>
      </c>
      <c r="I111" s="85" t="str">
        <f aca="false">IF(IF(ISBLANK(F111),1,(TRIM(F111)="")),"",ROUND(F111/4.184,3))</f>
        <v/>
      </c>
      <c r="J111" s="86"/>
      <c r="K111" s="34"/>
      <c r="L111" s="38" t="s">
        <v>137</v>
      </c>
      <c r="M111" s="85" t="str">
        <f aca="false">IF(IF(ISBLANK(F111),1,(TRIM(F111)="")),"",ROUND(F111+$K111*0.1094,3))</f>
        <v/>
      </c>
      <c r="O111" s="38" t="s">
        <v>137</v>
      </c>
      <c r="P111" s="85" t="str">
        <f aca="false">IF(IF(ISBLANK(F111),1,(TRIM(F111)="")),"",ROUND((F111+$K111*0.1094)/4.184,3))</f>
        <v/>
      </c>
    </row>
    <row r="112" customFormat="false" ht="12.75" hidden="false" customHeight="false" outlineLevel="0" collapsed="false">
      <c r="B112" s="35" t="s">
        <v>138</v>
      </c>
      <c r="C112" s="64"/>
      <c r="D112" s="66"/>
      <c r="E112" s="31" t="s">
        <v>138</v>
      </c>
      <c r="F112" s="64"/>
      <c r="G112" s="84"/>
      <c r="H112" s="31" t="s">
        <v>138</v>
      </c>
      <c r="I112" s="85" t="str">
        <f aca="false">IF(IF(ISBLANK(F112),1,(TRIM(F112)="")),"",ROUND(F112/4.184,3))</f>
        <v/>
      </c>
      <c r="J112" s="86"/>
      <c r="K112" s="34"/>
      <c r="L112" s="31" t="s">
        <v>138</v>
      </c>
      <c r="M112" s="85" t="str">
        <f aca="false">IF(IF(ISBLANK(F112),1,(TRIM(F112)="")),"",ROUND(F112+$K112*0.1094,3))</f>
        <v/>
      </c>
      <c r="O112" s="31" t="s">
        <v>138</v>
      </c>
      <c r="P112" s="85" t="str">
        <f aca="false">IF(IF(ISBLANK(F112),1,(TRIM(F112)="")),"",ROUND((F112+$K112*0.1094)/4.184,3))</f>
        <v/>
      </c>
    </row>
    <row r="113" customFormat="false" ht="12.75" hidden="false" customHeight="false" outlineLevel="0" collapsed="false">
      <c r="B113" s="35" t="s">
        <v>139</v>
      </c>
      <c r="C113" s="64" t="n">
        <v>62.2</v>
      </c>
      <c r="D113" s="66"/>
      <c r="E113" s="31" t="s">
        <v>139</v>
      </c>
      <c r="F113" s="64" t="n">
        <v>62.2</v>
      </c>
      <c r="G113" s="84"/>
      <c r="H113" s="31" t="s">
        <v>139</v>
      </c>
      <c r="I113" s="85" t="n">
        <f aca="false">IF(IF(ISBLANK(F113),1,(TRIM(F113)="")),"",ROUND(F113/4.184,3))</f>
        <v>14.866</v>
      </c>
      <c r="J113" s="86"/>
      <c r="K113" s="34"/>
      <c r="L113" s="31" t="s">
        <v>139</v>
      </c>
      <c r="M113" s="85" t="n">
        <f aca="false">IF(IF(ISBLANK(F113),1,(TRIM(F113)="")),"",ROUND(F113+$K113*0.1094,3))</f>
        <v>62.2</v>
      </c>
      <c r="O113" s="31" t="s">
        <v>139</v>
      </c>
      <c r="P113" s="85" t="n">
        <f aca="false">IF(IF(ISBLANK(F113),1,(TRIM(F113)="")),"",ROUND((F113+$K113*0.1094)/4.184,3))</f>
        <v>14.866</v>
      </c>
      <c r="V113" s="10"/>
      <c r="W113" s="10"/>
    </row>
    <row r="114" customFormat="false" ht="12.75" hidden="false" customHeight="false" outlineLevel="0" collapsed="false">
      <c r="B114" s="35" t="s">
        <v>140</v>
      </c>
      <c r="C114" s="64"/>
      <c r="D114" s="66"/>
      <c r="E114" s="31" t="s">
        <v>140</v>
      </c>
      <c r="F114" s="64"/>
      <c r="G114" s="84"/>
      <c r="H114" s="31" t="s">
        <v>140</v>
      </c>
      <c r="I114" s="85" t="str">
        <f aca="false">IF(IF(ISBLANK(F114),1,(TRIM(F114)="")),"",ROUND(F114/4.184,3))</f>
        <v/>
      </c>
      <c r="J114" s="86"/>
      <c r="K114" s="34"/>
      <c r="L114" s="31" t="s">
        <v>140</v>
      </c>
      <c r="M114" s="85" t="str">
        <f aca="false">IF(IF(ISBLANK(F114),1,(TRIM(F114)="")),"",ROUND(F114+$K114*0.1094,3))</f>
        <v/>
      </c>
      <c r="O114" s="31" t="s">
        <v>140</v>
      </c>
      <c r="P114" s="85" t="str">
        <f aca="false">IF(IF(ISBLANK(F114),1,(TRIM(F114)="")),"",ROUND((F114+$K114*0.1094)/4.184,3))</f>
        <v/>
      </c>
      <c r="S114" s="10"/>
      <c r="T114" s="10"/>
      <c r="U114" s="10"/>
      <c r="V114" s="10"/>
      <c r="W114" s="10"/>
    </row>
    <row r="115" customFormat="false" ht="12.75" hidden="false" customHeight="false" outlineLevel="0" collapsed="false">
      <c r="B115" s="35" t="s">
        <v>141</v>
      </c>
      <c r="C115" s="64"/>
      <c r="D115" s="66"/>
      <c r="E115" s="31" t="s">
        <v>141</v>
      </c>
      <c r="F115" s="64"/>
      <c r="G115" s="84"/>
      <c r="H115" s="31" t="s">
        <v>141</v>
      </c>
      <c r="I115" s="85" t="str">
        <f aca="false">IF(IF(ISBLANK(F115),1,(TRIM(F115)="")),"",ROUND(F115/4.184,3))</f>
        <v/>
      </c>
      <c r="J115" s="86"/>
      <c r="K115" s="34"/>
      <c r="L115" s="31" t="s">
        <v>141</v>
      </c>
      <c r="M115" s="85" t="str">
        <f aca="false">IF(IF(ISBLANK(F115),1,(TRIM(F115)="")),"",ROUND(F115+$K115*0.1094,3))</f>
        <v/>
      </c>
      <c r="O115" s="31" t="s">
        <v>141</v>
      </c>
      <c r="P115" s="85" t="str">
        <f aca="false">IF(IF(ISBLANK(F115),1,(TRIM(F115)="")),"",ROUND((F115+$K115*0.1094)/4.184,3))</f>
        <v/>
      </c>
      <c r="S115" s="10"/>
      <c r="T115" s="10"/>
      <c r="U115" s="10"/>
      <c r="V115" s="10"/>
      <c r="W115" s="10"/>
    </row>
    <row r="116" customFormat="false" ht="12.75" hidden="false" customHeight="false" outlineLevel="0" collapsed="false">
      <c r="B116" s="35" t="s">
        <v>142</v>
      </c>
      <c r="C116" s="64"/>
      <c r="D116" s="66"/>
      <c r="E116" s="31" t="s">
        <v>142</v>
      </c>
      <c r="F116" s="64"/>
      <c r="G116" s="84"/>
      <c r="H116" s="31" t="s">
        <v>142</v>
      </c>
      <c r="I116" s="85" t="str">
        <f aca="false">IF(IF(ISBLANK(F116),1,(TRIM(F116)="")),"",ROUND(F116/4.184,3))</f>
        <v/>
      </c>
      <c r="J116" s="86"/>
      <c r="K116" s="34"/>
      <c r="L116" s="31" t="s">
        <v>142</v>
      </c>
      <c r="M116" s="85" t="str">
        <f aca="false">IF(IF(ISBLANK(F116),1,(TRIM(F116)="")),"",ROUND(F116+$K116*0.1094,3))</f>
        <v/>
      </c>
      <c r="O116" s="31" t="s">
        <v>142</v>
      </c>
      <c r="P116" s="85" t="str">
        <f aca="false">IF(IF(ISBLANK(F116),1,(TRIM(F116)="")),"",ROUND((F116+$K116*0.1094)/4.184,3))</f>
        <v/>
      </c>
      <c r="S116" s="10"/>
      <c r="T116" s="10"/>
      <c r="U116" s="10"/>
      <c r="V116" s="10"/>
      <c r="W116" s="10"/>
    </row>
    <row r="117" customFormat="false" ht="12.75" hidden="false" customHeight="false" outlineLevel="0" collapsed="false">
      <c r="A117" s="87"/>
      <c r="B117" s="35" t="s">
        <v>143</v>
      </c>
      <c r="C117" s="64" t="s">
        <v>203</v>
      </c>
      <c r="D117" s="66"/>
      <c r="E117" s="31" t="s">
        <v>143</v>
      </c>
      <c r="F117" s="64" t="s">
        <v>203</v>
      </c>
      <c r="G117" s="91"/>
      <c r="H117" s="31" t="s">
        <v>143</v>
      </c>
      <c r="I117" s="85" t="n">
        <f aca="false">IF(IF(ISBLANK(F117),1,(TRIM(F117)="")),"",ROUND(F117/4.184,3))</f>
        <v>8.102</v>
      </c>
      <c r="J117" s="86"/>
      <c r="K117" s="34"/>
      <c r="L117" s="31" t="s">
        <v>143</v>
      </c>
      <c r="M117" s="85" t="n">
        <f aca="false">IF(IF(ISBLANK(F117),1,(TRIM(F117)="")),"",ROUND(F117+$K117*0.1094,3))</f>
        <v>33.9</v>
      </c>
      <c r="O117" s="31" t="s">
        <v>143</v>
      </c>
      <c r="P117" s="85" t="n">
        <f aca="false">IF(IF(ISBLANK(F117),1,(TRIM(F117)="")),"",ROUND((F117+$K117*0.1094)/4.184,3))</f>
        <v>8.102</v>
      </c>
      <c r="R117" s="10"/>
      <c r="S117" s="10"/>
      <c r="T117" s="10"/>
      <c r="U117" s="10"/>
      <c r="V117" s="10"/>
      <c r="W117" s="10"/>
    </row>
    <row r="118" customFormat="false" ht="12.75" hidden="false" customHeight="false" outlineLevel="0" collapsed="false">
      <c r="B118" s="35" t="s">
        <v>144</v>
      </c>
      <c r="C118" s="64"/>
      <c r="D118" s="66"/>
      <c r="E118" s="31" t="s">
        <v>144</v>
      </c>
      <c r="F118" s="64"/>
      <c r="G118" s="84"/>
      <c r="H118" s="31" t="s">
        <v>144</v>
      </c>
      <c r="I118" s="85" t="str">
        <f aca="false">IF(IF(ISBLANK(F118),1,(TRIM(F118)="")),"",ROUND(F118/4.184,3))</f>
        <v/>
      </c>
      <c r="J118" s="86"/>
      <c r="K118" s="34" t="n">
        <v>1</v>
      </c>
      <c r="L118" s="31" t="s">
        <v>144</v>
      </c>
      <c r="M118" s="85" t="str">
        <f aca="false">IF(IF(ISBLANK(F118),1,(TRIM(F118)="")),"",ROUND(F118+$K118*0.1094,3))</f>
        <v/>
      </c>
      <c r="O118" s="31" t="s">
        <v>144</v>
      </c>
      <c r="P118" s="85" t="str">
        <f aca="false">IF(IF(ISBLANK(F118),1,(TRIM(F118)="")),"",ROUND((F118+$K118*0.1094)/4.184,3))</f>
        <v/>
      </c>
      <c r="R118" s="10"/>
      <c r="S118" s="10"/>
      <c r="T118" s="10"/>
      <c r="U118" s="10"/>
      <c r="V118" s="10"/>
      <c r="W118" s="10"/>
    </row>
    <row r="119" customFormat="false" ht="12.75" hidden="false" customHeight="false" outlineLevel="0" collapsed="false">
      <c r="B119" s="35" t="s">
        <v>145</v>
      </c>
      <c r="C119" s="64"/>
      <c r="D119" s="66"/>
      <c r="E119" s="31" t="s">
        <v>145</v>
      </c>
      <c r="F119" s="64"/>
      <c r="G119" s="84"/>
      <c r="H119" s="31" t="s">
        <v>145</v>
      </c>
      <c r="I119" s="85" t="str">
        <f aca="false">IF(IF(ISBLANK(F119),1,(TRIM(F119)="")),"",ROUND(F119/4.184,3))</f>
        <v/>
      </c>
      <c r="J119" s="86"/>
      <c r="K119" s="34"/>
      <c r="L119" s="31" t="s">
        <v>145</v>
      </c>
      <c r="M119" s="85" t="str">
        <f aca="false">IF(IF(ISBLANK(F119),1,(TRIM(F119)="")),"",ROUND(F119+$K119*0.1094,3))</f>
        <v/>
      </c>
      <c r="O119" s="31" t="s">
        <v>145</v>
      </c>
      <c r="P119" s="85" t="str">
        <f aca="false">IF(IF(ISBLANK(F119),1,(TRIM(F119)="")),"",ROUND((F119+$K119*0.1094)/4.184,3))</f>
        <v/>
      </c>
      <c r="R119" s="10"/>
      <c r="S119" s="10"/>
      <c r="T119" s="10"/>
      <c r="U119" s="10"/>
      <c r="V119" s="10"/>
      <c r="W119" s="10"/>
    </row>
    <row r="120" customFormat="false" ht="12.75" hidden="false" customHeight="false" outlineLevel="0" collapsed="false">
      <c r="B120" s="35" t="s">
        <v>146</v>
      </c>
      <c r="C120" s="64"/>
      <c r="D120" s="66"/>
      <c r="E120" s="31" t="s">
        <v>146</v>
      </c>
      <c r="F120" s="64"/>
      <c r="G120" s="84"/>
      <c r="H120" s="31" t="s">
        <v>146</v>
      </c>
      <c r="I120" s="85" t="str">
        <f aca="false">IF(IF(ISBLANK(F120),1,(TRIM(F120)="")),"",ROUND(F120/4.184,3))</f>
        <v/>
      </c>
      <c r="J120" s="86"/>
      <c r="K120" s="34"/>
      <c r="L120" s="31" t="s">
        <v>146</v>
      </c>
      <c r="M120" s="85" t="str">
        <f aca="false">IF(IF(ISBLANK(F120),1,(TRIM(F120)="")),"",ROUND(F120+$K120*0.1094,3))</f>
        <v/>
      </c>
      <c r="O120" s="31" t="s">
        <v>146</v>
      </c>
      <c r="P120" s="85" t="str">
        <f aca="false">IF(IF(ISBLANK(F120),1,(TRIM(F120)="")),"",ROUND((F120+$K120*0.1094)/4.184,3))</f>
        <v/>
      </c>
      <c r="R120" s="10"/>
      <c r="S120" s="10"/>
      <c r="T120" s="10"/>
      <c r="U120" s="10"/>
      <c r="V120" s="10"/>
      <c r="W120" s="10"/>
    </row>
    <row r="121" customFormat="false" ht="12.75" hidden="false" customHeight="false" outlineLevel="0" collapsed="false">
      <c r="B121" s="35" t="s">
        <v>147</v>
      </c>
      <c r="C121" s="64" t="n">
        <v>40.6</v>
      </c>
      <c r="D121" s="66"/>
      <c r="E121" s="31" t="s">
        <v>147</v>
      </c>
      <c r="F121" s="64" t="n">
        <v>40.6</v>
      </c>
      <c r="G121" s="84"/>
      <c r="H121" s="31" t="s">
        <v>147</v>
      </c>
      <c r="I121" s="85" t="n">
        <f aca="false">IF(IF(ISBLANK(F121),1,(TRIM(F121)="")),"",ROUND(F121/4.184,3))</f>
        <v>9.704</v>
      </c>
      <c r="J121" s="86"/>
      <c r="K121" s="34"/>
      <c r="L121" s="31" t="s">
        <v>147</v>
      </c>
      <c r="M121" s="85" t="n">
        <f aca="false">IF(IF(ISBLANK(F121),1,(TRIM(F121)="")),"",ROUND(F121+$K121*0.1094,3))</f>
        <v>40.6</v>
      </c>
      <c r="O121" s="31" t="s">
        <v>147</v>
      </c>
      <c r="P121" s="85" t="n">
        <f aca="false">IF(IF(ISBLANK(F121),1,(TRIM(F121)="")),"",ROUND((F121+$K121*0.1094)/4.184,3))</f>
        <v>9.704</v>
      </c>
    </row>
    <row r="122" customFormat="false" ht="13.5" hidden="false" customHeight="false" outlineLevel="0" collapsed="false">
      <c r="B122" s="43" t="s">
        <v>148</v>
      </c>
      <c r="C122" s="92"/>
      <c r="D122" s="66"/>
      <c r="E122" s="39" t="s">
        <v>148</v>
      </c>
      <c r="F122" s="92"/>
      <c r="G122" s="84"/>
      <c r="H122" s="39" t="s">
        <v>148</v>
      </c>
      <c r="I122" s="85" t="str">
        <f aca="false">IF(IF(ISBLANK(F122),1,(TRIM(F122)="")),"",ROUND(F122/4.184,3))</f>
        <v/>
      </c>
      <c r="J122" s="86"/>
      <c r="K122" s="42"/>
      <c r="L122" s="39" t="s">
        <v>148</v>
      </c>
      <c r="M122" s="85" t="str">
        <f aca="false">IF(IF(ISBLANK(F122),1,(TRIM(F122)="")),"",ROUND(F122+$K122*0.1094,3))</f>
        <v/>
      </c>
      <c r="O122" s="39" t="s">
        <v>148</v>
      </c>
      <c r="P122" s="85" t="str">
        <f aca="false">IF(IF(ISBLANK(F122),1,(TRIM(F122)="")),"",ROUND((F122+$K122*0.1094)/4.184,3))</f>
        <v/>
      </c>
    </row>
    <row r="123" customFormat="false" ht="13.5" hidden="false" customHeight="false" outlineLevel="0" collapsed="false">
      <c r="B123" s="69" t="s">
        <v>185</v>
      </c>
      <c r="C123" s="70" t="n">
        <f aca="false">COUNTA(C20:C122)</f>
        <v>23</v>
      </c>
      <c r="D123" s="73"/>
      <c r="E123" s="72" t="s">
        <v>185</v>
      </c>
      <c r="F123" s="70" t="n">
        <f aca="false">COUNTA(F20:F122)</f>
        <v>23</v>
      </c>
      <c r="G123" s="73"/>
      <c r="H123" s="72" t="s">
        <v>185</v>
      </c>
      <c r="I123" s="70" t="n">
        <f aca="false">COUNT(I20:I122)</f>
        <v>23</v>
      </c>
      <c r="J123" s="73"/>
      <c r="L123" s="72" t="s">
        <v>185</v>
      </c>
      <c r="M123" s="70" t="n">
        <f aca="false">COUNT(M20:M122)</f>
        <v>23</v>
      </c>
      <c r="O123" s="72" t="s">
        <v>185</v>
      </c>
      <c r="P123" s="70" t="n">
        <f aca="false">COUNT(P20:P122)</f>
        <v>23</v>
      </c>
    </row>
    <row r="124" customFormat="false" ht="12.75" hidden="false" customHeight="false" outlineLevel="0" collapsed="false">
      <c r="D124" s="90"/>
      <c r="G124" s="73"/>
      <c r="J124" s="90"/>
      <c r="V124" s="10"/>
      <c r="W124" s="10"/>
    </row>
    <row r="125" customFormat="false" ht="12.75" hidden="false" customHeight="false" outlineLevel="0" collapsed="false">
      <c r="D125" s="90"/>
      <c r="G125" s="73"/>
      <c r="J125" s="90"/>
      <c r="V125" s="10"/>
      <c r="W125" s="10"/>
    </row>
    <row r="126" customFormat="false" ht="13.5" hidden="false" customHeight="false" outlineLevel="0" collapsed="false">
      <c r="D126" s="90"/>
      <c r="E126" s="90"/>
      <c r="G126" s="73"/>
      <c r="H126" s="90"/>
      <c r="J126" s="90"/>
      <c r="L126" s="90"/>
      <c r="O126" s="90"/>
      <c r="R126" s="10"/>
      <c r="S126" s="10"/>
      <c r="T126" s="10"/>
      <c r="U126" s="10"/>
      <c r="V126" s="10"/>
      <c r="W126" s="10"/>
    </row>
    <row r="127" customFormat="false" ht="13.5" hidden="false" customHeight="false" outlineLevel="0" collapsed="false">
      <c r="B127" s="47" t="s">
        <v>186</v>
      </c>
      <c r="C127" s="48" t="s">
        <v>204</v>
      </c>
      <c r="D127" s="52"/>
      <c r="E127" s="47" t="s">
        <v>186</v>
      </c>
      <c r="F127" s="48" t="s">
        <v>204</v>
      </c>
      <c r="G127" s="52"/>
      <c r="H127" s="47" t="s">
        <v>186</v>
      </c>
      <c r="I127" s="48" t="s">
        <v>204</v>
      </c>
      <c r="J127" s="52"/>
      <c r="L127" s="47" t="s">
        <v>186</v>
      </c>
      <c r="M127" s="48" t="s">
        <v>204</v>
      </c>
      <c r="O127" s="47" t="s">
        <v>186</v>
      </c>
      <c r="P127" s="48" t="s">
        <v>204</v>
      </c>
    </row>
    <row r="128" customFormat="false" ht="12.75" hidden="false" customHeight="false" outlineLevel="0" collapsed="false">
      <c r="B128" s="11"/>
      <c r="C128" s="50" t="s">
        <v>191</v>
      </c>
      <c r="D128" s="52"/>
      <c r="E128" s="11"/>
      <c r="F128" s="50" t="s">
        <v>191</v>
      </c>
      <c r="G128" s="52"/>
      <c r="H128" s="11"/>
      <c r="I128" s="50" t="s">
        <v>191</v>
      </c>
      <c r="J128" s="52"/>
      <c r="K128" s="14"/>
      <c r="L128" s="11"/>
      <c r="M128" s="50" t="s">
        <v>191</v>
      </c>
      <c r="O128" s="11"/>
      <c r="P128" s="50" t="s">
        <v>191</v>
      </c>
    </row>
    <row r="129" customFormat="false" ht="12.75" hidden="false" customHeight="false" outlineLevel="0" collapsed="false">
      <c r="B129" s="16"/>
      <c r="C129" s="53" t="s">
        <v>192</v>
      </c>
      <c r="D129" s="52"/>
      <c r="E129" s="16" t="s">
        <v>20</v>
      </c>
      <c r="F129" s="53" t="s">
        <v>192</v>
      </c>
      <c r="G129" s="52"/>
      <c r="H129" s="16" t="s">
        <v>20</v>
      </c>
      <c r="I129" s="53" t="s">
        <v>192</v>
      </c>
      <c r="J129" s="52"/>
      <c r="K129" s="19"/>
      <c r="L129" s="16" t="s">
        <v>20</v>
      </c>
      <c r="M129" s="53" t="s">
        <v>192</v>
      </c>
      <c r="O129" s="16" t="s">
        <v>20</v>
      </c>
      <c r="P129" s="53" t="s">
        <v>192</v>
      </c>
    </row>
    <row r="130" customFormat="false" ht="12.75" hidden="false" customHeight="false" outlineLevel="0" collapsed="false">
      <c r="B130" s="16"/>
      <c r="C130" s="53" t="n">
        <v>1929</v>
      </c>
      <c r="D130" s="52"/>
      <c r="E130" s="16" t="s">
        <v>17</v>
      </c>
      <c r="F130" s="53" t="n">
        <v>1929</v>
      </c>
      <c r="G130" s="52"/>
      <c r="H130" s="16" t="s">
        <v>17</v>
      </c>
      <c r="I130" s="53" t="n">
        <v>1929</v>
      </c>
      <c r="J130" s="52"/>
      <c r="K130" s="19" t="s">
        <v>24</v>
      </c>
      <c r="L130" s="16" t="s">
        <v>17</v>
      </c>
      <c r="M130" s="53" t="n">
        <v>1929</v>
      </c>
      <c r="O130" s="16" t="s">
        <v>17</v>
      </c>
      <c r="P130" s="53" t="n">
        <v>1929</v>
      </c>
      <c r="V130" s="10"/>
      <c r="W130" s="10"/>
    </row>
    <row r="131" customFormat="false" ht="15" hidden="false" customHeight="false" outlineLevel="0" collapsed="false">
      <c r="B131" s="21" t="s">
        <v>26</v>
      </c>
      <c r="C131" s="55" t="s">
        <v>167</v>
      </c>
      <c r="D131" s="52"/>
      <c r="E131" s="21" t="s">
        <v>29</v>
      </c>
      <c r="F131" s="55" t="s">
        <v>167</v>
      </c>
      <c r="G131" s="52"/>
      <c r="H131" s="21" t="s">
        <v>29</v>
      </c>
      <c r="I131" s="55" t="s">
        <v>166</v>
      </c>
      <c r="J131" s="52"/>
      <c r="K131" s="24" t="s">
        <v>28</v>
      </c>
      <c r="L131" s="21" t="s">
        <v>29</v>
      </c>
      <c r="M131" s="55" t="s">
        <v>167</v>
      </c>
      <c r="O131" s="21" t="s">
        <v>29</v>
      </c>
      <c r="P131" s="55" t="s">
        <v>166</v>
      </c>
      <c r="S131" s="10"/>
      <c r="T131" s="10"/>
      <c r="U131" s="10"/>
      <c r="V131" s="10"/>
      <c r="W131" s="10"/>
    </row>
    <row r="132" customFormat="false" ht="12.75" hidden="false" customHeight="false" outlineLevel="0" collapsed="false">
      <c r="B132" s="74" t="s">
        <v>187</v>
      </c>
      <c r="C132" s="64"/>
      <c r="D132" s="66"/>
      <c r="E132" s="74" t="s">
        <v>187</v>
      </c>
      <c r="F132" s="64"/>
      <c r="G132" s="84"/>
      <c r="H132" s="74" t="s">
        <v>187</v>
      </c>
      <c r="I132" s="93"/>
      <c r="J132" s="66"/>
      <c r="K132" s="34"/>
      <c r="L132" s="74" t="s">
        <v>187</v>
      </c>
      <c r="M132" s="93"/>
      <c r="O132" s="74" t="s">
        <v>187</v>
      </c>
      <c r="P132" s="93"/>
      <c r="S132" s="10"/>
      <c r="T132" s="10"/>
      <c r="U132" s="10"/>
      <c r="V132" s="10"/>
      <c r="W132" s="10"/>
    </row>
    <row r="133" customFormat="false" ht="13.5" hidden="false" customHeight="false" outlineLevel="0" collapsed="false">
      <c r="B133" s="39" t="s">
        <v>188</v>
      </c>
      <c r="C133" s="64"/>
      <c r="D133" s="66"/>
      <c r="E133" s="39" t="s">
        <v>188</v>
      </c>
      <c r="F133" s="64"/>
      <c r="G133" s="84"/>
      <c r="H133" s="39" t="s">
        <v>188</v>
      </c>
      <c r="I133" s="93"/>
      <c r="J133" s="66"/>
      <c r="K133" s="42"/>
      <c r="L133" s="39" t="s">
        <v>188</v>
      </c>
      <c r="M133" s="93"/>
      <c r="O133" s="39" t="s">
        <v>188</v>
      </c>
      <c r="P133" s="93"/>
      <c r="S133" s="10"/>
      <c r="T133" s="10"/>
      <c r="U133" s="10"/>
      <c r="V133" s="10"/>
      <c r="W133" s="10"/>
    </row>
    <row r="134" customFormat="false" ht="13.5" hidden="false" customHeight="false" outlineLevel="0" collapsed="false">
      <c r="B134" s="80" t="s">
        <v>16</v>
      </c>
      <c r="C134" s="82" t="s">
        <v>189</v>
      </c>
      <c r="D134" s="94"/>
      <c r="E134" s="80" t="s">
        <v>16</v>
      </c>
      <c r="F134" s="82" t="s">
        <v>189</v>
      </c>
      <c r="G134" s="94"/>
      <c r="H134" s="80" t="s">
        <v>16</v>
      </c>
      <c r="I134" s="82" t="s">
        <v>189</v>
      </c>
      <c r="J134" s="94"/>
      <c r="L134" s="80" t="s">
        <v>16</v>
      </c>
      <c r="M134" s="82" t="s">
        <v>189</v>
      </c>
      <c r="O134" s="80" t="s">
        <v>16</v>
      </c>
      <c r="P134" s="82" t="s">
        <v>189</v>
      </c>
      <c r="R134" s="10"/>
      <c r="S134" s="10"/>
      <c r="T134" s="10"/>
      <c r="U134" s="10"/>
      <c r="V134" s="10"/>
      <c r="W134" s="10"/>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BA16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0" activeCellId="2" sqref="B16:B122 E16:F122 B10"/>
    </sheetView>
  </sheetViews>
  <sheetFormatPr defaultRowHeight="12.75" zeroHeight="false" outlineLevelRow="0" outlineLevelCol="0"/>
  <cols>
    <col collapsed="false" customWidth="true" hidden="false" outlineLevel="0" max="1025" min="1" style="0" width="11.42"/>
  </cols>
  <sheetData>
    <row r="1" customFormat="false" ht="12.75" hidden="false" customHeight="false" outlineLevel="0" collapsed="false">
      <c r="A1" s="9" t="str">
        <f aca="true">MID(CELL("filename",$A$1),   FIND("\[",CELL("filename",$A$1))+2,   FIND("]",CELL("filename",$A$1),FIND("\[",CELL("filename",$A$1))+2)-FIND("\[",CELL("filename",$A$1))-2)</f>
        <v>TDProperties_Rev0_v69.xlsx</v>
      </c>
    </row>
    <row r="2" customFormat="false" ht="12.75" hidden="false" customHeight="false" outlineLevel="0" collapsed="false">
      <c r="A2" s="0" t="str">
        <f aca="true">MID(CELL("filename",A1),FIND("]",CELL("filename",A1))+1,256)</f>
        <v>Elements Historical</v>
      </c>
    </row>
    <row r="4" customFormat="false" ht="12.75" hidden="false" customHeight="false" outlineLevel="0" collapsed="false">
      <c r="A4" s="9" t="s">
        <v>205</v>
      </c>
    </row>
    <row r="5" customFormat="false" ht="12.75" hidden="false" customHeight="false" outlineLevel="0" collapsed="false">
      <c r="E5" s="10"/>
      <c r="T5" s="10"/>
      <c r="U5" s="10"/>
    </row>
    <row r="6" customFormat="false" ht="12.75" hidden="false" customHeight="false" outlineLevel="0" collapsed="false">
      <c r="A6" s="10" t="s">
        <v>150</v>
      </c>
      <c r="E6" s="10"/>
      <c r="G6" s="10"/>
      <c r="Q6" s="10"/>
      <c r="R6" s="10"/>
      <c r="S6" s="10"/>
      <c r="T6" s="10"/>
      <c r="U6" s="10"/>
    </row>
    <row r="7" customFormat="false" ht="12.75" hidden="false" customHeight="false" outlineLevel="0" collapsed="false">
      <c r="A7" s="10"/>
      <c r="E7" s="10"/>
      <c r="G7" s="10"/>
      <c r="Q7" s="10"/>
      <c r="R7" s="10"/>
      <c r="S7" s="10"/>
      <c r="T7" s="10"/>
      <c r="U7" s="10"/>
    </row>
    <row r="8" customFormat="false" ht="12.75" hidden="false" customHeight="false" outlineLevel="0" collapsed="false">
      <c r="A8" s="10"/>
      <c r="B8" s="10" t="s">
        <v>206</v>
      </c>
      <c r="E8" s="10"/>
      <c r="G8" s="10"/>
      <c r="Q8" s="10"/>
      <c r="R8" s="10"/>
      <c r="S8" s="10"/>
      <c r="T8" s="10"/>
      <c r="U8" s="10"/>
    </row>
    <row r="9" customFormat="false" ht="12.75" hidden="false" customHeight="false" outlineLevel="0" collapsed="false">
      <c r="E9" s="10"/>
      <c r="G9" s="10"/>
      <c r="P9" s="10"/>
      <c r="Q9" s="10"/>
      <c r="R9" s="10"/>
      <c r="S9" s="10"/>
      <c r="T9" s="10"/>
      <c r="U9" s="10"/>
    </row>
    <row r="10" customFormat="false" ht="12.75" hidden="false" customHeight="false" outlineLevel="0" collapsed="false">
      <c r="E10" s="10"/>
      <c r="G10" s="10"/>
      <c r="P10" s="10"/>
      <c r="Q10" s="10"/>
      <c r="R10" s="10"/>
      <c r="S10" s="10"/>
      <c r="T10" s="10"/>
      <c r="U10" s="10"/>
    </row>
    <row r="11" customFormat="false" ht="12.75" hidden="false" customHeight="false" outlineLevel="0" collapsed="false">
      <c r="B11" s="9" t="s">
        <v>152</v>
      </c>
      <c r="E11" s="10"/>
      <c r="G11" s="10"/>
      <c r="O11" s="9" t="s">
        <v>153</v>
      </c>
      <c r="P11" s="10"/>
      <c r="Q11" s="10"/>
      <c r="R11" s="10"/>
      <c r="S11" s="10"/>
      <c r="T11" s="10"/>
      <c r="U11" s="10"/>
      <c r="AC11" s="9" t="s">
        <v>153</v>
      </c>
      <c r="AP11" s="9" t="s">
        <v>153</v>
      </c>
    </row>
    <row r="12" customFormat="false" ht="12.75" hidden="false" customHeight="false" outlineLevel="0" collapsed="false">
      <c r="B12" s="9" t="s">
        <v>154</v>
      </c>
      <c r="E12" s="10"/>
      <c r="G12" s="10"/>
      <c r="O12" s="46" t="s">
        <v>156</v>
      </c>
      <c r="P12" s="10"/>
      <c r="Q12" s="10"/>
      <c r="R12" s="10"/>
      <c r="S12" s="10"/>
      <c r="T12" s="10"/>
      <c r="U12" s="10"/>
      <c r="AC12" s="46" t="s">
        <v>157</v>
      </c>
      <c r="AP12" s="46" t="s">
        <v>158</v>
      </c>
    </row>
    <row r="13" customFormat="false" ht="12.75" hidden="false" customHeight="false" outlineLevel="0" collapsed="false">
      <c r="B13" s="9" t="s">
        <v>159</v>
      </c>
      <c r="C13" s="9"/>
      <c r="E13" s="10"/>
      <c r="G13" s="10"/>
      <c r="O13" s="9"/>
      <c r="AC13" s="9"/>
    </row>
    <row r="14" customFormat="false" ht="13.5" hidden="false" customHeight="false" outlineLevel="0" collapsed="false">
      <c r="A14" s="2"/>
      <c r="B14" s="2"/>
      <c r="C14" s="2"/>
      <c r="D14" s="2"/>
      <c r="E14" s="2"/>
      <c r="F14" s="2"/>
      <c r="G14" s="2"/>
      <c r="H14" s="2"/>
      <c r="I14" s="2"/>
      <c r="J14" s="2"/>
      <c r="K14" s="2"/>
      <c r="L14" s="2"/>
      <c r="M14" s="2"/>
      <c r="O14" s="46"/>
      <c r="P14" s="9"/>
      <c r="Q14" s="2"/>
      <c r="R14" s="2"/>
      <c r="S14" s="2"/>
      <c r="T14" s="2"/>
      <c r="U14" s="2"/>
      <c r="V14" s="2"/>
      <c r="W14" s="2"/>
      <c r="X14" s="2"/>
      <c r="Y14" s="2"/>
      <c r="Z14" s="2"/>
      <c r="AC14" s="46"/>
      <c r="AD14" s="9"/>
      <c r="AE14" s="2"/>
      <c r="AF14" s="2"/>
      <c r="AG14" s="2"/>
      <c r="AH14" s="2"/>
      <c r="AI14" s="2"/>
      <c r="AJ14" s="2"/>
      <c r="AK14" s="2"/>
      <c r="AL14" s="2"/>
      <c r="AM14" s="2"/>
      <c r="AN14" s="2"/>
    </row>
    <row r="15" customFormat="false" ht="13.5" hidden="false" customHeight="false" outlineLevel="0" collapsed="false">
      <c r="B15" s="48" t="s">
        <v>160</v>
      </c>
      <c r="C15" s="48" t="s">
        <v>161</v>
      </c>
      <c r="D15" s="48" t="s">
        <v>161</v>
      </c>
      <c r="E15" s="48" t="s">
        <v>207</v>
      </c>
      <c r="F15" s="95" t="s">
        <v>208</v>
      </c>
      <c r="G15" s="48" t="s">
        <v>209</v>
      </c>
      <c r="H15" s="48" t="s">
        <v>210</v>
      </c>
      <c r="I15" s="48" t="s">
        <v>211</v>
      </c>
      <c r="J15" s="48" t="s">
        <v>212</v>
      </c>
      <c r="K15" s="95" t="s">
        <v>213</v>
      </c>
      <c r="L15" s="48" t="s">
        <v>161</v>
      </c>
      <c r="M15" s="48" t="s">
        <v>214</v>
      </c>
      <c r="O15" s="48" t="s">
        <v>160</v>
      </c>
      <c r="P15" s="48" t="s">
        <v>161</v>
      </c>
      <c r="Q15" s="48" t="s">
        <v>161</v>
      </c>
      <c r="R15" s="48" t="s">
        <v>207</v>
      </c>
      <c r="S15" s="95" t="s">
        <v>208</v>
      </c>
      <c r="T15" s="48" t="s">
        <v>209</v>
      </c>
      <c r="U15" s="48" t="s">
        <v>210</v>
      </c>
      <c r="V15" s="48" t="s">
        <v>211</v>
      </c>
      <c r="W15" s="48" t="s">
        <v>212</v>
      </c>
      <c r="X15" s="95" t="s">
        <v>213</v>
      </c>
      <c r="Y15" s="48" t="s">
        <v>161</v>
      </c>
      <c r="Z15" s="48" t="s">
        <v>214</v>
      </c>
      <c r="AC15" s="48" t="s">
        <v>160</v>
      </c>
      <c r="AD15" s="48" t="s">
        <v>161</v>
      </c>
      <c r="AE15" s="48" t="s">
        <v>161</v>
      </c>
      <c r="AF15" s="48" t="s">
        <v>207</v>
      </c>
      <c r="AG15" s="95" t="s">
        <v>208</v>
      </c>
      <c r="AH15" s="48" t="s">
        <v>209</v>
      </c>
      <c r="AI15" s="48" t="s">
        <v>210</v>
      </c>
      <c r="AJ15" s="48" t="s">
        <v>211</v>
      </c>
      <c r="AK15" s="48" t="s">
        <v>212</v>
      </c>
      <c r="AL15" s="95" t="s">
        <v>213</v>
      </c>
      <c r="AM15" s="48" t="s">
        <v>161</v>
      </c>
      <c r="AN15" s="48" t="s">
        <v>214</v>
      </c>
      <c r="AP15" s="48" t="s">
        <v>160</v>
      </c>
      <c r="AQ15" s="48" t="s">
        <v>161</v>
      </c>
      <c r="AR15" s="48" t="s">
        <v>161</v>
      </c>
      <c r="AS15" s="48" t="s">
        <v>207</v>
      </c>
      <c r="AT15" s="95" t="s">
        <v>208</v>
      </c>
      <c r="AU15" s="48" t="s">
        <v>209</v>
      </c>
      <c r="AV15" s="48" t="s">
        <v>210</v>
      </c>
      <c r="AW15" s="48" t="s">
        <v>211</v>
      </c>
      <c r="AX15" s="48" t="s">
        <v>212</v>
      </c>
      <c r="AY15" s="95" t="s">
        <v>213</v>
      </c>
      <c r="AZ15" s="48" t="s">
        <v>161</v>
      </c>
      <c r="BA15" s="48" t="s">
        <v>214</v>
      </c>
    </row>
    <row r="16" customFormat="false" ht="12.75" hidden="false" customHeight="false" outlineLevel="0" collapsed="false">
      <c r="B16" s="11"/>
      <c r="C16" s="50" t="s">
        <v>162</v>
      </c>
      <c r="D16" s="51" t="s">
        <v>163</v>
      </c>
      <c r="E16" s="50"/>
      <c r="F16" s="51" t="s">
        <v>215</v>
      </c>
      <c r="G16" s="51" t="s">
        <v>216</v>
      </c>
      <c r="H16" s="51" t="s">
        <v>217</v>
      </c>
      <c r="I16" s="51" t="s">
        <v>218</v>
      </c>
      <c r="J16" s="96" t="s">
        <v>219</v>
      </c>
      <c r="K16" s="51" t="s">
        <v>216</v>
      </c>
      <c r="L16" s="51" t="s">
        <v>220</v>
      </c>
      <c r="M16" s="51"/>
      <c r="O16" s="11"/>
      <c r="P16" s="50" t="s">
        <v>162</v>
      </c>
      <c r="Q16" s="51" t="s">
        <v>163</v>
      </c>
      <c r="R16" s="50"/>
      <c r="S16" s="51" t="s">
        <v>215</v>
      </c>
      <c r="T16" s="51" t="s">
        <v>216</v>
      </c>
      <c r="U16" s="51" t="s">
        <v>217</v>
      </c>
      <c r="V16" s="51" t="s">
        <v>218</v>
      </c>
      <c r="W16" s="96" t="s">
        <v>219</v>
      </c>
      <c r="X16" s="51" t="s">
        <v>216</v>
      </c>
      <c r="Y16" s="51" t="s">
        <v>220</v>
      </c>
      <c r="Z16" s="51"/>
      <c r="AB16" s="14"/>
      <c r="AC16" s="11"/>
      <c r="AD16" s="50" t="s">
        <v>162</v>
      </c>
      <c r="AE16" s="51" t="s">
        <v>163</v>
      </c>
      <c r="AF16" s="50"/>
      <c r="AG16" s="51" t="s">
        <v>215</v>
      </c>
      <c r="AH16" s="51" t="s">
        <v>216</v>
      </c>
      <c r="AI16" s="51" t="s">
        <v>217</v>
      </c>
      <c r="AJ16" s="51" t="s">
        <v>218</v>
      </c>
      <c r="AK16" s="96" t="s">
        <v>219</v>
      </c>
      <c r="AL16" s="51" t="s">
        <v>216</v>
      </c>
      <c r="AM16" s="51" t="s">
        <v>220</v>
      </c>
      <c r="AN16" s="51"/>
      <c r="AP16" s="11"/>
      <c r="AQ16" s="50" t="s">
        <v>162</v>
      </c>
      <c r="AR16" s="51" t="s">
        <v>163</v>
      </c>
      <c r="AS16" s="50"/>
      <c r="AT16" s="51" t="s">
        <v>215</v>
      </c>
      <c r="AU16" s="51" t="s">
        <v>216</v>
      </c>
      <c r="AV16" s="51" t="s">
        <v>217</v>
      </c>
      <c r="AW16" s="51" t="s">
        <v>218</v>
      </c>
      <c r="AX16" s="96" t="s">
        <v>219</v>
      </c>
      <c r="AY16" s="51" t="s">
        <v>216</v>
      </c>
      <c r="AZ16" s="51" t="s">
        <v>220</v>
      </c>
      <c r="BA16" s="51"/>
    </row>
    <row r="17" customFormat="false" ht="12.75" hidden="false" customHeight="false" outlineLevel="0" collapsed="false">
      <c r="B17" s="16" t="s">
        <v>20</v>
      </c>
      <c r="C17" s="53" t="s">
        <v>164</v>
      </c>
      <c r="D17" s="54" t="s">
        <v>165</v>
      </c>
      <c r="E17" s="53" t="s">
        <v>217</v>
      </c>
      <c r="F17" s="54" t="s">
        <v>165</v>
      </c>
      <c r="G17" s="54" t="s">
        <v>221</v>
      </c>
      <c r="H17" s="54" t="s">
        <v>222</v>
      </c>
      <c r="I17" s="54" t="s">
        <v>223</v>
      </c>
      <c r="J17" s="52" t="s">
        <v>224</v>
      </c>
      <c r="K17" s="54" t="s">
        <v>225</v>
      </c>
      <c r="L17" s="54" t="s">
        <v>165</v>
      </c>
      <c r="M17" s="54" t="s">
        <v>226</v>
      </c>
      <c r="O17" s="16" t="s">
        <v>20</v>
      </c>
      <c r="P17" s="53" t="s">
        <v>164</v>
      </c>
      <c r="Q17" s="54" t="s">
        <v>165</v>
      </c>
      <c r="R17" s="53" t="s">
        <v>217</v>
      </c>
      <c r="S17" s="54" t="s">
        <v>165</v>
      </c>
      <c r="T17" s="54" t="s">
        <v>221</v>
      </c>
      <c r="U17" s="54" t="s">
        <v>222</v>
      </c>
      <c r="V17" s="54" t="s">
        <v>223</v>
      </c>
      <c r="W17" s="52" t="s">
        <v>224</v>
      </c>
      <c r="X17" s="54" t="s">
        <v>225</v>
      </c>
      <c r="Y17" s="54" t="s">
        <v>165</v>
      </c>
      <c r="Z17" s="54" t="s">
        <v>226</v>
      </c>
      <c r="AB17" s="19"/>
      <c r="AC17" s="16" t="s">
        <v>20</v>
      </c>
      <c r="AD17" s="53" t="s">
        <v>164</v>
      </c>
      <c r="AE17" s="54" t="s">
        <v>165</v>
      </c>
      <c r="AF17" s="53" t="s">
        <v>217</v>
      </c>
      <c r="AG17" s="54" t="s">
        <v>165</v>
      </c>
      <c r="AH17" s="54" t="s">
        <v>221</v>
      </c>
      <c r="AI17" s="54" t="s">
        <v>222</v>
      </c>
      <c r="AJ17" s="54" t="s">
        <v>223</v>
      </c>
      <c r="AK17" s="52" t="s">
        <v>224</v>
      </c>
      <c r="AL17" s="54" t="s">
        <v>225</v>
      </c>
      <c r="AM17" s="54" t="s">
        <v>165</v>
      </c>
      <c r="AN17" s="54" t="s">
        <v>226</v>
      </c>
      <c r="AP17" s="16" t="s">
        <v>20</v>
      </c>
      <c r="AQ17" s="53" t="s">
        <v>164</v>
      </c>
      <c r="AR17" s="54" t="s">
        <v>165</v>
      </c>
      <c r="AS17" s="53" t="s">
        <v>217</v>
      </c>
      <c r="AT17" s="54" t="s">
        <v>165</v>
      </c>
      <c r="AU17" s="54" t="s">
        <v>221</v>
      </c>
      <c r="AV17" s="54" t="s">
        <v>222</v>
      </c>
      <c r="AW17" s="54" t="s">
        <v>223</v>
      </c>
      <c r="AX17" s="52" t="s">
        <v>224</v>
      </c>
      <c r="AY17" s="54" t="s">
        <v>225</v>
      </c>
      <c r="AZ17" s="54" t="s">
        <v>165</v>
      </c>
      <c r="BA17" s="54" t="s">
        <v>226</v>
      </c>
    </row>
    <row r="18" customFormat="false" ht="12.75" hidden="false" customHeight="false" outlineLevel="0" collapsed="false">
      <c r="B18" s="16" t="s">
        <v>17</v>
      </c>
      <c r="C18" s="53" t="n">
        <v>1917</v>
      </c>
      <c r="D18" s="54" t="n">
        <v>1922</v>
      </c>
      <c r="E18" s="53" t="n">
        <v>1932</v>
      </c>
      <c r="F18" s="54" t="n">
        <v>1952</v>
      </c>
      <c r="G18" s="54" t="n">
        <v>1956</v>
      </c>
      <c r="H18" s="54" t="n">
        <v>1961</v>
      </c>
      <c r="I18" s="54" t="n">
        <v>1968</v>
      </c>
      <c r="J18" s="52" t="s">
        <v>227</v>
      </c>
      <c r="K18" s="54" t="n">
        <v>1971</v>
      </c>
      <c r="L18" s="54" t="n">
        <v>1973</v>
      </c>
      <c r="M18" s="54" t="n">
        <v>1982</v>
      </c>
      <c r="O18" s="16" t="s">
        <v>17</v>
      </c>
      <c r="P18" s="53" t="n">
        <v>1917</v>
      </c>
      <c r="Q18" s="54" t="n">
        <v>1922</v>
      </c>
      <c r="R18" s="53" t="n">
        <v>1932</v>
      </c>
      <c r="S18" s="54" t="n">
        <v>1952</v>
      </c>
      <c r="T18" s="54" t="n">
        <v>1956</v>
      </c>
      <c r="U18" s="54" t="n">
        <v>1961</v>
      </c>
      <c r="V18" s="54" t="n">
        <v>1968</v>
      </c>
      <c r="W18" s="52" t="s">
        <v>227</v>
      </c>
      <c r="X18" s="54" t="n">
        <v>1971</v>
      </c>
      <c r="Y18" s="54" t="n">
        <v>1973</v>
      </c>
      <c r="Z18" s="54" t="n">
        <v>1982</v>
      </c>
      <c r="AB18" s="19" t="s">
        <v>24</v>
      </c>
      <c r="AC18" s="16" t="s">
        <v>17</v>
      </c>
      <c r="AD18" s="53" t="n">
        <v>1917</v>
      </c>
      <c r="AE18" s="54" t="n">
        <v>1922</v>
      </c>
      <c r="AF18" s="53" t="n">
        <v>1932</v>
      </c>
      <c r="AG18" s="54" t="n">
        <v>1952</v>
      </c>
      <c r="AH18" s="54" t="n">
        <v>1956</v>
      </c>
      <c r="AI18" s="54" t="n">
        <v>1961</v>
      </c>
      <c r="AJ18" s="54" t="n">
        <v>1968</v>
      </c>
      <c r="AK18" s="52" t="s">
        <v>227</v>
      </c>
      <c r="AL18" s="54" t="n">
        <v>1971</v>
      </c>
      <c r="AM18" s="54" t="n">
        <v>1973</v>
      </c>
      <c r="AN18" s="54" t="n">
        <v>1982</v>
      </c>
      <c r="AP18" s="16" t="s">
        <v>17</v>
      </c>
      <c r="AQ18" s="53" t="n">
        <v>1917</v>
      </c>
      <c r="AR18" s="54" t="n">
        <v>1922</v>
      </c>
      <c r="AS18" s="53" t="n">
        <v>1932</v>
      </c>
      <c r="AT18" s="54" t="n">
        <v>1952</v>
      </c>
      <c r="AU18" s="54" t="n">
        <v>1956</v>
      </c>
      <c r="AV18" s="54" t="n">
        <v>1961</v>
      </c>
      <c r="AW18" s="54" t="n">
        <v>1968</v>
      </c>
      <c r="AX18" s="52" t="s">
        <v>227</v>
      </c>
      <c r="AY18" s="54" t="n">
        <v>1971</v>
      </c>
      <c r="AZ18" s="54" t="n">
        <v>1973</v>
      </c>
      <c r="BA18" s="54" t="n">
        <v>1982</v>
      </c>
    </row>
    <row r="19" customFormat="false" ht="15" hidden="false" customHeight="false" outlineLevel="0" collapsed="false">
      <c r="B19" s="21" t="s">
        <v>29</v>
      </c>
      <c r="C19" s="55" t="s">
        <v>166</v>
      </c>
      <c r="D19" s="55" t="s">
        <v>166</v>
      </c>
      <c r="E19" s="55" t="s">
        <v>166</v>
      </c>
      <c r="F19" s="55" t="s">
        <v>166</v>
      </c>
      <c r="G19" s="55" t="s">
        <v>166</v>
      </c>
      <c r="H19" s="55" t="s">
        <v>166</v>
      </c>
      <c r="I19" s="55" t="s">
        <v>166</v>
      </c>
      <c r="J19" s="55" t="s">
        <v>166</v>
      </c>
      <c r="K19" s="55" t="s">
        <v>166</v>
      </c>
      <c r="L19" s="55" t="s">
        <v>166</v>
      </c>
      <c r="M19" s="55" t="s">
        <v>166</v>
      </c>
      <c r="O19" s="21" t="s">
        <v>29</v>
      </c>
      <c r="P19" s="55" t="s">
        <v>167</v>
      </c>
      <c r="Q19" s="55" t="s">
        <v>167</v>
      </c>
      <c r="R19" s="55" t="s">
        <v>167</v>
      </c>
      <c r="S19" s="55" t="s">
        <v>167</v>
      </c>
      <c r="T19" s="55" t="s">
        <v>167</v>
      </c>
      <c r="U19" s="55" t="s">
        <v>167</v>
      </c>
      <c r="V19" s="55" t="s">
        <v>167</v>
      </c>
      <c r="W19" s="55" t="s">
        <v>167</v>
      </c>
      <c r="X19" s="55" t="s">
        <v>167</v>
      </c>
      <c r="Y19" s="55" t="s">
        <v>167</v>
      </c>
      <c r="Z19" s="55" t="s">
        <v>167</v>
      </c>
      <c r="AB19" s="24" t="s">
        <v>28</v>
      </c>
      <c r="AC19" s="21" t="s">
        <v>29</v>
      </c>
      <c r="AD19" s="55" t="s">
        <v>167</v>
      </c>
      <c r="AE19" s="55" t="s">
        <v>167</v>
      </c>
      <c r="AF19" s="55" t="s">
        <v>167</v>
      </c>
      <c r="AG19" s="55" t="s">
        <v>167</v>
      </c>
      <c r="AH19" s="55" t="s">
        <v>167</v>
      </c>
      <c r="AI19" s="55" t="s">
        <v>167</v>
      </c>
      <c r="AJ19" s="55" t="s">
        <v>167</v>
      </c>
      <c r="AK19" s="55" t="s">
        <v>167</v>
      </c>
      <c r="AL19" s="55" t="s">
        <v>167</v>
      </c>
      <c r="AM19" s="55" t="s">
        <v>167</v>
      </c>
      <c r="AN19" s="55" t="s">
        <v>167</v>
      </c>
      <c r="AP19" s="21" t="s">
        <v>29</v>
      </c>
      <c r="AQ19" s="55" t="s">
        <v>166</v>
      </c>
      <c r="AR19" s="55" t="s">
        <v>166</v>
      </c>
      <c r="AS19" s="55" t="s">
        <v>166</v>
      </c>
      <c r="AT19" s="55" t="s">
        <v>166</v>
      </c>
      <c r="AU19" s="55" t="s">
        <v>166</v>
      </c>
      <c r="AV19" s="55" t="s">
        <v>166</v>
      </c>
      <c r="AW19" s="55" t="s">
        <v>166</v>
      </c>
      <c r="AX19" s="55" t="s">
        <v>166</v>
      </c>
      <c r="AY19" s="55" t="s">
        <v>166</v>
      </c>
      <c r="AZ19" s="55" t="s">
        <v>166</v>
      </c>
      <c r="BA19" s="55" t="s">
        <v>166</v>
      </c>
    </row>
    <row r="20" customFormat="false" ht="12.75" hidden="false" customHeight="false" outlineLevel="0" collapsed="false">
      <c r="B20" s="26" t="s">
        <v>30</v>
      </c>
      <c r="C20" s="59"/>
      <c r="D20" s="57"/>
      <c r="E20" s="56"/>
      <c r="F20" s="57"/>
      <c r="G20" s="56" t="s">
        <v>228</v>
      </c>
      <c r="H20" s="97" t="s">
        <v>229</v>
      </c>
      <c r="I20" s="59"/>
      <c r="J20" s="98" t="n">
        <v>13.5</v>
      </c>
      <c r="K20" s="99"/>
      <c r="L20" s="100"/>
      <c r="M20" s="99"/>
      <c r="O20" s="26" t="s">
        <v>30</v>
      </c>
      <c r="P20" s="85" t="str">
        <f aca="false">IF(IF(ISBLANK(C20),1,(TRIM(C20)="")),"",ROUND(4.184*C20,3))</f>
        <v/>
      </c>
      <c r="Q20" s="101" t="str">
        <f aca="false">IF(IF(ISBLANK(D20),1,(TRIM(D20)="")),"",ROUND(4.184*D20,3))</f>
        <v/>
      </c>
      <c r="R20" s="85" t="str">
        <f aca="false">IF(IF(ISBLANK(E20),1,(TRIM(E20)="")),"",ROUND(4.184*E20,3))</f>
        <v/>
      </c>
      <c r="S20" s="101" t="str">
        <f aca="false">IF(IF(ISBLANK(F20),1,(TRIM(F20)="")),"",ROUND(4.184*F20,3))</f>
        <v/>
      </c>
      <c r="T20" s="85" t="n">
        <f aca="false">IF(IF(ISBLANK(G20),1,(TRIM(G20)="")),"",ROUND(4.184*G20,3))</f>
        <v>62.76</v>
      </c>
      <c r="U20" s="101" t="n">
        <f aca="false">IF(IF(ISBLANK(H20),1,(TRIM(H20)="")),"",ROUND(4.184*H20,3))</f>
        <v>62.76</v>
      </c>
      <c r="V20" s="85" t="str">
        <f aca="false">IF(IF(ISBLANK(I20),1,(TRIM(I20)="")),"",ROUND(4.184*I20,3))</f>
        <v/>
      </c>
      <c r="W20" s="101" t="n">
        <f aca="false">IF(IF(ISBLANK(J20),1,(TRIM(J20)="")),"",ROUND(4.184*J20,3))</f>
        <v>56.484</v>
      </c>
      <c r="X20" s="85" t="str">
        <f aca="false">IF(IF(ISBLANK(K20),1,(TRIM(K20)="")),"",ROUND(4.184*K20,3))</f>
        <v/>
      </c>
      <c r="Y20" s="101" t="str">
        <f aca="false">IF(IF(ISBLANK(L20),1,(TRIM(L20)="")),"",ROUND(4.184*L20,3))</f>
        <v/>
      </c>
      <c r="Z20" s="85" t="str">
        <f aca="false">IF(IF(ISBLANK(M20),1,(TRIM(M20)="")),"",ROUND(4.184*M20,3))</f>
        <v/>
      </c>
      <c r="AB20" s="29"/>
      <c r="AC20" s="26" t="s">
        <v>30</v>
      </c>
      <c r="AD20" s="85" t="str">
        <f aca="false">IF(IF(ISBLANK(C20),1,(TRIM(C20)="")),"",ROUND(4.184*C20+$AB20*0.1094,3))</f>
        <v/>
      </c>
      <c r="AE20" s="101" t="str">
        <f aca="false">IF(IF(ISBLANK(D20),1,(TRIM(D20)="")),"",ROUND(4.184*D20+$AB20*0.1094,3))</f>
        <v/>
      </c>
      <c r="AF20" s="85" t="str">
        <f aca="false">IF(IF(ISBLANK(E20),1,(TRIM(E20)="")),"",ROUND(4.184*E20+$AB20*0.1094,3))</f>
        <v/>
      </c>
      <c r="AG20" s="101" t="str">
        <f aca="false">IF(IF(ISBLANK(F20),1,(TRIM(F20)="")),"",ROUND(4.184*F20+$AB20*0.1094,3))</f>
        <v/>
      </c>
      <c r="AH20" s="85" t="n">
        <f aca="false">IF(IF(ISBLANK(G20),1,(TRIM(G20)="")),"",ROUND(4.184*G20+$AB20*0.1094,3))</f>
        <v>62.76</v>
      </c>
      <c r="AI20" s="101" t="n">
        <f aca="false">IF(IF(ISBLANK(H20),1,(TRIM(H20)="")),"",ROUND(4.184*H20+$AB20*0.1094,3))</f>
        <v>62.76</v>
      </c>
      <c r="AJ20" s="85" t="str">
        <f aca="false">IF(IF(ISBLANK(I20),1,(TRIM(I20)="")),"",ROUND(4.184*I20+$AB20*0.1094,3))</f>
        <v/>
      </c>
      <c r="AK20" s="101" t="n">
        <f aca="false">IF(IF(ISBLANK(J20),1,(TRIM(J20)="")),"",ROUND(4.184*J20+$AB20*0.1094,3))</f>
        <v>56.484</v>
      </c>
      <c r="AL20" s="85" t="str">
        <f aca="false">IF(IF(ISBLANK(K20),1,(TRIM(K20)="")),"",ROUND(4.184*K20+$AB20*0.1094,3))</f>
        <v/>
      </c>
      <c r="AM20" s="101" t="str">
        <f aca="false">IF(IF(ISBLANK(L20),1,(TRIM(L20)="")),"",ROUND(4.184*L20+$AB20*0.1094,3))</f>
        <v/>
      </c>
      <c r="AN20" s="85" t="str">
        <f aca="false">IF(IF(ISBLANK(M20),1,(TRIM(M20)="")),"",ROUND(4.184*M20+$AB20*0.1094,3))</f>
        <v/>
      </c>
      <c r="AP20" s="26" t="s">
        <v>30</v>
      </c>
      <c r="AQ20" s="85" t="str">
        <f aca="false">IF(IF(ISBLANK(C20),1,(TRIM(C20)="")),"",ROUND(C20+($AB20*0.1094/4.184),3))</f>
        <v/>
      </c>
      <c r="AR20" s="101" t="str">
        <f aca="false">IF(IF(ISBLANK(D20),1,(TRIM(D20)="")),"",ROUND(D20+($AB20*0.1094/4.184),3))</f>
        <v/>
      </c>
      <c r="AS20" s="85" t="str">
        <f aca="false">IF(IF(ISBLANK(E20),1,(TRIM(E20)="")),"",ROUND(E20+($AB20*0.1094/4.184),3))</f>
        <v/>
      </c>
      <c r="AT20" s="101" t="str">
        <f aca="false">IF(IF(ISBLANK(F20),1,(TRIM(F20)="")),"",ROUND(F20+($AB20*0.1094/4.184),3))</f>
        <v/>
      </c>
      <c r="AU20" s="85" t="n">
        <f aca="false">IF(IF(ISBLANK(G20),1,(TRIM(G20)="")),"",ROUND(G20+($AB20*0.1094/4.184),3))</f>
        <v>15</v>
      </c>
      <c r="AV20" s="101" t="n">
        <f aca="false">IF(IF(ISBLANK(H20),1,(TRIM(H20)="")),"",ROUND(H20+($AB20*0.1094/4.184),3))</f>
        <v>15</v>
      </c>
      <c r="AW20" s="85" t="str">
        <f aca="false">IF(IF(ISBLANK(I20),1,(TRIM(I20)="")),"",ROUND(I20+($AB20*0.1094/4.184),3))</f>
        <v/>
      </c>
      <c r="AX20" s="101" t="n">
        <f aca="false">IF(IF(ISBLANK(J20),1,(TRIM(J20)="")),"",ROUND(J20+($AB20*0.1094/4.184),3))</f>
        <v>13.5</v>
      </c>
      <c r="AY20" s="85" t="str">
        <f aca="false">IF(IF(ISBLANK(K20),1,(TRIM(K20)="")),"",ROUND(K20+($AB20*0.1094/4.184),3))</f>
        <v/>
      </c>
      <c r="AZ20" s="101" t="str">
        <f aca="false">IF(IF(ISBLANK(L20),1,(TRIM(L20)="")),"",ROUND(L20+($AB20*0.1094/4.184),3))</f>
        <v/>
      </c>
      <c r="BA20" s="85" t="str">
        <f aca="false">IF(IF(ISBLANK(M20),1,(TRIM(M20)="")),"",ROUND(M20+($AB20*0.1094/4.184),3))</f>
        <v/>
      </c>
    </row>
    <row r="21" customFormat="false" ht="12.75" hidden="false" customHeight="false" outlineLevel="0" collapsed="false">
      <c r="A21" s="87"/>
      <c r="B21" s="31" t="s">
        <v>31</v>
      </c>
      <c r="C21" s="62" t="n">
        <v>10.2</v>
      </c>
      <c r="D21" s="63" t="n">
        <v>10.25</v>
      </c>
      <c r="E21" s="64" t="s">
        <v>230</v>
      </c>
      <c r="F21" s="63" t="n">
        <v>10.206</v>
      </c>
      <c r="G21" s="64" t="s">
        <v>231</v>
      </c>
      <c r="H21" s="65" t="s">
        <v>231</v>
      </c>
      <c r="I21" s="64" t="s">
        <v>231</v>
      </c>
      <c r="J21" s="102" t="n">
        <v>10.17</v>
      </c>
      <c r="K21" s="62"/>
      <c r="L21" s="65" t="s">
        <v>231</v>
      </c>
      <c r="M21" s="64" t="s">
        <v>232</v>
      </c>
      <c r="N21" s="87"/>
      <c r="O21" s="31" t="s">
        <v>31</v>
      </c>
      <c r="P21" s="85" t="n">
        <f aca="false">IF(IF(ISBLANK(C21),1,(TRIM(C21)="")),"",ROUND(4.184*C21,3))</f>
        <v>42.677</v>
      </c>
      <c r="Q21" s="101" t="n">
        <f aca="false">IF(IF(ISBLANK(D21),1,(TRIM(D21)="")),"",ROUND(4.184*D21,3))</f>
        <v>42.886</v>
      </c>
      <c r="R21" s="85" t="n">
        <f aca="false">IF(IF(ISBLANK(E21),1,(TRIM(E21)="")),"",ROUND(4.184*E21,3))</f>
        <v>42.677</v>
      </c>
      <c r="S21" s="101" t="n">
        <f aca="false">IF(IF(ISBLANK(F21),1,(TRIM(F21)="")),"",ROUND(4.184*F21,3))</f>
        <v>42.702</v>
      </c>
      <c r="T21" s="85" t="n">
        <f aca="false">IF(IF(ISBLANK(G21),1,(TRIM(G21)="")),"",ROUND(4.184*G21,3))</f>
        <v>42.677</v>
      </c>
      <c r="U21" s="101" t="n">
        <f aca="false">IF(IF(ISBLANK(H21),1,(TRIM(H21)="")),"",ROUND(4.184*H21,3))</f>
        <v>42.677</v>
      </c>
      <c r="V21" s="85" t="n">
        <f aca="false">IF(IF(ISBLANK(I21),1,(TRIM(I21)="")),"",ROUND(4.184*I21,3))</f>
        <v>42.677</v>
      </c>
      <c r="W21" s="101" t="n">
        <f aca="false">IF(IF(ISBLANK(J21),1,(TRIM(J21)="")),"",ROUND(4.184*J21,3))</f>
        <v>42.551</v>
      </c>
      <c r="X21" s="85" t="str">
        <f aca="false">IF(IF(ISBLANK(K21),1,(TRIM(K21)="")),"",ROUND(4.184*K21,3))</f>
        <v/>
      </c>
      <c r="Y21" s="101" t="n">
        <f aca="false">IF(IF(ISBLANK(L21),1,(TRIM(L21)="")),"",ROUND(4.184*L21,3))</f>
        <v>42.677</v>
      </c>
      <c r="Z21" s="85" t="n">
        <f aca="false">IF(IF(ISBLANK(M21),1,(TRIM(M21)="")),"",ROUND(4.184*M21,3))</f>
        <v>42.551</v>
      </c>
      <c r="AB21" s="34"/>
      <c r="AC21" s="31" t="s">
        <v>31</v>
      </c>
      <c r="AD21" s="85" t="n">
        <f aca="false">IF(IF(ISBLANK(C21),1,(TRIM(C21)="")),"",ROUND(4.184*C21+$AB21*0.1094,3))</f>
        <v>42.677</v>
      </c>
      <c r="AE21" s="101" t="n">
        <f aca="false">IF(IF(ISBLANK(D21),1,(TRIM(D21)="")),"",ROUND(4.184*D21+$AB21*0.1094,3))</f>
        <v>42.886</v>
      </c>
      <c r="AF21" s="85" t="n">
        <f aca="false">IF(IF(ISBLANK(E21),1,(TRIM(E21)="")),"",ROUND(4.184*E21+$AB21*0.1094,3))</f>
        <v>42.677</v>
      </c>
      <c r="AG21" s="101" t="n">
        <f aca="false">IF(IF(ISBLANK(F21),1,(TRIM(F21)="")),"",ROUND(4.184*F21+$AB21*0.1094,3))</f>
        <v>42.702</v>
      </c>
      <c r="AH21" s="85" t="n">
        <f aca="false">IF(IF(ISBLANK(G21),1,(TRIM(G21)="")),"",ROUND(4.184*G21+$AB21*0.1094,3))</f>
        <v>42.677</v>
      </c>
      <c r="AI21" s="101" t="n">
        <f aca="false">IF(IF(ISBLANK(H21),1,(TRIM(H21)="")),"",ROUND(4.184*H21+$AB21*0.1094,3))</f>
        <v>42.677</v>
      </c>
      <c r="AJ21" s="85" t="n">
        <f aca="false">IF(IF(ISBLANK(I21),1,(TRIM(I21)="")),"",ROUND(4.184*I21+$AB21*0.1094,3))</f>
        <v>42.677</v>
      </c>
      <c r="AK21" s="101" t="n">
        <f aca="false">IF(IF(ISBLANK(J21),1,(TRIM(J21)="")),"",ROUND(4.184*J21+$AB21*0.1094,3))</f>
        <v>42.551</v>
      </c>
      <c r="AL21" s="85" t="str">
        <f aca="false">IF(IF(ISBLANK(K21),1,(TRIM(K21)="")),"",ROUND(4.184*K21+$AB21*0.1094,3))</f>
        <v/>
      </c>
      <c r="AM21" s="101" t="n">
        <f aca="false">IF(IF(ISBLANK(L21),1,(TRIM(L21)="")),"",ROUND(4.184*L21+$AB21*0.1094,3))</f>
        <v>42.677</v>
      </c>
      <c r="AN21" s="85" t="n">
        <f aca="false">IF(IF(ISBLANK(M21),1,(TRIM(M21)="")),"",ROUND(4.184*M21+$AB21*0.1094,3))</f>
        <v>42.551</v>
      </c>
      <c r="AP21" s="31" t="s">
        <v>31</v>
      </c>
      <c r="AQ21" s="85" t="n">
        <f aca="false">IF(IF(ISBLANK(C21),1,(TRIM(C21)="")),"",ROUND(C21+($AB21*0.1094/4.184),3))</f>
        <v>10.2</v>
      </c>
      <c r="AR21" s="101" t="n">
        <f aca="false">IF(IF(ISBLANK(D21),1,(TRIM(D21)="")),"",ROUND(D21+($AB21*0.1094/4.184),3))</f>
        <v>10.25</v>
      </c>
      <c r="AS21" s="85" t="n">
        <f aca="false">IF(IF(ISBLANK(E21),1,(TRIM(E21)="")),"",ROUND(E21+($AB21*0.1094/4.184),3))</f>
        <v>10.2</v>
      </c>
      <c r="AT21" s="101" t="n">
        <f aca="false">IF(IF(ISBLANK(F21),1,(TRIM(F21)="")),"",ROUND(F21+($AB21*0.1094/4.184),3))</f>
        <v>10.206</v>
      </c>
      <c r="AU21" s="85" t="n">
        <f aca="false">IF(IF(ISBLANK(G21),1,(TRIM(G21)="")),"",ROUND(G21+($AB21*0.1094/4.184),3))</f>
        <v>10.2</v>
      </c>
      <c r="AV21" s="101" t="n">
        <f aca="false">IF(IF(ISBLANK(H21),1,(TRIM(H21)="")),"",ROUND(H21+($AB21*0.1094/4.184),3))</f>
        <v>10.2</v>
      </c>
      <c r="AW21" s="85" t="n">
        <f aca="false">IF(IF(ISBLANK(I21),1,(TRIM(I21)="")),"",ROUND(I21+($AB21*0.1094/4.184),3))</f>
        <v>10.2</v>
      </c>
      <c r="AX21" s="101" t="n">
        <f aca="false">IF(IF(ISBLANK(J21),1,(TRIM(J21)="")),"",ROUND(J21+($AB21*0.1094/4.184),3))</f>
        <v>10.17</v>
      </c>
      <c r="AY21" s="85" t="str">
        <f aca="false">IF(IF(ISBLANK(K21),1,(TRIM(K21)="")),"",ROUND(K21+($AB21*0.1094/4.184),3))</f>
        <v/>
      </c>
      <c r="AZ21" s="101" t="n">
        <f aca="false">IF(IF(ISBLANK(L21),1,(TRIM(L21)="")),"",ROUND(L21+($AB21*0.1094/4.184),3))</f>
        <v>10.2</v>
      </c>
      <c r="BA21" s="85" t="n">
        <f aca="false">IF(IF(ISBLANK(M21),1,(TRIM(M21)="")),"",ROUND(M21+($AB21*0.1094/4.184),3))</f>
        <v>10.17</v>
      </c>
    </row>
    <row r="22" customFormat="false" ht="12.75" hidden="false" customHeight="false" outlineLevel="0" collapsed="false">
      <c r="B22" s="31" t="s">
        <v>32</v>
      </c>
      <c r="C22" s="62" t="n">
        <v>6.9</v>
      </c>
      <c r="D22" s="63" t="n">
        <v>6.82</v>
      </c>
      <c r="E22" s="64" t="s">
        <v>233</v>
      </c>
      <c r="F22" s="63" t="n">
        <v>6.769</v>
      </c>
      <c r="G22" s="64" t="s">
        <v>234</v>
      </c>
      <c r="H22" s="63" t="n">
        <v>6.77</v>
      </c>
      <c r="I22" s="62" t="n">
        <v>6.77</v>
      </c>
      <c r="J22" s="102" t="n">
        <v>6.77</v>
      </c>
      <c r="K22" s="62" t="n">
        <v>6.769</v>
      </c>
      <c r="L22" s="65" t="s">
        <v>234</v>
      </c>
      <c r="M22" s="64" t="n">
        <v>6.776</v>
      </c>
      <c r="O22" s="31" t="s">
        <v>32</v>
      </c>
      <c r="P22" s="85" t="n">
        <f aca="false">IF(IF(ISBLANK(C22),1,(TRIM(C22)="")),"",ROUND(4.184*C22,3))</f>
        <v>28.87</v>
      </c>
      <c r="Q22" s="101" t="n">
        <f aca="false">IF(IF(ISBLANK(D22),1,(TRIM(D22)="")),"",ROUND(4.184*D22,3))</f>
        <v>28.535</v>
      </c>
      <c r="R22" s="85" t="n">
        <f aca="false">IF(IF(ISBLANK(E22),1,(TRIM(E22)="")),"",ROUND(4.184*E22,3))</f>
        <v>28.242</v>
      </c>
      <c r="S22" s="101" t="n">
        <f aca="false">IF(IF(ISBLANK(F22),1,(TRIM(F22)="")),"",ROUND(4.184*F22,3))</f>
        <v>28.321</v>
      </c>
      <c r="T22" s="85" t="n">
        <f aca="false">IF(IF(ISBLANK(G22),1,(TRIM(G22)="")),"",ROUND(4.184*G22,3))</f>
        <v>28.326</v>
      </c>
      <c r="U22" s="101" t="n">
        <f aca="false">IF(IF(ISBLANK(H22),1,(TRIM(H22)="")),"",ROUND(4.184*H22,3))</f>
        <v>28.326</v>
      </c>
      <c r="V22" s="85" t="n">
        <f aca="false">IF(IF(ISBLANK(I22),1,(TRIM(I22)="")),"",ROUND(4.184*I22,3))</f>
        <v>28.326</v>
      </c>
      <c r="W22" s="101" t="n">
        <f aca="false">IF(IF(ISBLANK(J22),1,(TRIM(J22)="")),"",ROUND(4.184*J22,3))</f>
        <v>28.326</v>
      </c>
      <c r="X22" s="85" t="n">
        <f aca="false">IF(IF(ISBLANK(K22),1,(TRIM(K22)="")),"",ROUND(4.184*K22,3))</f>
        <v>28.321</v>
      </c>
      <c r="Y22" s="101" t="n">
        <f aca="false">IF(IF(ISBLANK(L22),1,(TRIM(L22)="")),"",ROUND(4.184*L22,3))</f>
        <v>28.326</v>
      </c>
      <c r="Z22" s="85" t="n">
        <f aca="false">IF(IF(ISBLANK(M22),1,(TRIM(M22)="")),"",ROUND(4.184*M22,3))</f>
        <v>28.351</v>
      </c>
      <c r="AB22" s="34"/>
      <c r="AC22" s="31" t="s">
        <v>32</v>
      </c>
      <c r="AD22" s="85" t="n">
        <f aca="false">IF(IF(ISBLANK(C22),1,(TRIM(C22)="")),"",ROUND(4.184*C22+$AB22*0.1094,3))</f>
        <v>28.87</v>
      </c>
      <c r="AE22" s="101" t="n">
        <f aca="false">IF(IF(ISBLANK(D22),1,(TRIM(D22)="")),"",ROUND(4.184*D22+$AB22*0.1094,3))</f>
        <v>28.535</v>
      </c>
      <c r="AF22" s="85" t="n">
        <f aca="false">IF(IF(ISBLANK(E22),1,(TRIM(E22)="")),"",ROUND(4.184*E22+$AB22*0.1094,3))</f>
        <v>28.242</v>
      </c>
      <c r="AG22" s="101" t="n">
        <f aca="false">IF(IF(ISBLANK(F22),1,(TRIM(F22)="")),"",ROUND(4.184*F22+$AB22*0.1094,3))</f>
        <v>28.321</v>
      </c>
      <c r="AH22" s="85" t="n">
        <f aca="false">IF(IF(ISBLANK(G22),1,(TRIM(G22)="")),"",ROUND(4.184*G22+$AB22*0.1094,3))</f>
        <v>28.326</v>
      </c>
      <c r="AI22" s="101" t="n">
        <f aca="false">IF(IF(ISBLANK(H22),1,(TRIM(H22)="")),"",ROUND(4.184*H22+$AB22*0.1094,3))</f>
        <v>28.326</v>
      </c>
      <c r="AJ22" s="85" t="n">
        <f aca="false">IF(IF(ISBLANK(I22),1,(TRIM(I22)="")),"",ROUND(4.184*I22+$AB22*0.1094,3))</f>
        <v>28.326</v>
      </c>
      <c r="AK22" s="101" t="n">
        <f aca="false">IF(IF(ISBLANK(J22),1,(TRIM(J22)="")),"",ROUND(4.184*J22+$AB22*0.1094,3))</f>
        <v>28.326</v>
      </c>
      <c r="AL22" s="85" t="n">
        <f aca="false">IF(IF(ISBLANK(K22),1,(TRIM(K22)="")),"",ROUND(4.184*K22+$AB22*0.1094,3))</f>
        <v>28.321</v>
      </c>
      <c r="AM22" s="101" t="n">
        <f aca="false">IF(IF(ISBLANK(L22),1,(TRIM(L22)="")),"",ROUND(4.184*L22+$AB22*0.1094,3))</f>
        <v>28.326</v>
      </c>
      <c r="AN22" s="85" t="n">
        <f aca="false">IF(IF(ISBLANK(M22),1,(TRIM(M22)="")),"",ROUND(4.184*M22+$AB22*0.1094,3))</f>
        <v>28.351</v>
      </c>
      <c r="AP22" s="31" t="s">
        <v>32</v>
      </c>
      <c r="AQ22" s="85" t="n">
        <f aca="false">IF(IF(ISBLANK(C22),1,(TRIM(C22)="")),"",ROUND(C22+($AB22*0.1094/4.184),3))</f>
        <v>6.9</v>
      </c>
      <c r="AR22" s="101" t="n">
        <f aca="false">IF(IF(ISBLANK(D22),1,(TRIM(D22)="")),"",ROUND(D22+($AB22*0.1094/4.184),3))</f>
        <v>6.82</v>
      </c>
      <c r="AS22" s="85" t="n">
        <f aca="false">IF(IF(ISBLANK(E22),1,(TRIM(E22)="")),"",ROUND(E22+($AB22*0.1094/4.184),3))</f>
        <v>6.75</v>
      </c>
      <c r="AT22" s="101" t="n">
        <f aca="false">IF(IF(ISBLANK(F22),1,(TRIM(F22)="")),"",ROUND(F22+($AB22*0.1094/4.184),3))</f>
        <v>6.769</v>
      </c>
      <c r="AU22" s="85" t="n">
        <f aca="false">IF(IF(ISBLANK(G22),1,(TRIM(G22)="")),"",ROUND(G22+($AB22*0.1094/4.184),3))</f>
        <v>6.77</v>
      </c>
      <c r="AV22" s="101" t="n">
        <f aca="false">IF(IF(ISBLANK(H22),1,(TRIM(H22)="")),"",ROUND(H22+($AB22*0.1094/4.184),3))</f>
        <v>6.77</v>
      </c>
      <c r="AW22" s="85" t="n">
        <f aca="false">IF(IF(ISBLANK(I22),1,(TRIM(I22)="")),"",ROUND(I22+($AB22*0.1094/4.184),3))</f>
        <v>6.77</v>
      </c>
      <c r="AX22" s="101" t="n">
        <f aca="false">IF(IF(ISBLANK(J22),1,(TRIM(J22)="")),"",ROUND(J22+($AB22*0.1094/4.184),3))</f>
        <v>6.77</v>
      </c>
      <c r="AY22" s="85" t="n">
        <f aca="false">IF(IF(ISBLANK(K22),1,(TRIM(K22)="")),"",ROUND(K22+($AB22*0.1094/4.184),3))</f>
        <v>6.769</v>
      </c>
      <c r="AZ22" s="101" t="n">
        <f aca="false">IF(IF(ISBLANK(L22),1,(TRIM(L22)="")),"",ROUND(L22+($AB22*0.1094/4.184),3))</f>
        <v>6.77</v>
      </c>
      <c r="BA22" s="85" t="n">
        <f aca="false">IF(IF(ISBLANK(M22),1,(TRIM(M22)="")),"",ROUND(M22+($AB22*0.1094/4.184),3))</f>
        <v>6.776</v>
      </c>
    </row>
    <row r="23" customFormat="false" ht="12.75" hidden="false" customHeight="false" outlineLevel="0" collapsed="false">
      <c r="B23" s="31" t="s">
        <v>33</v>
      </c>
      <c r="C23" s="64"/>
      <c r="D23" s="63"/>
      <c r="E23" s="64"/>
      <c r="F23" s="63"/>
      <c r="G23" s="62"/>
      <c r="H23" s="63"/>
      <c r="I23" s="62"/>
      <c r="J23" s="102"/>
      <c r="K23" s="62"/>
      <c r="L23" s="63"/>
      <c r="M23" s="62" t="n">
        <v>13.023</v>
      </c>
      <c r="O23" s="31" t="s">
        <v>33</v>
      </c>
      <c r="P23" s="85" t="str">
        <f aca="false">IF(IF(ISBLANK(C23),1,(TRIM(C23)="")),"",ROUND(4.184*C23,3))</f>
        <v/>
      </c>
      <c r="Q23" s="101" t="str">
        <f aca="false">IF(IF(ISBLANK(D23),1,(TRIM(D23)="")),"",ROUND(4.184*D23,3))</f>
        <v/>
      </c>
      <c r="R23" s="85" t="str">
        <f aca="false">IF(IF(ISBLANK(E23),1,(TRIM(E23)="")),"",ROUND(4.184*E23,3))</f>
        <v/>
      </c>
      <c r="S23" s="101" t="str">
        <f aca="false">IF(IF(ISBLANK(F23),1,(TRIM(F23)="")),"",ROUND(4.184*F23,3))</f>
        <v/>
      </c>
      <c r="T23" s="85" t="str">
        <f aca="false">IF(IF(ISBLANK(G23),1,(TRIM(G23)="")),"",ROUND(4.184*G23,3))</f>
        <v/>
      </c>
      <c r="U23" s="101" t="str">
        <f aca="false">IF(IF(ISBLANK(H23),1,(TRIM(H23)="")),"",ROUND(4.184*H23,3))</f>
        <v/>
      </c>
      <c r="V23" s="85" t="str">
        <f aca="false">IF(IF(ISBLANK(I23),1,(TRIM(I23)="")),"",ROUND(4.184*I23,3))</f>
        <v/>
      </c>
      <c r="W23" s="101" t="str">
        <f aca="false">IF(IF(ISBLANK(J23),1,(TRIM(J23)="")),"",ROUND(4.184*J23,3))</f>
        <v/>
      </c>
      <c r="X23" s="85" t="str">
        <f aca="false">IF(IF(ISBLANK(K23),1,(TRIM(K23)="")),"",ROUND(4.184*K23,3))</f>
        <v/>
      </c>
      <c r="Y23" s="101" t="str">
        <f aca="false">IF(IF(ISBLANK(L23),1,(TRIM(L23)="")),"",ROUND(4.184*L23,3))</f>
        <v/>
      </c>
      <c r="Z23" s="85" t="n">
        <f aca="false">IF(IF(ISBLANK(M23),1,(TRIM(M23)="")),"",ROUND(4.184*M23,3))</f>
        <v>54.488</v>
      </c>
      <c r="AB23" s="34"/>
      <c r="AC23" s="31" t="s">
        <v>33</v>
      </c>
      <c r="AD23" s="85" t="str">
        <f aca="false">IF(IF(ISBLANK(C23),1,(TRIM(C23)="")),"",ROUND(4.184*C23+$AB23*0.1094,3))</f>
        <v/>
      </c>
      <c r="AE23" s="101" t="str">
        <f aca="false">IF(IF(ISBLANK(D23),1,(TRIM(D23)="")),"",ROUND(4.184*D23+$AB23*0.1094,3))</f>
        <v/>
      </c>
      <c r="AF23" s="85" t="str">
        <f aca="false">IF(IF(ISBLANK(E23),1,(TRIM(E23)="")),"",ROUND(4.184*E23+$AB23*0.1094,3))</f>
        <v/>
      </c>
      <c r="AG23" s="101" t="str">
        <f aca="false">IF(IF(ISBLANK(F23),1,(TRIM(F23)="")),"",ROUND(4.184*F23+$AB23*0.1094,3))</f>
        <v/>
      </c>
      <c r="AH23" s="85" t="str">
        <f aca="false">IF(IF(ISBLANK(G23),1,(TRIM(G23)="")),"",ROUND(4.184*G23+$AB23*0.1094,3))</f>
        <v/>
      </c>
      <c r="AI23" s="101" t="str">
        <f aca="false">IF(IF(ISBLANK(H23),1,(TRIM(H23)="")),"",ROUND(4.184*H23+$AB23*0.1094,3))</f>
        <v/>
      </c>
      <c r="AJ23" s="85" t="str">
        <f aca="false">IF(IF(ISBLANK(I23),1,(TRIM(I23)="")),"",ROUND(4.184*I23+$AB23*0.1094,3))</f>
        <v/>
      </c>
      <c r="AK23" s="101" t="str">
        <f aca="false">IF(IF(ISBLANK(J23),1,(TRIM(J23)="")),"",ROUND(4.184*J23+$AB23*0.1094,3))</f>
        <v/>
      </c>
      <c r="AL23" s="85" t="str">
        <f aca="false">IF(IF(ISBLANK(K23),1,(TRIM(K23)="")),"",ROUND(4.184*K23+$AB23*0.1094,3))</f>
        <v/>
      </c>
      <c r="AM23" s="101" t="str">
        <f aca="false">IF(IF(ISBLANK(L23),1,(TRIM(L23)="")),"",ROUND(4.184*L23+$AB23*0.1094,3))</f>
        <v/>
      </c>
      <c r="AN23" s="85" t="n">
        <f aca="false">IF(IF(ISBLANK(M23),1,(TRIM(M23)="")),"",ROUND(4.184*M23+$AB23*0.1094,3))</f>
        <v>54.488</v>
      </c>
      <c r="AP23" s="31" t="s">
        <v>33</v>
      </c>
      <c r="AQ23" s="85" t="str">
        <f aca="false">IF(IF(ISBLANK(C23),1,(TRIM(C23)="")),"",ROUND(C23+($AB23*0.1094/4.184),3))</f>
        <v/>
      </c>
      <c r="AR23" s="101" t="str">
        <f aca="false">IF(IF(ISBLANK(D23),1,(TRIM(D23)="")),"",ROUND(D23+($AB23*0.1094/4.184),3))</f>
        <v/>
      </c>
      <c r="AS23" s="85" t="str">
        <f aca="false">IF(IF(ISBLANK(E23),1,(TRIM(E23)="")),"",ROUND(E23+($AB23*0.1094/4.184),3))</f>
        <v/>
      </c>
      <c r="AT23" s="101" t="str">
        <f aca="false">IF(IF(ISBLANK(F23),1,(TRIM(F23)="")),"",ROUND(F23+($AB23*0.1094/4.184),3))</f>
        <v/>
      </c>
      <c r="AU23" s="85" t="str">
        <f aca="false">IF(IF(ISBLANK(G23),1,(TRIM(G23)="")),"",ROUND(G23+($AB23*0.1094/4.184),3))</f>
        <v/>
      </c>
      <c r="AV23" s="101" t="str">
        <f aca="false">IF(IF(ISBLANK(H23),1,(TRIM(H23)="")),"",ROUND(H23+($AB23*0.1094/4.184),3))</f>
        <v/>
      </c>
      <c r="AW23" s="85" t="str">
        <f aca="false">IF(IF(ISBLANK(I23),1,(TRIM(I23)="")),"",ROUND(I23+($AB23*0.1094/4.184),3))</f>
        <v/>
      </c>
      <c r="AX23" s="101" t="str">
        <f aca="false">IF(IF(ISBLANK(J23),1,(TRIM(J23)="")),"",ROUND(J23+($AB23*0.1094/4.184),3))</f>
        <v/>
      </c>
      <c r="AY23" s="85" t="str">
        <f aca="false">IF(IF(ISBLANK(K23),1,(TRIM(K23)="")),"",ROUND(K23+($AB23*0.1094/4.184),3))</f>
        <v/>
      </c>
      <c r="AZ23" s="101" t="str">
        <f aca="false">IF(IF(ISBLANK(L23),1,(TRIM(L23)="")),"",ROUND(L23+($AB23*0.1094/4.184),3))</f>
        <v/>
      </c>
      <c r="BA23" s="85" t="n">
        <f aca="false">IF(IF(ISBLANK(M23),1,(TRIM(M23)="")),"",ROUND(M23+($AB23*0.1094/4.184),3))</f>
        <v>13.023</v>
      </c>
    </row>
    <row r="24" customFormat="false" ht="12.75" hidden="false" customHeight="false" outlineLevel="0" collapsed="false">
      <c r="B24" s="31" t="s">
        <v>34</v>
      </c>
      <c r="C24" s="62" t="n">
        <v>36.4</v>
      </c>
      <c r="D24" s="65" t="s">
        <v>168</v>
      </c>
      <c r="E24" s="64" t="s">
        <v>235</v>
      </c>
      <c r="F24" s="63" t="n">
        <v>36.983</v>
      </c>
      <c r="G24" s="64" t="s">
        <v>236</v>
      </c>
      <c r="H24" s="63" t="n">
        <v>36.98</v>
      </c>
      <c r="I24" s="62"/>
      <c r="J24" s="102" t="n">
        <v>36.9822</v>
      </c>
      <c r="K24" s="62"/>
      <c r="L24" s="65" t="s">
        <v>237</v>
      </c>
      <c r="M24" s="62" t="n">
        <v>36.983</v>
      </c>
      <c r="O24" s="31" t="s">
        <v>34</v>
      </c>
      <c r="P24" s="85" t="n">
        <f aca="false">IF(IF(ISBLANK(C24),1,(TRIM(C24)="")),"",ROUND(4.184*C24,3))</f>
        <v>152.298</v>
      </c>
      <c r="Q24" s="101" t="n">
        <f aca="false">IF(IF(ISBLANK(D24),1,(TRIM(D24)="")),"",ROUND(4.184*D24,3))</f>
        <v>153.553</v>
      </c>
      <c r="R24" s="85" t="n">
        <f aca="false">IF(IF(ISBLANK(E24),1,(TRIM(E24)="")),"",ROUND(4.184*E24,3))</f>
        <v>154.766</v>
      </c>
      <c r="S24" s="101" t="n">
        <f aca="false">IF(IF(ISBLANK(F24),1,(TRIM(F24)="")),"",ROUND(4.184*F24,3))</f>
        <v>154.737</v>
      </c>
      <c r="T24" s="85" t="n">
        <f aca="false">IF(IF(ISBLANK(G24),1,(TRIM(G24)="")),"",ROUND(4.184*G24,3))</f>
        <v>154.724</v>
      </c>
      <c r="U24" s="101" t="n">
        <f aca="false">IF(IF(ISBLANK(H24),1,(TRIM(H24)="")),"",ROUND(4.184*H24,3))</f>
        <v>154.724</v>
      </c>
      <c r="V24" s="85" t="str">
        <f aca="false">IF(IF(ISBLANK(I24),1,(TRIM(I24)="")),"",ROUND(4.184*I24,3))</f>
        <v/>
      </c>
      <c r="W24" s="101" t="n">
        <f aca="false">IF(IF(ISBLANK(J24),1,(TRIM(J24)="")),"",ROUND(4.184*J24,3))</f>
        <v>154.734</v>
      </c>
      <c r="X24" s="85" t="str">
        <f aca="false">IF(IF(ISBLANK(K24),1,(TRIM(K24)="")),"",ROUND(4.184*K24,3))</f>
        <v/>
      </c>
      <c r="Y24" s="101" t="n">
        <f aca="false">IF(IF(ISBLANK(L24),1,(TRIM(L24)="")),"",ROUND(4.184*L24,3))</f>
        <v>154.733</v>
      </c>
      <c r="Z24" s="85" t="n">
        <f aca="false">IF(IF(ISBLANK(M24),1,(TRIM(M24)="")),"",ROUND(4.184*M24,3))</f>
        <v>154.737</v>
      </c>
      <c r="AB24" s="34" t="n">
        <v>1</v>
      </c>
      <c r="AC24" s="31" t="s">
        <v>34</v>
      </c>
      <c r="AD24" s="85" t="n">
        <f aca="false">IF(IF(ISBLANK(C24),1,(TRIM(C24)="")),"",ROUND(4.184*C24+$AB24*0.1094,3))</f>
        <v>152.407</v>
      </c>
      <c r="AE24" s="101" t="n">
        <f aca="false">IF(IF(ISBLANK(D24),1,(TRIM(D24)="")),"",ROUND(4.184*D24+$AB24*0.1094,3))</f>
        <v>153.662</v>
      </c>
      <c r="AF24" s="85" t="n">
        <f aca="false">IF(IF(ISBLANK(E24),1,(TRIM(E24)="")),"",ROUND(4.184*E24+$AB24*0.1094,3))</f>
        <v>154.876</v>
      </c>
      <c r="AG24" s="101" t="n">
        <f aca="false">IF(IF(ISBLANK(F24),1,(TRIM(F24)="")),"",ROUND(4.184*F24+$AB24*0.1094,3))</f>
        <v>154.846</v>
      </c>
      <c r="AH24" s="85" t="n">
        <f aca="false">IF(IF(ISBLANK(G24),1,(TRIM(G24)="")),"",ROUND(4.184*G24+$AB24*0.1094,3))</f>
        <v>154.834</v>
      </c>
      <c r="AI24" s="101" t="n">
        <f aca="false">IF(IF(ISBLANK(H24),1,(TRIM(H24)="")),"",ROUND(4.184*H24+$AB24*0.1094,3))</f>
        <v>154.834</v>
      </c>
      <c r="AJ24" s="85" t="str">
        <f aca="false">IF(IF(ISBLANK(I24),1,(TRIM(I24)="")),"",ROUND(4.184*I24+$AB24*0.1094,3))</f>
        <v/>
      </c>
      <c r="AK24" s="101" t="n">
        <f aca="false">IF(IF(ISBLANK(J24),1,(TRIM(J24)="")),"",ROUND(4.184*J24+$AB24*0.1094,3))</f>
        <v>154.843</v>
      </c>
      <c r="AL24" s="85" t="str">
        <f aca="false">IF(IF(ISBLANK(K24),1,(TRIM(K24)="")),"",ROUND(4.184*K24+$AB24*0.1094,3))</f>
        <v/>
      </c>
      <c r="AM24" s="101" t="n">
        <f aca="false">IF(IF(ISBLANK(L24),1,(TRIM(L24)="")),"",ROUND(4.184*L24+$AB24*0.1094,3))</f>
        <v>154.842</v>
      </c>
      <c r="AN24" s="85" t="n">
        <f aca="false">IF(IF(ISBLANK(M24),1,(TRIM(M24)="")),"",ROUND(4.184*M24+$AB24*0.1094,3))</f>
        <v>154.846</v>
      </c>
      <c r="AP24" s="31" t="s">
        <v>34</v>
      </c>
      <c r="AQ24" s="85" t="n">
        <f aca="false">IF(IF(ISBLANK(C24),1,(TRIM(C24)="")),"",ROUND(C24+($AB24*0.1094/4.184),3))</f>
        <v>36.426</v>
      </c>
      <c r="AR24" s="101" t="n">
        <f aca="false">IF(IF(ISBLANK(D24),1,(TRIM(D24)="")),"",ROUND(D24+($AB24*0.1094/4.184),3))</f>
        <v>36.726</v>
      </c>
      <c r="AS24" s="85" t="n">
        <f aca="false">IF(IF(ISBLANK(E24),1,(TRIM(E24)="")),"",ROUND(E24+($AB24*0.1094/4.184),3))</f>
        <v>37.016</v>
      </c>
      <c r="AT24" s="101" t="n">
        <f aca="false">IF(IF(ISBLANK(F24),1,(TRIM(F24)="")),"",ROUND(F24+($AB24*0.1094/4.184),3))</f>
        <v>37.009</v>
      </c>
      <c r="AU24" s="85" t="n">
        <f aca="false">IF(IF(ISBLANK(G24),1,(TRIM(G24)="")),"",ROUND(G24+($AB24*0.1094/4.184),3))</f>
        <v>37.006</v>
      </c>
      <c r="AV24" s="101" t="n">
        <f aca="false">IF(IF(ISBLANK(H24),1,(TRIM(H24)="")),"",ROUND(H24+($AB24*0.1094/4.184),3))</f>
        <v>37.006</v>
      </c>
      <c r="AW24" s="85" t="str">
        <f aca="false">IF(IF(ISBLANK(I24),1,(TRIM(I24)="")),"",ROUND(I24+($AB24*0.1094/4.184),3))</f>
        <v/>
      </c>
      <c r="AX24" s="101" t="n">
        <f aca="false">IF(IF(ISBLANK(J24),1,(TRIM(J24)="")),"",ROUND(J24+($AB24*0.1094/4.184),3))</f>
        <v>37.008</v>
      </c>
      <c r="AY24" s="85" t="str">
        <f aca="false">IF(IF(ISBLANK(K24),1,(TRIM(K24)="")),"",ROUND(K24+($AB24*0.1094/4.184),3))</f>
        <v/>
      </c>
      <c r="AZ24" s="101" t="n">
        <f aca="false">IF(IF(ISBLANK(L24),1,(TRIM(L24)="")),"",ROUND(L24+($AB24*0.1094/4.184),3))</f>
        <v>37.008</v>
      </c>
      <c r="BA24" s="85" t="n">
        <f aca="false">IF(IF(ISBLANK(M24),1,(TRIM(M24)="")),"",ROUND(M24+($AB24*0.1094/4.184),3))</f>
        <v>37.009</v>
      </c>
    </row>
    <row r="25" customFormat="false" ht="12.75" hidden="false" customHeight="false" outlineLevel="0" collapsed="false">
      <c r="B25" s="31" t="s">
        <v>35</v>
      </c>
      <c r="C25" s="62"/>
      <c r="D25" s="63"/>
      <c r="E25" s="64" t="s">
        <v>238</v>
      </c>
      <c r="F25" s="63" t="n">
        <v>8.4</v>
      </c>
      <c r="G25" s="64" t="s">
        <v>239</v>
      </c>
      <c r="H25" s="63" t="n">
        <v>8.4</v>
      </c>
      <c r="I25" s="64" t="s">
        <v>239</v>
      </c>
      <c r="J25" s="102" t="n">
        <v>8.4</v>
      </c>
      <c r="K25" s="62"/>
      <c r="L25" s="65" t="s">
        <v>240</v>
      </c>
      <c r="M25" s="62" t="n">
        <v>8.534</v>
      </c>
      <c r="O25" s="31" t="s">
        <v>35</v>
      </c>
      <c r="P25" s="85" t="str">
        <f aca="false">IF(IF(ISBLANK(C25),1,(TRIM(C25)="")),"",ROUND(4.184*C25,3))</f>
        <v/>
      </c>
      <c r="Q25" s="101" t="str">
        <f aca="false">IF(IF(ISBLANK(D25),1,(TRIM(D25)="")),"",ROUND(4.184*D25,3))</f>
        <v/>
      </c>
      <c r="R25" s="85" t="n">
        <f aca="false">IF(IF(ISBLANK(E25),1,(TRIM(E25)="")),"",ROUND(4.184*E25,3))</f>
        <v>35.146</v>
      </c>
      <c r="S25" s="101" t="n">
        <f aca="false">IF(IF(ISBLANK(F25),1,(TRIM(F25)="")),"",ROUND(4.184*F25,3))</f>
        <v>35.146</v>
      </c>
      <c r="T25" s="85" t="n">
        <f aca="false">IF(IF(ISBLANK(G25),1,(TRIM(G25)="")),"",ROUND(4.184*G25,3))</f>
        <v>35.146</v>
      </c>
      <c r="U25" s="101" t="n">
        <f aca="false">IF(IF(ISBLANK(H25),1,(TRIM(H25)="")),"",ROUND(4.184*H25,3))</f>
        <v>35.146</v>
      </c>
      <c r="V25" s="85" t="n">
        <f aca="false">IF(IF(ISBLANK(I25),1,(TRIM(I25)="")),"",ROUND(4.184*I25,3))</f>
        <v>35.146</v>
      </c>
      <c r="W25" s="101" t="n">
        <f aca="false">IF(IF(ISBLANK(J25),1,(TRIM(J25)="")),"",ROUND(4.184*J25,3))</f>
        <v>35.146</v>
      </c>
      <c r="X25" s="85" t="str">
        <f aca="false">IF(IF(ISBLANK(K25),1,(TRIM(K25)="")),"",ROUND(4.184*K25,3))</f>
        <v/>
      </c>
      <c r="Y25" s="101" t="n">
        <f aca="false">IF(IF(ISBLANK(L25),1,(TRIM(L25)="")),"",ROUND(4.184*L25,3))</f>
        <v>35.69</v>
      </c>
      <c r="Z25" s="85" t="n">
        <f aca="false">IF(IF(ISBLANK(M25),1,(TRIM(M25)="")),"",ROUND(4.184*M25,3))</f>
        <v>35.706</v>
      </c>
      <c r="AB25" s="34"/>
      <c r="AC25" s="31" t="s">
        <v>35</v>
      </c>
      <c r="AD25" s="85" t="str">
        <f aca="false">IF(IF(ISBLANK(C25),1,(TRIM(C25)="")),"",ROUND(4.184*C25+$AB25*0.1094,3))</f>
        <v/>
      </c>
      <c r="AE25" s="101" t="str">
        <f aca="false">IF(IF(ISBLANK(D25),1,(TRIM(D25)="")),"",ROUND(4.184*D25+$AB25*0.1094,3))</f>
        <v/>
      </c>
      <c r="AF25" s="85" t="n">
        <f aca="false">IF(IF(ISBLANK(E25),1,(TRIM(E25)="")),"",ROUND(4.184*E25+$AB25*0.1094,3))</f>
        <v>35.146</v>
      </c>
      <c r="AG25" s="101" t="n">
        <f aca="false">IF(IF(ISBLANK(F25),1,(TRIM(F25)="")),"",ROUND(4.184*F25+$AB25*0.1094,3))</f>
        <v>35.146</v>
      </c>
      <c r="AH25" s="85" t="n">
        <f aca="false">IF(IF(ISBLANK(G25),1,(TRIM(G25)="")),"",ROUND(4.184*G25+$AB25*0.1094,3))</f>
        <v>35.146</v>
      </c>
      <c r="AI25" s="101" t="n">
        <f aca="false">IF(IF(ISBLANK(H25),1,(TRIM(H25)="")),"",ROUND(4.184*H25+$AB25*0.1094,3))</f>
        <v>35.146</v>
      </c>
      <c r="AJ25" s="85" t="n">
        <f aca="false">IF(IF(ISBLANK(I25),1,(TRIM(I25)="")),"",ROUND(4.184*I25+$AB25*0.1094,3))</f>
        <v>35.146</v>
      </c>
      <c r="AK25" s="101" t="n">
        <f aca="false">IF(IF(ISBLANK(J25),1,(TRIM(J25)="")),"",ROUND(4.184*J25+$AB25*0.1094,3))</f>
        <v>35.146</v>
      </c>
      <c r="AL25" s="85" t="str">
        <f aca="false">IF(IF(ISBLANK(K25),1,(TRIM(K25)="")),"",ROUND(4.184*K25+$AB25*0.1094,3))</f>
        <v/>
      </c>
      <c r="AM25" s="101" t="n">
        <f aca="false">IF(IF(ISBLANK(L25),1,(TRIM(L25)="")),"",ROUND(4.184*L25+$AB25*0.1094,3))</f>
        <v>35.69</v>
      </c>
      <c r="AN25" s="85" t="n">
        <f aca="false">IF(IF(ISBLANK(M25),1,(TRIM(M25)="")),"",ROUND(4.184*M25+$AB25*0.1094,3))</f>
        <v>35.706</v>
      </c>
      <c r="AP25" s="31" t="s">
        <v>35</v>
      </c>
      <c r="AQ25" s="85" t="str">
        <f aca="false">IF(IF(ISBLANK(C25),1,(TRIM(C25)="")),"",ROUND(C25+($AB25*0.1094/4.184),3))</f>
        <v/>
      </c>
      <c r="AR25" s="101" t="str">
        <f aca="false">IF(IF(ISBLANK(D25),1,(TRIM(D25)="")),"",ROUND(D25+($AB25*0.1094/4.184),3))</f>
        <v/>
      </c>
      <c r="AS25" s="85" t="n">
        <f aca="false">IF(IF(ISBLANK(E25),1,(TRIM(E25)="")),"",ROUND(E25+($AB25*0.1094/4.184),3))</f>
        <v>8.4</v>
      </c>
      <c r="AT25" s="101" t="n">
        <f aca="false">IF(IF(ISBLANK(F25),1,(TRIM(F25)="")),"",ROUND(F25+($AB25*0.1094/4.184),3))</f>
        <v>8.4</v>
      </c>
      <c r="AU25" s="85" t="n">
        <f aca="false">IF(IF(ISBLANK(G25),1,(TRIM(G25)="")),"",ROUND(G25+($AB25*0.1094/4.184),3))</f>
        <v>8.4</v>
      </c>
      <c r="AV25" s="101" t="n">
        <f aca="false">IF(IF(ISBLANK(H25),1,(TRIM(H25)="")),"",ROUND(H25+($AB25*0.1094/4.184),3))</f>
        <v>8.4</v>
      </c>
      <c r="AW25" s="85" t="n">
        <f aca="false">IF(IF(ISBLANK(I25),1,(TRIM(I25)="")),"",ROUND(I25+($AB25*0.1094/4.184),3))</f>
        <v>8.4</v>
      </c>
      <c r="AX25" s="101" t="n">
        <f aca="false">IF(IF(ISBLANK(J25),1,(TRIM(J25)="")),"",ROUND(J25+($AB25*0.1094/4.184),3))</f>
        <v>8.4</v>
      </c>
      <c r="AY25" s="85" t="str">
        <f aca="false">IF(IF(ISBLANK(K25),1,(TRIM(K25)="")),"",ROUND(K25+($AB25*0.1094/4.184),3))</f>
        <v/>
      </c>
      <c r="AZ25" s="101" t="n">
        <f aca="false">IF(IF(ISBLANK(L25),1,(TRIM(L25)="")),"",ROUND(L25+($AB25*0.1094/4.184),3))</f>
        <v>8.53</v>
      </c>
      <c r="BA25" s="85" t="n">
        <f aca="false">IF(IF(ISBLANK(M25),1,(TRIM(M25)="")),"",ROUND(M25+($AB25*0.1094/4.184),3))</f>
        <v>8.534</v>
      </c>
    </row>
    <row r="26" s="90" customFormat="true" ht="12.75" hidden="false" customHeight="false" outlineLevel="0" collapsed="false">
      <c r="A26" s="89"/>
      <c r="B26" s="38" t="s">
        <v>37</v>
      </c>
      <c r="C26" s="64"/>
      <c r="D26" s="63"/>
      <c r="E26" s="64"/>
      <c r="F26" s="63"/>
      <c r="G26" s="64" t="s">
        <v>241</v>
      </c>
      <c r="H26" s="65" t="s">
        <v>242</v>
      </c>
      <c r="I26" s="62"/>
      <c r="J26" s="102"/>
      <c r="K26" s="62"/>
      <c r="L26" s="63"/>
      <c r="M26" s="62"/>
      <c r="O26" s="38" t="s">
        <v>37</v>
      </c>
      <c r="P26" s="85" t="str">
        <f aca="false">IF(IF(ISBLANK(C26),1,(TRIM(C26)="")),"",ROUND(4.184*C26,3))</f>
        <v/>
      </c>
      <c r="Q26" s="101" t="str">
        <f aca="false">IF(IF(ISBLANK(D26),1,(TRIM(D26)="")),"",ROUND(4.184*D26,3))</f>
        <v/>
      </c>
      <c r="R26" s="85" t="str">
        <f aca="false">IF(IF(ISBLANK(E26),1,(TRIM(E26)="")),"",ROUND(4.184*E26,3))</f>
        <v/>
      </c>
      <c r="S26" s="101" t="str">
        <f aca="false">IF(IF(ISBLANK(F26),1,(TRIM(F26)="")),"",ROUND(4.184*F26,3))</f>
        <v/>
      </c>
      <c r="T26" s="85" t="n">
        <f aca="false">IF(IF(ISBLANK(G26),1,(TRIM(G26)="")),"",ROUND(4.184*G26,3))</f>
        <v>121.336</v>
      </c>
      <c r="U26" s="101" t="n">
        <f aca="false">IF(IF(ISBLANK(H26),1,(TRIM(H26)="")),"",ROUND(4.184*H26,3))</f>
        <v>121.336</v>
      </c>
      <c r="V26" s="85" t="str">
        <f aca="false">IF(IF(ISBLANK(I26),1,(TRIM(I26)="")),"",ROUND(4.184*I26,3))</f>
        <v/>
      </c>
      <c r="W26" s="101" t="str">
        <f aca="false">IF(IF(ISBLANK(J26),1,(TRIM(J26)="")),"",ROUND(4.184*J26,3))</f>
        <v/>
      </c>
      <c r="X26" s="85" t="str">
        <f aca="false">IF(IF(ISBLANK(K26),1,(TRIM(K26)="")),"",ROUND(4.184*K26,3))</f>
        <v/>
      </c>
      <c r="Y26" s="101" t="str">
        <f aca="false">IF(IF(ISBLANK(L26),1,(TRIM(L26)="")),"",ROUND(4.184*L26,3))</f>
        <v/>
      </c>
      <c r="Z26" s="85" t="str">
        <f aca="false">IF(IF(ISBLANK(M26),1,(TRIM(M26)="")),"",ROUND(4.184*M26,3))</f>
        <v/>
      </c>
      <c r="AB26" s="37"/>
      <c r="AC26" s="38" t="s">
        <v>37</v>
      </c>
      <c r="AD26" s="85" t="str">
        <f aca="false">IF(IF(ISBLANK(C26),1,(TRIM(C26)="")),"",ROUND(4.184*C26+$AB26*0.1094,3))</f>
        <v/>
      </c>
      <c r="AE26" s="101" t="str">
        <f aca="false">IF(IF(ISBLANK(D26),1,(TRIM(D26)="")),"",ROUND(4.184*D26+$AB26*0.1094,3))</f>
        <v/>
      </c>
      <c r="AF26" s="85" t="str">
        <f aca="false">IF(IF(ISBLANK(E26),1,(TRIM(E26)="")),"",ROUND(4.184*E26+$AB26*0.1094,3))</f>
        <v/>
      </c>
      <c r="AG26" s="101" t="str">
        <f aca="false">IF(IF(ISBLANK(F26),1,(TRIM(F26)="")),"",ROUND(4.184*F26+$AB26*0.1094,3))</f>
        <v/>
      </c>
      <c r="AH26" s="85" t="n">
        <f aca="false">IF(IF(ISBLANK(G26),1,(TRIM(G26)="")),"",ROUND(4.184*G26+$AB26*0.1094,3))</f>
        <v>121.336</v>
      </c>
      <c r="AI26" s="101" t="n">
        <f aca="false">IF(IF(ISBLANK(H26),1,(TRIM(H26)="")),"",ROUND(4.184*H26+$AB26*0.1094,3))</f>
        <v>121.336</v>
      </c>
      <c r="AJ26" s="85" t="str">
        <f aca="false">IF(IF(ISBLANK(I26),1,(TRIM(I26)="")),"",ROUND(4.184*I26+$AB26*0.1094,3))</f>
        <v/>
      </c>
      <c r="AK26" s="101" t="str">
        <f aca="false">IF(IF(ISBLANK(J26),1,(TRIM(J26)="")),"",ROUND(4.184*J26+$AB26*0.1094,3))</f>
        <v/>
      </c>
      <c r="AL26" s="85" t="str">
        <f aca="false">IF(IF(ISBLANK(K26),1,(TRIM(K26)="")),"",ROUND(4.184*K26+$AB26*0.1094,3))</f>
        <v/>
      </c>
      <c r="AM26" s="101" t="str">
        <f aca="false">IF(IF(ISBLANK(L26),1,(TRIM(L26)="")),"",ROUND(4.184*L26+$AB26*0.1094,3))</f>
        <v/>
      </c>
      <c r="AN26" s="85" t="str">
        <f aca="false">IF(IF(ISBLANK(M26),1,(TRIM(M26)="")),"",ROUND(4.184*M26+$AB26*0.1094,3))</f>
        <v/>
      </c>
      <c r="AP26" s="38" t="s">
        <v>37</v>
      </c>
      <c r="AQ26" s="85" t="str">
        <f aca="false">IF(IF(ISBLANK(C26),1,(TRIM(C26)="")),"",ROUND(C26+($AB26*0.1094/4.184),3))</f>
        <v/>
      </c>
      <c r="AR26" s="101" t="str">
        <f aca="false">IF(IF(ISBLANK(D26),1,(TRIM(D26)="")),"",ROUND(D26+($AB26*0.1094/4.184),3))</f>
        <v/>
      </c>
      <c r="AS26" s="85" t="str">
        <f aca="false">IF(IF(ISBLANK(E26),1,(TRIM(E26)="")),"",ROUND(E26+($AB26*0.1094/4.184),3))</f>
        <v/>
      </c>
      <c r="AT26" s="101" t="str">
        <f aca="false">IF(IF(ISBLANK(F26),1,(TRIM(F26)="")),"",ROUND(F26+($AB26*0.1094/4.184),3))</f>
        <v/>
      </c>
      <c r="AU26" s="85" t="n">
        <f aca="false">IF(IF(ISBLANK(G26),1,(TRIM(G26)="")),"",ROUND(G26+($AB26*0.1094/4.184),3))</f>
        <v>29</v>
      </c>
      <c r="AV26" s="101" t="n">
        <f aca="false">IF(IF(ISBLANK(H26),1,(TRIM(H26)="")),"",ROUND(H26+($AB26*0.1094/4.184),3))</f>
        <v>29</v>
      </c>
      <c r="AW26" s="85" t="str">
        <f aca="false">IF(IF(ISBLANK(I26),1,(TRIM(I26)="")),"",ROUND(I26+($AB26*0.1094/4.184),3))</f>
        <v/>
      </c>
      <c r="AX26" s="101" t="str">
        <f aca="false">IF(IF(ISBLANK(J26),1,(TRIM(J26)="")),"",ROUND(J26+($AB26*0.1094/4.184),3))</f>
        <v/>
      </c>
      <c r="AY26" s="85" t="str">
        <f aca="false">IF(IF(ISBLANK(K26),1,(TRIM(K26)="")),"",ROUND(K26+($AB26*0.1094/4.184),3))</f>
        <v/>
      </c>
      <c r="AZ26" s="101" t="str">
        <f aca="false">IF(IF(ISBLANK(L26),1,(TRIM(L26)="")),"",ROUND(L26+($AB26*0.1094/4.184),3))</f>
        <v/>
      </c>
      <c r="BA26" s="85" t="str">
        <f aca="false">IF(IF(ISBLANK(M26),1,(TRIM(M26)="")),"",ROUND(M26+($AB26*0.1094/4.184),3))</f>
        <v/>
      </c>
    </row>
    <row r="27" customFormat="false" ht="12.75" hidden="false" customHeight="false" outlineLevel="0" collapsed="false">
      <c r="B27" s="31" t="s">
        <v>39</v>
      </c>
      <c r="C27" s="64" t="s">
        <v>169</v>
      </c>
      <c r="D27" s="65" t="s">
        <v>169</v>
      </c>
      <c r="E27" s="64" t="s">
        <v>243</v>
      </c>
      <c r="F27" s="63" t="n">
        <v>11.4</v>
      </c>
      <c r="G27" s="64" t="s">
        <v>244</v>
      </c>
      <c r="H27" s="63" t="n">
        <v>11.31</v>
      </c>
      <c r="I27" s="62" t="n">
        <v>11.31</v>
      </c>
      <c r="J27" s="102" t="n">
        <v>11.33</v>
      </c>
      <c r="K27" s="62"/>
      <c r="L27" s="65" t="s">
        <v>245</v>
      </c>
      <c r="M27" s="64" t="s">
        <v>246</v>
      </c>
      <c r="O27" s="31" t="s">
        <v>39</v>
      </c>
      <c r="P27" s="85" t="n">
        <f aca="false">IF(IF(ISBLANK(C27),1,(TRIM(C27)="")),"",ROUND(4.184*C27,3))</f>
        <v>46.024</v>
      </c>
      <c r="Q27" s="101" t="n">
        <f aca="false">IF(IF(ISBLANK(D27),1,(TRIM(D27)="")),"",ROUND(4.184*D27,3))</f>
        <v>46.024</v>
      </c>
      <c r="R27" s="85" t="n">
        <f aca="false">IF(IF(ISBLANK(E27),1,(TRIM(E27)="")),"",ROUND(4.184*E27,3))</f>
        <v>47.698</v>
      </c>
      <c r="S27" s="101" t="n">
        <f aca="false">IF(IF(ISBLANK(F27),1,(TRIM(F27)="")),"",ROUND(4.184*F27,3))</f>
        <v>47.698</v>
      </c>
      <c r="T27" s="85" t="n">
        <f aca="false">IF(IF(ISBLANK(G27),1,(TRIM(G27)="")),"",ROUND(4.184*G27,3))</f>
        <v>47.363</v>
      </c>
      <c r="U27" s="101" t="n">
        <f aca="false">IF(IF(ISBLANK(H27),1,(TRIM(H27)="")),"",ROUND(4.184*H27,3))</f>
        <v>47.321</v>
      </c>
      <c r="V27" s="85" t="n">
        <f aca="false">IF(IF(ISBLANK(I27),1,(TRIM(I27)="")),"",ROUND(4.184*I27,3))</f>
        <v>47.321</v>
      </c>
      <c r="W27" s="101" t="n">
        <f aca="false">IF(IF(ISBLANK(J27),1,(TRIM(J27)="")),"",ROUND(4.184*J27,3))</f>
        <v>47.405</v>
      </c>
      <c r="X27" s="85" t="str">
        <f aca="false">IF(IF(ISBLANK(K27),1,(TRIM(K27)="")),"",ROUND(4.184*K27,3))</f>
        <v/>
      </c>
      <c r="Y27" s="101" t="n">
        <f aca="false">IF(IF(ISBLANK(L27),1,(TRIM(L27)="")),"",ROUND(4.184*L27,3))</f>
        <v>47.488</v>
      </c>
      <c r="Z27" s="85" t="n">
        <f aca="false">IF(IF(ISBLANK(M27),1,(TRIM(M27)="")),"",ROUND(4.184*M27,3))</f>
        <v>47.405</v>
      </c>
      <c r="AB27" s="34"/>
      <c r="AC27" s="31" t="s">
        <v>39</v>
      </c>
      <c r="AD27" s="85" t="n">
        <f aca="false">IF(IF(ISBLANK(C27),1,(TRIM(C27)="")),"",ROUND(4.184*C27+$AB27*0.1094,3))</f>
        <v>46.024</v>
      </c>
      <c r="AE27" s="101" t="n">
        <f aca="false">IF(IF(ISBLANK(D27),1,(TRIM(D27)="")),"",ROUND(4.184*D27+$AB27*0.1094,3))</f>
        <v>46.024</v>
      </c>
      <c r="AF27" s="85" t="n">
        <f aca="false">IF(IF(ISBLANK(E27),1,(TRIM(E27)="")),"",ROUND(4.184*E27+$AB27*0.1094,3))</f>
        <v>47.698</v>
      </c>
      <c r="AG27" s="101" t="n">
        <f aca="false">IF(IF(ISBLANK(F27),1,(TRIM(F27)="")),"",ROUND(4.184*F27+$AB27*0.1094,3))</f>
        <v>47.698</v>
      </c>
      <c r="AH27" s="85" t="n">
        <f aca="false">IF(IF(ISBLANK(G27),1,(TRIM(G27)="")),"",ROUND(4.184*G27+$AB27*0.1094,3))</f>
        <v>47.363</v>
      </c>
      <c r="AI27" s="101" t="n">
        <f aca="false">IF(IF(ISBLANK(H27),1,(TRIM(H27)="")),"",ROUND(4.184*H27+$AB27*0.1094,3))</f>
        <v>47.321</v>
      </c>
      <c r="AJ27" s="85" t="n">
        <f aca="false">IF(IF(ISBLANK(I27),1,(TRIM(I27)="")),"",ROUND(4.184*I27+$AB27*0.1094,3))</f>
        <v>47.321</v>
      </c>
      <c r="AK27" s="101" t="n">
        <f aca="false">IF(IF(ISBLANK(J27),1,(TRIM(J27)="")),"",ROUND(4.184*J27+$AB27*0.1094,3))</f>
        <v>47.405</v>
      </c>
      <c r="AL27" s="85" t="str">
        <f aca="false">IF(IF(ISBLANK(K27),1,(TRIM(K27)="")),"",ROUND(4.184*K27+$AB27*0.1094,3))</f>
        <v/>
      </c>
      <c r="AM27" s="101" t="n">
        <f aca="false">IF(IF(ISBLANK(L27),1,(TRIM(L27)="")),"",ROUND(4.184*L27+$AB27*0.1094,3))</f>
        <v>47.488</v>
      </c>
      <c r="AN27" s="85" t="n">
        <f aca="false">IF(IF(ISBLANK(M27),1,(TRIM(M27)="")),"",ROUND(4.184*M27+$AB27*0.1094,3))</f>
        <v>47.405</v>
      </c>
      <c r="AP27" s="31" t="s">
        <v>39</v>
      </c>
      <c r="AQ27" s="85" t="n">
        <f aca="false">IF(IF(ISBLANK(C27),1,(TRIM(C27)="")),"",ROUND(C27+($AB27*0.1094/4.184),3))</f>
        <v>11</v>
      </c>
      <c r="AR27" s="101" t="n">
        <f aca="false">IF(IF(ISBLANK(D27),1,(TRIM(D27)="")),"",ROUND(D27+($AB27*0.1094/4.184),3))</f>
        <v>11</v>
      </c>
      <c r="AS27" s="85" t="n">
        <f aca="false">IF(IF(ISBLANK(E27),1,(TRIM(E27)="")),"",ROUND(E27+($AB27*0.1094/4.184),3))</f>
        <v>11.4</v>
      </c>
      <c r="AT27" s="101" t="n">
        <f aca="false">IF(IF(ISBLANK(F27),1,(TRIM(F27)="")),"",ROUND(F27+($AB27*0.1094/4.184),3))</f>
        <v>11.4</v>
      </c>
      <c r="AU27" s="85" t="n">
        <f aca="false">IF(IF(ISBLANK(G27),1,(TRIM(G27)="")),"",ROUND(G27+($AB27*0.1094/4.184),3))</f>
        <v>11.32</v>
      </c>
      <c r="AV27" s="101" t="n">
        <f aca="false">IF(IF(ISBLANK(H27),1,(TRIM(H27)="")),"",ROUND(H27+($AB27*0.1094/4.184),3))</f>
        <v>11.31</v>
      </c>
      <c r="AW27" s="85" t="n">
        <f aca="false">IF(IF(ISBLANK(I27),1,(TRIM(I27)="")),"",ROUND(I27+($AB27*0.1094/4.184),3))</f>
        <v>11.31</v>
      </c>
      <c r="AX27" s="101" t="n">
        <f aca="false">IF(IF(ISBLANK(J27),1,(TRIM(J27)="")),"",ROUND(J27+($AB27*0.1094/4.184),3))</f>
        <v>11.33</v>
      </c>
      <c r="AY27" s="85" t="str">
        <f aca="false">IF(IF(ISBLANK(K27),1,(TRIM(K27)="")),"",ROUND(K27+($AB27*0.1094/4.184),3))</f>
        <v/>
      </c>
      <c r="AZ27" s="101" t="n">
        <f aca="false">IF(IF(ISBLANK(L27),1,(TRIM(L27)="")),"",ROUND(L27+($AB27*0.1094/4.184),3))</f>
        <v>11.35</v>
      </c>
      <c r="BA27" s="85" t="n">
        <f aca="false">IF(IF(ISBLANK(M27),1,(TRIM(M27)="")),"",ROUND(M27+($AB27*0.1094/4.184),3))</f>
        <v>11.33</v>
      </c>
    </row>
    <row r="28" customFormat="false" ht="12.75" hidden="false" customHeight="false" outlineLevel="0" collapsed="false">
      <c r="B28" s="31" t="s">
        <v>40</v>
      </c>
      <c r="C28" s="62"/>
      <c r="D28" s="63"/>
      <c r="E28" s="64"/>
      <c r="F28" s="63" t="n">
        <v>1.56</v>
      </c>
      <c r="G28" s="64" t="s">
        <v>247</v>
      </c>
      <c r="H28" s="63" t="n">
        <v>1.403</v>
      </c>
      <c r="I28" s="62" t="n">
        <v>1.403</v>
      </c>
      <c r="J28" s="103" t="s">
        <v>247</v>
      </c>
      <c r="K28" s="62" t="n">
        <v>1.403</v>
      </c>
      <c r="L28" s="65" t="s">
        <v>247</v>
      </c>
      <c r="M28" s="64" t="s">
        <v>248</v>
      </c>
      <c r="O28" s="31" t="s">
        <v>40</v>
      </c>
      <c r="P28" s="85" t="str">
        <f aca="false">IF(IF(ISBLANK(C28),1,(TRIM(C28)="")),"",ROUND(4.184*C28,3))</f>
        <v/>
      </c>
      <c r="Q28" s="101" t="str">
        <f aca="false">IF(IF(ISBLANK(D28),1,(TRIM(D28)="")),"",ROUND(4.184*D28,3))</f>
        <v/>
      </c>
      <c r="R28" s="85" t="str">
        <f aca="false">IF(IF(ISBLANK(E28),1,(TRIM(E28)="")),"",ROUND(4.184*E28,3))</f>
        <v/>
      </c>
      <c r="S28" s="101" t="n">
        <f aca="false">IF(IF(ISBLANK(F28),1,(TRIM(F28)="")),"",ROUND(4.184*F28,3))</f>
        <v>6.527</v>
      </c>
      <c r="T28" s="85" t="n">
        <f aca="false">IF(IF(ISBLANK(G28),1,(TRIM(G28)="")),"",ROUND(4.184*G28,3))</f>
        <v>5.858</v>
      </c>
      <c r="U28" s="101" t="n">
        <f aca="false">IF(IF(ISBLANK(H28),1,(TRIM(H28)="")),"",ROUND(4.184*H28,3))</f>
        <v>5.87</v>
      </c>
      <c r="V28" s="85" t="n">
        <f aca="false">IF(IF(ISBLANK(I28),1,(TRIM(I28)="")),"",ROUND(4.184*I28,3))</f>
        <v>5.87</v>
      </c>
      <c r="W28" s="101" t="n">
        <f aca="false">IF(IF(ISBLANK(J28),1,(TRIM(J28)="")),"",ROUND(4.184*J28,3))</f>
        <v>5.858</v>
      </c>
      <c r="X28" s="85" t="n">
        <f aca="false">IF(IF(ISBLANK(K28),1,(TRIM(K28)="")),"",ROUND(4.184*K28,3))</f>
        <v>5.87</v>
      </c>
      <c r="Y28" s="101" t="n">
        <f aca="false">IF(IF(ISBLANK(L28),1,(TRIM(L28)="")),"",ROUND(4.184*L28,3))</f>
        <v>5.858</v>
      </c>
      <c r="Z28" s="85" t="n">
        <f aca="false">IF(IF(ISBLANK(M28),1,(TRIM(M28)="")),"",ROUND(4.184*M28,3))</f>
        <v>5.899</v>
      </c>
      <c r="AB28" s="34"/>
      <c r="AC28" s="31" t="s">
        <v>40</v>
      </c>
      <c r="AD28" s="85" t="str">
        <f aca="false">IF(IF(ISBLANK(C28),1,(TRIM(C28)="")),"",ROUND(4.184*C28+$AB28*0.1094,3))</f>
        <v/>
      </c>
      <c r="AE28" s="101" t="str">
        <f aca="false">IF(IF(ISBLANK(D28),1,(TRIM(D28)="")),"",ROUND(4.184*D28+$AB28*0.1094,3))</f>
        <v/>
      </c>
      <c r="AF28" s="85" t="str">
        <f aca="false">IF(IF(ISBLANK(E28),1,(TRIM(E28)="")),"",ROUND(4.184*E28+$AB28*0.1094,3))</f>
        <v/>
      </c>
      <c r="AG28" s="101" t="n">
        <f aca="false">IF(IF(ISBLANK(F28),1,(TRIM(F28)="")),"",ROUND(4.184*F28+$AB28*0.1094,3))</f>
        <v>6.527</v>
      </c>
      <c r="AH28" s="85" t="n">
        <f aca="false">IF(IF(ISBLANK(G28),1,(TRIM(G28)="")),"",ROUND(4.184*G28+$AB28*0.1094,3))</f>
        <v>5.858</v>
      </c>
      <c r="AI28" s="101" t="n">
        <f aca="false">IF(IF(ISBLANK(H28),1,(TRIM(H28)="")),"",ROUND(4.184*H28+$AB28*0.1094,3))</f>
        <v>5.87</v>
      </c>
      <c r="AJ28" s="85" t="n">
        <f aca="false">IF(IF(ISBLANK(I28),1,(TRIM(I28)="")),"",ROUND(4.184*I28+$AB28*0.1094,3))</f>
        <v>5.87</v>
      </c>
      <c r="AK28" s="101" t="n">
        <f aca="false">IF(IF(ISBLANK(J28),1,(TRIM(J28)="")),"",ROUND(4.184*J28+$AB28*0.1094,3))</f>
        <v>5.858</v>
      </c>
      <c r="AL28" s="85" t="n">
        <f aca="false">IF(IF(ISBLANK(K28),1,(TRIM(K28)="")),"",ROUND(4.184*K28+$AB28*0.1094,3))</f>
        <v>5.87</v>
      </c>
      <c r="AM28" s="101" t="n">
        <f aca="false">IF(IF(ISBLANK(L28),1,(TRIM(L28)="")),"",ROUND(4.184*L28+$AB28*0.1094,3))</f>
        <v>5.858</v>
      </c>
      <c r="AN28" s="85" t="n">
        <f aca="false">IF(IF(ISBLANK(M28),1,(TRIM(M28)="")),"",ROUND(4.184*M28+$AB28*0.1094,3))</f>
        <v>5.899</v>
      </c>
      <c r="AP28" s="31" t="s">
        <v>40</v>
      </c>
      <c r="AQ28" s="85" t="str">
        <f aca="false">IF(IF(ISBLANK(C28),1,(TRIM(C28)="")),"",ROUND(C28+($AB28*0.1094/4.184),3))</f>
        <v/>
      </c>
      <c r="AR28" s="101" t="str">
        <f aca="false">IF(IF(ISBLANK(D28),1,(TRIM(D28)="")),"",ROUND(D28+($AB28*0.1094/4.184),3))</f>
        <v/>
      </c>
      <c r="AS28" s="85" t="str">
        <f aca="false">IF(IF(ISBLANK(E28),1,(TRIM(E28)="")),"",ROUND(E28+($AB28*0.1094/4.184),3))</f>
        <v/>
      </c>
      <c r="AT28" s="101" t="n">
        <f aca="false">IF(IF(ISBLANK(F28),1,(TRIM(F28)="")),"",ROUND(F28+($AB28*0.1094/4.184),3))</f>
        <v>1.56</v>
      </c>
      <c r="AU28" s="85" t="n">
        <f aca="false">IF(IF(ISBLANK(G28),1,(TRIM(G28)="")),"",ROUND(G28+($AB28*0.1094/4.184),3))</f>
        <v>1.4</v>
      </c>
      <c r="AV28" s="101" t="n">
        <f aca="false">IF(IF(ISBLANK(H28),1,(TRIM(H28)="")),"",ROUND(H28+($AB28*0.1094/4.184),3))</f>
        <v>1.403</v>
      </c>
      <c r="AW28" s="85" t="n">
        <f aca="false">IF(IF(ISBLANK(I28),1,(TRIM(I28)="")),"",ROUND(I28+($AB28*0.1094/4.184),3))</f>
        <v>1.403</v>
      </c>
      <c r="AX28" s="101" t="n">
        <f aca="false">IF(IF(ISBLANK(J28),1,(TRIM(J28)="")),"",ROUND(J28+($AB28*0.1094/4.184),3))</f>
        <v>1.4</v>
      </c>
      <c r="AY28" s="85" t="n">
        <f aca="false">IF(IF(ISBLANK(K28),1,(TRIM(K28)="")),"",ROUND(K28+($AB28*0.1094/4.184),3))</f>
        <v>1.403</v>
      </c>
      <c r="AZ28" s="101" t="n">
        <f aca="false">IF(IF(ISBLANK(L28),1,(TRIM(L28)="")),"",ROUND(L28+($AB28*0.1094/4.184),3))</f>
        <v>1.4</v>
      </c>
      <c r="BA28" s="85" t="n">
        <f aca="false">IF(IF(ISBLANK(M28),1,(TRIM(M28)="")),"",ROUND(M28+($AB28*0.1094/4.184),3))</f>
        <v>1.41</v>
      </c>
    </row>
    <row r="29" customFormat="false" ht="12.75" hidden="false" customHeight="false" outlineLevel="0" collapsed="false">
      <c r="B29" s="38" t="s">
        <v>41</v>
      </c>
      <c r="C29" s="62"/>
      <c r="D29" s="63"/>
      <c r="E29" s="64" t="s">
        <v>249</v>
      </c>
      <c r="F29" s="65" t="s">
        <v>250</v>
      </c>
      <c r="G29" s="64" t="s">
        <v>251</v>
      </c>
      <c r="H29" s="65" t="s">
        <v>252</v>
      </c>
      <c r="I29" s="64" t="s">
        <v>252</v>
      </c>
      <c r="J29" s="103" t="s">
        <v>229</v>
      </c>
      <c r="K29" s="62"/>
      <c r="L29" s="65" t="s">
        <v>253</v>
      </c>
      <c r="M29" s="62" t="n">
        <v>14.918</v>
      </c>
      <c r="O29" s="38" t="s">
        <v>41</v>
      </c>
      <c r="P29" s="85" t="str">
        <f aca="false">IF(IF(ISBLANK(C29),1,(TRIM(C29)="")),"",ROUND(4.184*C29,3))</f>
        <v/>
      </c>
      <c r="Q29" s="101" t="str">
        <f aca="false">IF(IF(ISBLANK(D29),1,(TRIM(D29)="")),"",ROUND(4.184*D29,3))</f>
        <v/>
      </c>
      <c r="R29" s="85" t="n">
        <f aca="false">IF(IF(ISBLANK(E29),1,(TRIM(E29)="")),"",ROUND(4.184*E29,3))</f>
        <v>45.606</v>
      </c>
      <c r="S29" s="101" t="n">
        <f aca="false">IF(IF(ISBLANK(F29),1,(TRIM(F29)="")),"",ROUND(4.184*F29,3))</f>
        <v>66.944</v>
      </c>
      <c r="T29" s="85" t="n">
        <f aca="false">IF(IF(ISBLANK(G29),1,(TRIM(G29)="")),"",ROUND(4.184*G29,3))</f>
        <v>64.852</v>
      </c>
      <c r="U29" s="101" t="n">
        <f aca="false">IF(IF(ISBLANK(H29),1,(TRIM(H29)="")),"",ROUND(4.184*H29,3))</f>
        <v>66.944</v>
      </c>
      <c r="V29" s="85" t="n">
        <f aca="false">IF(IF(ISBLANK(I29),1,(TRIM(I29)="")),"",ROUND(4.184*I29,3))</f>
        <v>66.944</v>
      </c>
      <c r="W29" s="101" t="n">
        <f aca="false">IF(IF(ISBLANK(J29),1,(TRIM(J29)="")),"",ROUND(4.184*J29,3))</f>
        <v>62.76</v>
      </c>
      <c r="X29" s="85" t="str">
        <f aca="false">IF(IF(ISBLANK(K29),1,(TRIM(K29)="")),"",ROUND(4.184*K29,3))</f>
        <v/>
      </c>
      <c r="Y29" s="101" t="n">
        <f aca="false">IF(IF(ISBLANK(L29),1,(TRIM(L29)="")),"",ROUND(4.184*L29,3))</f>
        <v>62.417</v>
      </c>
      <c r="Z29" s="85" t="n">
        <f aca="false">IF(IF(ISBLANK(M29),1,(TRIM(M29)="")),"",ROUND(4.184*M29,3))</f>
        <v>62.417</v>
      </c>
      <c r="AB29" s="34"/>
      <c r="AC29" s="38" t="s">
        <v>41</v>
      </c>
      <c r="AD29" s="85" t="str">
        <f aca="false">IF(IF(ISBLANK(C29),1,(TRIM(C29)="")),"",ROUND(4.184*C29+$AB29*0.1094,3))</f>
        <v/>
      </c>
      <c r="AE29" s="101" t="str">
        <f aca="false">IF(IF(ISBLANK(D29),1,(TRIM(D29)="")),"",ROUND(4.184*D29+$AB29*0.1094,3))</f>
        <v/>
      </c>
      <c r="AF29" s="85" t="n">
        <f aca="false">IF(IF(ISBLANK(E29),1,(TRIM(E29)="")),"",ROUND(4.184*E29+$AB29*0.1094,3))</f>
        <v>45.606</v>
      </c>
      <c r="AG29" s="101" t="n">
        <f aca="false">IF(IF(ISBLANK(F29),1,(TRIM(F29)="")),"",ROUND(4.184*F29+$AB29*0.1094,3))</f>
        <v>66.944</v>
      </c>
      <c r="AH29" s="85" t="n">
        <f aca="false">IF(IF(ISBLANK(G29),1,(TRIM(G29)="")),"",ROUND(4.184*G29+$AB29*0.1094,3))</f>
        <v>64.852</v>
      </c>
      <c r="AI29" s="101" t="n">
        <f aca="false">IF(IF(ISBLANK(H29),1,(TRIM(H29)="")),"",ROUND(4.184*H29+$AB29*0.1094,3))</f>
        <v>66.944</v>
      </c>
      <c r="AJ29" s="85" t="n">
        <f aca="false">IF(IF(ISBLANK(I29),1,(TRIM(I29)="")),"",ROUND(4.184*I29+$AB29*0.1094,3))</f>
        <v>66.944</v>
      </c>
      <c r="AK29" s="101" t="n">
        <f aca="false">IF(IF(ISBLANK(J29),1,(TRIM(J29)="")),"",ROUND(4.184*J29+$AB29*0.1094,3))</f>
        <v>62.76</v>
      </c>
      <c r="AL29" s="85" t="str">
        <f aca="false">IF(IF(ISBLANK(K29),1,(TRIM(K29)="")),"",ROUND(4.184*K29+$AB29*0.1094,3))</f>
        <v/>
      </c>
      <c r="AM29" s="101" t="n">
        <f aca="false">IF(IF(ISBLANK(L29),1,(TRIM(L29)="")),"",ROUND(4.184*L29+$AB29*0.1094,3))</f>
        <v>62.417</v>
      </c>
      <c r="AN29" s="85" t="n">
        <f aca="false">IF(IF(ISBLANK(M29),1,(TRIM(M29)="")),"",ROUND(4.184*M29+$AB29*0.1094,3))</f>
        <v>62.417</v>
      </c>
      <c r="AP29" s="38" t="s">
        <v>41</v>
      </c>
      <c r="AQ29" s="85" t="str">
        <f aca="false">IF(IF(ISBLANK(C29),1,(TRIM(C29)="")),"",ROUND(C29+($AB29*0.1094/4.184),3))</f>
        <v/>
      </c>
      <c r="AR29" s="101" t="str">
        <f aca="false">IF(IF(ISBLANK(D29),1,(TRIM(D29)="")),"",ROUND(D29+($AB29*0.1094/4.184),3))</f>
        <v/>
      </c>
      <c r="AS29" s="85" t="n">
        <f aca="false">IF(IF(ISBLANK(E29),1,(TRIM(E29)="")),"",ROUND(E29+($AB29*0.1094/4.184),3))</f>
        <v>10.9</v>
      </c>
      <c r="AT29" s="101" t="n">
        <f aca="false">IF(IF(ISBLANK(F29),1,(TRIM(F29)="")),"",ROUND(F29+($AB29*0.1094/4.184),3))</f>
        <v>16</v>
      </c>
      <c r="AU29" s="85" t="n">
        <f aca="false">IF(IF(ISBLANK(G29),1,(TRIM(G29)="")),"",ROUND(G29+($AB29*0.1094/4.184),3))</f>
        <v>15.5</v>
      </c>
      <c r="AV29" s="101" t="n">
        <f aca="false">IF(IF(ISBLANK(H29),1,(TRIM(H29)="")),"",ROUND(H29+($AB29*0.1094/4.184),3))</f>
        <v>16</v>
      </c>
      <c r="AW29" s="85" t="n">
        <f aca="false">IF(IF(ISBLANK(I29),1,(TRIM(I29)="")),"",ROUND(I29+($AB29*0.1094/4.184),3))</f>
        <v>16</v>
      </c>
      <c r="AX29" s="101" t="n">
        <f aca="false">IF(IF(ISBLANK(J29),1,(TRIM(J29)="")),"",ROUND(J29+($AB29*0.1094/4.184),3))</f>
        <v>15</v>
      </c>
      <c r="AY29" s="85" t="str">
        <f aca="false">IF(IF(ISBLANK(K29),1,(TRIM(K29)="")),"",ROUND(K29+($AB29*0.1094/4.184),3))</f>
        <v/>
      </c>
      <c r="AZ29" s="101" t="n">
        <f aca="false">IF(IF(ISBLANK(L29),1,(TRIM(L29)="")),"",ROUND(L29+($AB29*0.1094/4.184),3))</f>
        <v>14.918</v>
      </c>
      <c r="BA29" s="85" t="n">
        <f aca="false">IF(IF(ISBLANK(M29),1,(TRIM(M29)="")),"",ROUND(M29+($AB29*0.1094/4.184),3))</f>
        <v>14.918</v>
      </c>
    </row>
    <row r="30" customFormat="false" ht="12.75" hidden="false" customHeight="false" outlineLevel="0" collapsed="false">
      <c r="B30" s="31" t="s">
        <v>42</v>
      </c>
      <c r="C30" s="62" t="n">
        <v>7.3</v>
      </c>
      <c r="D30" s="63" t="n">
        <v>7.3</v>
      </c>
      <c r="E30" s="64" t="s">
        <v>254</v>
      </c>
      <c r="F30" s="63" t="n">
        <v>2.28</v>
      </c>
      <c r="G30" s="64" t="s">
        <v>255</v>
      </c>
      <c r="H30" s="63" t="n">
        <v>2.28</v>
      </c>
      <c r="I30" s="64" t="n">
        <v>2.28</v>
      </c>
      <c r="J30" s="102" t="n">
        <v>2.27</v>
      </c>
      <c r="K30" s="64" t="s">
        <v>256</v>
      </c>
      <c r="L30" s="65" t="s">
        <v>257</v>
      </c>
      <c r="M30" s="64" t="s">
        <v>258</v>
      </c>
      <c r="O30" s="31" t="s">
        <v>42</v>
      </c>
      <c r="P30" s="85" t="n">
        <f aca="false">IF(IF(ISBLANK(C30),1,(TRIM(C30)="")),"",ROUND(4.184*C30,3))</f>
        <v>30.543</v>
      </c>
      <c r="Q30" s="101" t="n">
        <f aca="false">IF(IF(ISBLANK(D30),1,(TRIM(D30)="")),"",ROUND(4.184*D30,3))</f>
        <v>30.543</v>
      </c>
      <c r="R30" s="85" t="n">
        <f aca="false">IF(IF(ISBLANK(E30),1,(TRIM(E30)="")),"",ROUND(4.184*E30,3))</f>
        <v>8.954</v>
      </c>
      <c r="S30" s="101" t="n">
        <f aca="false">IF(IF(ISBLANK(F30),1,(TRIM(F30)="")),"",ROUND(4.184*F30,3))</f>
        <v>9.54</v>
      </c>
      <c r="T30" s="85" t="n">
        <f aca="false">IF(IF(ISBLANK(G30),1,(TRIM(G30)="")),"",ROUND(4.184*G30,3))</f>
        <v>9.54</v>
      </c>
      <c r="U30" s="101" t="n">
        <f aca="false">IF(IF(ISBLANK(H30),1,(TRIM(H30)="")),"",ROUND(4.184*H30,3))</f>
        <v>9.54</v>
      </c>
      <c r="V30" s="85" t="n">
        <f aca="false">IF(IF(ISBLANK(I30),1,(TRIM(I30)="")),"",ROUND(4.184*I30,3))</f>
        <v>9.54</v>
      </c>
      <c r="W30" s="101" t="n">
        <f aca="false">IF(IF(ISBLANK(J30),1,(TRIM(J30)="")),"",ROUND(4.184*J30,3))</f>
        <v>9.498</v>
      </c>
      <c r="X30" s="85" t="n">
        <f aca="false">IF(IF(ISBLANK(K30),1,(TRIM(K30)="")),"",ROUND(4.184*K30,3))</f>
        <v>9.54</v>
      </c>
      <c r="Y30" s="101" t="n">
        <f aca="false">IF(IF(ISBLANK(L30),1,(TRIM(L30)="")),"",ROUND(4.184*L30,3))</f>
        <v>9.498</v>
      </c>
      <c r="Z30" s="85" t="n">
        <f aca="false">IF(IF(ISBLANK(M30),1,(TRIM(M30)="")),"",ROUND(4.184*M30,3))</f>
        <v>9.498</v>
      </c>
      <c r="AB30" s="34"/>
      <c r="AC30" s="31" t="s">
        <v>42</v>
      </c>
      <c r="AD30" s="85" t="n">
        <f aca="false">IF(IF(ISBLANK(C30),1,(TRIM(C30)="")),"",ROUND(4.184*C30+$AB30*0.1094,3))</f>
        <v>30.543</v>
      </c>
      <c r="AE30" s="101" t="n">
        <f aca="false">IF(IF(ISBLANK(D30),1,(TRIM(D30)="")),"",ROUND(4.184*D30+$AB30*0.1094,3))</f>
        <v>30.543</v>
      </c>
      <c r="AF30" s="85" t="n">
        <f aca="false">IF(IF(ISBLANK(E30),1,(TRIM(E30)="")),"",ROUND(4.184*E30+$AB30*0.1094,3))</f>
        <v>8.954</v>
      </c>
      <c r="AG30" s="101" t="n">
        <f aca="false">IF(IF(ISBLANK(F30),1,(TRIM(F30)="")),"",ROUND(4.184*F30+$AB30*0.1094,3))</f>
        <v>9.54</v>
      </c>
      <c r="AH30" s="85" t="n">
        <f aca="false">IF(IF(ISBLANK(G30),1,(TRIM(G30)="")),"",ROUND(4.184*G30+$AB30*0.1094,3))</f>
        <v>9.54</v>
      </c>
      <c r="AI30" s="101" t="n">
        <f aca="false">IF(IF(ISBLANK(H30),1,(TRIM(H30)="")),"",ROUND(4.184*H30+$AB30*0.1094,3))</f>
        <v>9.54</v>
      </c>
      <c r="AJ30" s="85" t="n">
        <f aca="false">IF(IF(ISBLANK(I30),1,(TRIM(I30)="")),"",ROUND(4.184*I30+$AB30*0.1094,3))</f>
        <v>9.54</v>
      </c>
      <c r="AK30" s="101" t="n">
        <f aca="false">IF(IF(ISBLANK(J30),1,(TRIM(J30)="")),"",ROUND(4.184*J30+$AB30*0.1094,3))</f>
        <v>9.498</v>
      </c>
      <c r="AL30" s="85" t="n">
        <f aca="false">IF(IF(ISBLANK(K30),1,(TRIM(K30)="")),"",ROUND(4.184*K30+$AB30*0.1094,3))</f>
        <v>9.54</v>
      </c>
      <c r="AM30" s="101" t="n">
        <f aca="false">IF(IF(ISBLANK(L30),1,(TRIM(L30)="")),"",ROUND(4.184*L30+$AB30*0.1094,3))</f>
        <v>9.498</v>
      </c>
      <c r="AN30" s="85" t="n">
        <f aca="false">IF(IF(ISBLANK(M30),1,(TRIM(M30)="")),"",ROUND(4.184*M30+$AB30*0.1094,3))</f>
        <v>9.498</v>
      </c>
      <c r="AP30" s="31" t="s">
        <v>42</v>
      </c>
      <c r="AQ30" s="85" t="n">
        <f aca="false">IF(IF(ISBLANK(C30),1,(TRIM(C30)="")),"",ROUND(C30+($AB30*0.1094/4.184),3))</f>
        <v>7.3</v>
      </c>
      <c r="AR30" s="101" t="n">
        <f aca="false">IF(IF(ISBLANK(D30),1,(TRIM(D30)="")),"",ROUND(D30+($AB30*0.1094/4.184),3))</f>
        <v>7.3</v>
      </c>
      <c r="AS30" s="85" t="n">
        <f aca="false">IF(IF(ISBLANK(E30),1,(TRIM(E30)="")),"",ROUND(E30+($AB30*0.1094/4.184),3))</f>
        <v>2.14</v>
      </c>
      <c r="AT30" s="101" t="n">
        <f aca="false">IF(IF(ISBLANK(F30),1,(TRIM(F30)="")),"",ROUND(F30+($AB30*0.1094/4.184),3))</f>
        <v>2.28</v>
      </c>
      <c r="AU30" s="85" t="n">
        <f aca="false">IF(IF(ISBLANK(G30),1,(TRIM(G30)="")),"",ROUND(G30+($AB30*0.1094/4.184),3))</f>
        <v>2.28</v>
      </c>
      <c r="AV30" s="101" t="n">
        <f aca="false">IF(IF(ISBLANK(H30),1,(TRIM(H30)="")),"",ROUND(H30+($AB30*0.1094/4.184),3))</f>
        <v>2.28</v>
      </c>
      <c r="AW30" s="85" t="n">
        <f aca="false">IF(IF(ISBLANK(I30),1,(TRIM(I30)="")),"",ROUND(I30+($AB30*0.1094/4.184),3))</f>
        <v>2.28</v>
      </c>
      <c r="AX30" s="101" t="n">
        <f aca="false">IF(IF(ISBLANK(J30),1,(TRIM(J30)="")),"",ROUND(J30+($AB30*0.1094/4.184),3))</f>
        <v>2.27</v>
      </c>
      <c r="AY30" s="85" t="n">
        <f aca="false">IF(IF(ISBLANK(K30),1,(TRIM(K30)="")),"",ROUND(K30+($AB30*0.1094/4.184),3))</f>
        <v>2.28</v>
      </c>
      <c r="AZ30" s="101" t="n">
        <f aca="false">IF(IF(ISBLANK(L30),1,(TRIM(L30)="")),"",ROUND(L30+($AB30*0.1094/4.184),3))</f>
        <v>2.27</v>
      </c>
      <c r="BA30" s="85" t="n">
        <f aca="false">IF(IF(ISBLANK(M30),1,(TRIM(M30)="")),"",ROUND(M30+($AB30*0.1094/4.184),3))</f>
        <v>2.27</v>
      </c>
    </row>
    <row r="31" customFormat="false" ht="12.75" hidden="false" customHeight="false" outlineLevel="0" collapsed="false">
      <c r="B31" s="31" t="s">
        <v>43</v>
      </c>
      <c r="C31" s="62"/>
      <c r="D31" s="63"/>
      <c r="E31" s="64" t="s">
        <v>259</v>
      </c>
      <c r="F31" s="63" t="n">
        <v>13.6</v>
      </c>
      <c r="G31" s="64" t="s">
        <v>260</v>
      </c>
      <c r="H31" s="63" t="n">
        <v>13.5</v>
      </c>
      <c r="I31" s="64" t="n">
        <v>13.56</v>
      </c>
      <c r="J31" s="102" t="n">
        <v>13.56</v>
      </c>
      <c r="K31" s="62"/>
      <c r="L31" s="65" t="s">
        <v>261</v>
      </c>
      <c r="M31" s="64" t="s">
        <v>262</v>
      </c>
      <c r="O31" s="31" t="s">
        <v>43</v>
      </c>
      <c r="P31" s="85" t="str">
        <f aca="false">IF(IF(ISBLANK(C31),1,(TRIM(C31)="")),"",ROUND(4.184*C31,3))</f>
        <v/>
      </c>
      <c r="Q31" s="101" t="str">
        <f aca="false">IF(IF(ISBLANK(D31),1,(TRIM(D31)="")),"",ROUND(4.184*D31,3))</f>
        <v/>
      </c>
      <c r="R31" s="85" t="n">
        <f aca="false">IF(IF(ISBLANK(E31),1,(TRIM(E31)="")),"",ROUND(4.184*E31,3))</f>
        <v>57.739</v>
      </c>
      <c r="S31" s="101" t="n">
        <f aca="false">IF(IF(ISBLANK(F31),1,(TRIM(F31)="")),"",ROUND(4.184*F31,3))</f>
        <v>56.902</v>
      </c>
      <c r="T31" s="85" t="n">
        <f aca="false">IF(IF(ISBLANK(G31),1,(TRIM(G31)="")),"",ROUND(4.184*G31,3))</f>
        <v>56.819</v>
      </c>
      <c r="U31" s="101" t="n">
        <f aca="false">IF(IF(ISBLANK(H31),1,(TRIM(H31)="")),"",ROUND(4.184*H31,3))</f>
        <v>56.484</v>
      </c>
      <c r="V31" s="85" t="n">
        <f aca="false">IF(IF(ISBLANK(I31),1,(TRIM(I31)="")),"",ROUND(4.184*I31,3))</f>
        <v>56.735</v>
      </c>
      <c r="W31" s="101" t="n">
        <f aca="false">IF(IF(ISBLANK(J31),1,(TRIM(J31)="")),"",ROUND(4.184*J31,3))</f>
        <v>56.735</v>
      </c>
      <c r="X31" s="85" t="str">
        <f aca="false">IF(IF(ISBLANK(K31),1,(TRIM(K31)="")),"",ROUND(4.184*K31,3))</f>
        <v/>
      </c>
      <c r="Y31" s="101" t="n">
        <f aca="false">IF(IF(ISBLANK(L31),1,(TRIM(L31)="")),"",ROUND(4.184*L31,3))</f>
        <v>56.735</v>
      </c>
      <c r="Z31" s="85" t="n">
        <f aca="false">IF(IF(ISBLANK(M31),1,(TRIM(M31)="")),"",ROUND(4.184*M31,3))</f>
        <v>56.735</v>
      </c>
      <c r="AB31" s="34"/>
      <c r="AC31" s="31" t="s">
        <v>43</v>
      </c>
      <c r="AD31" s="85" t="str">
        <f aca="false">IF(IF(ISBLANK(C31),1,(TRIM(C31)="")),"",ROUND(4.184*C31+$AB31*0.1094,3))</f>
        <v/>
      </c>
      <c r="AE31" s="101" t="str">
        <f aca="false">IF(IF(ISBLANK(D31),1,(TRIM(D31)="")),"",ROUND(4.184*D31+$AB31*0.1094,3))</f>
        <v/>
      </c>
      <c r="AF31" s="85" t="n">
        <f aca="false">IF(IF(ISBLANK(E31),1,(TRIM(E31)="")),"",ROUND(4.184*E31+$AB31*0.1094,3))</f>
        <v>57.739</v>
      </c>
      <c r="AG31" s="101" t="n">
        <f aca="false">IF(IF(ISBLANK(F31),1,(TRIM(F31)="")),"",ROUND(4.184*F31+$AB31*0.1094,3))</f>
        <v>56.902</v>
      </c>
      <c r="AH31" s="85" t="n">
        <f aca="false">IF(IF(ISBLANK(G31),1,(TRIM(G31)="")),"",ROUND(4.184*G31+$AB31*0.1094,3))</f>
        <v>56.819</v>
      </c>
      <c r="AI31" s="101" t="n">
        <f aca="false">IF(IF(ISBLANK(H31),1,(TRIM(H31)="")),"",ROUND(4.184*H31+$AB31*0.1094,3))</f>
        <v>56.484</v>
      </c>
      <c r="AJ31" s="85" t="n">
        <f aca="false">IF(IF(ISBLANK(I31),1,(TRIM(I31)="")),"",ROUND(4.184*I31+$AB31*0.1094,3))</f>
        <v>56.735</v>
      </c>
      <c r="AK31" s="101" t="n">
        <f aca="false">IF(IF(ISBLANK(J31),1,(TRIM(J31)="")),"",ROUND(4.184*J31+$AB31*0.1094,3))</f>
        <v>56.735</v>
      </c>
      <c r="AL31" s="85" t="str">
        <f aca="false">IF(IF(ISBLANK(K31),1,(TRIM(K31)="")),"",ROUND(4.184*K31+$AB31*0.1094,3))</f>
        <v/>
      </c>
      <c r="AM31" s="101" t="n">
        <f aca="false">IF(IF(ISBLANK(L31),1,(TRIM(L31)="")),"",ROUND(4.184*L31+$AB31*0.1094,3))</f>
        <v>56.735</v>
      </c>
      <c r="AN31" s="85" t="n">
        <f aca="false">IF(IF(ISBLANK(M31),1,(TRIM(M31)="")),"",ROUND(4.184*M31+$AB31*0.1094,3))</f>
        <v>56.735</v>
      </c>
      <c r="AP31" s="31" t="s">
        <v>43</v>
      </c>
      <c r="AQ31" s="85" t="str">
        <f aca="false">IF(IF(ISBLANK(C31),1,(TRIM(C31)="")),"",ROUND(C31+($AB31*0.1094/4.184),3))</f>
        <v/>
      </c>
      <c r="AR31" s="101" t="str">
        <f aca="false">IF(IF(ISBLANK(D31),1,(TRIM(D31)="")),"",ROUND(D31+($AB31*0.1094/4.184),3))</f>
        <v/>
      </c>
      <c r="AS31" s="85" t="n">
        <f aca="false">IF(IF(ISBLANK(E31),1,(TRIM(E31)="")),"",ROUND(E31+($AB31*0.1094/4.184),3))</f>
        <v>13.8</v>
      </c>
      <c r="AT31" s="101" t="n">
        <f aca="false">IF(IF(ISBLANK(F31),1,(TRIM(F31)="")),"",ROUND(F31+($AB31*0.1094/4.184),3))</f>
        <v>13.6</v>
      </c>
      <c r="AU31" s="85" t="n">
        <f aca="false">IF(IF(ISBLANK(G31),1,(TRIM(G31)="")),"",ROUND(G31+($AB31*0.1094/4.184),3))</f>
        <v>13.58</v>
      </c>
      <c r="AV31" s="101" t="n">
        <f aca="false">IF(IF(ISBLANK(H31),1,(TRIM(H31)="")),"",ROUND(H31+($AB31*0.1094/4.184),3))</f>
        <v>13.5</v>
      </c>
      <c r="AW31" s="85" t="n">
        <f aca="false">IF(IF(ISBLANK(I31),1,(TRIM(I31)="")),"",ROUND(I31+($AB31*0.1094/4.184),3))</f>
        <v>13.56</v>
      </c>
      <c r="AX31" s="101" t="n">
        <f aca="false">IF(IF(ISBLANK(J31),1,(TRIM(J31)="")),"",ROUND(J31+($AB31*0.1094/4.184),3))</f>
        <v>13.56</v>
      </c>
      <c r="AY31" s="85" t="str">
        <f aca="false">IF(IF(ISBLANK(K31),1,(TRIM(K31)="")),"",ROUND(K31+($AB31*0.1094/4.184),3))</f>
        <v/>
      </c>
      <c r="AZ31" s="101" t="n">
        <f aca="false">IF(IF(ISBLANK(L31),1,(TRIM(L31)="")),"",ROUND(L31+($AB31*0.1094/4.184),3))</f>
        <v>13.56</v>
      </c>
      <c r="BA31" s="85" t="n">
        <f aca="false">IF(IF(ISBLANK(M31),1,(TRIM(M31)="")),"",ROUND(M31+($AB31*0.1094/4.184),3))</f>
        <v>13.56</v>
      </c>
    </row>
    <row r="32" customFormat="false" ht="12.75" hidden="false" customHeight="false" outlineLevel="0" collapsed="false">
      <c r="B32" s="31" t="s">
        <v>44</v>
      </c>
      <c r="C32" s="64"/>
      <c r="D32" s="63"/>
      <c r="E32" s="64"/>
      <c r="F32" s="63"/>
      <c r="G32" s="62"/>
      <c r="H32" s="63"/>
      <c r="I32" s="62"/>
      <c r="J32" s="102"/>
      <c r="K32" s="62"/>
      <c r="L32" s="63"/>
      <c r="M32" s="62"/>
      <c r="O32" s="31" t="s">
        <v>44</v>
      </c>
      <c r="P32" s="85" t="str">
        <f aca="false">IF(IF(ISBLANK(C32),1,(TRIM(C32)="")),"",ROUND(4.184*C32,3))</f>
        <v/>
      </c>
      <c r="Q32" s="101" t="str">
        <f aca="false">IF(IF(ISBLANK(D32),1,(TRIM(D32)="")),"",ROUND(4.184*D32,3))</f>
        <v/>
      </c>
      <c r="R32" s="85" t="str">
        <f aca="false">IF(IF(ISBLANK(E32),1,(TRIM(E32)="")),"",ROUND(4.184*E32,3))</f>
        <v/>
      </c>
      <c r="S32" s="101" t="str">
        <f aca="false">IF(IF(ISBLANK(F32),1,(TRIM(F32)="")),"",ROUND(4.184*F32,3))</f>
        <v/>
      </c>
      <c r="T32" s="85" t="str">
        <f aca="false">IF(IF(ISBLANK(G32),1,(TRIM(G32)="")),"",ROUND(4.184*G32,3))</f>
        <v/>
      </c>
      <c r="U32" s="101" t="str">
        <f aca="false">IF(IF(ISBLANK(H32),1,(TRIM(H32)="")),"",ROUND(4.184*H32,3))</f>
        <v/>
      </c>
      <c r="V32" s="85" t="str">
        <f aca="false">IF(IF(ISBLANK(I32),1,(TRIM(I32)="")),"",ROUND(4.184*I32,3))</f>
        <v/>
      </c>
      <c r="W32" s="101" t="str">
        <f aca="false">IF(IF(ISBLANK(J32),1,(TRIM(J32)="")),"",ROUND(4.184*J32,3))</f>
        <v/>
      </c>
      <c r="X32" s="85" t="str">
        <f aca="false">IF(IF(ISBLANK(K32),1,(TRIM(K32)="")),"",ROUND(4.184*K32,3))</f>
        <v/>
      </c>
      <c r="Y32" s="101" t="str">
        <f aca="false">IF(IF(ISBLANK(L32),1,(TRIM(L32)="")),"",ROUND(4.184*L32,3))</f>
        <v/>
      </c>
      <c r="Z32" s="85" t="str">
        <f aca="false">IF(IF(ISBLANK(M32),1,(TRIM(M32)="")),"",ROUND(4.184*M32,3))</f>
        <v/>
      </c>
      <c r="AB32" s="34"/>
      <c r="AC32" s="31" t="s">
        <v>44</v>
      </c>
      <c r="AD32" s="85" t="str">
        <f aca="false">IF(IF(ISBLANK(C32),1,(TRIM(C32)="")),"",ROUND(4.184*C32+$AB32*0.1094,3))</f>
        <v/>
      </c>
      <c r="AE32" s="101" t="str">
        <f aca="false">IF(IF(ISBLANK(D32),1,(TRIM(D32)="")),"",ROUND(4.184*D32+$AB32*0.1094,3))</f>
        <v/>
      </c>
      <c r="AF32" s="85" t="str">
        <f aca="false">IF(IF(ISBLANK(E32),1,(TRIM(E32)="")),"",ROUND(4.184*E32+$AB32*0.1094,3))</f>
        <v/>
      </c>
      <c r="AG32" s="101" t="str">
        <f aca="false">IF(IF(ISBLANK(F32),1,(TRIM(F32)="")),"",ROUND(4.184*F32+$AB32*0.1094,3))</f>
        <v/>
      </c>
      <c r="AH32" s="85" t="str">
        <f aca="false">IF(IF(ISBLANK(G32),1,(TRIM(G32)="")),"",ROUND(4.184*G32+$AB32*0.1094,3))</f>
        <v/>
      </c>
      <c r="AI32" s="101" t="str">
        <f aca="false">IF(IF(ISBLANK(H32),1,(TRIM(H32)="")),"",ROUND(4.184*H32+$AB32*0.1094,3))</f>
        <v/>
      </c>
      <c r="AJ32" s="85" t="str">
        <f aca="false">IF(IF(ISBLANK(I32),1,(TRIM(I32)="")),"",ROUND(4.184*I32+$AB32*0.1094,3))</f>
        <v/>
      </c>
      <c r="AK32" s="101" t="str">
        <f aca="false">IF(IF(ISBLANK(J32),1,(TRIM(J32)="")),"",ROUND(4.184*J32+$AB32*0.1094,3))</f>
        <v/>
      </c>
      <c r="AL32" s="85" t="str">
        <f aca="false">IF(IF(ISBLANK(K32),1,(TRIM(K32)="")),"",ROUND(4.184*K32+$AB32*0.1094,3))</f>
        <v/>
      </c>
      <c r="AM32" s="101" t="str">
        <f aca="false">IF(IF(ISBLANK(L32),1,(TRIM(L32)="")),"",ROUND(4.184*L32+$AB32*0.1094,3))</f>
        <v/>
      </c>
      <c r="AN32" s="85" t="str">
        <f aca="false">IF(IF(ISBLANK(M32),1,(TRIM(M32)="")),"",ROUND(4.184*M32+$AB32*0.1094,3))</f>
        <v/>
      </c>
      <c r="AP32" s="31" t="s">
        <v>44</v>
      </c>
      <c r="AQ32" s="85" t="str">
        <f aca="false">IF(IF(ISBLANK(C32),1,(TRIM(C32)="")),"",ROUND(C32+($AB32*0.1094/4.184),3))</f>
        <v/>
      </c>
      <c r="AR32" s="101" t="str">
        <f aca="false">IF(IF(ISBLANK(D32),1,(TRIM(D32)="")),"",ROUND(D32+($AB32*0.1094/4.184),3))</f>
        <v/>
      </c>
      <c r="AS32" s="85" t="str">
        <f aca="false">IF(IF(ISBLANK(E32),1,(TRIM(E32)="")),"",ROUND(E32+($AB32*0.1094/4.184),3))</f>
        <v/>
      </c>
      <c r="AT32" s="101" t="str">
        <f aca="false">IF(IF(ISBLANK(F32),1,(TRIM(F32)="")),"",ROUND(F32+($AB32*0.1094/4.184),3))</f>
        <v/>
      </c>
      <c r="AU32" s="85" t="str">
        <f aca="false">IF(IF(ISBLANK(G32),1,(TRIM(G32)="")),"",ROUND(G32+($AB32*0.1094/4.184),3))</f>
        <v/>
      </c>
      <c r="AV32" s="101" t="str">
        <f aca="false">IF(IF(ISBLANK(H32),1,(TRIM(H32)="")),"",ROUND(H32+($AB32*0.1094/4.184),3))</f>
        <v/>
      </c>
      <c r="AW32" s="85" t="str">
        <f aca="false">IF(IF(ISBLANK(I32),1,(TRIM(I32)="")),"",ROUND(I32+($AB32*0.1094/4.184),3))</f>
        <v/>
      </c>
      <c r="AX32" s="101" t="str">
        <f aca="false">IF(IF(ISBLANK(J32),1,(TRIM(J32)="")),"",ROUND(J32+($AB32*0.1094/4.184),3))</f>
        <v/>
      </c>
      <c r="AY32" s="85" t="str">
        <f aca="false">IF(IF(ISBLANK(K32),1,(TRIM(K32)="")),"",ROUND(K32+($AB32*0.1094/4.184),3))</f>
        <v/>
      </c>
      <c r="AZ32" s="101" t="str">
        <f aca="false">IF(IF(ISBLANK(L32),1,(TRIM(L32)="")),"",ROUND(L32+($AB32*0.1094/4.184),3))</f>
        <v/>
      </c>
      <c r="BA32" s="85" t="str">
        <f aca="false">IF(IF(ISBLANK(M32),1,(TRIM(M32)="")),"",ROUND(M32+($AB32*0.1094/4.184),3))</f>
        <v/>
      </c>
    </row>
    <row r="33" s="90" customFormat="true" ht="12.75" hidden="false" customHeight="false" outlineLevel="0" collapsed="false">
      <c r="A33" s="89"/>
      <c r="B33" s="38" t="s">
        <v>46</v>
      </c>
      <c r="C33" s="64" t="s">
        <v>170</v>
      </c>
      <c r="D33" s="65" t="s">
        <v>171</v>
      </c>
      <c r="E33" s="64" t="s">
        <v>263</v>
      </c>
      <c r="F33" s="63" t="n">
        <v>36.4</v>
      </c>
      <c r="G33" s="64" t="s">
        <v>264</v>
      </c>
      <c r="H33" s="63" t="n">
        <v>36.4</v>
      </c>
      <c r="I33" s="62" t="n">
        <v>36.384</v>
      </c>
      <c r="J33" s="102" t="n">
        <v>36.384</v>
      </c>
      <c r="K33" s="62" t="n">
        <v>36.384</v>
      </c>
      <c r="L33" s="63"/>
      <c r="M33" s="62" t="n">
        <v>36.379</v>
      </c>
      <c r="O33" s="38" t="s">
        <v>46</v>
      </c>
      <c r="P33" s="85" t="n">
        <f aca="false">IF(IF(ISBLANK(C33),1,(TRIM(C33)="")),"",ROUND(4.184*C33,3))</f>
        <v>154.808</v>
      </c>
      <c r="Q33" s="101" t="n">
        <f aca="false">IF(IF(ISBLANK(D33),1,(TRIM(D33)="")),"",ROUND(4.184*D33,3))</f>
        <v>136.398</v>
      </c>
      <c r="R33" s="85" t="n">
        <f aca="false">IF(IF(ISBLANK(E33),1,(TRIM(E33)="")),"",ROUND(4.184*E33,3))</f>
        <v>153.134</v>
      </c>
      <c r="S33" s="101" t="n">
        <f aca="false">IF(IF(ISBLANK(F33),1,(TRIM(F33)="")),"",ROUND(4.184*F33,3))</f>
        <v>152.298</v>
      </c>
      <c r="T33" s="85" t="n">
        <f aca="false">IF(IF(ISBLANK(G33),1,(TRIM(G33)="")),"",ROUND(4.184*G33,3))</f>
        <v>151.67</v>
      </c>
      <c r="U33" s="101" t="n">
        <f aca="false">IF(IF(ISBLANK(H33),1,(TRIM(H33)="")),"",ROUND(4.184*H33,3))</f>
        <v>152.298</v>
      </c>
      <c r="V33" s="85" t="n">
        <f aca="false">IF(IF(ISBLANK(I33),1,(TRIM(I33)="")),"",ROUND(4.184*I33,3))</f>
        <v>152.231</v>
      </c>
      <c r="W33" s="101" t="n">
        <f aca="false">IF(IF(ISBLANK(J33),1,(TRIM(J33)="")),"",ROUND(4.184*J33,3))</f>
        <v>152.231</v>
      </c>
      <c r="X33" s="85" t="n">
        <f aca="false">IF(IF(ISBLANK(K33),1,(TRIM(K33)="")),"",ROUND(4.184*K33,3))</f>
        <v>152.231</v>
      </c>
      <c r="Y33" s="101" t="str">
        <f aca="false">IF(IF(ISBLANK(L33),1,(TRIM(L33)="")),"",ROUND(4.184*L33,3))</f>
        <v/>
      </c>
      <c r="Z33" s="85" t="n">
        <f aca="false">IF(IF(ISBLANK(M33),1,(TRIM(M33)="")),"",ROUND(4.184*M33,3))</f>
        <v>152.21</v>
      </c>
      <c r="AB33" s="34"/>
      <c r="AC33" s="38" t="s">
        <v>46</v>
      </c>
      <c r="AD33" s="85" t="n">
        <f aca="false">IF(IF(ISBLANK(C33),1,(TRIM(C33)="")),"",ROUND(4.184*C33+$AB33*0.1094,3))</f>
        <v>154.808</v>
      </c>
      <c r="AE33" s="101" t="n">
        <f aca="false">IF(IF(ISBLANK(D33),1,(TRIM(D33)="")),"",ROUND(4.184*D33+$AB33*0.1094,3))</f>
        <v>136.398</v>
      </c>
      <c r="AF33" s="85" t="n">
        <f aca="false">IF(IF(ISBLANK(E33),1,(TRIM(E33)="")),"",ROUND(4.184*E33+$AB33*0.1094,3))</f>
        <v>153.134</v>
      </c>
      <c r="AG33" s="101" t="n">
        <f aca="false">IF(IF(ISBLANK(F33),1,(TRIM(F33)="")),"",ROUND(4.184*F33+$AB33*0.1094,3))</f>
        <v>152.298</v>
      </c>
      <c r="AH33" s="85" t="n">
        <f aca="false">IF(IF(ISBLANK(G33),1,(TRIM(G33)="")),"",ROUND(4.184*G33+$AB33*0.1094,3))</f>
        <v>151.67</v>
      </c>
      <c r="AI33" s="101" t="n">
        <f aca="false">IF(IF(ISBLANK(H33),1,(TRIM(H33)="")),"",ROUND(4.184*H33+$AB33*0.1094,3))</f>
        <v>152.298</v>
      </c>
      <c r="AJ33" s="85" t="n">
        <f aca="false">IF(IF(ISBLANK(I33),1,(TRIM(I33)="")),"",ROUND(4.184*I33+$AB33*0.1094,3))</f>
        <v>152.231</v>
      </c>
      <c r="AK33" s="101" t="n">
        <f aca="false">IF(IF(ISBLANK(J33),1,(TRIM(J33)="")),"",ROUND(4.184*J33+$AB33*0.1094,3))</f>
        <v>152.231</v>
      </c>
      <c r="AL33" s="85" t="n">
        <f aca="false">IF(IF(ISBLANK(K33),1,(TRIM(K33)="")),"",ROUND(4.184*K33+$AB33*0.1094,3))</f>
        <v>152.231</v>
      </c>
      <c r="AM33" s="101" t="str">
        <f aca="false">IF(IF(ISBLANK(L33),1,(TRIM(L33)="")),"",ROUND(4.184*L33+$AB33*0.1094,3))</f>
        <v/>
      </c>
      <c r="AN33" s="85" t="n">
        <f aca="false">IF(IF(ISBLANK(M33),1,(TRIM(M33)="")),"",ROUND(4.184*M33+$AB33*0.1094,3))</f>
        <v>152.21</v>
      </c>
      <c r="AP33" s="38" t="s">
        <v>46</v>
      </c>
      <c r="AQ33" s="85" t="n">
        <f aca="false">IF(IF(ISBLANK(C33),1,(TRIM(C33)="")),"",ROUND(C33+($AB33*0.1094/4.184),3))</f>
        <v>37</v>
      </c>
      <c r="AR33" s="101" t="n">
        <f aca="false">IF(IF(ISBLANK(D33),1,(TRIM(D33)="")),"",ROUND(D33+($AB33*0.1094/4.184),3))</f>
        <v>32.6</v>
      </c>
      <c r="AS33" s="85" t="n">
        <f aca="false">IF(IF(ISBLANK(E33),1,(TRIM(E33)="")),"",ROUND(E33+($AB33*0.1094/4.184),3))</f>
        <v>36.6</v>
      </c>
      <c r="AT33" s="101" t="n">
        <f aca="false">IF(IF(ISBLANK(F33),1,(TRIM(F33)="")),"",ROUND(F33+($AB33*0.1094/4.184),3))</f>
        <v>36.4</v>
      </c>
      <c r="AU33" s="85" t="n">
        <f aca="false">IF(IF(ISBLANK(G33),1,(TRIM(G33)="")),"",ROUND(G33+($AB33*0.1094/4.184),3))</f>
        <v>36.25</v>
      </c>
      <c r="AV33" s="101" t="n">
        <f aca="false">IF(IF(ISBLANK(H33),1,(TRIM(H33)="")),"",ROUND(H33+($AB33*0.1094/4.184),3))</f>
        <v>36.4</v>
      </c>
      <c r="AW33" s="85" t="n">
        <f aca="false">IF(IF(ISBLANK(I33),1,(TRIM(I33)="")),"",ROUND(I33+($AB33*0.1094/4.184),3))</f>
        <v>36.384</v>
      </c>
      <c r="AX33" s="101" t="n">
        <f aca="false">IF(IF(ISBLANK(J33),1,(TRIM(J33)="")),"",ROUND(J33+($AB33*0.1094/4.184),3))</f>
        <v>36.384</v>
      </c>
      <c r="AY33" s="85" t="n">
        <f aca="false">IF(IF(ISBLANK(K33),1,(TRIM(K33)="")),"",ROUND(K33+($AB33*0.1094/4.184),3))</f>
        <v>36.384</v>
      </c>
      <c r="AZ33" s="101" t="str">
        <f aca="false">IF(IF(ISBLANK(L33),1,(TRIM(L33)="")),"",ROUND(L33+($AB33*0.1094/4.184),3))</f>
        <v/>
      </c>
      <c r="BA33" s="85" t="n">
        <f aca="false">IF(IF(ISBLANK(M33),1,(TRIM(M33)="")),"",ROUND(M33+($AB33*0.1094/4.184),3))</f>
        <v>36.379</v>
      </c>
    </row>
    <row r="34" customFormat="false" ht="12.75" hidden="false" customHeight="false" outlineLevel="0" collapsed="false">
      <c r="B34" s="31" t="s">
        <v>48</v>
      </c>
      <c r="C34" s="62" t="n">
        <v>1.3</v>
      </c>
      <c r="D34" s="63" t="n">
        <v>1.3</v>
      </c>
      <c r="E34" s="64" t="s">
        <v>265</v>
      </c>
      <c r="F34" s="63" t="n">
        <v>1.3609</v>
      </c>
      <c r="G34" s="64" t="s">
        <v>266</v>
      </c>
      <c r="H34" s="63" t="n">
        <v>1.36</v>
      </c>
      <c r="I34" s="62" t="n">
        <v>1.372</v>
      </c>
      <c r="J34" s="102" t="n">
        <v>1.372</v>
      </c>
      <c r="K34" s="62" t="n">
        <v>1.359</v>
      </c>
      <c r="L34" s="65" t="s">
        <v>266</v>
      </c>
      <c r="M34" s="62" t="n">
        <v>1.372</v>
      </c>
      <c r="O34" s="31" t="s">
        <v>48</v>
      </c>
      <c r="P34" s="85" t="n">
        <f aca="false">IF(IF(ISBLANK(C34),1,(TRIM(C34)="")),"",ROUND(4.184*C34,3))</f>
        <v>5.439</v>
      </c>
      <c r="Q34" s="101" t="n">
        <f aca="false">IF(IF(ISBLANK(D34),1,(TRIM(D34)="")),"",ROUND(4.184*D34,3))</f>
        <v>5.439</v>
      </c>
      <c r="R34" s="85" t="n">
        <f aca="false">IF(IF(ISBLANK(E34),1,(TRIM(E34)="")),"",ROUND(4.184*E34,3))</f>
        <v>5.439</v>
      </c>
      <c r="S34" s="101" t="n">
        <f aca="false">IF(IF(ISBLANK(F34),1,(TRIM(F34)="")),"",ROUND(4.184*F34,3))</f>
        <v>5.694</v>
      </c>
      <c r="T34" s="85" t="n">
        <f aca="false">IF(IF(ISBLANK(G34),1,(TRIM(G34)="")),"",ROUND(4.184*G34,3))</f>
        <v>5.732</v>
      </c>
      <c r="U34" s="101" t="n">
        <f aca="false">IF(IF(ISBLANK(H34),1,(TRIM(H34)="")),"",ROUND(4.184*H34,3))</f>
        <v>5.69</v>
      </c>
      <c r="V34" s="85" t="n">
        <f aca="false">IF(IF(ISBLANK(I34),1,(TRIM(I34)="")),"",ROUND(4.184*I34,3))</f>
        <v>5.74</v>
      </c>
      <c r="W34" s="101" t="n">
        <f aca="false">IF(IF(ISBLANK(J34),1,(TRIM(J34)="")),"",ROUND(4.184*J34,3))</f>
        <v>5.74</v>
      </c>
      <c r="X34" s="85" t="n">
        <f aca="false">IF(IF(ISBLANK(K34),1,(TRIM(K34)="")),"",ROUND(4.184*K34,3))</f>
        <v>5.686</v>
      </c>
      <c r="Y34" s="101" t="n">
        <f aca="false">IF(IF(ISBLANK(L34),1,(TRIM(L34)="")),"",ROUND(4.184*L34,3))</f>
        <v>5.732</v>
      </c>
      <c r="Z34" s="85" t="n">
        <f aca="false">IF(IF(ISBLANK(M34),1,(TRIM(M34)="")),"",ROUND(4.184*M34,3))</f>
        <v>5.74</v>
      </c>
      <c r="AB34" s="34"/>
      <c r="AC34" s="31" t="s">
        <v>48</v>
      </c>
      <c r="AD34" s="85" t="n">
        <f aca="false">IF(IF(ISBLANK(C34),1,(TRIM(C34)="")),"",ROUND(4.184*C34+$AB34*0.1094,3))</f>
        <v>5.439</v>
      </c>
      <c r="AE34" s="101" t="n">
        <f aca="false">IF(IF(ISBLANK(D34),1,(TRIM(D34)="")),"",ROUND(4.184*D34+$AB34*0.1094,3))</f>
        <v>5.439</v>
      </c>
      <c r="AF34" s="85" t="n">
        <f aca="false">IF(IF(ISBLANK(E34),1,(TRIM(E34)="")),"",ROUND(4.184*E34+$AB34*0.1094,3))</f>
        <v>5.439</v>
      </c>
      <c r="AG34" s="101" t="n">
        <f aca="false">IF(IF(ISBLANK(F34),1,(TRIM(F34)="")),"",ROUND(4.184*F34+$AB34*0.1094,3))</f>
        <v>5.694</v>
      </c>
      <c r="AH34" s="85" t="n">
        <f aca="false">IF(IF(ISBLANK(G34),1,(TRIM(G34)="")),"",ROUND(4.184*G34+$AB34*0.1094,3))</f>
        <v>5.732</v>
      </c>
      <c r="AI34" s="101" t="n">
        <f aca="false">IF(IF(ISBLANK(H34),1,(TRIM(H34)="")),"",ROUND(4.184*H34+$AB34*0.1094,3))</f>
        <v>5.69</v>
      </c>
      <c r="AJ34" s="85" t="n">
        <f aca="false">IF(IF(ISBLANK(I34),1,(TRIM(I34)="")),"",ROUND(4.184*I34+$AB34*0.1094,3))</f>
        <v>5.74</v>
      </c>
      <c r="AK34" s="101" t="n">
        <f aca="false">IF(IF(ISBLANK(J34),1,(TRIM(J34)="")),"",ROUND(4.184*J34+$AB34*0.1094,3))</f>
        <v>5.74</v>
      </c>
      <c r="AL34" s="85" t="n">
        <f aca="false">IF(IF(ISBLANK(K34),1,(TRIM(K34)="")),"",ROUND(4.184*K34+$AB34*0.1094,3))</f>
        <v>5.686</v>
      </c>
      <c r="AM34" s="101" t="n">
        <f aca="false">IF(IF(ISBLANK(L34),1,(TRIM(L34)="")),"",ROUND(4.184*L34+$AB34*0.1094,3))</f>
        <v>5.732</v>
      </c>
      <c r="AN34" s="85" t="n">
        <f aca="false">IF(IF(ISBLANK(M34),1,(TRIM(M34)="")),"",ROUND(4.184*M34+$AB34*0.1094,3))</f>
        <v>5.74</v>
      </c>
      <c r="AP34" s="31" t="s">
        <v>48</v>
      </c>
      <c r="AQ34" s="85" t="n">
        <f aca="false">IF(IF(ISBLANK(C34),1,(TRIM(C34)="")),"",ROUND(C34+($AB34*0.1094/4.184),3))</f>
        <v>1.3</v>
      </c>
      <c r="AR34" s="101" t="n">
        <f aca="false">IF(IF(ISBLANK(D34),1,(TRIM(D34)="")),"",ROUND(D34+($AB34*0.1094/4.184),3))</f>
        <v>1.3</v>
      </c>
      <c r="AS34" s="85" t="n">
        <f aca="false">IF(IF(ISBLANK(E34),1,(TRIM(E34)="")),"",ROUND(E34+($AB34*0.1094/4.184),3))</f>
        <v>1.3</v>
      </c>
      <c r="AT34" s="101" t="n">
        <f aca="false">IF(IF(ISBLANK(F34),1,(TRIM(F34)="")),"",ROUND(F34+($AB34*0.1094/4.184),3))</f>
        <v>1.361</v>
      </c>
      <c r="AU34" s="85" t="n">
        <f aca="false">IF(IF(ISBLANK(G34),1,(TRIM(G34)="")),"",ROUND(G34+($AB34*0.1094/4.184),3))</f>
        <v>1.37</v>
      </c>
      <c r="AV34" s="101" t="n">
        <f aca="false">IF(IF(ISBLANK(H34),1,(TRIM(H34)="")),"",ROUND(H34+($AB34*0.1094/4.184),3))</f>
        <v>1.36</v>
      </c>
      <c r="AW34" s="85" t="n">
        <f aca="false">IF(IF(ISBLANK(I34),1,(TRIM(I34)="")),"",ROUND(I34+($AB34*0.1094/4.184),3))</f>
        <v>1.372</v>
      </c>
      <c r="AX34" s="101" t="n">
        <f aca="false">IF(IF(ISBLANK(J34),1,(TRIM(J34)="")),"",ROUND(J34+($AB34*0.1094/4.184),3))</f>
        <v>1.372</v>
      </c>
      <c r="AY34" s="85" t="n">
        <f aca="false">IF(IF(ISBLANK(K34),1,(TRIM(K34)="")),"",ROUND(K34+($AB34*0.1094/4.184),3))</f>
        <v>1.359</v>
      </c>
      <c r="AZ34" s="101" t="n">
        <f aca="false">IF(IF(ISBLANK(L34),1,(TRIM(L34)="")),"",ROUND(L34+($AB34*0.1094/4.184),3))</f>
        <v>1.37</v>
      </c>
      <c r="BA34" s="85" t="n">
        <f aca="false">IF(IF(ISBLANK(M34),1,(TRIM(M34)="")),"",ROUND(M34+($AB34*0.1094/4.184),3))</f>
        <v>1.372</v>
      </c>
    </row>
    <row r="35" customFormat="false" ht="12.75" hidden="false" customHeight="false" outlineLevel="0" collapsed="false">
      <c r="B35" s="31" t="s">
        <v>49</v>
      </c>
      <c r="C35" s="64" t="s">
        <v>169</v>
      </c>
      <c r="D35" s="63" t="n">
        <v>10.64</v>
      </c>
      <c r="E35" s="64" t="s">
        <v>267</v>
      </c>
      <c r="F35" s="63" t="n">
        <v>9.95</v>
      </c>
      <c r="G35" s="64" t="s">
        <v>267</v>
      </c>
      <c r="H35" s="63" t="n">
        <v>9.95</v>
      </c>
      <c r="I35" s="62" t="n">
        <v>9.95</v>
      </c>
      <c r="J35" s="103" t="s">
        <v>268</v>
      </c>
      <c r="K35" s="62" t="n">
        <v>9.932</v>
      </c>
      <c r="L35" s="65" t="s">
        <v>269</v>
      </c>
      <c r="M35" s="64" t="s">
        <v>270</v>
      </c>
      <c r="O35" s="31" t="s">
        <v>49</v>
      </c>
      <c r="P35" s="85" t="n">
        <f aca="false">IF(IF(ISBLANK(C35),1,(TRIM(C35)="")),"",ROUND(4.184*C35,3))</f>
        <v>46.024</v>
      </c>
      <c r="Q35" s="101" t="n">
        <f aca="false">IF(IF(ISBLANK(D35),1,(TRIM(D35)="")),"",ROUND(4.184*D35,3))</f>
        <v>44.518</v>
      </c>
      <c r="R35" s="85" t="n">
        <f aca="false">IF(IF(ISBLANK(E35),1,(TRIM(E35)="")),"",ROUND(4.184*E35,3))</f>
        <v>41.631</v>
      </c>
      <c r="S35" s="101" t="n">
        <f aca="false">IF(IF(ISBLANK(F35),1,(TRIM(F35)="")),"",ROUND(4.184*F35,3))</f>
        <v>41.631</v>
      </c>
      <c r="T35" s="85" t="n">
        <f aca="false">IF(IF(ISBLANK(G35),1,(TRIM(G35)="")),"",ROUND(4.184*G35,3))</f>
        <v>41.631</v>
      </c>
      <c r="U35" s="101" t="n">
        <f aca="false">IF(IF(ISBLANK(H35),1,(TRIM(H35)="")),"",ROUND(4.184*H35,3))</f>
        <v>41.631</v>
      </c>
      <c r="V35" s="85" t="n">
        <f aca="false">IF(IF(ISBLANK(I35),1,(TRIM(I35)="")),"",ROUND(4.184*I35,3))</f>
        <v>41.631</v>
      </c>
      <c r="W35" s="101" t="n">
        <f aca="false">IF(IF(ISBLANK(J35),1,(TRIM(J35)="")),"",ROUND(4.184*J35,3))</f>
        <v>41.422</v>
      </c>
      <c r="X35" s="85" t="n">
        <f aca="false">IF(IF(ISBLANK(K35),1,(TRIM(K35)="")),"",ROUND(4.184*K35,3))</f>
        <v>41.555</v>
      </c>
      <c r="Y35" s="101" t="n">
        <f aca="false">IF(IF(ISBLANK(L35),1,(TRIM(L35)="")),"",ROUND(4.184*L35,3))</f>
        <v>41.422</v>
      </c>
      <c r="Z35" s="85" t="n">
        <f aca="false">IF(IF(ISBLANK(M35),1,(TRIM(M35)="")),"",ROUND(4.184*M35,3))</f>
        <v>41.589</v>
      </c>
      <c r="AB35" s="34"/>
      <c r="AC35" s="31" t="s">
        <v>49</v>
      </c>
      <c r="AD35" s="85" t="n">
        <f aca="false">IF(IF(ISBLANK(C35),1,(TRIM(C35)="")),"",ROUND(4.184*C35+$AB35*0.1094,3))</f>
        <v>46.024</v>
      </c>
      <c r="AE35" s="101" t="n">
        <f aca="false">IF(IF(ISBLANK(D35),1,(TRIM(D35)="")),"",ROUND(4.184*D35+$AB35*0.1094,3))</f>
        <v>44.518</v>
      </c>
      <c r="AF35" s="85" t="n">
        <f aca="false">IF(IF(ISBLANK(E35),1,(TRIM(E35)="")),"",ROUND(4.184*E35+$AB35*0.1094,3))</f>
        <v>41.631</v>
      </c>
      <c r="AG35" s="101" t="n">
        <f aca="false">IF(IF(ISBLANK(F35),1,(TRIM(F35)="")),"",ROUND(4.184*F35+$AB35*0.1094,3))</f>
        <v>41.631</v>
      </c>
      <c r="AH35" s="85" t="n">
        <f aca="false">IF(IF(ISBLANK(G35),1,(TRIM(G35)="")),"",ROUND(4.184*G35+$AB35*0.1094,3))</f>
        <v>41.631</v>
      </c>
      <c r="AI35" s="101" t="n">
        <f aca="false">IF(IF(ISBLANK(H35),1,(TRIM(H35)="")),"",ROUND(4.184*H35+$AB35*0.1094,3))</f>
        <v>41.631</v>
      </c>
      <c r="AJ35" s="85" t="n">
        <f aca="false">IF(IF(ISBLANK(I35),1,(TRIM(I35)="")),"",ROUND(4.184*I35+$AB35*0.1094,3))</f>
        <v>41.631</v>
      </c>
      <c r="AK35" s="101" t="n">
        <f aca="false">IF(IF(ISBLANK(J35),1,(TRIM(J35)="")),"",ROUND(4.184*J35+$AB35*0.1094,3))</f>
        <v>41.422</v>
      </c>
      <c r="AL35" s="85" t="n">
        <f aca="false">IF(IF(ISBLANK(K35),1,(TRIM(K35)="")),"",ROUND(4.184*K35+$AB35*0.1094,3))</f>
        <v>41.555</v>
      </c>
      <c r="AM35" s="101" t="n">
        <f aca="false">IF(IF(ISBLANK(L35),1,(TRIM(L35)="")),"",ROUND(4.184*L35+$AB35*0.1094,3))</f>
        <v>41.422</v>
      </c>
      <c r="AN35" s="85" t="n">
        <f aca="false">IF(IF(ISBLANK(M35),1,(TRIM(M35)="")),"",ROUND(4.184*M35+$AB35*0.1094,3))</f>
        <v>41.589</v>
      </c>
      <c r="AP35" s="31" t="s">
        <v>49</v>
      </c>
      <c r="AQ35" s="85" t="n">
        <f aca="false">IF(IF(ISBLANK(C35),1,(TRIM(C35)="")),"",ROUND(C35+($AB35*0.1094/4.184),3))</f>
        <v>11</v>
      </c>
      <c r="AR35" s="101" t="n">
        <f aca="false">IF(IF(ISBLANK(D35),1,(TRIM(D35)="")),"",ROUND(D35+($AB35*0.1094/4.184),3))</f>
        <v>10.64</v>
      </c>
      <c r="AS35" s="85" t="n">
        <f aca="false">IF(IF(ISBLANK(E35),1,(TRIM(E35)="")),"",ROUND(E35+($AB35*0.1094/4.184),3))</f>
        <v>9.95</v>
      </c>
      <c r="AT35" s="101" t="n">
        <f aca="false">IF(IF(ISBLANK(F35),1,(TRIM(F35)="")),"",ROUND(F35+($AB35*0.1094/4.184),3))</f>
        <v>9.95</v>
      </c>
      <c r="AU35" s="85" t="n">
        <f aca="false">IF(IF(ISBLANK(G35),1,(TRIM(G35)="")),"",ROUND(G35+($AB35*0.1094/4.184),3))</f>
        <v>9.95</v>
      </c>
      <c r="AV35" s="101" t="n">
        <f aca="false">IF(IF(ISBLANK(H35),1,(TRIM(H35)="")),"",ROUND(H35+($AB35*0.1094/4.184),3))</f>
        <v>9.95</v>
      </c>
      <c r="AW35" s="85" t="n">
        <f aca="false">IF(IF(ISBLANK(I35),1,(TRIM(I35)="")),"",ROUND(I35+($AB35*0.1094/4.184),3))</f>
        <v>9.95</v>
      </c>
      <c r="AX35" s="101" t="n">
        <f aca="false">IF(IF(ISBLANK(J35),1,(TRIM(J35)="")),"",ROUND(J35+($AB35*0.1094/4.184),3))</f>
        <v>9.9</v>
      </c>
      <c r="AY35" s="85" t="n">
        <f aca="false">IF(IF(ISBLANK(K35),1,(TRIM(K35)="")),"",ROUND(K35+($AB35*0.1094/4.184),3))</f>
        <v>9.932</v>
      </c>
      <c r="AZ35" s="101" t="n">
        <f aca="false">IF(IF(ISBLANK(L35),1,(TRIM(L35)="")),"",ROUND(L35+($AB35*0.1094/4.184),3))</f>
        <v>9.9</v>
      </c>
      <c r="BA35" s="85" t="n">
        <f aca="false">IF(IF(ISBLANK(M35),1,(TRIM(M35)="")),"",ROUND(M35+($AB35*0.1094/4.184),3))</f>
        <v>9.94</v>
      </c>
    </row>
    <row r="36" customFormat="false" ht="12.75" hidden="false" customHeight="false" outlineLevel="0" collapsed="false">
      <c r="B36" s="31" t="s">
        <v>50</v>
      </c>
      <c r="C36" s="62" t="n">
        <v>11.6</v>
      </c>
      <c r="D36" s="65" t="s">
        <v>172</v>
      </c>
      <c r="E36" s="64" t="s">
        <v>271</v>
      </c>
      <c r="F36" s="63" t="n">
        <v>12.3</v>
      </c>
      <c r="G36" s="64" t="s">
        <v>272</v>
      </c>
      <c r="H36" s="63" t="n">
        <v>12.37</v>
      </c>
      <c r="I36" s="62" t="n">
        <v>12.38</v>
      </c>
      <c r="J36" s="102" t="n">
        <v>12.37</v>
      </c>
      <c r="K36" s="62"/>
      <c r="L36" s="65" t="s">
        <v>273</v>
      </c>
      <c r="M36" s="64" t="s">
        <v>274</v>
      </c>
      <c r="O36" s="31" t="s">
        <v>50</v>
      </c>
      <c r="P36" s="85" t="n">
        <f aca="false">IF(IF(ISBLANK(C36),1,(TRIM(C36)="")),"",ROUND(4.184*C36,3))</f>
        <v>48.534</v>
      </c>
      <c r="Q36" s="101" t="n">
        <f aca="false">IF(IF(ISBLANK(D36),1,(TRIM(D36)="")),"",ROUND(4.184*D36,3))</f>
        <v>49.371</v>
      </c>
      <c r="R36" s="85" t="n">
        <f aca="false">IF(IF(ISBLANK(E36),1,(TRIM(E36)="")),"",ROUND(4.184*E36,3))</f>
        <v>51.463</v>
      </c>
      <c r="S36" s="101" t="n">
        <f aca="false">IF(IF(ISBLANK(F36),1,(TRIM(F36)="")),"",ROUND(4.184*F36,3))</f>
        <v>51.463</v>
      </c>
      <c r="T36" s="85" t="n">
        <f aca="false">IF(IF(ISBLANK(G36),1,(TRIM(G36)="")),"",ROUND(4.184*G36,3))</f>
        <v>51.756</v>
      </c>
      <c r="U36" s="101" t="n">
        <f aca="false">IF(IF(ISBLANK(H36),1,(TRIM(H36)="")),"",ROUND(4.184*H36,3))</f>
        <v>51.756</v>
      </c>
      <c r="V36" s="85" t="n">
        <f aca="false">IF(IF(ISBLANK(I36),1,(TRIM(I36)="")),"",ROUND(4.184*I36,3))</f>
        <v>51.798</v>
      </c>
      <c r="W36" s="101" t="n">
        <f aca="false">IF(IF(ISBLANK(J36),1,(TRIM(J36)="")),"",ROUND(4.184*J36,3))</f>
        <v>51.756</v>
      </c>
      <c r="X36" s="85" t="str">
        <f aca="false">IF(IF(ISBLANK(K36),1,(TRIM(K36)="")),"",ROUND(4.184*K36,3))</f>
        <v/>
      </c>
      <c r="Y36" s="101" t="n">
        <f aca="false">IF(IF(ISBLANK(L36),1,(TRIM(L36)="")),"",ROUND(4.184*L36,3))</f>
        <v>51.798</v>
      </c>
      <c r="Z36" s="85" t="n">
        <f aca="false">IF(IF(ISBLANK(M36),1,(TRIM(M36)="")),"",ROUND(4.184*M36,3))</f>
        <v>51.798</v>
      </c>
      <c r="AB36" s="34"/>
      <c r="AC36" s="31" t="s">
        <v>50</v>
      </c>
      <c r="AD36" s="85" t="n">
        <f aca="false">IF(IF(ISBLANK(C36),1,(TRIM(C36)="")),"",ROUND(4.184*C36+$AB36*0.1094,3))</f>
        <v>48.534</v>
      </c>
      <c r="AE36" s="101" t="n">
        <f aca="false">IF(IF(ISBLANK(D36),1,(TRIM(D36)="")),"",ROUND(4.184*D36+$AB36*0.1094,3))</f>
        <v>49.371</v>
      </c>
      <c r="AF36" s="85" t="n">
        <f aca="false">IF(IF(ISBLANK(E36),1,(TRIM(E36)="")),"",ROUND(4.184*E36+$AB36*0.1094,3))</f>
        <v>51.463</v>
      </c>
      <c r="AG36" s="101" t="n">
        <f aca="false">IF(IF(ISBLANK(F36),1,(TRIM(F36)="")),"",ROUND(4.184*F36+$AB36*0.1094,3))</f>
        <v>51.463</v>
      </c>
      <c r="AH36" s="85" t="n">
        <f aca="false">IF(IF(ISBLANK(G36),1,(TRIM(G36)="")),"",ROUND(4.184*G36+$AB36*0.1094,3))</f>
        <v>51.756</v>
      </c>
      <c r="AI36" s="101" t="n">
        <f aca="false">IF(IF(ISBLANK(H36),1,(TRIM(H36)="")),"",ROUND(4.184*H36+$AB36*0.1094,3))</f>
        <v>51.756</v>
      </c>
      <c r="AJ36" s="85" t="n">
        <f aca="false">IF(IF(ISBLANK(I36),1,(TRIM(I36)="")),"",ROUND(4.184*I36+$AB36*0.1094,3))</f>
        <v>51.798</v>
      </c>
      <c r="AK36" s="101" t="n">
        <f aca="false">IF(IF(ISBLANK(J36),1,(TRIM(J36)="")),"",ROUND(4.184*J36+$AB36*0.1094,3))</f>
        <v>51.756</v>
      </c>
      <c r="AL36" s="85" t="str">
        <f aca="false">IF(IF(ISBLANK(K36),1,(TRIM(K36)="")),"",ROUND(4.184*K36+$AB36*0.1094,3))</f>
        <v/>
      </c>
      <c r="AM36" s="101" t="n">
        <f aca="false">IF(IF(ISBLANK(L36),1,(TRIM(L36)="")),"",ROUND(4.184*L36+$AB36*0.1094,3))</f>
        <v>51.798</v>
      </c>
      <c r="AN36" s="85" t="n">
        <f aca="false">IF(IF(ISBLANK(M36),1,(TRIM(M36)="")),"",ROUND(4.184*M36+$AB36*0.1094,3))</f>
        <v>51.798</v>
      </c>
      <c r="AP36" s="31" t="s">
        <v>50</v>
      </c>
      <c r="AQ36" s="85" t="n">
        <f aca="false">IF(IF(ISBLANK(C36),1,(TRIM(C36)="")),"",ROUND(C36+($AB36*0.1094/4.184),3))</f>
        <v>11.6</v>
      </c>
      <c r="AR36" s="101" t="n">
        <f aca="false">IF(IF(ISBLANK(D36),1,(TRIM(D36)="")),"",ROUND(D36+($AB36*0.1094/4.184),3))</f>
        <v>11.8</v>
      </c>
      <c r="AS36" s="85" t="n">
        <f aca="false">IF(IF(ISBLANK(E36),1,(TRIM(E36)="")),"",ROUND(E36+($AB36*0.1094/4.184),3))</f>
        <v>12.3</v>
      </c>
      <c r="AT36" s="101" t="n">
        <f aca="false">IF(IF(ISBLANK(F36),1,(TRIM(F36)="")),"",ROUND(F36+($AB36*0.1094/4.184),3))</f>
        <v>12.3</v>
      </c>
      <c r="AU36" s="85" t="n">
        <f aca="false">IF(IF(ISBLANK(G36),1,(TRIM(G36)="")),"",ROUND(G36+($AB36*0.1094/4.184),3))</f>
        <v>12.37</v>
      </c>
      <c r="AV36" s="101" t="n">
        <f aca="false">IF(IF(ISBLANK(H36),1,(TRIM(H36)="")),"",ROUND(H36+($AB36*0.1094/4.184),3))</f>
        <v>12.37</v>
      </c>
      <c r="AW36" s="85" t="n">
        <f aca="false">IF(IF(ISBLANK(I36),1,(TRIM(I36)="")),"",ROUND(I36+($AB36*0.1094/4.184),3))</f>
        <v>12.38</v>
      </c>
      <c r="AX36" s="101" t="n">
        <f aca="false">IF(IF(ISBLANK(J36),1,(TRIM(J36)="")),"",ROUND(J36+($AB36*0.1094/4.184),3))</f>
        <v>12.37</v>
      </c>
      <c r="AY36" s="85" t="str">
        <f aca="false">IF(IF(ISBLANK(K36),1,(TRIM(K36)="")),"",ROUND(K36+($AB36*0.1094/4.184),3))</f>
        <v/>
      </c>
      <c r="AZ36" s="101" t="n">
        <f aca="false">IF(IF(ISBLANK(L36),1,(TRIM(L36)="")),"",ROUND(L36+($AB36*0.1094/4.184),3))</f>
        <v>12.38</v>
      </c>
      <c r="BA36" s="85" t="n">
        <f aca="false">IF(IF(ISBLANK(M36),1,(TRIM(M36)="")),"",ROUND(M36+($AB36*0.1094/4.184),3))</f>
        <v>12.38</v>
      </c>
    </row>
    <row r="37" customFormat="false" ht="12.75" hidden="false" customHeight="false" outlineLevel="0" collapsed="false">
      <c r="A37" s="10"/>
      <c r="B37" s="31" t="s">
        <v>51</v>
      </c>
      <c r="C37" s="62" t="n">
        <v>13.8</v>
      </c>
      <c r="D37" s="63" t="n">
        <v>13.8</v>
      </c>
      <c r="E37" s="64" t="s">
        <v>259</v>
      </c>
      <c r="F37" s="63" t="n">
        <v>13.8</v>
      </c>
      <c r="G37" s="64" t="s">
        <v>275</v>
      </c>
      <c r="H37" s="63" t="n">
        <v>16.6</v>
      </c>
      <c r="I37" s="62" t="n">
        <v>15.3</v>
      </c>
      <c r="J37" s="102" t="n">
        <v>17.2</v>
      </c>
      <c r="K37" s="62"/>
      <c r="L37" s="65" t="s">
        <v>276</v>
      </c>
      <c r="M37" s="64" t="s">
        <v>277</v>
      </c>
      <c r="N37" s="10"/>
      <c r="O37" s="31" t="s">
        <v>51</v>
      </c>
      <c r="P37" s="85" t="n">
        <f aca="false">IF(IF(ISBLANK(C37),1,(TRIM(C37)="")),"",ROUND(4.184*C37,3))</f>
        <v>57.739</v>
      </c>
      <c r="Q37" s="101" t="n">
        <f aca="false">IF(IF(ISBLANK(D37),1,(TRIM(D37)="")),"",ROUND(4.184*D37,3))</f>
        <v>57.739</v>
      </c>
      <c r="R37" s="85" t="n">
        <f aca="false">IF(IF(ISBLANK(E37),1,(TRIM(E37)="")),"",ROUND(4.184*E37,3))</f>
        <v>57.739</v>
      </c>
      <c r="S37" s="101" t="n">
        <f aca="false">IF(IF(ISBLANK(F37),1,(TRIM(F37)="")),"",ROUND(4.184*F37,3))</f>
        <v>57.739</v>
      </c>
      <c r="T37" s="85" t="n">
        <f aca="false">IF(IF(ISBLANK(G37),1,(TRIM(G37)="")),"",ROUND(4.184*G37,3))</f>
        <v>69.622</v>
      </c>
      <c r="U37" s="101" t="n">
        <f aca="false">IF(IF(ISBLANK(H37),1,(TRIM(H37)="")),"",ROUND(4.184*H37,3))</f>
        <v>69.454</v>
      </c>
      <c r="V37" s="85" t="n">
        <f aca="false">IF(IF(ISBLANK(I37),1,(TRIM(I37)="")),"",ROUND(4.184*I37,3))</f>
        <v>64.015</v>
      </c>
      <c r="W37" s="101" t="n">
        <f aca="false">IF(IF(ISBLANK(J37),1,(TRIM(J37)="")),"",ROUND(4.184*J37,3))</f>
        <v>71.965</v>
      </c>
      <c r="X37" s="85" t="str">
        <f aca="false">IF(IF(ISBLANK(K37),1,(TRIM(K37)="")),"",ROUND(4.184*K37,3))</f>
        <v/>
      </c>
      <c r="Y37" s="101" t="n">
        <f aca="false">IF(IF(ISBLANK(L37),1,(TRIM(L37)="")),"",ROUND(4.184*L37,3))</f>
        <v>69.454</v>
      </c>
      <c r="Z37" s="85" t="n">
        <f aca="false">IF(IF(ISBLANK(M37),1,(TRIM(M37)="")),"",ROUND(4.184*M37,3))</f>
        <v>71.965</v>
      </c>
      <c r="AB37" s="34"/>
      <c r="AC37" s="31" t="s">
        <v>51</v>
      </c>
      <c r="AD37" s="85" t="n">
        <f aca="false">IF(IF(ISBLANK(C37),1,(TRIM(C37)="")),"",ROUND(4.184*C37+$AB37*0.1094,3))</f>
        <v>57.739</v>
      </c>
      <c r="AE37" s="101" t="n">
        <f aca="false">IF(IF(ISBLANK(D37),1,(TRIM(D37)="")),"",ROUND(4.184*D37+$AB37*0.1094,3))</f>
        <v>57.739</v>
      </c>
      <c r="AF37" s="85" t="n">
        <f aca="false">IF(IF(ISBLANK(E37),1,(TRIM(E37)="")),"",ROUND(4.184*E37+$AB37*0.1094,3))</f>
        <v>57.739</v>
      </c>
      <c r="AG37" s="101" t="n">
        <f aca="false">IF(IF(ISBLANK(F37),1,(TRIM(F37)="")),"",ROUND(4.184*F37+$AB37*0.1094,3))</f>
        <v>57.739</v>
      </c>
      <c r="AH37" s="85" t="n">
        <f aca="false">IF(IF(ISBLANK(G37),1,(TRIM(G37)="")),"",ROUND(4.184*G37+$AB37*0.1094,3))</f>
        <v>69.622</v>
      </c>
      <c r="AI37" s="101" t="n">
        <f aca="false">IF(IF(ISBLANK(H37),1,(TRIM(H37)="")),"",ROUND(4.184*H37+$AB37*0.1094,3))</f>
        <v>69.454</v>
      </c>
      <c r="AJ37" s="85" t="n">
        <f aca="false">IF(IF(ISBLANK(I37),1,(TRIM(I37)="")),"",ROUND(4.184*I37+$AB37*0.1094,3))</f>
        <v>64.015</v>
      </c>
      <c r="AK37" s="101" t="n">
        <f aca="false">IF(IF(ISBLANK(J37),1,(TRIM(J37)="")),"",ROUND(4.184*J37+$AB37*0.1094,3))</f>
        <v>71.965</v>
      </c>
      <c r="AL37" s="85" t="str">
        <f aca="false">IF(IF(ISBLANK(K37),1,(TRIM(K37)="")),"",ROUND(4.184*K37+$AB37*0.1094,3))</f>
        <v/>
      </c>
      <c r="AM37" s="101" t="n">
        <f aca="false">IF(IF(ISBLANK(L37),1,(TRIM(L37)="")),"",ROUND(4.184*L37+$AB37*0.1094,3))</f>
        <v>69.454</v>
      </c>
      <c r="AN37" s="85" t="n">
        <f aca="false">IF(IF(ISBLANK(M37),1,(TRIM(M37)="")),"",ROUND(4.184*M37+$AB37*0.1094,3))</f>
        <v>71.965</v>
      </c>
      <c r="AP37" s="31" t="s">
        <v>51</v>
      </c>
      <c r="AQ37" s="85" t="n">
        <f aca="false">IF(IF(ISBLANK(C37),1,(TRIM(C37)="")),"",ROUND(C37+($AB37*0.1094/4.184),3))</f>
        <v>13.8</v>
      </c>
      <c r="AR37" s="101" t="n">
        <f aca="false">IF(IF(ISBLANK(D37),1,(TRIM(D37)="")),"",ROUND(D37+($AB37*0.1094/4.184),3))</f>
        <v>13.8</v>
      </c>
      <c r="AS37" s="85" t="n">
        <f aca="false">IF(IF(ISBLANK(E37),1,(TRIM(E37)="")),"",ROUND(E37+($AB37*0.1094/4.184),3))</f>
        <v>13.8</v>
      </c>
      <c r="AT37" s="101" t="n">
        <f aca="false">IF(IF(ISBLANK(F37),1,(TRIM(F37)="")),"",ROUND(F37+($AB37*0.1094/4.184),3))</f>
        <v>13.8</v>
      </c>
      <c r="AU37" s="85" t="n">
        <f aca="false">IF(IF(ISBLANK(G37),1,(TRIM(G37)="")),"",ROUND(G37+($AB37*0.1094/4.184),3))</f>
        <v>16.64</v>
      </c>
      <c r="AV37" s="101" t="n">
        <f aca="false">IF(IF(ISBLANK(H37),1,(TRIM(H37)="")),"",ROUND(H37+($AB37*0.1094/4.184),3))</f>
        <v>16.6</v>
      </c>
      <c r="AW37" s="85" t="n">
        <f aca="false">IF(IF(ISBLANK(I37),1,(TRIM(I37)="")),"",ROUND(I37+($AB37*0.1094/4.184),3))</f>
        <v>15.3</v>
      </c>
      <c r="AX37" s="101" t="n">
        <f aca="false">IF(IF(ISBLANK(J37),1,(TRIM(J37)="")),"",ROUND(J37+($AB37*0.1094/4.184),3))</f>
        <v>17.2</v>
      </c>
      <c r="AY37" s="85" t="str">
        <f aca="false">IF(IF(ISBLANK(K37),1,(TRIM(K37)="")),"",ROUND(K37+($AB37*0.1094/4.184),3))</f>
        <v/>
      </c>
      <c r="AZ37" s="101" t="n">
        <f aca="false">IF(IF(ISBLANK(L37),1,(TRIM(L37)="")),"",ROUND(L37+($AB37*0.1094/4.184),3))</f>
        <v>16.6</v>
      </c>
      <c r="BA37" s="85" t="n">
        <f aca="false">IF(IF(ISBLANK(M37),1,(TRIM(M37)="")),"",ROUND(M37+($AB37*0.1094/4.184),3))</f>
        <v>17.2</v>
      </c>
    </row>
    <row r="38" customFormat="false" ht="12.75" hidden="false" customHeight="false" outlineLevel="0" collapsed="false">
      <c r="B38" s="31" t="s">
        <v>52</v>
      </c>
      <c r="C38" s="64"/>
      <c r="D38" s="63"/>
      <c r="E38" s="64"/>
      <c r="F38" s="63"/>
      <c r="G38" s="62"/>
      <c r="H38" s="63"/>
      <c r="I38" s="62"/>
      <c r="J38" s="102"/>
      <c r="K38" s="62"/>
      <c r="L38" s="63"/>
      <c r="M38" s="62"/>
      <c r="O38" s="31" t="s">
        <v>52</v>
      </c>
      <c r="P38" s="85" t="str">
        <f aca="false">IF(IF(ISBLANK(C38),1,(TRIM(C38)="")),"",ROUND(4.184*C38,3))</f>
        <v/>
      </c>
      <c r="Q38" s="101" t="str">
        <f aca="false">IF(IF(ISBLANK(D38),1,(TRIM(D38)="")),"",ROUND(4.184*D38,3))</f>
        <v/>
      </c>
      <c r="R38" s="85" t="str">
        <f aca="false">IF(IF(ISBLANK(E38),1,(TRIM(E38)="")),"",ROUND(4.184*E38,3))</f>
        <v/>
      </c>
      <c r="S38" s="101" t="str">
        <f aca="false">IF(IF(ISBLANK(F38),1,(TRIM(F38)="")),"",ROUND(4.184*F38,3))</f>
        <v/>
      </c>
      <c r="T38" s="85" t="str">
        <f aca="false">IF(IF(ISBLANK(G38),1,(TRIM(G38)="")),"",ROUND(4.184*G38,3))</f>
        <v/>
      </c>
      <c r="U38" s="101" t="str">
        <f aca="false">IF(IF(ISBLANK(H38),1,(TRIM(H38)="")),"",ROUND(4.184*H38,3))</f>
        <v/>
      </c>
      <c r="V38" s="85" t="str">
        <f aca="false">IF(IF(ISBLANK(I38),1,(TRIM(I38)="")),"",ROUND(4.184*I38,3))</f>
        <v/>
      </c>
      <c r="W38" s="101" t="str">
        <f aca="false">IF(IF(ISBLANK(J38),1,(TRIM(J38)="")),"",ROUND(4.184*J38,3))</f>
        <v/>
      </c>
      <c r="X38" s="85" t="str">
        <f aca="false">IF(IF(ISBLANK(K38),1,(TRIM(K38)="")),"",ROUND(4.184*K38,3))</f>
        <v/>
      </c>
      <c r="Y38" s="101" t="str">
        <f aca="false">IF(IF(ISBLANK(L38),1,(TRIM(L38)="")),"",ROUND(4.184*L38,3))</f>
        <v/>
      </c>
      <c r="Z38" s="85" t="str">
        <f aca="false">IF(IF(ISBLANK(M38),1,(TRIM(M38)="")),"",ROUND(4.184*M38,3))</f>
        <v/>
      </c>
      <c r="AB38" s="34"/>
      <c r="AC38" s="31" t="s">
        <v>52</v>
      </c>
      <c r="AD38" s="85" t="str">
        <f aca="false">IF(IF(ISBLANK(C38),1,(TRIM(C38)="")),"",ROUND(4.184*C38+$AB38*0.1094,3))</f>
        <v/>
      </c>
      <c r="AE38" s="101" t="str">
        <f aca="false">IF(IF(ISBLANK(D38),1,(TRIM(D38)="")),"",ROUND(4.184*D38+$AB38*0.1094,3))</f>
        <v/>
      </c>
      <c r="AF38" s="85" t="str">
        <f aca="false">IF(IF(ISBLANK(E38),1,(TRIM(E38)="")),"",ROUND(4.184*E38+$AB38*0.1094,3))</f>
        <v/>
      </c>
      <c r="AG38" s="101" t="str">
        <f aca="false">IF(IF(ISBLANK(F38),1,(TRIM(F38)="")),"",ROUND(4.184*F38+$AB38*0.1094,3))</f>
        <v/>
      </c>
      <c r="AH38" s="85" t="str">
        <f aca="false">IF(IF(ISBLANK(G38),1,(TRIM(G38)="")),"",ROUND(4.184*G38+$AB38*0.1094,3))</f>
        <v/>
      </c>
      <c r="AI38" s="101" t="str">
        <f aca="false">IF(IF(ISBLANK(H38),1,(TRIM(H38)="")),"",ROUND(4.184*H38+$AB38*0.1094,3))</f>
        <v/>
      </c>
      <c r="AJ38" s="85" t="str">
        <f aca="false">IF(IF(ISBLANK(I38),1,(TRIM(I38)="")),"",ROUND(4.184*I38+$AB38*0.1094,3))</f>
        <v/>
      </c>
      <c r="AK38" s="101" t="str">
        <f aca="false">IF(IF(ISBLANK(J38),1,(TRIM(J38)="")),"",ROUND(4.184*J38+$AB38*0.1094,3))</f>
        <v/>
      </c>
      <c r="AL38" s="85" t="str">
        <f aca="false">IF(IF(ISBLANK(K38),1,(TRIM(K38)="")),"",ROUND(4.184*K38+$AB38*0.1094,3))</f>
        <v/>
      </c>
      <c r="AM38" s="101" t="str">
        <f aca="false">IF(IF(ISBLANK(L38),1,(TRIM(L38)="")),"",ROUND(4.184*L38+$AB38*0.1094,3))</f>
        <v/>
      </c>
      <c r="AN38" s="85" t="str">
        <f aca="false">IF(IF(ISBLANK(M38),1,(TRIM(M38)="")),"",ROUND(4.184*M38+$AB38*0.1094,3))</f>
        <v/>
      </c>
      <c r="AP38" s="31" t="s">
        <v>52</v>
      </c>
      <c r="AQ38" s="85" t="str">
        <f aca="false">IF(IF(ISBLANK(C38),1,(TRIM(C38)="")),"",ROUND(C38+($AB38*0.1094/4.184),3))</f>
        <v/>
      </c>
      <c r="AR38" s="101" t="str">
        <f aca="false">IF(IF(ISBLANK(D38),1,(TRIM(D38)="")),"",ROUND(D38+($AB38*0.1094/4.184),3))</f>
        <v/>
      </c>
      <c r="AS38" s="85" t="str">
        <f aca="false">IF(IF(ISBLANK(E38),1,(TRIM(E38)="")),"",ROUND(E38+($AB38*0.1094/4.184),3))</f>
        <v/>
      </c>
      <c r="AT38" s="101" t="str">
        <f aca="false">IF(IF(ISBLANK(F38),1,(TRIM(F38)="")),"",ROUND(F38+($AB38*0.1094/4.184),3))</f>
        <v/>
      </c>
      <c r="AU38" s="85" t="str">
        <f aca="false">IF(IF(ISBLANK(G38),1,(TRIM(G38)="")),"",ROUND(G38+($AB38*0.1094/4.184),3))</f>
        <v/>
      </c>
      <c r="AV38" s="101" t="str">
        <f aca="false">IF(IF(ISBLANK(H38),1,(TRIM(H38)="")),"",ROUND(H38+($AB38*0.1094/4.184),3))</f>
        <v/>
      </c>
      <c r="AW38" s="85" t="str">
        <f aca="false">IF(IF(ISBLANK(I38),1,(TRIM(I38)="")),"",ROUND(I38+($AB38*0.1094/4.184),3))</f>
        <v/>
      </c>
      <c r="AX38" s="101" t="str">
        <f aca="false">IF(IF(ISBLANK(J38),1,(TRIM(J38)="")),"",ROUND(J38+($AB38*0.1094/4.184),3))</f>
        <v/>
      </c>
      <c r="AY38" s="85" t="str">
        <f aca="false">IF(IF(ISBLANK(K38),1,(TRIM(K38)="")),"",ROUND(K38+($AB38*0.1094/4.184),3))</f>
        <v/>
      </c>
      <c r="AZ38" s="101" t="str">
        <f aca="false">IF(IF(ISBLANK(L38),1,(TRIM(L38)="")),"",ROUND(L38+($AB38*0.1094/4.184),3))</f>
        <v/>
      </c>
      <c r="BA38" s="85" t="str">
        <f aca="false">IF(IF(ISBLANK(M38),1,(TRIM(M38)="")),"",ROUND(M38+($AB38*0.1094/4.184),3))</f>
        <v/>
      </c>
    </row>
    <row r="39" s="90" customFormat="true" ht="12.75" hidden="false" customHeight="false" outlineLevel="0" collapsed="false">
      <c r="A39" s="89"/>
      <c r="B39" s="38" t="s">
        <v>54</v>
      </c>
      <c r="C39" s="64" t="s">
        <v>173</v>
      </c>
      <c r="D39" s="65" t="s">
        <v>174</v>
      </c>
      <c r="E39" s="64" t="s">
        <v>278</v>
      </c>
      <c r="F39" s="63" t="n">
        <v>53.286</v>
      </c>
      <c r="G39" s="64" t="s">
        <v>279</v>
      </c>
      <c r="H39" s="63" t="n">
        <v>53.29</v>
      </c>
      <c r="I39" s="62" t="n">
        <v>53.288</v>
      </c>
      <c r="J39" s="102" t="n">
        <v>53.288</v>
      </c>
      <c r="K39" s="64" t="s">
        <v>280</v>
      </c>
      <c r="L39" s="65" t="s">
        <v>281</v>
      </c>
      <c r="M39" s="64" t="s">
        <v>282</v>
      </c>
      <c r="O39" s="38" t="s">
        <v>54</v>
      </c>
      <c r="P39" s="85" t="n">
        <f aca="false">IF(IF(ISBLANK(C39),1,(TRIM(C39)="")),"",ROUND(4.184*C39,3))</f>
        <v>215.058</v>
      </c>
      <c r="Q39" s="101" t="n">
        <f aca="false">IF(IF(ISBLANK(D39),1,(TRIM(D39)="")),"",ROUND(4.184*D39,3))</f>
        <v>220.078</v>
      </c>
      <c r="R39" s="85" t="n">
        <f aca="false">IF(IF(ISBLANK(E39),1,(TRIM(E39)="")),"",ROUND(4.184*E39,3))</f>
        <v>221.752</v>
      </c>
      <c r="S39" s="101" t="n">
        <f aca="false">IF(IF(ISBLANK(F39),1,(TRIM(F39)="")),"",ROUND(4.184*F39,3))</f>
        <v>222.949</v>
      </c>
      <c r="T39" s="85" t="n">
        <f aca="false">IF(IF(ISBLANK(G39),1,(TRIM(G39)="")),"",ROUND(4.184*G39,3))</f>
        <v>222.965</v>
      </c>
      <c r="U39" s="101" t="n">
        <f aca="false">IF(IF(ISBLANK(H39),1,(TRIM(H39)="")),"",ROUND(4.184*H39,3))</f>
        <v>222.965</v>
      </c>
      <c r="V39" s="85" t="n">
        <f aca="false">IF(IF(ISBLANK(I39),1,(TRIM(I39)="")),"",ROUND(4.184*I39,3))</f>
        <v>222.957</v>
      </c>
      <c r="W39" s="101" t="n">
        <f aca="false">IF(IF(ISBLANK(J39),1,(TRIM(J39)="")),"",ROUND(4.184*J39,3))</f>
        <v>222.957</v>
      </c>
      <c r="X39" s="85" t="n">
        <f aca="false">IF(IF(ISBLANK(K39),1,(TRIM(K39)="")),"",ROUND(4.184*K39,3))</f>
        <v>222.961</v>
      </c>
      <c r="Y39" s="101" t="n">
        <f aca="false">IF(IF(ISBLANK(L39),1,(TRIM(L39)="")),"",ROUND(4.184*L39,3))</f>
        <v>222.974</v>
      </c>
      <c r="Z39" s="85" t="n">
        <f aca="false">IF(IF(ISBLANK(M39),1,(TRIM(M39)="")),"",ROUND(4.184*M39,3))</f>
        <v>222.965</v>
      </c>
      <c r="AB39" s="34" t="n">
        <v>1</v>
      </c>
      <c r="AC39" s="38" t="s">
        <v>54</v>
      </c>
      <c r="AD39" s="85" t="n">
        <f aca="false">IF(IF(ISBLANK(C39),1,(TRIM(C39)="")),"",ROUND(4.184*C39+$AB39*0.1094,3))</f>
        <v>215.167</v>
      </c>
      <c r="AE39" s="101" t="n">
        <f aca="false">IF(IF(ISBLANK(D39),1,(TRIM(D39)="")),"",ROUND(4.184*D39+$AB39*0.1094,3))</f>
        <v>220.188</v>
      </c>
      <c r="AF39" s="85" t="n">
        <f aca="false">IF(IF(ISBLANK(E39),1,(TRIM(E39)="")),"",ROUND(4.184*E39+$AB39*0.1094,3))</f>
        <v>221.861</v>
      </c>
      <c r="AG39" s="101" t="n">
        <f aca="false">IF(IF(ISBLANK(F39),1,(TRIM(F39)="")),"",ROUND(4.184*F39+$AB39*0.1094,3))</f>
        <v>223.058</v>
      </c>
      <c r="AH39" s="85" t="n">
        <f aca="false">IF(IF(ISBLANK(G39),1,(TRIM(G39)="")),"",ROUND(4.184*G39+$AB39*0.1094,3))</f>
        <v>223.075</v>
      </c>
      <c r="AI39" s="101" t="n">
        <f aca="false">IF(IF(ISBLANK(H39),1,(TRIM(H39)="")),"",ROUND(4.184*H39+$AB39*0.1094,3))</f>
        <v>223.075</v>
      </c>
      <c r="AJ39" s="85" t="n">
        <f aca="false">IF(IF(ISBLANK(I39),1,(TRIM(I39)="")),"",ROUND(4.184*I39+$AB39*0.1094,3))</f>
        <v>223.066</v>
      </c>
      <c r="AK39" s="101" t="n">
        <f aca="false">IF(IF(ISBLANK(J39),1,(TRIM(J39)="")),"",ROUND(4.184*J39+$AB39*0.1094,3))</f>
        <v>223.066</v>
      </c>
      <c r="AL39" s="85" t="n">
        <f aca="false">IF(IF(ISBLANK(K39),1,(TRIM(K39)="")),"",ROUND(4.184*K39+$AB39*0.1094,3))</f>
        <v>223.071</v>
      </c>
      <c r="AM39" s="101" t="n">
        <f aca="false">IF(IF(ISBLANK(L39),1,(TRIM(L39)="")),"",ROUND(4.184*L39+$AB39*0.1094,3))</f>
        <v>223.083</v>
      </c>
      <c r="AN39" s="85" t="n">
        <f aca="false">IF(IF(ISBLANK(M39),1,(TRIM(M39)="")),"",ROUND(4.184*M39+$AB39*0.1094,3))</f>
        <v>223.075</v>
      </c>
      <c r="AP39" s="38" t="s">
        <v>54</v>
      </c>
      <c r="AQ39" s="85" t="n">
        <f aca="false">IF(IF(ISBLANK(C39),1,(TRIM(C39)="")),"",ROUND(C39+($AB39*0.1094/4.184),3))</f>
        <v>51.426</v>
      </c>
      <c r="AR39" s="101" t="n">
        <f aca="false">IF(IF(ISBLANK(D39),1,(TRIM(D39)="")),"",ROUND(D39+($AB39*0.1094/4.184),3))</f>
        <v>52.626</v>
      </c>
      <c r="AS39" s="85" t="n">
        <f aca="false">IF(IF(ISBLANK(E39),1,(TRIM(E39)="")),"",ROUND(E39+($AB39*0.1094/4.184),3))</f>
        <v>53.026</v>
      </c>
      <c r="AT39" s="101" t="n">
        <f aca="false">IF(IF(ISBLANK(F39),1,(TRIM(F39)="")),"",ROUND(F39+($AB39*0.1094/4.184),3))</f>
        <v>53.312</v>
      </c>
      <c r="AU39" s="85" t="n">
        <f aca="false">IF(IF(ISBLANK(G39),1,(TRIM(G39)="")),"",ROUND(G39+($AB39*0.1094/4.184),3))</f>
        <v>53.316</v>
      </c>
      <c r="AV39" s="101" t="n">
        <f aca="false">IF(IF(ISBLANK(H39),1,(TRIM(H39)="")),"",ROUND(H39+($AB39*0.1094/4.184),3))</f>
        <v>53.316</v>
      </c>
      <c r="AW39" s="85" t="n">
        <f aca="false">IF(IF(ISBLANK(I39),1,(TRIM(I39)="")),"",ROUND(I39+($AB39*0.1094/4.184),3))</f>
        <v>53.314</v>
      </c>
      <c r="AX39" s="101" t="n">
        <f aca="false">IF(IF(ISBLANK(J39),1,(TRIM(J39)="")),"",ROUND(J39+($AB39*0.1094/4.184),3))</f>
        <v>53.314</v>
      </c>
      <c r="AY39" s="85" t="n">
        <f aca="false">IF(IF(ISBLANK(K39),1,(TRIM(K39)="")),"",ROUND(K39+($AB39*0.1094/4.184),3))</f>
        <v>53.315</v>
      </c>
      <c r="AZ39" s="101" t="n">
        <f aca="false">IF(IF(ISBLANK(L39),1,(TRIM(L39)="")),"",ROUND(L39+($AB39*0.1094/4.184),3))</f>
        <v>53.318</v>
      </c>
      <c r="BA39" s="85" t="n">
        <f aca="false">IF(IF(ISBLANK(M39),1,(TRIM(M39)="")),"",ROUND(M39+($AB39*0.1094/4.184),3))</f>
        <v>53.316</v>
      </c>
    </row>
    <row r="40" customFormat="false" ht="12.75" hidden="false" customHeight="false" outlineLevel="0" collapsed="false">
      <c r="A40" s="10"/>
      <c r="B40" s="31" t="s">
        <v>56</v>
      </c>
      <c r="C40" s="64"/>
      <c r="D40" s="63"/>
      <c r="E40" s="64"/>
      <c r="F40" s="63"/>
      <c r="G40" s="62"/>
      <c r="H40" s="63"/>
      <c r="I40" s="62"/>
      <c r="J40" s="102"/>
      <c r="K40" s="62"/>
      <c r="L40" s="63"/>
      <c r="M40" s="64" t="s">
        <v>277</v>
      </c>
      <c r="N40" s="10"/>
      <c r="O40" s="31" t="s">
        <v>56</v>
      </c>
      <c r="P40" s="85" t="str">
        <f aca="false">IF(IF(ISBLANK(C40),1,(TRIM(C40)="")),"",ROUND(4.184*C40,3))</f>
        <v/>
      </c>
      <c r="Q40" s="101" t="str">
        <f aca="false">IF(IF(ISBLANK(D40),1,(TRIM(D40)="")),"",ROUND(4.184*D40,3))</f>
        <v/>
      </c>
      <c r="R40" s="85" t="str">
        <f aca="false">IF(IF(ISBLANK(E40),1,(TRIM(E40)="")),"",ROUND(4.184*E40,3))</f>
        <v/>
      </c>
      <c r="S40" s="101" t="str">
        <f aca="false">IF(IF(ISBLANK(F40),1,(TRIM(F40)="")),"",ROUND(4.184*F40,3))</f>
        <v/>
      </c>
      <c r="T40" s="85" t="str">
        <f aca="false">IF(IF(ISBLANK(G40),1,(TRIM(G40)="")),"",ROUND(4.184*G40,3))</f>
        <v/>
      </c>
      <c r="U40" s="101" t="str">
        <f aca="false">IF(IF(ISBLANK(H40),1,(TRIM(H40)="")),"",ROUND(4.184*H40,3))</f>
        <v/>
      </c>
      <c r="V40" s="85" t="str">
        <f aca="false">IF(IF(ISBLANK(I40),1,(TRIM(I40)="")),"",ROUND(4.184*I40,3))</f>
        <v/>
      </c>
      <c r="W40" s="101" t="str">
        <f aca="false">IF(IF(ISBLANK(J40),1,(TRIM(J40)="")),"",ROUND(4.184*J40,3))</f>
        <v/>
      </c>
      <c r="X40" s="85" t="str">
        <f aca="false">IF(IF(ISBLANK(K40),1,(TRIM(K40)="")),"",ROUND(4.184*K40,3))</f>
        <v/>
      </c>
      <c r="Y40" s="101" t="str">
        <f aca="false">IF(IF(ISBLANK(L40),1,(TRIM(L40)="")),"",ROUND(4.184*L40,3))</f>
        <v/>
      </c>
      <c r="Z40" s="85" t="n">
        <f aca="false">IF(IF(ISBLANK(M40),1,(TRIM(M40)="")),"",ROUND(4.184*M40,3))</f>
        <v>71.965</v>
      </c>
      <c r="AB40" s="34"/>
      <c r="AC40" s="31" t="s">
        <v>56</v>
      </c>
      <c r="AD40" s="85" t="str">
        <f aca="false">IF(IF(ISBLANK(C40),1,(TRIM(C40)="")),"",ROUND(4.184*C40+$AB40*0.1094,3))</f>
        <v/>
      </c>
      <c r="AE40" s="101" t="str">
        <f aca="false">IF(IF(ISBLANK(D40),1,(TRIM(D40)="")),"",ROUND(4.184*D40+$AB40*0.1094,3))</f>
        <v/>
      </c>
      <c r="AF40" s="85" t="str">
        <f aca="false">IF(IF(ISBLANK(E40),1,(TRIM(E40)="")),"",ROUND(4.184*E40+$AB40*0.1094,3))</f>
        <v/>
      </c>
      <c r="AG40" s="101" t="str">
        <f aca="false">IF(IF(ISBLANK(F40),1,(TRIM(F40)="")),"",ROUND(4.184*F40+$AB40*0.1094,3))</f>
        <v/>
      </c>
      <c r="AH40" s="85" t="str">
        <f aca="false">IF(IF(ISBLANK(G40),1,(TRIM(G40)="")),"",ROUND(4.184*G40+$AB40*0.1094,3))</f>
        <v/>
      </c>
      <c r="AI40" s="101" t="str">
        <f aca="false">IF(IF(ISBLANK(H40),1,(TRIM(H40)="")),"",ROUND(4.184*H40+$AB40*0.1094,3))</f>
        <v/>
      </c>
      <c r="AJ40" s="85" t="str">
        <f aca="false">IF(IF(ISBLANK(I40),1,(TRIM(I40)="")),"",ROUND(4.184*I40+$AB40*0.1094,3))</f>
        <v/>
      </c>
      <c r="AK40" s="101" t="str">
        <f aca="false">IF(IF(ISBLANK(J40),1,(TRIM(J40)="")),"",ROUND(4.184*J40+$AB40*0.1094,3))</f>
        <v/>
      </c>
      <c r="AL40" s="85" t="str">
        <f aca="false">IF(IF(ISBLANK(K40),1,(TRIM(K40)="")),"",ROUND(4.184*K40+$AB40*0.1094,3))</f>
        <v/>
      </c>
      <c r="AM40" s="101" t="str">
        <f aca="false">IF(IF(ISBLANK(L40),1,(TRIM(L40)="")),"",ROUND(4.184*L40+$AB40*0.1094,3))</f>
        <v/>
      </c>
      <c r="AN40" s="85" t="n">
        <f aca="false">IF(IF(ISBLANK(M40),1,(TRIM(M40)="")),"",ROUND(4.184*M40+$AB40*0.1094,3))</f>
        <v>71.965</v>
      </c>
      <c r="AP40" s="31" t="s">
        <v>56</v>
      </c>
      <c r="AQ40" s="85" t="str">
        <f aca="false">IF(IF(ISBLANK(C40),1,(TRIM(C40)="")),"",ROUND(C40+($AB40*0.1094/4.184),3))</f>
        <v/>
      </c>
      <c r="AR40" s="101" t="str">
        <f aca="false">IF(IF(ISBLANK(D40),1,(TRIM(D40)="")),"",ROUND(D40+($AB40*0.1094/4.184),3))</f>
        <v/>
      </c>
      <c r="AS40" s="85" t="str">
        <f aca="false">IF(IF(ISBLANK(E40),1,(TRIM(E40)="")),"",ROUND(E40+($AB40*0.1094/4.184),3))</f>
        <v/>
      </c>
      <c r="AT40" s="101" t="str">
        <f aca="false">IF(IF(ISBLANK(F40),1,(TRIM(F40)="")),"",ROUND(F40+($AB40*0.1094/4.184),3))</f>
        <v/>
      </c>
      <c r="AU40" s="85" t="str">
        <f aca="false">IF(IF(ISBLANK(G40),1,(TRIM(G40)="")),"",ROUND(G40+($AB40*0.1094/4.184),3))</f>
        <v/>
      </c>
      <c r="AV40" s="101" t="str">
        <f aca="false">IF(IF(ISBLANK(H40),1,(TRIM(H40)="")),"",ROUND(H40+($AB40*0.1094/4.184),3))</f>
        <v/>
      </c>
      <c r="AW40" s="85" t="str">
        <f aca="false">IF(IF(ISBLANK(I40),1,(TRIM(I40)="")),"",ROUND(I40+($AB40*0.1094/4.184),3))</f>
        <v/>
      </c>
      <c r="AX40" s="101" t="str">
        <f aca="false">IF(IF(ISBLANK(J40),1,(TRIM(J40)="")),"",ROUND(J40+($AB40*0.1094/4.184),3))</f>
        <v/>
      </c>
      <c r="AY40" s="85" t="str">
        <f aca="false">IF(IF(ISBLANK(K40),1,(TRIM(K40)="")),"",ROUND(K40+($AB40*0.1094/4.184),3))</f>
        <v/>
      </c>
      <c r="AZ40" s="101" t="str">
        <f aca="false">IF(IF(ISBLANK(L40),1,(TRIM(L40)="")),"",ROUND(L40+($AB40*0.1094/4.184),3))</f>
        <v/>
      </c>
      <c r="BA40" s="85" t="n">
        <f aca="false">IF(IF(ISBLANK(M40),1,(TRIM(M40)="")),"",ROUND(M40+($AB40*0.1094/4.184),3))</f>
        <v>17.2</v>
      </c>
    </row>
    <row r="41" customFormat="false" ht="12.75" hidden="false" customHeight="false" outlineLevel="0" collapsed="false">
      <c r="B41" s="31" t="s">
        <v>57</v>
      </c>
      <c r="C41" s="62" t="n">
        <v>7.2</v>
      </c>
      <c r="D41" s="63" t="n">
        <v>7.2</v>
      </c>
      <c r="E41" s="64" t="s">
        <v>283</v>
      </c>
      <c r="F41" s="63" t="n">
        <v>6.8</v>
      </c>
      <c r="G41" s="64" t="s">
        <v>284</v>
      </c>
      <c r="H41" s="63" t="n">
        <v>7.18</v>
      </c>
      <c r="I41" s="62" t="n">
        <v>7.18</v>
      </c>
      <c r="J41" s="102" t="n">
        <v>7.18</v>
      </c>
      <c r="K41" s="64" t="s">
        <v>285</v>
      </c>
      <c r="L41" s="65" t="s">
        <v>284</v>
      </c>
      <c r="M41" s="64" t="s">
        <v>285</v>
      </c>
      <c r="O41" s="31" t="s">
        <v>57</v>
      </c>
      <c r="P41" s="85" t="n">
        <f aca="false">IF(IF(ISBLANK(C41),1,(TRIM(C41)="")),"",ROUND(4.184*C41,3))</f>
        <v>30.125</v>
      </c>
      <c r="Q41" s="101" t="n">
        <f aca="false">IF(IF(ISBLANK(D41),1,(TRIM(D41)="")),"",ROUND(4.184*D41,3))</f>
        <v>30.125</v>
      </c>
      <c r="R41" s="85" t="n">
        <f aca="false">IF(IF(ISBLANK(E41),1,(TRIM(E41)="")),"",ROUND(4.184*E41,3))</f>
        <v>28.451</v>
      </c>
      <c r="S41" s="101" t="n">
        <f aca="false">IF(IF(ISBLANK(F41),1,(TRIM(F41)="")),"",ROUND(4.184*F41,3))</f>
        <v>28.451</v>
      </c>
      <c r="T41" s="85" t="n">
        <f aca="false">IF(IF(ISBLANK(G41),1,(TRIM(G41)="")),"",ROUND(4.184*G41,3))</f>
        <v>30.041</v>
      </c>
      <c r="U41" s="101" t="n">
        <f aca="false">IF(IF(ISBLANK(H41),1,(TRIM(H41)="")),"",ROUND(4.184*H41,3))</f>
        <v>30.041</v>
      </c>
      <c r="V41" s="85" t="n">
        <f aca="false">IF(IF(ISBLANK(I41),1,(TRIM(I41)="")),"",ROUND(4.184*I41,3))</f>
        <v>30.041</v>
      </c>
      <c r="W41" s="101" t="n">
        <f aca="false">IF(IF(ISBLANK(J41),1,(TRIM(J41)="")),"",ROUND(4.184*J41,3))</f>
        <v>30.041</v>
      </c>
      <c r="X41" s="85" t="n">
        <f aca="false">IF(IF(ISBLANK(K41),1,(TRIM(K41)="")),"",ROUND(4.184*K41,3))</f>
        <v>30.041</v>
      </c>
      <c r="Y41" s="101" t="n">
        <f aca="false">IF(IF(ISBLANK(L41),1,(TRIM(L41)="")),"",ROUND(4.184*L41,3))</f>
        <v>30.041</v>
      </c>
      <c r="Z41" s="85" t="n">
        <f aca="false">IF(IF(ISBLANK(M41),1,(TRIM(M41)="")),"",ROUND(4.184*M41,3))</f>
        <v>30.041</v>
      </c>
      <c r="AB41" s="34"/>
      <c r="AC41" s="31" t="s">
        <v>57</v>
      </c>
      <c r="AD41" s="85" t="n">
        <f aca="false">IF(IF(ISBLANK(C41),1,(TRIM(C41)="")),"",ROUND(4.184*C41+$AB41*0.1094,3))</f>
        <v>30.125</v>
      </c>
      <c r="AE41" s="101" t="n">
        <f aca="false">IF(IF(ISBLANK(D41),1,(TRIM(D41)="")),"",ROUND(4.184*D41+$AB41*0.1094,3))</f>
        <v>30.125</v>
      </c>
      <c r="AF41" s="85" t="n">
        <f aca="false">IF(IF(ISBLANK(E41),1,(TRIM(E41)="")),"",ROUND(4.184*E41+$AB41*0.1094,3))</f>
        <v>28.451</v>
      </c>
      <c r="AG41" s="101" t="n">
        <f aca="false">IF(IF(ISBLANK(F41),1,(TRIM(F41)="")),"",ROUND(4.184*F41+$AB41*0.1094,3))</f>
        <v>28.451</v>
      </c>
      <c r="AH41" s="85" t="n">
        <f aca="false">IF(IF(ISBLANK(G41),1,(TRIM(G41)="")),"",ROUND(4.184*G41+$AB41*0.1094,3))</f>
        <v>30.041</v>
      </c>
      <c r="AI41" s="101" t="n">
        <f aca="false">IF(IF(ISBLANK(H41),1,(TRIM(H41)="")),"",ROUND(4.184*H41+$AB41*0.1094,3))</f>
        <v>30.041</v>
      </c>
      <c r="AJ41" s="85" t="n">
        <f aca="false">IF(IF(ISBLANK(I41),1,(TRIM(I41)="")),"",ROUND(4.184*I41+$AB41*0.1094,3))</f>
        <v>30.041</v>
      </c>
      <c r="AK41" s="101" t="n">
        <f aca="false">IF(IF(ISBLANK(J41),1,(TRIM(J41)="")),"",ROUND(4.184*J41+$AB41*0.1094,3))</f>
        <v>30.041</v>
      </c>
      <c r="AL41" s="85" t="n">
        <f aca="false">IF(IF(ISBLANK(K41),1,(TRIM(K41)="")),"",ROUND(4.184*K41+$AB41*0.1094,3))</f>
        <v>30.041</v>
      </c>
      <c r="AM41" s="101" t="n">
        <f aca="false">IF(IF(ISBLANK(L41),1,(TRIM(L41)="")),"",ROUND(4.184*L41+$AB41*0.1094,3))</f>
        <v>30.041</v>
      </c>
      <c r="AN41" s="85" t="n">
        <f aca="false">IF(IF(ISBLANK(M41),1,(TRIM(M41)="")),"",ROUND(4.184*M41+$AB41*0.1094,3))</f>
        <v>30.041</v>
      </c>
      <c r="AP41" s="31" t="s">
        <v>57</v>
      </c>
      <c r="AQ41" s="85" t="n">
        <f aca="false">IF(IF(ISBLANK(C41),1,(TRIM(C41)="")),"",ROUND(C41+($AB41*0.1094/4.184),3))</f>
        <v>7.2</v>
      </c>
      <c r="AR41" s="101" t="n">
        <f aca="false">IF(IF(ISBLANK(D41),1,(TRIM(D41)="")),"",ROUND(D41+($AB41*0.1094/4.184),3))</f>
        <v>7.2</v>
      </c>
      <c r="AS41" s="85" t="n">
        <f aca="false">IF(IF(ISBLANK(E41),1,(TRIM(E41)="")),"",ROUND(E41+($AB41*0.1094/4.184),3))</f>
        <v>6.8</v>
      </c>
      <c r="AT41" s="101" t="n">
        <f aca="false">IF(IF(ISBLANK(F41),1,(TRIM(F41)="")),"",ROUND(F41+($AB41*0.1094/4.184),3))</f>
        <v>6.8</v>
      </c>
      <c r="AU41" s="85" t="n">
        <f aca="false">IF(IF(ISBLANK(G41),1,(TRIM(G41)="")),"",ROUND(G41+($AB41*0.1094/4.184),3))</f>
        <v>7.18</v>
      </c>
      <c r="AV41" s="101" t="n">
        <f aca="false">IF(IF(ISBLANK(H41),1,(TRIM(H41)="")),"",ROUND(H41+($AB41*0.1094/4.184),3))</f>
        <v>7.18</v>
      </c>
      <c r="AW41" s="85" t="n">
        <f aca="false">IF(IF(ISBLANK(I41),1,(TRIM(I41)="")),"",ROUND(I41+($AB41*0.1094/4.184),3))</f>
        <v>7.18</v>
      </c>
      <c r="AX41" s="101" t="n">
        <f aca="false">IF(IF(ISBLANK(J41),1,(TRIM(J41)="")),"",ROUND(J41+($AB41*0.1094/4.184),3))</f>
        <v>7.18</v>
      </c>
      <c r="AY41" s="85" t="n">
        <f aca="false">IF(IF(ISBLANK(K41),1,(TRIM(K41)="")),"",ROUND(K41+($AB41*0.1094/4.184),3))</f>
        <v>7.18</v>
      </c>
      <c r="AZ41" s="101" t="n">
        <f aca="false">IF(IF(ISBLANK(L41),1,(TRIM(L41)="")),"",ROUND(L41+($AB41*0.1094/4.184),3))</f>
        <v>7.18</v>
      </c>
      <c r="BA41" s="85" t="n">
        <f aca="false">IF(IF(ISBLANK(M41),1,(TRIM(M41)="")),"",ROUND(M41+($AB41*0.1094/4.184),3))</f>
        <v>7.18</v>
      </c>
    </row>
    <row r="42" customFormat="false" ht="12.75" hidden="false" customHeight="false" outlineLevel="0" collapsed="false">
      <c r="B42" s="31" t="s">
        <v>58</v>
      </c>
      <c r="C42" s="62" t="n">
        <v>5.8</v>
      </c>
      <c r="D42" s="63" t="n">
        <v>5.8</v>
      </c>
      <c r="E42" s="64" t="s">
        <v>286</v>
      </c>
      <c r="F42" s="63" t="n">
        <v>5.68</v>
      </c>
      <c r="G42" s="64" t="s">
        <v>287</v>
      </c>
      <c r="H42" s="63" t="n">
        <v>5.68</v>
      </c>
      <c r="I42" s="62" t="n">
        <v>5.65</v>
      </c>
      <c r="J42" s="102" t="n">
        <v>5.68</v>
      </c>
      <c r="K42" s="62"/>
      <c r="L42" s="65" t="s">
        <v>288</v>
      </c>
      <c r="M42" s="64" t="s">
        <v>289</v>
      </c>
      <c r="O42" s="31" t="s">
        <v>58</v>
      </c>
      <c r="P42" s="85" t="n">
        <f aca="false">IF(IF(ISBLANK(C42),1,(TRIM(C42)="")),"",ROUND(4.184*C42,3))</f>
        <v>24.267</v>
      </c>
      <c r="Q42" s="101" t="n">
        <f aca="false">IF(IF(ISBLANK(D42),1,(TRIM(D42)="")),"",ROUND(4.184*D42,3))</f>
        <v>24.267</v>
      </c>
      <c r="R42" s="85" t="n">
        <f aca="false">IF(IF(ISBLANK(E42),1,(TRIM(E42)="")),"",ROUND(4.184*E42,3))</f>
        <v>23.43</v>
      </c>
      <c r="S42" s="101" t="n">
        <f aca="false">IF(IF(ISBLANK(F42),1,(TRIM(F42)="")),"",ROUND(4.184*F42,3))</f>
        <v>23.765</v>
      </c>
      <c r="T42" s="85" t="n">
        <f aca="false">IF(IF(ISBLANK(G42),1,(TRIM(G42)="")),"",ROUND(4.184*G42,3))</f>
        <v>23.849</v>
      </c>
      <c r="U42" s="101" t="n">
        <f aca="false">IF(IF(ISBLANK(H42),1,(TRIM(H42)="")),"",ROUND(4.184*H42,3))</f>
        <v>23.765</v>
      </c>
      <c r="V42" s="85" t="n">
        <f aca="false">IF(IF(ISBLANK(I42),1,(TRIM(I42)="")),"",ROUND(4.184*I42,3))</f>
        <v>23.64</v>
      </c>
      <c r="W42" s="101" t="n">
        <f aca="false">IF(IF(ISBLANK(J42),1,(TRIM(J42)="")),"",ROUND(4.184*J42,3))</f>
        <v>23.765</v>
      </c>
      <c r="X42" s="85" t="str">
        <f aca="false">IF(IF(ISBLANK(K42),1,(TRIM(K42)="")),"",ROUND(4.184*K42,3))</f>
        <v/>
      </c>
      <c r="Y42" s="101" t="n">
        <f aca="false">IF(IF(ISBLANK(L42),1,(TRIM(L42)="")),"",ROUND(4.184*L42,3))</f>
        <v>23.64</v>
      </c>
      <c r="Z42" s="85" t="n">
        <f aca="false">IF(IF(ISBLANK(M42),1,(TRIM(M42)="")),"",ROUND(4.184*M42,3))</f>
        <v>23.64</v>
      </c>
      <c r="AB42" s="34"/>
      <c r="AC42" s="31" t="s">
        <v>58</v>
      </c>
      <c r="AD42" s="85" t="n">
        <f aca="false">IF(IF(ISBLANK(C42),1,(TRIM(C42)="")),"",ROUND(4.184*C42+$AB42*0.1094,3))</f>
        <v>24.267</v>
      </c>
      <c r="AE42" s="101" t="n">
        <f aca="false">IF(IF(ISBLANK(D42),1,(TRIM(D42)="")),"",ROUND(4.184*D42+$AB42*0.1094,3))</f>
        <v>24.267</v>
      </c>
      <c r="AF42" s="85" t="n">
        <f aca="false">IF(IF(ISBLANK(E42),1,(TRIM(E42)="")),"",ROUND(4.184*E42+$AB42*0.1094,3))</f>
        <v>23.43</v>
      </c>
      <c r="AG42" s="101" t="n">
        <f aca="false">IF(IF(ISBLANK(F42),1,(TRIM(F42)="")),"",ROUND(4.184*F42+$AB42*0.1094,3))</f>
        <v>23.765</v>
      </c>
      <c r="AH42" s="85" t="n">
        <f aca="false">IF(IF(ISBLANK(G42),1,(TRIM(G42)="")),"",ROUND(4.184*G42+$AB42*0.1094,3))</f>
        <v>23.849</v>
      </c>
      <c r="AI42" s="101" t="n">
        <f aca="false">IF(IF(ISBLANK(H42),1,(TRIM(H42)="")),"",ROUND(4.184*H42+$AB42*0.1094,3))</f>
        <v>23.765</v>
      </c>
      <c r="AJ42" s="85" t="n">
        <f aca="false">IF(IF(ISBLANK(I42),1,(TRIM(I42)="")),"",ROUND(4.184*I42+$AB42*0.1094,3))</f>
        <v>23.64</v>
      </c>
      <c r="AK42" s="101" t="n">
        <f aca="false">IF(IF(ISBLANK(J42),1,(TRIM(J42)="")),"",ROUND(4.184*J42+$AB42*0.1094,3))</f>
        <v>23.765</v>
      </c>
      <c r="AL42" s="85" t="str">
        <f aca="false">IF(IF(ISBLANK(K42),1,(TRIM(K42)="")),"",ROUND(4.184*K42+$AB42*0.1094,3))</f>
        <v/>
      </c>
      <c r="AM42" s="101" t="n">
        <f aca="false">IF(IF(ISBLANK(L42),1,(TRIM(L42)="")),"",ROUND(4.184*L42+$AB42*0.1094,3))</f>
        <v>23.64</v>
      </c>
      <c r="AN42" s="85" t="n">
        <f aca="false">IF(IF(ISBLANK(M42),1,(TRIM(M42)="")),"",ROUND(4.184*M42+$AB42*0.1094,3))</f>
        <v>23.64</v>
      </c>
      <c r="AP42" s="31" t="s">
        <v>58</v>
      </c>
      <c r="AQ42" s="85" t="n">
        <f aca="false">IF(IF(ISBLANK(C42),1,(TRIM(C42)="")),"",ROUND(C42+($AB42*0.1094/4.184),3))</f>
        <v>5.8</v>
      </c>
      <c r="AR42" s="101" t="n">
        <f aca="false">IF(IF(ISBLANK(D42),1,(TRIM(D42)="")),"",ROUND(D42+($AB42*0.1094/4.184),3))</f>
        <v>5.8</v>
      </c>
      <c r="AS42" s="85" t="n">
        <f aca="false">IF(IF(ISBLANK(E42),1,(TRIM(E42)="")),"",ROUND(E42+($AB42*0.1094/4.184),3))</f>
        <v>5.6</v>
      </c>
      <c r="AT42" s="101" t="n">
        <f aca="false">IF(IF(ISBLANK(F42),1,(TRIM(F42)="")),"",ROUND(F42+($AB42*0.1094/4.184),3))</f>
        <v>5.68</v>
      </c>
      <c r="AU42" s="85" t="n">
        <f aca="false">IF(IF(ISBLANK(G42),1,(TRIM(G42)="")),"",ROUND(G42+($AB42*0.1094/4.184),3))</f>
        <v>5.7</v>
      </c>
      <c r="AV42" s="101" t="n">
        <f aca="false">IF(IF(ISBLANK(H42),1,(TRIM(H42)="")),"",ROUND(H42+($AB42*0.1094/4.184),3))</f>
        <v>5.68</v>
      </c>
      <c r="AW42" s="85" t="n">
        <f aca="false">IF(IF(ISBLANK(I42),1,(TRIM(I42)="")),"",ROUND(I42+($AB42*0.1094/4.184),3))</f>
        <v>5.65</v>
      </c>
      <c r="AX42" s="101" t="n">
        <f aca="false">IF(IF(ISBLANK(J42),1,(TRIM(J42)="")),"",ROUND(J42+($AB42*0.1094/4.184),3))</f>
        <v>5.68</v>
      </c>
      <c r="AY42" s="85" t="str">
        <f aca="false">IF(IF(ISBLANK(K42),1,(TRIM(K42)="")),"",ROUND(K42+($AB42*0.1094/4.184),3))</f>
        <v/>
      </c>
      <c r="AZ42" s="101" t="n">
        <f aca="false">IF(IF(ISBLANK(L42),1,(TRIM(L42)="")),"",ROUND(L42+($AB42*0.1094/4.184),3))</f>
        <v>5.65</v>
      </c>
      <c r="BA42" s="85" t="n">
        <f aca="false">IF(IF(ISBLANK(M42),1,(TRIM(M42)="")),"",ROUND(M42+($AB42*0.1094/4.184),3))</f>
        <v>5.65</v>
      </c>
    </row>
    <row r="43" customFormat="false" ht="12.75" hidden="false" customHeight="false" outlineLevel="0" collapsed="false">
      <c r="B43" s="38" t="s">
        <v>59</v>
      </c>
      <c r="C43" s="62"/>
      <c r="D43" s="63"/>
      <c r="E43" s="64" t="s">
        <v>202</v>
      </c>
      <c r="F43" s="63" t="n">
        <v>19.8</v>
      </c>
      <c r="G43" s="64" t="s">
        <v>290</v>
      </c>
      <c r="H43" s="63" t="n">
        <v>20.1</v>
      </c>
      <c r="I43" s="62"/>
      <c r="J43" s="102" t="n">
        <v>20.37</v>
      </c>
      <c r="K43" s="62" t="n">
        <v>20.351</v>
      </c>
      <c r="L43" s="65" t="s">
        <v>291</v>
      </c>
      <c r="M43" s="64" t="s">
        <v>292</v>
      </c>
      <c r="O43" s="38" t="s">
        <v>59</v>
      </c>
      <c r="P43" s="85" t="str">
        <f aca="false">IF(IF(ISBLANK(C43),1,(TRIM(C43)="")),"",ROUND(4.184*C43,3))</f>
        <v/>
      </c>
      <c r="Q43" s="101" t="str">
        <f aca="false">IF(IF(ISBLANK(D43),1,(TRIM(D43)="")),"",ROUND(4.184*D43,3))</f>
        <v/>
      </c>
      <c r="R43" s="85" t="n">
        <f aca="false">IF(IF(ISBLANK(E43),1,(TRIM(E43)="")),"",ROUND(4.184*E43,3))</f>
        <v>79.496</v>
      </c>
      <c r="S43" s="101" t="n">
        <f aca="false">IF(IF(ISBLANK(F43),1,(TRIM(F43)="")),"",ROUND(4.184*F43,3))</f>
        <v>82.843</v>
      </c>
      <c r="T43" s="85" t="n">
        <f aca="false">IF(IF(ISBLANK(G43),1,(TRIM(G43)="")),"",ROUND(4.184*G43,3))</f>
        <v>84.349</v>
      </c>
      <c r="U43" s="101" t="n">
        <f aca="false">IF(IF(ISBLANK(H43),1,(TRIM(H43)="")),"",ROUND(4.184*H43,3))</f>
        <v>84.098</v>
      </c>
      <c r="V43" s="85" t="str">
        <f aca="false">IF(IF(ISBLANK(I43),1,(TRIM(I43)="")),"",ROUND(4.184*I43,3))</f>
        <v/>
      </c>
      <c r="W43" s="101" t="n">
        <f aca="false">IF(IF(ISBLANK(J43),1,(TRIM(J43)="")),"",ROUND(4.184*J43,3))</f>
        <v>85.228</v>
      </c>
      <c r="X43" s="85" t="n">
        <f aca="false">IF(IF(ISBLANK(K43),1,(TRIM(K43)="")),"",ROUND(4.184*K43,3))</f>
        <v>85.149</v>
      </c>
      <c r="Y43" s="101" t="n">
        <f aca="false">IF(IF(ISBLANK(L43),1,(TRIM(L43)="")),"",ROUND(4.184*L43,3))</f>
        <v>85.061</v>
      </c>
      <c r="Z43" s="85" t="n">
        <f aca="false">IF(IF(ISBLANK(M43),1,(TRIM(M43)="")),"",ROUND(4.184*M43,3))</f>
        <v>85.228</v>
      </c>
      <c r="AB43" s="34"/>
      <c r="AC43" s="38" t="s">
        <v>59</v>
      </c>
      <c r="AD43" s="85" t="str">
        <f aca="false">IF(IF(ISBLANK(C43),1,(TRIM(C43)="")),"",ROUND(4.184*C43+$AB43*0.1094,3))</f>
        <v/>
      </c>
      <c r="AE43" s="101" t="str">
        <f aca="false">IF(IF(ISBLANK(D43),1,(TRIM(D43)="")),"",ROUND(4.184*D43+$AB43*0.1094,3))</f>
        <v/>
      </c>
      <c r="AF43" s="85" t="n">
        <f aca="false">IF(IF(ISBLANK(E43),1,(TRIM(E43)="")),"",ROUND(4.184*E43+$AB43*0.1094,3))</f>
        <v>79.496</v>
      </c>
      <c r="AG43" s="101" t="n">
        <f aca="false">IF(IF(ISBLANK(F43),1,(TRIM(F43)="")),"",ROUND(4.184*F43+$AB43*0.1094,3))</f>
        <v>82.843</v>
      </c>
      <c r="AH43" s="85" t="n">
        <f aca="false">IF(IF(ISBLANK(G43),1,(TRIM(G43)="")),"",ROUND(4.184*G43+$AB43*0.1094,3))</f>
        <v>84.349</v>
      </c>
      <c r="AI43" s="101" t="n">
        <f aca="false">IF(IF(ISBLANK(H43),1,(TRIM(H43)="")),"",ROUND(4.184*H43+$AB43*0.1094,3))</f>
        <v>84.098</v>
      </c>
      <c r="AJ43" s="85" t="str">
        <f aca="false">IF(IF(ISBLANK(I43),1,(TRIM(I43)="")),"",ROUND(4.184*I43+$AB43*0.1094,3))</f>
        <v/>
      </c>
      <c r="AK43" s="101" t="n">
        <f aca="false">IF(IF(ISBLANK(J43),1,(TRIM(J43)="")),"",ROUND(4.184*J43+$AB43*0.1094,3))</f>
        <v>85.228</v>
      </c>
      <c r="AL43" s="85" t="n">
        <f aca="false">IF(IF(ISBLANK(K43),1,(TRIM(K43)="")),"",ROUND(4.184*K43+$AB43*0.1094,3))</f>
        <v>85.149</v>
      </c>
      <c r="AM43" s="101" t="n">
        <f aca="false">IF(IF(ISBLANK(L43),1,(TRIM(L43)="")),"",ROUND(4.184*L43+$AB43*0.1094,3))</f>
        <v>85.061</v>
      </c>
      <c r="AN43" s="85" t="n">
        <f aca="false">IF(IF(ISBLANK(M43),1,(TRIM(M43)="")),"",ROUND(4.184*M43+$AB43*0.1094,3))</f>
        <v>85.228</v>
      </c>
      <c r="AP43" s="38" t="s">
        <v>59</v>
      </c>
      <c r="AQ43" s="85" t="str">
        <f aca="false">IF(IF(ISBLANK(C43),1,(TRIM(C43)="")),"",ROUND(C43+($AB43*0.1094/4.184),3))</f>
        <v/>
      </c>
      <c r="AR43" s="101" t="str">
        <f aca="false">IF(IF(ISBLANK(D43),1,(TRIM(D43)="")),"",ROUND(D43+($AB43*0.1094/4.184),3))</f>
        <v/>
      </c>
      <c r="AS43" s="85" t="n">
        <f aca="false">IF(IF(ISBLANK(E43),1,(TRIM(E43)="")),"",ROUND(E43+($AB43*0.1094/4.184),3))</f>
        <v>19</v>
      </c>
      <c r="AT43" s="101" t="n">
        <f aca="false">IF(IF(ISBLANK(F43),1,(TRIM(F43)="")),"",ROUND(F43+($AB43*0.1094/4.184),3))</f>
        <v>19.8</v>
      </c>
      <c r="AU43" s="85" t="n">
        <f aca="false">IF(IF(ISBLANK(G43),1,(TRIM(G43)="")),"",ROUND(G43+($AB43*0.1094/4.184),3))</f>
        <v>20.16</v>
      </c>
      <c r="AV43" s="101" t="n">
        <f aca="false">IF(IF(ISBLANK(H43),1,(TRIM(H43)="")),"",ROUND(H43+($AB43*0.1094/4.184),3))</f>
        <v>20.1</v>
      </c>
      <c r="AW43" s="85" t="str">
        <f aca="false">IF(IF(ISBLANK(I43),1,(TRIM(I43)="")),"",ROUND(I43+($AB43*0.1094/4.184),3))</f>
        <v/>
      </c>
      <c r="AX43" s="101" t="n">
        <f aca="false">IF(IF(ISBLANK(J43),1,(TRIM(J43)="")),"",ROUND(J43+($AB43*0.1094/4.184),3))</f>
        <v>20.37</v>
      </c>
      <c r="AY43" s="85" t="n">
        <f aca="false">IF(IF(ISBLANK(K43),1,(TRIM(K43)="")),"",ROUND(K43+($AB43*0.1094/4.184),3))</f>
        <v>20.351</v>
      </c>
      <c r="AZ43" s="101" t="n">
        <f aca="false">IF(IF(ISBLANK(L43),1,(TRIM(L43)="")),"",ROUND(L43+($AB43*0.1094/4.184),3))</f>
        <v>20.33</v>
      </c>
      <c r="BA43" s="85" t="n">
        <f aca="false">IF(IF(ISBLANK(M43),1,(TRIM(M43)="")),"",ROUND(M43+($AB43*0.1094/4.184),3))</f>
        <v>20.37</v>
      </c>
    </row>
    <row r="44" customFormat="false" ht="12.75" hidden="false" customHeight="false" outlineLevel="0" collapsed="false">
      <c r="B44" s="31" t="s">
        <v>60</v>
      </c>
      <c r="C44" s="64" t="s">
        <v>175</v>
      </c>
      <c r="D44" s="63" t="n">
        <v>8.18</v>
      </c>
      <c r="E44" s="64" t="s">
        <v>293</v>
      </c>
      <c r="F44" s="63" t="n">
        <v>7.96</v>
      </c>
      <c r="G44" s="64" t="s">
        <v>294</v>
      </c>
      <c r="H44" s="65" t="s">
        <v>294</v>
      </c>
      <c r="I44" s="62" t="n">
        <v>7.97</v>
      </c>
      <c r="J44" s="102" t="n">
        <v>7.923</v>
      </c>
      <c r="K44" s="62" t="n">
        <v>7.913</v>
      </c>
      <c r="L44" s="65" t="s">
        <v>295</v>
      </c>
      <c r="M44" s="62" t="n">
        <v>7.924</v>
      </c>
      <c r="O44" s="31" t="s">
        <v>60</v>
      </c>
      <c r="P44" s="85" t="n">
        <f aca="false">IF(IF(ISBLANK(C44),1,(TRIM(C44)="")),"",ROUND(4.184*C44,3))</f>
        <v>33.472</v>
      </c>
      <c r="Q44" s="101" t="n">
        <f aca="false">IF(IF(ISBLANK(D44),1,(TRIM(D44)="")),"",ROUND(4.184*D44,3))</f>
        <v>34.225</v>
      </c>
      <c r="R44" s="85" t="n">
        <f aca="false">IF(IF(ISBLANK(E44),1,(TRIM(E44)="")),"",ROUND(4.184*E44,3))</f>
        <v>33.054</v>
      </c>
      <c r="S44" s="101" t="n">
        <f aca="false">IF(IF(ISBLANK(F44),1,(TRIM(F44)="")),"",ROUND(4.184*F44,3))</f>
        <v>33.305</v>
      </c>
      <c r="T44" s="85" t="n">
        <f aca="false">IF(IF(ISBLANK(G44),1,(TRIM(G44)="")),"",ROUND(4.184*G44,3))</f>
        <v>33.346</v>
      </c>
      <c r="U44" s="101" t="n">
        <f aca="false">IF(IF(ISBLANK(H44),1,(TRIM(H44)="")),"",ROUND(4.184*H44,3))</f>
        <v>33.346</v>
      </c>
      <c r="V44" s="85" t="n">
        <f aca="false">IF(IF(ISBLANK(I44),1,(TRIM(I44)="")),"",ROUND(4.184*I44,3))</f>
        <v>33.346</v>
      </c>
      <c r="W44" s="101" t="n">
        <f aca="false">IF(IF(ISBLANK(J44),1,(TRIM(J44)="")),"",ROUND(4.184*J44,3))</f>
        <v>33.15</v>
      </c>
      <c r="X44" s="85" t="n">
        <f aca="false">IF(IF(ISBLANK(K44),1,(TRIM(K44)="")),"",ROUND(4.184*K44,3))</f>
        <v>33.108</v>
      </c>
      <c r="Y44" s="101" t="n">
        <f aca="false">IF(IF(ISBLANK(L44),1,(TRIM(L44)="")),"",ROUND(4.184*L44,3))</f>
        <v>33.15</v>
      </c>
      <c r="Z44" s="85" t="n">
        <f aca="false">IF(IF(ISBLANK(M44),1,(TRIM(M44)="")),"",ROUND(4.184*M44,3))</f>
        <v>33.154</v>
      </c>
      <c r="AB44" s="34"/>
      <c r="AC44" s="31" t="s">
        <v>60</v>
      </c>
      <c r="AD44" s="85" t="n">
        <f aca="false">IF(IF(ISBLANK(C44),1,(TRIM(C44)="")),"",ROUND(4.184*C44+$AB44*0.1094,3))</f>
        <v>33.472</v>
      </c>
      <c r="AE44" s="101" t="n">
        <f aca="false">IF(IF(ISBLANK(D44),1,(TRIM(D44)="")),"",ROUND(4.184*D44+$AB44*0.1094,3))</f>
        <v>34.225</v>
      </c>
      <c r="AF44" s="85" t="n">
        <f aca="false">IF(IF(ISBLANK(E44),1,(TRIM(E44)="")),"",ROUND(4.184*E44+$AB44*0.1094,3))</f>
        <v>33.054</v>
      </c>
      <c r="AG44" s="101" t="n">
        <f aca="false">IF(IF(ISBLANK(F44),1,(TRIM(F44)="")),"",ROUND(4.184*F44+$AB44*0.1094,3))</f>
        <v>33.305</v>
      </c>
      <c r="AH44" s="85" t="n">
        <f aca="false">IF(IF(ISBLANK(G44),1,(TRIM(G44)="")),"",ROUND(4.184*G44+$AB44*0.1094,3))</f>
        <v>33.346</v>
      </c>
      <c r="AI44" s="101" t="n">
        <f aca="false">IF(IF(ISBLANK(H44),1,(TRIM(H44)="")),"",ROUND(4.184*H44+$AB44*0.1094,3))</f>
        <v>33.346</v>
      </c>
      <c r="AJ44" s="85" t="n">
        <f aca="false">IF(IF(ISBLANK(I44),1,(TRIM(I44)="")),"",ROUND(4.184*I44+$AB44*0.1094,3))</f>
        <v>33.346</v>
      </c>
      <c r="AK44" s="101" t="n">
        <f aca="false">IF(IF(ISBLANK(J44),1,(TRIM(J44)="")),"",ROUND(4.184*J44+$AB44*0.1094,3))</f>
        <v>33.15</v>
      </c>
      <c r="AL44" s="85" t="n">
        <f aca="false">IF(IF(ISBLANK(K44),1,(TRIM(K44)="")),"",ROUND(4.184*K44+$AB44*0.1094,3))</f>
        <v>33.108</v>
      </c>
      <c r="AM44" s="101" t="n">
        <f aca="false">IF(IF(ISBLANK(L44),1,(TRIM(L44)="")),"",ROUND(4.184*L44+$AB44*0.1094,3))</f>
        <v>33.15</v>
      </c>
      <c r="AN44" s="85" t="n">
        <f aca="false">IF(IF(ISBLANK(M44),1,(TRIM(M44)="")),"",ROUND(4.184*M44+$AB44*0.1094,3))</f>
        <v>33.154</v>
      </c>
      <c r="AP44" s="31" t="s">
        <v>60</v>
      </c>
      <c r="AQ44" s="85" t="n">
        <f aca="false">IF(IF(ISBLANK(C44),1,(TRIM(C44)="")),"",ROUND(C44+($AB44*0.1094/4.184),3))</f>
        <v>8</v>
      </c>
      <c r="AR44" s="101" t="n">
        <f aca="false">IF(IF(ISBLANK(D44),1,(TRIM(D44)="")),"",ROUND(D44+($AB44*0.1094/4.184),3))</f>
        <v>8.18</v>
      </c>
      <c r="AS44" s="85" t="n">
        <f aca="false">IF(IF(ISBLANK(E44),1,(TRIM(E44)="")),"",ROUND(E44+($AB44*0.1094/4.184),3))</f>
        <v>7.9</v>
      </c>
      <c r="AT44" s="101" t="n">
        <f aca="false">IF(IF(ISBLANK(F44),1,(TRIM(F44)="")),"",ROUND(F44+($AB44*0.1094/4.184),3))</f>
        <v>7.96</v>
      </c>
      <c r="AU44" s="85" t="n">
        <f aca="false">IF(IF(ISBLANK(G44),1,(TRIM(G44)="")),"",ROUND(G44+($AB44*0.1094/4.184),3))</f>
        <v>7.97</v>
      </c>
      <c r="AV44" s="101" t="n">
        <f aca="false">IF(IF(ISBLANK(H44),1,(TRIM(H44)="")),"",ROUND(H44+($AB44*0.1094/4.184),3))</f>
        <v>7.97</v>
      </c>
      <c r="AW44" s="85" t="n">
        <f aca="false">IF(IF(ISBLANK(I44),1,(TRIM(I44)="")),"",ROUND(I44+($AB44*0.1094/4.184),3))</f>
        <v>7.97</v>
      </c>
      <c r="AX44" s="101" t="n">
        <f aca="false">IF(IF(ISBLANK(J44),1,(TRIM(J44)="")),"",ROUND(J44+($AB44*0.1094/4.184),3))</f>
        <v>7.923</v>
      </c>
      <c r="AY44" s="85" t="n">
        <f aca="false">IF(IF(ISBLANK(K44),1,(TRIM(K44)="")),"",ROUND(K44+($AB44*0.1094/4.184),3))</f>
        <v>7.913</v>
      </c>
      <c r="AZ44" s="101" t="n">
        <f aca="false">IF(IF(ISBLANK(L44),1,(TRIM(L44)="")),"",ROUND(L44+($AB44*0.1094/4.184),3))</f>
        <v>7.923</v>
      </c>
      <c r="BA44" s="85" t="n">
        <f aca="false">IF(IF(ISBLANK(M44),1,(TRIM(M44)="")),"",ROUND(M44+($AB44*0.1094/4.184),3))</f>
        <v>7.924</v>
      </c>
    </row>
    <row r="45" customFormat="false" ht="12.75" hidden="false" customHeight="false" outlineLevel="0" collapsed="false">
      <c r="A45" s="10"/>
      <c r="B45" s="31" t="s">
        <v>61</v>
      </c>
      <c r="C45" s="62"/>
      <c r="D45" s="63"/>
      <c r="E45" s="64"/>
      <c r="F45" s="63"/>
      <c r="G45" s="64" t="s">
        <v>296</v>
      </c>
      <c r="H45" s="63" t="n">
        <v>17.9</v>
      </c>
      <c r="I45" s="62"/>
      <c r="J45" s="103" t="s">
        <v>296</v>
      </c>
      <c r="K45" s="62"/>
      <c r="L45" s="65" t="s">
        <v>297</v>
      </c>
      <c r="M45" s="64" t="s">
        <v>298</v>
      </c>
      <c r="O45" s="31" t="s">
        <v>61</v>
      </c>
      <c r="P45" s="85" t="str">
        <f aca="false">IF(IF(ISBLANK(C45),1,(TRIM(C45)="")),"",ROUND(4.184*C45,3))</f>
        <v/>
      </c>
      <c r="Q45" s="101" t="str">
        <f aca="false">IF(IF(ISBLANK(D45),1,(TRIM(D45)="")),"",ROUND(4.184*D45,3))</f>
        <v/>
      </c>
      <c r="R45" s="85" t="str">
        <f aca="false">IF(IF(ISBLANK(E45),1,(TRIM(E45)="")),"",ROUND(4.184*E45,3))</f>
        <v/>
      </c>
      <c r="S45" s="101" t="str">
        <f aca="false">IF(IF(ISBLANK(F45),1,(TRIM(F45)="")),"",ROUND(4.184*F45,3))</f>
        <v/>
      </c>
      <c r="T45" s="85" t="n">
        <f aca="false">IF(IF(ISBLANK(G45),1,(TRIM(G45)="")),"",ROUND(4.184*G45,3))</f>
        <v>74.768</v>
      </c>
      <c r="U45" s="101" t="n">
        <f aca="false">IF(IF(ISBLANK(H45),1,(TRIM(H45)="")),"",ROUND(4.184*H45,3))</f>
        <v>74.894</v>
      </c>
      <c r="V45" s="85" t="str">
        <f aca="false">IF(IF(ISBLANK(I45),1,(TRIM(I45)="")),"",ROUND(4.184*I45,3))</f>
        <v/>
      </c>
      <c r="W45" s="101" t="n">
        <f aca="false">IF(IF(ISBLANK(J45),1,(TRIM(J45)="")),"",ROUND(4.184*J45,3))</f>
        <v>74.768</v>
      </c>
      <c r="X45" s="85" t="str">
        <f aca="false">IF(IF(ISBLANK(K45),1,(TRIM(K45)="")),"",ROUND(4.184*K45,3))</f>
        <v/>
      </c>
      <c r="Y45" s="101" t="n">
        <f aca="false">IF(IF(ISBLANK(L45),1,(TRIM(L45)="")),"",ROUND(4.184*L45,3))</f>
        <v>74.894</v>
      </c>
      <c r="Z45" s="85" t="n">
        <f aca="false">IF(IF(ISBLANK(M45),1,(TRIM(M45)="")),"",ROUND(4.184*M45,3))</f>
        <v>74.894</v>
      </c>
      <c r="AB45" s="34"/>
      <c r="AC45" s="31" t="s">
        <v>61</v>
      </c>
      <c r="AD45" s="85" t="str">
        <f aca="false">IF(IF(ISBLANK(C45),1,(TRIM(C45)="")),"",ROUND(4.184*C45+$AB45*0.1094,3))</f>
        <v/>
      </c>
      <c r="AE45" s="101" t="str">
        <f aca="false">IF(IF(ISBLANK(D45),1,(TRIM(D45)="")),"",ROUND(4.184*D45+$AB45*0.1094,3))</f>
        <v/>
      </c>
      <c r="AF45" s="85" t="str">
        <f aca="false">IF(IF(ISBLANK(E45),1,(TRIM(E45)="")),"",ROUND(4.184*E45+$AB45*0.1094,3))</f>
        <v/>
      </c>
      <c r="AG45" s="101" t="str">
        <f aca="false">IF(IF(ISBLANK(F45),1,(TRIM(F45)="")),"",ROUND(4.184*F45+$AB45*0.1094,3))</f>
        <v/>
      </c>
      <c r="AH45" s="85" t="n">
        <f aca="false">IF(IF(ISBLANK(G45),1,(TRIM(G45)="")),"",ROUND(4.184*G45+$AB45*0.1094,3))</f>
        <v>74.768</v>
      </c>
      <c r="AI45" s="101" t="n">
        <f aca="false">IF(IF(ISBLANK(H45),1,(TRIM(H45)="")),"",ROUND(4.184*H45+$AB45*0.1094,3))</f>
        <v>74.894</v>
      </c>
      <c r="AJ45" s="85" t="str">
        <f aca="false">IF(IF(ISBLANK(I45),1,(TRIM(I45)="")),"",ROUND(4.184*I45+$AB45*0.1094,3))</f>
        <v/>
      </c>
      <c r="AK45" s="101" t="n">
        <f aca="false">IF(IF(ISBLANK(J45),1,(TRIM(J45)="")),"",ROUND(4.184*J45+$AB45*0.1094,3))</f>
        <v>74.768</v>
      </c>
      <c r="AL45" s="85" t="str">
        <f aca="false">IF(IF(ISBLANK(K45),1,(TRIM(K45)="")),"",ROUND(4.184*K45+$AB45*0.1094,3))</f>
        <v/>
      </c>
      <c r="AM45" s="101" t="n">
        <f aca="false">IF(IF(ISBLANK(L45),1,(TRIM(L45)="")),"",ROUND(4.184*L45+$AB45*0.1094,3))</f>
        <v>74.894</v>
      </c>
      <c r="AN45" s="85" t="n">
        <f aca="false">IF(IF(ISBLANK(M45),1,(TRIM(M45)="")),"",ROUND(4.184*M45+$AB45*0.1094,3))</f>
        <v>74.894</v>
      </c>
      <c r="AP45" s="31" t="s">
        <v>61</v>
      </c>
      <c r="AQ45" s="85" t="str">
        <f aca="false">IF(IF(ISBLANK(C45),1,(TRIM(C45)="")),"",ROUND(C45+($AB45*0.1094/4.184),3))</f>
        <v/>
      </c>
      <c r="AR45" s="101" t="str">
        <f aca="false">IF(IF(ISBLANK(D45),1,(TRIM(D45)="")),"",ROUND(D45+($AB45*0.1094/4.184),3))</f>
        <v/>
      </c>
      <c r="AS45" s="85" t="str">
        <f aca="false">IF(IF(ISBLANK(E45),1,(TRIM(E45)="")),"",ROUND(E45+($AB45*0.1094/4.184),3))</f>
        <v/>
      </c>
      <c r="AT45" s="101" t="str">
        <f aca="false">IF(IF(ISBLANK(F45),1,(TRIM(F45)="")),"",ROUND(F45+($AB45*0.1094/4.184),3))</f>
        <v/>
      </c>
      <c r="AU45" s="85" t="n">
        <f aca="false">IF(IF(ISBLANK(G45),1,(TRIM(G45)="")),"",ROUND(G45+($AB45*0.1094/4.184),3))</f>
        <v>17.87</v>
      </c>
      <c r="AV45" s="101" t="n">
        <f aca="false">IF(IF(ISBLANK(H45),1,(TRIM(H45)="")),"",ROUND(H45+($AB45*0.1094/4.184),3))</f>
        <v>17.9</v>
      </c>
      <c r="AW45" s="85" t="str">
        <f aca="false">IF(IF(ISBLANK(I45),1,(TRIM(I45)="")),"",ROUND(I45+($AB45*0.1094/4.184),3))</f>
        <v/>
      </c>
      <c r="AX45" s="101" t="n">
        <f aca="false">IF(IF(ISBLANK(J45),1,(TRIM(J45)="")),"",ROUND(J45+($AB45*0.1094/4.184),3))</f>
        <v>17.87</v>
      </c>
      <c r="AY45" s="85" t="str">
        <f aca="false">IF(IF(ISBLANK(K45),1,(TRIM(K45)="")),"",ROUND(K45+($AB45*0.1094/4.184),3))</f>
        <v/>
      </c>
      <c r="AZ45" s="101" t="n">
        <f aca="false">IF(IF(ISBLANK(L45),1,(TRIM(L45)="")),"",ROUND(L45+($AB45*0.1094/4.184),3))</f>
        <v>17.9</v>
      </c>
      <c r="BA45" s="85" t="n">
        <f aca="false">IF(IF(ISBLANK(M45),1,(TRIM(M45)="")),"",ROUND(M45+($AB45*0.1094/4.184),3))</f>
        <v>17.9</v>
      </c>
    </row>
    <row r="46" customFormat="false" ht="12.75" hidden="false" customHeight="false" outlineLevel="0" collapsed="false">
      <c r="B46" s="31" t="s">
        <v>62</v>
      </c>
      <c r="C46" s="62"/>
      <c r="D46" s="63"/>
      <c r="E46" s="64"/>
      <c r="F46" s="63"/>
      <c r="G46" s="64" t="s">
        <v>299</v>
      </c>
      <c r="H46" s="63" t="n">
        <v>17.5</v>
      </c>
      <c r="I46" s="62"/>
      <c r="J46" s="102" t="n">
        <v>17.49</v>
      </c>
      <c r="K46" s="62"/>
      <c r="L46" s="65" t="s">
        <v>300</v>
      </c>
      <c r="M46" s="64" t="s">
        <v>301</v>
      </c>
      <c r="O46" s="31" t="s">
        <v>62</v>
      </c>
      <c r="P46" s="85" t="str">
        <f aca="false">IF(IF(ISBLANK(C46),1,(TRIM(C46)="")),"",ROUND(4.184*C46,3))</f>
        <v/>
      </c>
      <c r="Q46" s="101" t="str">
        <f aca="false">IF(IF(ISBLANK(D46),1,(TRIM(D46)="")),"",ROUND(4.184*D46,3))</f>
        <v/>
      </c>
      <c r="R46" s="85" t="str">
        <f aca="false">IF(IF(ISBLANK(E46),1,(TRIM(E46)="")),"",ROUND(4.184*E46,3))</f>
        <v/>
      </c>
      <c r="S46" s="101" t="str">
        <f aca="false">IF(IF(ISBLANK(F46),1,(TRIM(F46)="")),"",ROUND(4.184*F46,3))</f>
        <v/>
      </c>
      <c r="T46" s="85" t="n">
        <f aca="false">IF(IF(ISBLANK(G46),1,(TRIM(G46)="")),"",ROUND(4.184*G46,3))</f>
        <v>73.136</v>
      </c>
      <c r="U46" s="101" t="n">
        <f aca="false">IF(IF(ISBLANK(H46),1,(TRIM(H46)="")),"",ROUND(4.184*H46,3))</f>
        <v>73.22</v>
      </c>
      <c r="V46" s="85" t="str">
        <f aca="false">IF(IF(ISBLANK(I46),1,(TRIM(I46)="")),"",ROUND(4.184*I46,3))</f>
        <v/>
      </c>
      <c r="W46" s="101" t="n">
        <f aca="false">IF(IF(ISBLANK(J46),1,(TRIM(J46)="")),"",ROUND(4.184*J46,3))</f>
        <v>73.178</v>
      </c>
      <c r="X46" s="85" t="str">
        <f aca="false">IF(IF(ISBLANK(K46),1,(TRIM(K46)="")),"",ROUND(4.184*K46,3))</f>
        <v/>
      </c>
      <c r="Y46" s="101" t="n">
        <f aca="false">IF(IF(ISBLANK(L46),1,(TRIM(L46)="")),"",ROUND(4.184*L46,3))</f>
        <v>73.178</v>
      </c>
      <c r="Z46" s="85" t="n">
        <f aca="false">IF(IF(ISBLANK(M46),1,(TRIM(M46)="")),"",ROUND(4.184*M46,3))</f>
        <v>73.178</v>
      </c>
      <c r="AB46" s="34"/>
      <c r="AC46" s="31" t="s">
        <v>62</v>
      </c>
      <c r="AD46" s="85" t="str">
        <f aca="false">IF(IF(ISBLANK(C46),1,(TRIM(C46)="")),"",ROUND(4.184*C46+$AB46*0.1094,3))</f>
        <v/>
      </c>
      <c r="AE46" s="101" t="str">
        <f aca="false">IF(IF(ISBLANK(D46),1,(TRIM(D46)="")),"",ROUND(4.184*D46+$AB46*0.1094,3))</f>
        <v/>
      </c>
      <c r="AF46" s="85" t="str">
        <f aca="false">IF(IF(ISBLANK(E46),1,(TRIM(E46)="")),"",ROUND(4.184*E46+$AB46*0.1094,3))</f>
        <v/>
      </c>
      <c r="AG46" s="101" t="str">
        <f aca="false">IF(IF(ISBLANK(F46),1,(TRIM(F46)="")),"",ROUND(4.184*F46+$AB46*0.1094,3))</f>
        <v/>
      </c>
      <c r="AH46" s="85" t="n">
        <f aca="false">IF(IF(ISBLANK(G46),1,(TRIM(G46)="")),"",ROUND(4.184*G46+$AB46*0.1094,3))</f>
        <v>73.136</v>
      </c>
      <c r="AI46" s="101" t="n">
        <f aca="false">IF(IF(ISBLANK(H46),1,(TRIM(H46)="")),"",ROUND(4.184*H46+$AB46*0.1094,3))</f>
        <v>73.22</v>
      </c>
      <c r="AJ46" s="85" t="str">
        <f aca="false">IF(IF(ISBLANK(I46),1,(TRIM(I46)="")),"",ROUND(4.184*I46+$AB46*0.1094,3))</f>
        <v/>
      </c>
      <c r="AK46" s="101" t="n">
        <f aca="false">IF(IF(ISBLANK(J46),1,(TRIM(J46)="")),"",ROUND(4.184*J46+$AB46*0.1094,3))</f>
        <v>73.178</v>
      </c>
      <c r="AL46" s="85" t="str">
        <f aca="false">IF(IF(ISBLANK(K46),1,(TRIM(K46)="")),"",ROUND(4.184*K46+$AB46*0.1094,3))</f>
        <v/>
      </c>
      <c r="AM46" s="101" t="n">
        <f aca="false">IF(IF(ISBLANK(L46),1,(TRIM(L46)="")),"",ROUND(4.184*L46+$AB46*0.1094,3))</f>
        <v>73.178</v>
      </c>
      <c r="AN46" s="85" t="n">
        <f aca="false">IF(IF(ISBLANK(M46),1,(TRIM(M46)="")),"",ROUND(4.184*M46+$AB46*0.1094,3))</f>
        <v>73.178</v>
      </c>
      <c r="AP46" s="31" t="s">
        <v>62</v>
      </c>
      <c r="AQ46" s="85" t="str">
        <f aca="false">IF(IF(ISBLANK(C46),1,(TRIM(C46)="")),"",ROUND(C46+($AB46*0.1094/4.184),3))</f>
        <v/>
      </c>
      <c r="AR46" s="101" t="str">
        <f aca="false">IF(IF(ISBLANK(D46),1,(TRIM(D46)="")),"",ROUND(D46+($AB46*0.1094/4.184),3))</f>
        <v/>
      </c>
      <c r="AS46" s="85" t="str">
        <f aca="false">IF(IF(ISBLANK(E46),1,(TRIM(E46)="")),"",ROUND(E46+($AB46*0.1094/4.184),3))</f>
        <v/>
      </c>
      <c r="AT46" s="101" t="str">
        <f aca="false">IF(IF(ISBLANK(F46),1,(TRIM(F46)="")),"",ROUND(F46+($AB46*0.1094/4.184),3))</f>
        <v/>
      </c>
      <c r="AU46" s="85" t="n">
        <f aca="false">IF(IF(ISBLANK(G46),1,(TRIM(G46)="")),"",ROUND(G46+($AB46*0.1094/4.184),3))</f>
        <v>17.48</v>
      </c>
      <c r="AV46" s="101" t="n">
        <f aca="false">IF(IF(ISBLANK(H46),1,(TRIM(H46)="")),"",ROUND(H46+($AB46*0.1094/4.184),3))</f>
        <v>17.5</v>
      </c>
      <c r="AW46" s="85" t="str">
        <f aca="false">IF(IF(ISBLANK(I46),1,(TRIM(I46)="")),"",ROUND(I46+($AB46*0.1094/4.184),3))</f>
        <v/>
      </c>
      <c r="AX46" s="101" t="n">
        <f aca="false">IF(IF(ISBLANK(J46),1,(TRIM(J46)="")),"",ROUND(J46+($AB46*0.1094/4.184),3))</f>
        <v>17.49</v>
      </c>
      <c r="AY46" s="85" t="str">
        <f aca="false">IF(IF(ISBLANK(K46),1,(TRIM(K46)="")),"",ROUND(K46+($AB46*0.1094/4.184),3))</f>
        <v/>
      </c>
      <c r="AZ46" s="101" t="n">
        <f aca="false">IF(IF(ISBLANK(L46),1,(TRIM(L46)="")),"",ROUND(L46+($AB46*0.1094/4.184),3))</f>
        <v>17.49</v>
      </c>
      <c r="BA46" s="85" t="n">
        <f aca="false">IF(IF(ISBLANK(M46),1,(TRIM(M46)="")),"",ROUND(M46+($AB46*0.1094/4.184),3))</f>
        <v>17.49</v>
      </c>
    </row>
    <row r="47" customFormat="false" ht="12.75" hidden="false" customHeight="false" outlineLevel="0" collapsed="false">
      <c r="B47" s="31" t="s">
        <v>63</v>
      </c>
      <c r="C47" s="64"/>
      <c r="D47" s="63"/>
      <c r="E47" s="64"/>
      <c r="F47" s="63"/>
      <c r="G47" s="62"/>
      <c r="H47" s="63"/>
      <c r="I47" s="62"/>
      <c r="J47" s="102"/>
      <c r="K47" s="62"/>
      <c r="L47" s="63"/>
      <c r="M47" s="62"/>
      <c r="O47" s="31" t="s">
        <v>63</v>
      </c>
      <c r="P47" s="85" t="str">
        <f aca="false">IF(IF(ISBLANK(C47),1,(TRIM(C47)="")),"",ROUND(4.184*C47,3))</f>
        <v/>
      </c>
      <c r="Q47" s="101" t="str">
        <f aca="false">IF(IF(ISBLANK(D47),1,(TRIM(D47)="")),"",ROUND(4.184*D47,3))</f>
        <v/>
      </c>
      <c r="R47" s="85" t="str">
        <f aca="false">IF(IF(ISBLANK(E47),1,(TRIM(E47)="")),"",ROUND(4.184*E47,3))</f>
        <v/>
      </c>
      <c r="S47" s="101" t="str">
        <f aca="false">IF(IF(ISBLANK(F47),1,(TRIM(F47)="")),"",ROUND(4.184*F47,3))</f>
        <v/>
      </c>
      <c r="T47" s="85" t="str">
        <f aca="false">IF(IF(ISBLANK(G47),1,(TRIM(G47)="")),"",ROUND(4.184*G47,3))</f>
        <v/>
      </c>
      <c r="U47" s="101" t="str">
        <f aca="false">IF(IF(ISBLANK(H47),1,(TRIM(H47)="")),"",ROUND(4.184*H47,3))</f>
        <v/>
      </c>
      <c r="V47" s="85" t="str">
        <f aca="false">IF(IF(ISBLANK(I47),1,(TRIM(I47)="")),"",ROUND(4.184*I47,3))</f>
        <v/>
      </c>
      <c r="W47" s="101" t="str">
        <f aca="false">IF(IF(ISBLANK(J47),1,(TRIM(J47)="")),"",ROUND(4.184*J47,3))</f>
        <v/>
      </c>
      <c r="X47" s="85" t="str">
        <f aca="false">IF(IF(ISBLANK(K47),1,(TRIM(K47)="")),"",ROUND(4.184*K47,3))</f>
        <v/>
      </c>
      <c r="Y47" s="101" t="str">
        <f aca="false">IF(IF(ISBLANK(L47),1,(TRIM(L47)="")),"",ROUND(4.184*L47,3))</f>
        <v/>
      </c>
      <c r="Z47" s="85" t="str">
        <f aca="false">IF(IF(ISBLANK(M47),1,(TRIM(M47)="")),"",ROUND(4.184*M47,3))</f>
        <v/>
      </c>
      <c r="AB47" s="34"/>
      <c r="AC47" s="31" t="s">
        <v>63</v>
      </c>
      <c r="AD47" s="85" t="str">
        <f aca="false">IF(IF(ISBLANK(C47),1,(TRIM(C47)="")),"",ROUND(4.184*C47+$AB47*0.1094,3))</f>
        <v/>
      </c>
      <c r="AE47" s="101" t="str">
        <f aca="false">IF(IF(ISBLANK(D47),1,(TRIM(D47)="")),"",ROUND(4.184*D47+$AB47*0.1094,3))</f>
        <v/>
      </c>
      <c r="AF47" s="85" t="str">
        <f aca="false">IF(IF(ISBLANK(E47),1,(TRIM(E47)="")),"",ROUND(4.184*E47+$AB47*0.1094,3))</f>
        <v/>
      </c>
      <c r="AG47" s="101" t="str">
        <f aca="false">IF(IF(ISBLANK(F47),1,(TRIM(F47)="")),"",ROUND(4.184*F47+$AB47*0.1094,3))</f>
        <v/>
      </c>
      <c r="AH47" s="85" t="str">
        <f aca="false">IF(IF(ISBLANK(G47),1,(TRIM(G47)="")),"",ROUND(4.184*G47+$AB47*0.1094,3))</f>
        <v/>
      </c>
      <c r="AI47" s="101" t="str">
        <f aca="false">IF(IF(ISBLANK(H47),1,(TRIM(H47)="")),"",ROUND(4.184*H47+$AB47*0.1094,3))</f>
        <v/>
      </c>
      <c r="AJ47" s="85" t="str">
        <f aca="false">IF(IF(ISBLANK(I47),1,(TRIM(I47)="")),"",ROUND(4.184*I47+$AB47*0.1094,3))</f>
        <v/>
      </c>
      <c r="AK47" s="101" t="str">
        <f aca="false">IF(IF(ISBLANK(J47),1,(TRIM(J47)="")),"",ROUND(4.184*J47+$AB47*0.1094,3))</f>
        <v/>
      </c>
      <c r="AL47" s="85" t="str">
        <f aca="false">IF(IF(ISBLANK(K47),1,(TRIM(K47)="")),"",ROUND(4.184*K47+$AB47*0.1094,3))</f>
        <v/>
      </c>
      <c r="AM47" s="101" t="str">
        <f aca="false">IF(IF(ISBLANK(L47),1,(TRIM(L47)="")),"",ROUND(4.184*L47+$AB47*0.1094,3))</f>
        <v/>
      </c>
      <c r="AN47" s="85" t="str">
        <f aca="false">IF(IF(ISBLANK(M47),1,(TRIM(M47)="")),"",ROUND(4.184*M47+$AB47*0.1094,3))</f>
        <v/>
      </c>
      <c r="AP47" s="31" t="s">
        <v>63</v>
      </c>
      <c r="AQ47" s="85" t="str">
        <f aca="false">IF(IF(ISBLANK(C47),1,(TRIM(C47)="")),"",ROUND(C47+($AB47*0.1094/4.184),3))</f>
        <v/>
      </c>
      <c r="AR47" s="101" t="str">
        <f aca="false">IF(IF(ISBLANK(D47),1,(TRIM(D47)="")),"",ROUND(D47+($AB47*0.1094/4.184),3))</f>
        <v/>
      </c>
      <c r="AS47" s="85" t="str">
        <f aca="false">IF(IF(ISBLANK(E47),1,(TRIM(E47)="")),"",ROUND(E47+($AB47*0.1094/4.184),3))</f>
        <v/>
      </c>
      <c r="AT47" s="101" t="str">
        <f aca="false">IF(IF(ISBLANK(F47),1,(TRIM(F47)="")),"",ROUND(F47+($AB47*0.1094/4.184),3))</f>
        <v/>
      </c>
      <c r="AU47" s="85" t="str">
        <f aca="false">IF(IF(ISBLANK(G47),1,(TRIM(G47)="")),"",ROUND(G47+($AB47*0.1094/4.184),3))</f>
        <v/>
      </c>
      <c r="AV47" s="101" t="str">
        <f aca="false">IF(IF(ISBLANK(H47),1,(TRIM(H47)="")),"",ROUND(H47+($AB47*0.1094/4.184),3))</f>
        <v/>
      </c>
      <c r="AW47" s="85" t="str">
        <f aca="false">IF(IF(ISBLANK(I47),1,(TRIM(I47)="")),"",ROUND(I47+($AB47*0.1094/4.184),3))</f>
        <v/>
      </c>
      <c r="AX47" s="101" t="str">
        <f aca="false">IF(IF(ISBLANK(J47),1,(TRIM(J47)="")),"",ROUND(J47+($AB47*0.1094/4.184),3))</f>
        <v/>
      </c>
      <c r="AY47" s="85" t="str">
        <f aca="false">IF(IF(ISBLANK(K47),1,(TRIM(K47)="")),"",ROUND(K47+($AB47*0.1094/4.184),3))</f>
        <v/>
      </c>
      <c r="AZ47" s="101" t="str">
        <f aca="false">IF(IF(ISBLANK(L47),1,(TRIM(L47)="")),"",ROUND(L47+($AB47*0.1094/4.184),3))</f>
        <v/>
      </c>
      <c r="BA47" s="85" t="str">
        <f aca="false">IF(IF(ISBLANK(M47),1,(TRIM(M47)="")),"",ROUND(M47+($AB47*0.1094/4.184),3))</f>
        <v/>
      </c>
    </row>
    <row r="48" customFormat="false" ht="12.75" hidden="false" customHeight="false" outlineLevel="0" collapsed="false">
      <c r="B48" s="31" t="s">
        <v>64</v>
      </c>
      <c r="C48" s="62"/>
      <c r="D48" s="63"/>
      <c r="E48" s="64"/>
      <c r="F48" s="63"/>
      <c r="G48" s="64" t="s">
        <v>302</v>
      </c>
      <c r="H48" s="65" t="s">
        <v>303</v>
      </c>
      <c r="I48" s="62"/>
      <c r="J48" s="102" t="n">
        <v>18.59</v>
      </c>
      <c r="K48" s="62"/>
      <c r="L48" s="65" t="s">
        <v>304</v>
      </c>
      <c r="M48" s="64" t="s">
        <v>305</v>
      </c>
      <c r="O48" s="31" t="s">
        <v>64</v>
      </c>
      <c r="P48" s="85" t="str">
        <f aca="false">IF(IF(ISBLANK(C48),1,(TRIM(C48)="")),"",ROUND(4.184*C48,3))</f>
        <v/>
      </c>
      <c r="Q48" s="101" t="str">
        <f aca="false">IF(IF(ISBLANK(D48),1,(TRIM(D48)="")),"",ROUND(4.184*D48,3))</f>
        <v/>
      </c>
      <c r="R48" s="85" t="str">
        <f aca="false">IF(IF(ISBLANK(E48),1,(TRIM(E48)="")),"",ROUND(4.184*E48,3))</f>
        <v/>
      </c>
      <c r="S48" s="101" t="str">
        <f aca="false">IF(IF(ISBLANK(F48),1,(TRIM(F48)="")),"",ROUND(4.184*F48,3))</f>
        <v/>
      </c>
      <c r="T48" s="85" t="n">
        <f aca="false">IF(IF(ISBLANK(G48),1,(TRIM(G48)="")),"",ROUND(4.184*G48,3))</f>
        <v>71.128</v>
      </c>
      <c r="U48" s="101" t="n">
        <f aca="false">IF(IF(ISBLANK(H48),1,(TRIM(H48)="")),"",ROUND(4.184*H48,3))</f>
        <v>71.128</v>
      </c>
      <c r="V48" s="85" t="str">
        <f aca="false">IF(IF(ISBLANK(I48),1,(TRIM(I48)="")),"",ROUND(4.184*I48,3))</f>
        <v/>
      </c>
      <c r="W48" s="101" t="n">
        <f aca="false">IF(IF(ISBLANK(J48),1,(TRIM(J48)="")),"",ROUND(4.184*J48,3))</f>
        <v>77.781</v>
      </c>
      <c r="X48" s="85" t="str">
        <f aca="false">IF(IF(ISBLANK(K48),1,(TRIM(K48)="")),"",ROUND(4.184*K48,3))</f>
        <v/>
      </c>
      <c r="Y48" s="101" t="n">
        <f aca="false">IF(IF(ISBLANK(L48),1,(TRIM(L48)="")),"",ROUND(4.184*L48,3))</f>
        <v>80.793</v>
      </c>
      <c r="Z48" s="85" t="n">
        <f aca="false">IF(IF(ISBLANK(M48),1,(TRIM(M48)="")),"",ROUND(4.184*M48,3))</f>
        <v>77.822</v>
      </c>
      <c r="AB48" s="34"/>
      <c r="AC48" s="31" t="s">
        <v>64</v>
      </c>
      <c r="AD48" s="85" t="str">
        <f aca="false">IF(IF(ISBLANK(C48),1,(TRIM(C48)="")),"",ROUND(4.184*C48+$AB48*0.1094,3))</f>
        <v/>
      </c>
      <c r="AE48" s="101" t="str">
        <f aca="false">IF(IF(ISBLANK(D48),1,(TRIM(D48)="")),"",ROUND(4.184*D48+$AB48*0.1094,3))</f>
        <v/>
      </c>
      <c r="AF48" s="85" t="str">
        <f aca="false">IF(IF(ISBLANK(E48),1,(TRIM(E48)="")),"",ROUND(4.184*E48+$AB48*0.1094,3))</f>
        <v/>
      </c>
      <c r="AG48" s="101" t="str">
        <f aca="false">IF(IF(ISBLANK(F48),1,(TRIM(F48)="")),"",ROUND(4.184*F48+$AB48*0.1094,3))</f>
        <v/>
      </c>
      <c r="AH48" s="85" t="n">
        <f aca="false">IF(IF(ISBLANK(G48),1,(TRIM(G48)="")),"",ROUND(4.184*G48+$AB48*0.1094,3))</f>
        <v>71.128</v>
      </c>
      <c r="AI48" s="101" t="n">
        <f aca="false">IF(IF(ISBLANK(H48),1,(TRIM(H48)="")),"",ROUND(4.184*H48+$AB48*0.1094,3))</f>
        <v>71.128</v>
      </c>
      <c r="AJ48" s="85" t="str">
        <f aca="false">IF(IF(ISBLANK(I48),1,(TRIM(I48)="")),"",ROUND(4.184*I48+$AB48*0.1094,3))</f>
        <v/>
      </c>
      <c r="AK48" s="101" t="n">
        <f aca="false">IF(IF(ISBLANK(J48),1,(TRIM(J48)="")),"",ROUND(4.184*J48+$AB48*0.1094,3))</f>
        <v>77.781</v>
      </c>
      <c r="AL48" s="85" t="str">
        <f aca="false">IF(IF(ISBLANK(K48),1,(TRIM(K48)="")),"",ROUND(4.184*K48+$AB48*0.1094,3))</f>
        <v/>
      </c>
      <c r="AM48" s="101" t="n">
        <f aca="false">IF(IF(ISBLANK(L48),1,(TRIM(L48)="")),"",ROUND(4.184*L48+$AB48*0.1094,3))</f>
        <v>80.793</v>
      </c>
      <c r="AN48" s="85" t="n">
        <f aca="false">IF(IF(ISBLANK(M48),1,(TRIM(M48)="")),"",ROUND(4.184*M48+$AB48*0.1094,3))</f>
        <v>77.822</v>
      </c>
      <c r="AP48" s="31" t="s">
        <v>64</v>
      </c>
      <c r="AQ48" s="85" t="str">
        <f aca="false">IF(IF(ISBLANK(C48),1,(TRIM(C48)="")),"",ROUND(C48+($AB48*0.1094/4.184),3))</f>
        <v/>
      </c>
      <c r="AR48" s="101" t="str">
        <f aca="false">IF(IF(ISBLANK(D48),1,(TRIM(D48)="")),"",ROUND(D48+($AB48*0.1094/4.184),3))</f>
        <v/>
      </c>
      <c r="AS48" s="85" t="str">
        <f aca="false">IF(IF(ISBLANK(E48),1,(TRIM(E48)="")),"",ROUND(E48+($AB48*0.1094/4.184),3))</f>
        <v/>
      </c>
      <c r="AT48" s="101" t="str">
        <f aca="false">IF(IF(ISBLANK(F48),1,(TRIM(F48)="")),"",ROUND(F48+($AB48*0.1094/4.184),3))</f>
        <v/>
      </c>
      <c r="AU48" s="85" t="n">
        <f aca="false">IF(IF(ISBLANK(G48),1,(TRIM(G48)="")),"",ROUND(G48+($AB48*0.1094/4.184),3))</f>
        <v>17</v>
      </c>
      <c r="AV48" s="101" t="n">
        <f aca="false">IF(IF(ISBLANK(H48),1,(TRIM(H48)="")),"",ROUND(H48+($AB48*0.1094/4.184),3))</f>
        <v>17</v>
      </c>
      <c r="AW48" s="85" t="str">
        <f aca="false">IF(IF(ISBLANK(I48),1,(TRIM(I48)="")),"",ROUND(I48+($AB48*0.1094/4.184),3))</f>
        <v/>
      </c>
      <c r="AX48" s="101" t="n">
        <f aca="false">IF(IF(ISBLANK(J48),1,(TRIM(J48)="")),"",ROUND(J48+($AB48*0.1094/4.184),3))</f>
        <v>18.59</v>
      </c>
      <c r="AY48" s="85" t="str">
        <f aca="false">IF(IF(ISBLANK(K48),1,(TRIM(K48)="")),"",ROUND(K48+($AB48*0.1094/4.184),3))</f>
        <v/>
      </c>
      <c r="AZ48" s="101" t="n">
        <f aca="false">IF(IF(ISBLANK(L48),1,(TRIM(L48)="")),"",ROUND(L48+($AB48*0.1094/4.184),3))</f>
        <v>19.31</v>
      </c>
      <c r="BA48" s="85" t="n">
        <f aca="false">IF(IF(ISBLANK(M48),1,(TRIM(M48)="")),"",ROUND(M48+($AB48*0.1094/4.184),3))</f>
        <v>18.6</v>
      </c>
    </row>
    <row r="49" s="90" customFormat="true" ht="12.75" hidden="false" customHeight="false" outlineLevel="0" collapsed="false">
      <c r="A49" s="89"/>
      <c r="B49" s="38" t="s">
        <v>66</v>
      </c>
      <c r="C49" s="62"/>
      <c r="D49" s="63"/>
      <c r="E49" s="64"/>
      <c r="F49" s="63" t="n">
        <v>48.6</v>
      </c>
      <c r="G49" s="64" t="s">
        <v>306</v>
      </c>
      <c r="H49" s="65" t="n">
        <v>48.49</v>
      </c>
      <c r="I49" s="64" t="n">
        <v>48.44</v>
      </c>
      <c r="J49" s="103" t="n">
        <v>48.44</v>
      </c>
      <c r="K49" s="64" t="n">
        <v>48.447</v>
      </c>
      <c r="L49" s="65" t="s">
        <v>307</v>
      </c>
      <c r="M49" s="64" t="n">
        <v>48.443</v>
      </c>
      <c r="O49" s="38" t="s">
        <v>66</v>
      </c>
      <c r="P49" s="85" t="str">
        <f aca="false">IF(IF(ISBLANK(C49),1,(TRIM(C49)="")),"",ROUND(4.184*C49,3))</f>
        <v/>
      </c>
      <c r="Q49" s="101" t="str">
        <f aca="false">IF(IF(ISBLANK(D49),1,(TRIM(D49)="")),"",ROUND(4.184*D49,3))</f>
        <v/>
      </c>
      <c r="R49" s="85" t="str">
        <f aca="false">IF(IF(ISBLANK(E49),1,(TRIM(E49)="")),"",ROUND(4.184*E49,3))</f>
        <v/>
      </c>
      <c r="S49" s="101" t="n">
        <f aca="false">IF(IF(ISBLANK(F49),1,(TRIM(F49)="")),"",ROUND(4.184*F49,3))</f>
        <v>203.342</v>
      </c>
      <c r="T49" s="85" t="n">
        <f aca="false">IF(IF(ISBLANK(G49),1,(TRIM(G49)="")),"",ROUND(4.184*G49,3))</f>
        <v>202.715</v>
      </c>
      <c r="U49" s="101" t="n">
        <f aca="false">IF(IF(ISBLANK(H49),1,(TRIM(H49)="")),"",ROUND(4.184*H49,3))</f>
        <v>202.882</v>
      </c>
      <c r="V49" s="85" t="n">
        <f aca="false">IF(IF(ISBLANK(I49),1,(TRIM(I49)="")),"",ROUND(4.184*I49,3))</f>
        <v>202.673</v>
      </c>
      <c r="W49" s="101" t="n">
        <f aca="false">IF(IF(ISBLANK(J49),1,(TRIM(J49)="")),"",ROUND(4.184*J49,3))</f>
        <v>202.673</v>
      </c>
      <c r="X49" s="85" t="n">
        <f aca="false">IF(IF(ISBLANK(K49),1,(TRIM(K49)="")),"",ROUND(4.184*K49,3))</f>
        <v>202.702</v>
      </c>
      <c r="Y49" s="101" t="n">
        <f aca="false">IF(IF(ISBLANK(L49),1,(TRIM(L49)="")),"",ROUND(4.184*L49,3))</f>
        <v>202.665</v>
      </c>
      <c r="Z49" s="85" t="n">
        <f aca="false">IF(IF(ISBLANK(M49),1,(TRIM(M49)="")),"",ROUND(4.184*M49,3))</f>
        <v>202.686</v>
      </c>
      <c r="AB49" s="34" t="n">
        <v>1</v>
      </c>
      <c r="AC49" s="38" t="s">
        <v>66</v>
      </c>
      <c r="AD49" s="85" t="str">
        <f aca="false">IF(IF(ISBLANK(C49),1,(TRIM(C49)="")),"",ROUND(4.184*C49+$AB49*0.1094,3))</f>
        <v/>
      </c>
      <c r="AE49" s="101" t="str">
        <f aca="false">IF(IF(ISBLANK(D49),1,(TRIM(D49)="")),"",ROUND(4.184*D49+$AB49*0.1094,3))</f>
        <v/>
      </c>
      <c r="AF49" s="85" t="str">
        <f aca="false">IF(IF(ISBLANK(E49),1,(TRIM(E49)="")),"",ROUND(4.184*E49+$AB49*0.1094,3))</f>
        <v/>
      </c>
      <c r="AG49" s="101" t="n">
        <f aca="false">IF(IF(ISBLANK(F49),1,(TRIM(F49)="")),"",ROUND(4.184*F49+$AB49*0.1094,3))</f>
        <v>203.452</v>
      </c>
      <c r="AH49" s="85" t="n">
        <f aca="false">IF(IF(ISBLANK(G49),1,(TRIM(G49)="")),"",ROUND(4.184*G49+$AB49*0.1094,3))</f>
        <v>202.824</v>
      </c>
      <c r="AI49" s="101" t="n">
        <f aca="false">IF(IF(ISBLANK(H49),1,(TRIM(H49)="")),"",ROUND(4.184*H49+$AB49*0.1094,3))</f>
        <v>202.992</v>
      </c>
      <c r="AJ49" s="85" t="n">
        <f aca="false">IF(IF(ISBLANK(I49),1,(TRIM(I49)="")),"",ROUND(4.184*I49+$AB49*0.1094,3))</f>
        <v>202.782</v>
      </c>
      <c r="AK49" s="101" t="n">
        <f aca="false">IF(IF(ISBLANK(J49),1,(TRIM(J49)="")),"",ROUND(4.184*J49+$AB49*0.1094,3))</f>
        <v>202.782</v>
      </c>
      <c r="AL49" s="85" t="n">
        <f aca="false">IF(IF(ISBLANK(K49),1,(TRIM(K49)="")),"",ROUND(4.184*K49+$AB49*0.1094,3))</f>
        <v>202.812</v>
      </c>
      <c r="AM49" s="101" t="n">
        <f aca="false">IF(IF(ISBLANK(L49),1,(TRIM(L49)="")),"",ROUND(4.184*L49+$AB49*0.1094,3))</f>
        <v>202.774</v>
      </c>
      <c r="AN49" s="85" t="n">
        <f aca="false">IF(IF(ISBLANK(M49),1,(TRIM(M49)="")),"",ROUND(4.184*M49+$AB49*0.1094,3))</f>
        <v>202.795</v>
      </c>
      <c r="AP49" s="38" t="s">
        <v>66</v>
      </c>
      <c r="AQ49" s="85" t="str">
        <f aca="false">IF(IF(ISBLANK(C49),1,(TRIM(C49)="")),"",ROUND(C49+($AB49*0.1094/4.184),3))</f>
        <v/>
      </c>
      <c r="AR49" s="101" t="str">
        <f aca="false">IF(IF(ISBLANK(D49),1,(TRIM(D49)="")),"",ROUND(D49+($AB49*0.1094/4.184),3))</f>
        <v/>
      </c>
      <c r="AS49" s="85" t="str">
        <f aca="false">IF(IF(ISBLANK(E49),1,(TRIM(E49)="")),"",ROUND(E49+($AB49*0.1094/4.184),3))</f>
        <v/>
      </c>
      <c r="AT49" s="101" t="n">
        <f aca="false">IF(IF(ISBLANK(F49),1,(TRIM(F49)="")),"",ROUND(F49+($AB49*0.1094/4.184),3))</f>
        <v>48.626</v>
      </c>
      <c r="AU49" s="85" t="n">
        <f aca="false">IF(IF(ISBLANK(G49),1,(TRIM(G49)="")),"",ROUND(G49+($AB49*0.1094/4.184),3))</f>
        <v>48.476</v>
      </c>
      <c r="AV49" s="101" t="n">
        <f aca="false">IF(IF(ISBLANK(H49),1,(TRIM(H49)="")),"",ROUND(H49+($AB49*0.1094/4.184),3))</f>
        <v>48.516</v>
      </c>
      <c r="AW49" s="85" t="n">
        <f aca="false">IF(IF(ISBLANK(I49),1,(TRIM(I49)="")),"",ROUND(I49+($AB49*0.1094/4.184),3))</f>
        <v>48.466</v>
      </c>
      <c r="AX49" s="101" t="n">
        <f aca="false">IF(IF(ISBLANK(J49),1,(TRIM(J49)="")),"",ROUND(J49+($AB49*0.1094/4.184),3))</f>
        <v>48.466</v>
      </c>
      <c r="AY49" s="85" t="n">
        <f aca="false">IF(IF(ISBLANK(K49),1,(TRIM(K49)="")),"",ROUND(K49+($AB49*0.1094/4.184),3))</f>
        <v>48.473</v>
      </c>
      <c r="AZ49" s="101" t="n">
        <f aca="false">IF(IF(ISBLANK(L49),1,(TRIM(L49)="")),"",ROUND(L49+($AB49*0.1094/4.184),3))</f>
        <v>48.464</v>
      </c>
      <c r="BA49" s="85" t="n">
        <f aca="false">IF(IF(ISBLANK(M49),1,(TRIM(M49)="")),"",ROUND(M49+($AB49*0.1094/4.184),3))</f>
        <v>48.469</v>
      </c>
    </row>
    <row r="50" customFormat="false" ht="12.75" hidden="false" customHeight="false" outlineLevel="0" collapsed="false">
      <c r="B50" s="38" t="s">
        <v>68</v>
      </c>
      <c r="C50" s="62" t="n">
        <v>6.6</v>
      </c>
      <c r="D50" s="63" t="n">
        <v>6.71</v>
      </c>
      <c r="E50" s="64" t="s">
        <v>308</v>
      </c>
      <c r="F50" s="63" t="n">
        <v>6.49</v>
      </c>
      <c r="G50" s="64" t="s">
        <v>309</v>
      </c>
      <c r="H50" s="63" t="n">
        <v>6.49</v>
      </c>
      <c r="I50" s="62" t="n">
        <v>6.52</v>
      </c>
      <c r="J50" s="102" t="n">
        <v>6.52</v>
      </c>
      <c r="K50" s="62" t="n">
        <v>6.529</v>
      </c>
      <c r="L50" s="65" t="s">
        <v>310</v>
      </c>
      <c r="M50" s="64" t="s">
        <v>311</v>
      </c>
      <c r="O50" s="38" t="s">
        <v>68</v>
      </c>
      <c r="P50" s="85" t="n">
        <f aca="false">IF(IF(ISBLANK(C50),1,(TRIM(C50)="")),"",ROUND(4.184*C50,3))</f>
        <v>27.614</v>
      </c>
      <c r="Q50" s="101" t="n">
        <f aca="false">IF(IF(ISBLANK(D50),1,(TRIM(D50)="")),"",ROUND(4.184*D50,3))</f>
        <v>28.075</v>
      </c>
      <c r="R50" s="85" t="n">
        <f aca="false">IF(IF(ISBLANK(E50),1,(TRIM(E50)="")),"",ROUND(4.184*E50,3))</f>
        <v>27.196</v>
      </c>
      <c r="S50" s="101" t="n">
        <f aca="false">IF(IF(ISBLANK(F50),1,(TRIM(F50)="")),"",ROUND(4.184*F50,3))</f>
        <v>27.154</v>
      </c>
      <c r="T50" s="85" t="n">
        <f aca="false">IF(IF(ISBLANK(G50),1,(TRIM(G50)="")),"",ROUND(4.184*G50,3))</f>
        <v>27.154</v>
      </c>
      <c r="U50" s="101" t="n">
        <f aca="false">IF(IF(ISBLANK(H50),1,(TRIM(H50)="")),"",ROUND(4.184*H50,3))</f>
        <v>27.154</v>
      </c>
      <c r="V50" s="85" t="n">
        <f aca="false">IF(IF(ISBLANK(I50),1,(TRIM(I50)="")),"",ROUND(4.184*I50,3))</f>
        <v>27.28</v>
      </c>
      <c r="W50" s="101" t="n">
        <f aca="false">IF(IF(ISBLANK(J50),1,(TRIM(J50)="")),"",ROUND(4.184*J50,3))</f>
        <v>27.28</v>
      </c>
      <c r="X50" s="85" t="n">
        <f aca="false">IF(IF(ISBLANK(K50),1,(TRIM(K50)="")),"",ROUND(4.184*K50,3))</f>
        <v>27.317</v>
      </c>
      <c r="Y50" s="101" t="n">
        <f aca="false">IF(IF(ISBLANK(L50),1,(TRIM(L50)="")),"",ROUND(4.184*L50,3))</f>
        <v>27.28</v>
      </c>
      <c r="Z50" s="85" t="n">
        <f aca="false">IF(IF(ISBLANK(M50),1,(TRIM(M50)="")),"",ROUND(4.184*M50,3))</f>
        <v>27.28</v>
      </c>
      <c r="AB50" s="34"/>
      <c r="AC50" s="38" t="s">
        <v>68</v>
      </c>
      <c r="AD50" s="85" t="n">
        <f aca="false">IF(IF(ISBLANK(C50),1,(TRIM(C50)="")),"",ROUND(4.184*C50+$AB50*0.1094,3))</f>
        <v>27.614</v>
      </c>
      <c r="AE50" s="101" t="n">
        <f aca="false">IF(IF(ISBLANK(D50),1,(TRIM(D50)="")),"",ROUND(4.184*D50+$AB50*0.1094,3))</f>
        <v>28.075</v>
      </c>
      <c r="AF50" s="85" t="n">
        <f aca="false">IF(IF(ISBLANK(E50),1,(TRIM(E50)="")),"",ROUND(4.184*E50+$AB50*0.1094,3))</f>
        <v>27.196</v>
      </c>
      <c r="AG50" s="101" t="n">
        <f aca="false">IF(IF(ISBLANK(F50),1,(TRIM(F50)="")),"",ROUND(4.184*F50+$AB50*0.1094,3))</f>
        <v>27.154</v>
      </c>
      <c r="AH50" s="85" t="n">
        <f aca="false">IF(IF(ISBLANK(G50),1,(TRIM(G50)="")),"",ROUND(4.184*G50+$AB50*0.1094,3))</f>
        <v>27.154</v>
      </c>
      <c r="AI50" s="101" t="n">
        <f aca="false">IF(IF(ISBLANK(H50),1,(TRIM(H50)="")),"",ROUND(4.184*H50+$AB50*0.1094,3))</f>
        <v>27.154</v>
      </c>
      <c r="AJ50" s="85" t="n">
        <f aca="false">IF(IF(ISBLANK(I50),1,(TRIM(I50)="")),"",ROUND(4.184*I50+$AB50*0.1094,3))</f>
        <v>27.28</v>
      </c>
      <c r="AK50" s="101" t="n">
        <f aca="false">IF(IF(ISBLANK(J50),1,(TRIM(J50)="")),"",ROUND(4.184*J50+$AB50*0.1094,3))</f>
        <v>27.28</v>
      </c>
      <c r="AL50" s="85" t="n">
        <f aca="false">IF(IF(ISBLANK(K50),1,(TRIM(K50)="")),"",ROUND(4.184*K50+$AB50*0.1094,3))</f>
        <v>27.317</v>
      </c>
      <c r="AM50" s="101" t="n">
        <f aca="false">IF(IF(ISBLANK(L50),1,(TRIM(L50)="")),"",ROUND(4.184*L50+$AB50*0.1094,3))</f>
        <v>27.28</v>
      </c>
      <c r="AN50" s="85" t="n">
        <f aca="false">IF(IF(ISBLANK(M50),1,(TRIM(M50)="")),"",ROUND(4.184*M50+$AB50*0.1094,3))</f>
        <v>27.28</v>
      </c>
      <c r="AP50" s="38" t="s">
        <v>68</v>
      </c>
      <c r="AQ50" s="85" t="n">
        <f aca="false">IF(IF(ISBLANK(C50),1,(TRIM(C50)="")),"",ROUND(C50+($AB50*0.1094/4.184),3))</f>
        <v>6.6</v>
      </c>
      <c r="AR50" s="101" t="n">
        <f aca="false">IF(IF(ISBLANK(D50),1,(TRIM(D50)="")),"",ROUND(D50+($AB50*0.1094/4.184),3))</f>
        <v>6.71</v>
      </c>
      <c r="AS50" s="85" t="n">
        <f aca="false">IF(IF(ISBLANK(E50),1,(TRIM(E50)="")),"",ROUND(E50+($AB50*0.1094/4.184),3))</f>
        <v>6.5</v>
      </c>
      <c r="AT50" s="101" t="n">
        <f aca="false">IF(IF(ISBLANK(F50),1,(TRIM(F50)="")),"",ROUND(F50+($AB50*0.1094/4.184),3))</f>
        <v>6.49</v>
      </c>
      <c r="AU50" s="85" t="n">
        <f aca="false">IF(IF(ISBLANK(G50),1,(TRIM(G50)="")),"",ROUND(G50+($AB50*0.1094/4.184),3))</f>
        <v>6.49</v>
      </c>
      <c r="AV50" s="101" t="n">
        <f aca="false">IF(IF(ISBLANK(H50),1,(TRIM(H50)="")),"",ROUND(H50+($AB50*0.1094/4.184),3))</f>
        <v>6.49</v>
      </c>
      <c r="AW50" s="85" t="n">
        <f aca="false">IF(IF(ISBLANK(I50),1,(TRIM(I50)="")),"",ROUND(I50+($AB50*0.1094/4.184),3))</f>
        <v>6.52</v>
      </c>
      <c r="AX50" s="101" t="n">
        <f aca="false">IF(IF(ISBLANK(J50),1,(TRIM(J50)="")),"",ROUND(J50+($AB50*0.1094/4.184),3))</f>
        <v>6.52</v>
      </c>
      <c r="AY50" s="85" t="n">
        <f aca="false">IF(IF(ISBLANK(K50),1,(TRIM(K50)="")),"",ROUND(K50+($AB50*0.1094/4.184),3))</f>
        <v>6.529</v>
      </c>
      <c r="AZ50" s="101" t="n">
        <f aca="false">IF(IF(ISBLANK(L50),1,(TRIM(L50)="")),"",ROUND(L50+($AB50*0.1094/4.184),3))</f>
        <v>6.52</v>
      </c>
      <c r="BA50" s="85" t="n">
        <f aca="false">IF(IF(ISBLANK(M50),1,(TRIM(M50)="")),"",ROUND(M50+($AB50*0.1094/4.184),3))</f>
        <v>6.52</v>
      </c>
    </row>
    <row r="51" customFormat="false" ht="12.75" hidden="false" customHeight="false" outlineLevel="0" collapsed="false">
      <c r="B51" s="31" t="s">
        <v>69</v>
      </c>
      <c r="C51" s="64"/>
      <c r="D51" s="63"/>
      <c r="E51" s="64"/>
      <c r="F51" s="63"/>
      <c r="G51" s="62"/>
      <c r="H51" s="63"/>
      <c r="I51" s="62"/>
      <c r="J51" s="102"/>
      <c r="K51" s="62"/>
      <c r="L51" s="63"/>
      <c r="M51" s="62"/>
      <c r="O51" s="31" t="s">
        <v>69</v>
      </c>
      <c r="P51" s="85" t="str">
        <f aca="false">IF(IF(ISBLANK(C51),1,(TRIM(C51)="")),"",ROUND(4.184*C51,3))</f>
        <v/>
      </c>
      <c r="Q51" s="101" t="str">
        <f aca="false">IF(IF(ISBLANK(D51),1,(TRIM(D51)="")),"",ROUND(4.184*D51,3))</f>
        <v/>
      </c>
      <c r="R51" s="85" t="str">
        <f aca="false">IF(IF(ISBLANK(E51),1,(TRIM(E51)="")),"",ROUND(4.184*E51,3))</f>
        <v/>
      </c>
      <c r="S51" s="101" t="str">
        <f aca="false">IF(IF(ISBLANK(F51),1,(TRIM(F51)="")),"",ROUND(4.184*F51,3))</f>
        <v/>
      </c>
      <c r="T51" s="85" t="str">
        <f aca="false">IF(IF(ISBLANK(G51),1,(TRIM(G51)="")),"",ROUND(4.184*G51,3))</f>
        <v/>
      </c>
      <c r="U51" s="101" t="str">
        <f aca="false">IF(IF(ISBLANK(H51),1,(TRIM(H51)="")),"",ROUND(4.184*H51,3))</f>
        <v/>
      </c>
      <c r="V51" s="85" t="str">
        <f aca="false">IF(IF(ISBLANK(I51),1,(TRIM(I51)="")),"",ROUND(4.184*I51,3))</f>
        <v/>
      </c>
      <c r="W51" s="101" t="str">
        <f aca="false">IF(IF(ISBLANK(J51),1,(TRIM(J51)="")),"",ROUND(4.184*J51,3))</f>
        <v/>
      </c>
      <c r="X51" s="85" t="str">
        <f aca="false">IF(IF(ISBLANK(K51),1,(TRIM(K51)="")),"",ROUND(4.184*K51,3))</f>
        <v/>
      </c>
      <c r="Y51" s="101" t="str">
        <f aca="false">IF(IF(ISBLANK(L51),1,(TRIM(L51)="")),"",ROUND(4.184*L51,3))</f>
        <v/>
      </c>
      <c r="Z51" s="85" t="str">
        <f aca="false">IF(IF(ISBLANK(M51),1,(TRIM(M51)="")),"",ROUND(4.184*M51,3))</f>
        <v/>
      </c>
      <c r="AB51" s="34"/>
      <c r="AC51" s="31" t="s">
        <v>69</v>
      </c>
      <c r="AD51" s="85" t="str">
        <f aca="false">IF(IF(ISBLANK(C51),1,(TRIM(C51)="")),"",ROUND(4.184*C51+$AB51*0.1094,3))</f>
        <v/>
      </c>
      <c r="AE51" s="101" t="str">
        <f aca="false">IF(IF(ISBLANK(D51),1,(TRIM(D51)="")),"",ROUND(4.184*D51+$AB51*0.1094,3))</f>
        <v/>
      </c>
      <c r="AF51" s="85" t="str">
        <f aca="false">IF(IF(ISBLANK(E51),1,(TRIM(E51)="")),"",ROUND(4.184*E51+$AB51*0.1094,3))</f>
        <v/>
      </c>
      <c r="AG51" s="101" t="str">
        <f aca="false">IF(IF(ISBLANK(F51),1,(TRIM(F51)="")),"",ROUND(4.184*F51+$AB51*0.1094,3))</f>
        <v/>
      </c>
      <c r="AH51" s="85" t="str">
        <f aca="false">IF(IF(ISBLANK(G51),1,(TRIM(G51)="")),"",ROUND(4.184*G51+$AB51*0.1094,3))</f>
        <v/>
      </c>
      <c r="AI51" s="101" t="str">
        <f aca="false">IF(IF(ISBLANK(H51),1,(TRIM(H51)="")),"",ROUND(4.184*H51+$AB51*0.1094,3))</f>
        <v/>
      </c>
      <c r="AJ51" s="85" t="str">
        <f aca="false">IF(IF(ISBLANK(I51),1,(TRIM(I51)="")),"",ROUND(4.184*I51+$AB51*0.1094,3))</f>
        <v/>
      </c>
      <c r="AK51" s="101" t="str">
        <f aca="false">IF(IF(ISBLANK(J51),1,(TRIM(J51)="")),"",ROUND(4.184*J51+$AB51*0.1094,3))</f>
        <v/>
      </c>
      <c r="AL51" s="85" t="str">
        <f aca="false">IF(IF(ISBLANK(K51),1,(TRIM(K51)="")),"",ROUND(4.184*K51+$AB51*0.1094,3))</f>
        <v/>
      </c>
      <c r="AM51" s="101" t="str">
        <f aca="false">IF(IF(ISBLANK(L51),1,(TRIM(L51)="")),"",ROUND(4.184*L51+$AB51*0.1094,3))</f>
        <v/>
      </c>
      <c r="AN51" s="85" t="str">
        <f aca="false">IF(IF(ISBLANK(M51),1,(TRIM(M51)="")),"",ROUND(4.184*M51+$AB51*0.1094,3))</f>
        <v/>
      </c>
      <c r="AP51" s="31" t="s">
        <v>69</v>
      </c>
      <c r="AQ51" s="85" t="str">
        <f aca="false">IF(IF(ISBLANK(C51),1,(TRIM(C51)="")),"",ROUND(C51+($AB51*0.1094/4.184),3))</f>
        <v/>
      </c>
      <c r="AR51" s="101" t="str">
        <f aca="false">IF(IF(ISBLANK(D51),1,(TRIM(D51)="")),"",ROUND(D51+($AB51*0.1094/4.184),3))</f>
        <v/>
      </c>
      <c r="AS51" s="85" t="str">
        <f aca="false">IF(IF(ISBLANK(E51),1,(TRIM(E51)="")),"",ROUND(E51+($AB51*0.1094/4.184),3))</f>
        <v/>
      </c>
      <c r="AT51" s="101" t="str">
        <f aca="false">IF(IF(ISBLANK(F51),1,(TRIM(F51)="")),"",ROUND(F51+($AB51*0.1094/4.184),3))</f>
        <v/>
      </c>
      <c r="AU51" s="85" t="str">
        <f aca="false">IF(IF(ISBLANK(G51),1,(TRIM(G51)="")),"",ROUND(G51+($AB51*0.1094/4.184),3))</f>
        <v/>
      </c>
      <c r="AV51" s="101" t="str">
        <f aca="false">IF(IF(ISBLANK(H51),1,(TRIM(H51)="")),"",ROUND(H51+($AB51*0.1094/4.184),3))</f>
        <v/>
      </c>
      <c r="AW51" s="85" t="str">
        <f aca="false">IF(IF(ISBLANK(I51),1,(TRIM(I51)="")),"",ROUND(I51+($AB51*0.1094/4.184),3))</f>
        <v/>
      </c>
      <c r="AX51" s="101" t="str">
        <f aca="false">IF(IF(ISBLANK(J51),1,(TRIM(J51)="")),"",ROUND(J51+($AB51*0.1094/4.184),3))</f>
        <v/>
      </c>
      <c r="AY51" s="85" t="str">
        <f aca="false">IF(IF(ISBLANK(K51),1,(TRIM(K51)="")),"",ROUND(K51+($AB51*0.1094/4.184),3))</f>
        <v/>
      </c>
      <c r="AZ51" s="101" t="str">
        <f aca="false">IF(IF(ISBLANK(L51),1,(TRIM(L51)="")),"",ROUND(L51+($AB51*0.1094/4.184),3))</f>
        <v/>
      </c>
      <c r="BA51" s="85" t="str">
        <f aca="false">IF(IF(ISBLANK(M51),1,(TRIM(M51)="")),"",ROUND(M51+($AB51*0.1094/4.184),3))</f>
        <v/>
      </c>
    </row>
    <row r="52" customFormat="false" ht="12.75" hidden="false" customHeight="false" outlineLevel="0" collapsed="false">
      <c r="B52" s="38" t="s">
        <v>70</v>
      </c>
      <c r="C52" s="62"/>
      <c r="D52" s="63"/>
      <c r="E52" s="64"/>
      <c r="F52" s="63"/>
      <c r="G52" s="64" t="s">
        <v>312</v>
      </c>
      <c r="H52" s="63" t="n">
        <v>22.5</v>
      </c>
      <c r="I52" s="62"/>
      <c r="J52" s="102" t="n">
        <v>22.8</v>
      </c>
      <c r="K52" s="62"/>
      <c r="L52" s="63"/>
      <c r="M52" s="62"/>
      <c r="O52" s="38" t="s">
        <v>70</v>
      </c>
      <c r="P52" s="85" t="str">
        <f aca="false">IF(IF(ISBLANK(C52),1,(TRIM(C52)="")),"",ROUND(4.184*C52,3))</f>
        <v/>
      </c>
      <c r="Q52" s="101" t="str">
        <f aca="false">IF(IF(ISBLANK(D52),1,(TRIM(D52)="")),"",ROUND(4.184*D52,3))</f>
        <v/>
      </c>
      <c r="R52" s="85" t="str">
        <f aca="false">IF(IF(ISBLANK(E52),1,(TRIM(E52)="")),"",ROUND(4.184*E52,3))</f>
        <v/>
      </c>
      <c r="S52" s="101" t="str">
        <f aca="false">IF(IF(ISBLANK(F52),1,(TRIM(F52)="")),"",ROUND(4.184*F52,3))</f>
        <v/>
      </c>
      <c r="T52" s="85" t="n">
        <f aca="false">IF(IF(ISBLANK(G52),1,(TRIM(G52)="")),"",ROUND(4.184*G52,3))</f>
        <v>94.14</v>
      </c>
      <c r="U52" s="101" t="n">
        <f aca="false">IF(IF(ISBLANK(H52),1,(TRIM(H52)="")),"",ROUND(4.184*H52,3))</f>
        <v>94.14</v>
      </c>
      <c r="V52" s="85" t="str">
        <f aca="false">IF(IF(ISBLANK(I52),1,(TRIM(I52)="")),"",ROUND(4.184*I52,3))</f>
        <v/>
      </c>
      <c r="W52" s="101" t="n">
        <f aca="false">IF(IF(ISBLANK(J52),1,(TRIM(J52)="")),"",ROUND(4.184*J52,3))</f>
        <v>95.395</v>
      </c>
      <c r="X52" s="85" t="str">
        <f aca="false">IF(IF(ISBLANK(K52),1,(TRIM(K52)="")),"",ROUND(4.184*K52,3))</f>
        <v/>
      </c>
      <c r="Y52" s="101" t="str">
        <f aca="false">IF(IF(ISBLANK(L52),1,(TRIM(L52)="")),"",ROUND(4.184*L52,3))</f>
        <v/>
      </c>
      <c r="Z52" s="85" t="str">
        <f aca="false">IF(IF(ISBLANK(M52),1,(TRIM(M52)="")),"",ROUND(4.184*M52,3))</f>
        <v/>
      </c>
      <c r="AB52" s="34"/>
      <c r="AC52" s="38" t="s">
        <v>70</v>
      </c>
      <c r="AD52" s="85" t="str">
        <f aca="false">IF(IF(ISBLANK(C52),1,(TRIM(C52)="")),"",ROUND(4.184*C52+$AB52*0.1094,3))</f>
        <v/>
      </c>
      <c r="AE52" s="101" t="str">
        <f aca="false">IF(IF(ISBLANK(D52),1,(TRIM(D52)="")),"",ROUND(4.184*D52+$AB52*0.1094,3))</f>
        <v/>
      </c>
      <c r="AF52" s="85" t="str">
        <f aca="false">IF(IF(ISBLANK(E52),1,(TRIM(E52)="")),"",ROUND(4.184*E52+$AB52*0.1094,3))</f>
        <v/>
      </c>
      <c r="AG52" s="101" t="str">
        <f aca="false">IF(IF(ISBLANK(F52),1,(TRIM(F52)="")),"",ROUND(4.184*F52+$AB52*0.1094,3))</f>
        <v/>
      </c>
      <c r="AH52" s="85" t="n">
        <f aca="false">IF(IF(ISBLANK(G52),1,(TRIM(G52)="")),"",ROUND(4.184*G52+$AB52*0.1094,3))</f>
        <v>94.14</v>
      </c>
      <c r="AI52" s="101" t="n">
        <f aca="false">IF(IF(ISBLANK(H52),1,(TRIM(H52)="")),"",ROUND(4.184*H52+$AB52*0.1094,3))</f>
        <v>94.14</v>
      </c>
      <c r="AJ52" s="85" t="str">
        <f aca="false">IF(IF(ISBLANK(I52),1,(TRIM(I52)="")),"",ROUND(4.184*I52+$AB52*0.1094,3))</f>
        <v/>
      </c>
      <c r="AK52" s="101" t="n">
        <f aca="false">IF(IF(ISBLANK(J52),1,(TRIM(J52)="")),"",ROUND(4.184*J52+$AB52*0.1094,3))</f>
        <v>95.395</v>
      </c>
      <c r="AL52" s="85" t="str">
        <f aca="false">IF(IF(ISBLANK(K52),1,(TRIM(K52)="")),"",ROUND(4.184*K52+$AB52*0.1094,3))</f>
        <v/>
      </c>
      <c r="AM52" s="101" t="str">
        <f aca="false">IF(IF(ISBLANK(L52),1,(TRIM(L52)="")),"",ROUND(4.184*L52+$AB52*0.1094,3))</f>
        <v/>
      </c>
      <c r="AN52" s="85" t="str">
        <f aca="false">IF(IF(ISBLANK(M52),1,(TRIM(M52)="")),"",ROUND(4.184*M52+$AB52*0.1094,3))</f>
        <v/>
      </c>
      <c r="AP52" s="38" t="s">
        <v>70</v>
      </c>
      <c r="AQ52" s="85" t="str">
        <f aca="false">IF(IF(ISBLANK(C52),1,(TRIM(C52)="")),"",ROUND(C52+($AB52*0.1094/4.184),3))</f>
        <v/>
      </c>
      <c r="AR52" s="101" t="str">
        <f aca="false">IF(IF(ISBLANK(D52),1,(TRIM(D52)="")),"",ROUND(D52+($AB52*0.1094/4.184),3))</f>
        <v/>
      </c>
      <c r="AS52" s="85" t="str">
        <f aca="false">IF(IF(ISBLANK(E52),1,(TRIM(E52)="")),"",ROUND(E52+($AB52*0.1094/4.184),3))</f>
        <v/>
      </c>
      <c r="AT52" s="101" t="str">
        <f aca="false">IF(IF(ISBLANK(F52),1,(TRIM(F52)="")),"",ROUND(F52+($AB52*0.1094/4.184),3))</f>
        <v/>
      </c>
      <c r="AU52" s="85" t="n">
        <f aca="false">IF(IF(ISBLANK(G52),1,(TRIM(G52)="")),"",ROUND(G52+($AB52*0.1094/4.184),3))</f>
        <v>22.5</v>
      </c>
      <c r="AV52" s="101" t="n">
        <f aca="false">IF(IF(ISBLANK(H52),1,(TRIM(H52)="")),"",ROUND(H52+($AB52*0.1094/4.184),3))</f>
        <v>22.5</v>
      </c>
      <c r="AW52" s="85" t="str">
        <f aca="false">IF(IF(ISBLANK(I52),1,(TRIM(I52)="")),"",ROUND(I52+($AB52*0.1094/4.184),3))</f>
        <v/>
      </c>
      <c r="AX52" s="101" t="n">
        <f aca="false">IF(IF(ISBLANK(J52),1,(TRIM(J52)="")),"",ROUND(J52+($AB52*0.1094/4.184),3))</f>
        <v>22.8</v>
      </c>
      <c r="AY52" s="85" t="str">
        <f aca="false">IF(IF(ISBLANK(K52),1,(TRIM(K52)="")),"",ROUND(K52+($AB52*0.1094/4.184),3))</f>
        <v/>
      </c>
      <c r="AZ52" s="101" t="str">
        <f aca="false">IF(IF(ISBLANK(L52),1,(TRIM(L52)="")),"",ROUND(L52+($AB52*0.1094/4.184),3))</f>
        <v/>
      </c>
      <c r="BA52" s="85" t="str">
        <f aca="false">IF(IF(ISBLANK(M52),1,(TRIM(M52)="")),"",ROUND(M52+($AB52*0.1094/4.184),3))</f>
        <v/>
      </c>
    </row>
    <row r="53" customFormat="false" ht="12.75" hidden="false" customHeight="false" outlineLevel="0" collapsed="false">
      <c r="B53" s="31" t="s">
        <v>71</v>
      </c>
      <c r="C53" s="62"/>
      <c r="D53" s="63"/>
      <c r="E53" s="64" t="s">
        <v>230</v>
      </c>
      <c r="F53" s="63" t="n">
        <v>10.2</v>
      </c>
      <c r="G53" s="64" t="s">
        <v>313</v>
      </c>
      <c r="H53" s="63" t="n">
        <v>9.77</v>
      </c>
      <c r="I53" s="62"/>
      <c r="J53" s="102" t="n">
        <v>9.77</v>
      </c>
      <c r="K53" s="62"/>
      <c r="L53" s="65" t="s">
        <v>314</v>
      </c>
      <c r="M53" s="62" t="n">
        <v>9.758</v>
      </c>
      <c r="O53" s="31" t="s">
        <v>71</v>
      </c>
      <c r="P53" s="85" t="str">
        <f aca="false">IF(IF(ISBLANK(C53),1,(TRIM(C53)="")),"",ROUND(4.184*C53,3))</f>
        <v/>
      </c>
      <c r="Q53" s="101" t="str">
        <f aca="false">IF(IF(ISBLANK(D53),1,(TRIM(D53)="")),"",ROUND(4.184*D53,3))</f>
        <v/>
      </c>
      <c r="R53" s="85" t="n">
        <f aca="false">IF(IF(ISBLANK(E53),1,(TRIM(E53)="")),"",ROUND(4.184*E53,3))</f>
        <v>42.677</v>
      </c>
      <c r="S53" s="101" t="n">
        <f aca="false">IF(IF(ISBLANK(F53),1,(TRIM(F53)="")),"",ROUND(4.184*F53,3))</f>
        <v>42.677</v>
      </c>
      <c r="T53" s="85" t="n">
        <f aca="false">IF(IF(ISBLANK(G53),1,(TRIM(G53)="")),"",ROUND(4.184*G53,3))</f>
        <v>41.087</v>
      </c>
      <c r="U53" s="101" t="n">
        <f aca="false">IF(IF(ISBLANK(H53),1,(TRIM(H53)="")),"",ROUND(4.184*H53,3))</f>
        <v>40.878</v>
      </c>
      <c r="V53" s="85" t="str">
        <f aca="false">IF(IF(ISBLANK(I53),1,(TRIM(I53)="")),"",ROUND(4.184*I53,3))</f>
        <v/>
      </c>
      <c r="W53" s="101" t="n">
        <f aca="false">IF(IF(ISBLANK(J53),1,(TRIM(J53)="")),"",ROUND(4.184*J53,3))</f>
        <v>40.878</v>
      </c>
      <c r="X53" s="85" t="str">
        <f aca="false">IF(IF(ISBLANK(K53),1,(TRIM(K53)="")),"",ROUND(4.184*K53,3))</f>
        <v/>
      </c>
      <c r="Y53" s="101" t="n">
        <f aca="false">IF(IF(ISBLANK(L53),1,(TRIM(L53)="")),"",ROUND(4.184*L53,3))</f>
        <v>40.827</v>
      </c>
      <c r="Z53" s="85" t="n">
        <f aca="false">IF(IF(ISBLANK(M53),1,(TRIM(M53)="")),"",ROUND(4.184*M53,3))</f>
        <v>40.827</v>
      </c>
      <c r="AB53" s="34"/>
      <c r="AC53" s="31" t="s">
        <v>71</v>
      </c>
      <c r="AD53" s="85" t="str">
        <f aca="false">IF(IF(ISBLANK(C53),1,(TRIM(C53)="")),"",ROUND(4.184*C53+$AB53*0.1094,3))</f>
        <v/>
      </c>
      <c r="AE53" s="101" t="str">
        <f aca="false">IF(IF(ISBLANK(D53),1,(TRIM(D53)="")),"",ROUND(4.184*D53+$AB53*0.1094,3))</f>
        <v/>
      </c>
      <c r="AF53" s="85" t="n">
        <f aca="false">IF(IF(ISBLANK(E53),1,(TRIM(E53)="")),"",ROUND(4.184*E53+$AB53*0.1094,3))</f>
        <v>42.677</v>
      </c>
      <c r="AG53" s="101" t="n">
        <f aca="false">IF(IF(ISBLANK(F53),1,(TRIM(F53)="")),"",ROUND(4.184*F53+$AB53*0.1094,3))</f>
        <v>42.677</v>
      </c>
      <c r="AH53" s="85" t="n">
        <f aca="false">IF(IF(ISBLANK(G53),1,(TRIM(G53)="")),"",ROUND(4.184*G53+$AB53*0.1094,3))</f>
        <v>41.087</v>
      </c>
      <c r="AI53" s="101" t="n">
        <f aca="false">IF(IF(ISBLANK(H53),1,(TRIM(H53)="")),"",ROUND(4.184*H53+$AB53*0.1094,3))</f>
        <v>40.878</v>
      </c>
      <c r="AJ53" s="85" t="str">
        <f aca="false">IF(IF(ISBLANK(I53),1,(TRIM(I53)="")),"",ROUND(4.184*I53+$AB53*0.1094,3))</f>
        <v/>
      </c>
      <c r="AK53" s="101" t="n">
        <f aca="false">IF(IF(ISBLANK(J53),1,(TRIM(J53)="")),"",ROUND(4.184*J53+$AB53*0.1094,3))</f>
        <v>40.878</v>
      </c>
      <c r="AL53" s="85" t="str">
        <f aca="false">IF(IF(ISBLANK(K53),1,(TRIM(K53)="")),"",ROUND(4.184*K53+$AB53*0.1094,3))</f>
        <v/>
      </c>
      <c r="AM53" s="101" t="n">
        <f aca="false">IF(IF(ISBLANK(L53),1,(TRIM(L53)="")),"",ROUND(4.184*L53+$AB53*0.1094,3))</f>
        <v>40.827</v>
      </c>
      <c r="AN53" s="85" t="n">
        <f aca="false">IF(IF(ISBLANK(M53),1,(TRIM(M53)="")),"",ROUND(4.184*M53+$AB53*0.1094,3))</f>
        <v>40.827</v>
      </c>
      <c r="AP53" s="31" t="s">
        <v>71</v>
      </c>
      <c r="AQ53" s="85" t="str">
        <f aca="false">IF(IF(ISBLANK(C53),1,(TRIM(C53)="")),"",ROUND(C53+($AB53*0.1094/4.184),3))</f>
        <v/>
      </c>
      <c r="AR53" s="101" t="str">
        <f aca="false">IF(IF(ISBLANK(D53),1,(TRIM(D53)="")),"",ROUND(D53+($AB53*0.1094/4.184),3))</f>
        <v/>
      </c>
      <c r="AS53" s="85" t="n">
        <f aca="false">IF(IF(ISBLANK(E53),1,(TRIM(E53)="")),"",ROUND(E53+($AB53*0.1094/4.184),3))</f>
        <v>10.2</v>
      </c>
      <c r="AT53" s="101" t="n">
        <f aca="false">IF(IF(ISBLANK(F53),1,(TRIM(F53)="")),"",ROUND(F53+($AB53*0.1094/4.184),3))</f>
        <v>10.2</v>
      </c>
      <c r="AU53" s="85" t="n">
        <f aca="false">IF(IF(ISBLANK(G53),1,(TRIM(G53)="")),"",ROUND(G53+($AB53*0.1094/4.184),3))</f>
        <v>9.82</v>
      </c>
      <c r="AV53" s="101" t="n">
        <f aca="false">IF(IF(ISBLANK(H53),1,(TRIM(H53)="")),"",ROUND(H53+($AB53*0.1094/4.184),3))</f>
        <v>9.77</v>
      </c>
      <c r="AW53" s="85" t="str">
        <f aca="false">IF(IF(ISBLANK(I53),1,(TRIM(I53)="")),"",ROUND(I53+($AB53*0.1094/4.184),3))</f>
        <v/>
      </c>
      <c r="AX53" s="101" t="n">
        <f aca="false">IF(IF(ISBLANK(J53),1,(TRIM(J53)="")),"",ROUND(J53+($AB53*0.1094/4.184),3))</f>
        <v>9.77</v>
      </c>
      <c r="AY53" s="85" t="str">
        <f aca="false">IF(IF(ISBLANK(K53),1,(TRIM(K53)="")),"",ROUND(K53+($AB53*0.1094/4.184),3))</f>
        <v/>
      </c>
      <c r="AZ53" s="101" t="n">
        <f aca="false">IF(IF(ISBLANK(L53),1,(TRIM(L53)="")),"",ROUND(L53+($AB53*0.1094/4.184),3))</f>
        <v>9.758</v>
      </c>
      <c r="BA53" s="85" t="n">
        <f aca="false">IF(IF(ISBLANK(M53),1,(TRIM(M53)="")),"",ROUND(M53+($AB53*0.1094/4.184),3))</f>
        <v>9.758</v>
      </c>
    </row>
    <row r="54" customFormat="false" ht="12.75" hidden="false" customHeight="false" outlineLevel="0" collapsed="false">
      <c r="B54" s="31" t="s">
        <v>72</v>
      </c>
      <c r="C54" s="62"/>
      <c r="D54" s="63"/>
      <c r="E54" s="64"/>
      <c r="F54" s="65" t="s">
        <v>315</v>
      </c>
      <c r="G54" s="64" t="s">
        <v>316</v>
      </c>
      <c r="H54" s="63" t="n">
        <v>16.2</v>
      </c>
      <c r="I54" s="62"/>
      <c r="J54" s="102" t="n">
        <v>16.27</v>
      </c>
      <c r="K54" s="62"/>
      <c r="L54" s="65" t="s">
        <v>317</v>
      </c>
      <c r="M54" s="64" t="s">
        <v>318</v>
      </c>
      <c r="O54" s="31" t="s">
        <v>72</v>
      </c>
      <c r="P54" s="85" t="str">
        <f aca="false">IF(IF(ISBLANK(C54),1,(TRIM(C54)="")),"",ROUND(4.184*C54,3))</f>
        <v/>
      </c>
      <c r="Q54" s="101" t="str">
        <f aca="false">IF(IF(ISBLANK(D54),1,(TRIM(D54)="")),"",ROUND(4.184*D54,3))</f>
        <v/>
      </c>
      <c r="R54" s="85" t="str">
        <f aca="false">IF(IF(ISBLANK(E54),1,(TRIM(E54)="")),"",ROUND(4.184*E54,3))</f>
        <v/>
      </c>
      <c r="S54" s="101" t="n">
        <f aca="false">IF(IF(ISBLANK(F54),1,(TRIM(F54)="")),"",ROUND(4.184*F54,3))</f>
        <v>58.576</v>
      </c>
      <c r="T54" s="85" t="n">
        <f aca="false">IF(IF(ISBLANK(G54),1,(TRIM(G54)="")),"",ROUND(4.184*G54,3))</f>
        <v>65.982</v>
      </c>
      <c r="U54" s="101" t="n">
        <f aca="false">IF(IF(ISBLANK(H54),1,(TRIM(H54)="")),"",ROUND(4.184*H54,3))</f>
        <v>67.781</v>
      </c>
      <c r="V54" s="85" t="str">
        <f aca="false">IF(IF(ISBLANK(I54),1,(TRIM(I54)="")),"",ROUND(4.184*I54,3))</f>
        <v/>
      </c>
      <c r="W54" s="101" t="n">
        <f aca="false">IF(IF(ISBLANK(J54),1,(TRIM(J54)="")),"",ROUND(4.184*J54,3))</f>
        <v>68.074</v>
      </c>
      <c r="X54" s="85" t="str">
        <f aca="false">IF(IF(ISBLANK(K54),1,(TRIM(K54)="")),"",ROUND(4.184*K54,3))</f>
        <v/>
      </c>
      <c r="Y54" s="101" t="n">
        <f aca="false">IF(IF(ISBLANK(L54),1,(TRIM(L54)="")),"",ROUND(4.184*L54,3))</f>
        <v>67.948</v>
      </c>
      <c r="Z54" s="85" t="n">
        <f aca="false">IF(IF(ISBLANK(M54),1,(TRIM(M54)="")),"",ROUND(4.184*M54,3))</f>
        <v>67.948</v>
      </c>
      <c r="AB54" s="34"/>
      <c r="AC54" s="31" t="s">
        <v>72</v>
      </c>
      <c r="AD54" s="85" t="str">
        <f aca="false">IF(IF(ISBLANK(C54),1,(TRIM(C54)="")),"",ROUND(4.184*C54+$AB54*0.1094,3))</f>
        <v/>
      </c>
      <c r="AE54" s="101" t="str">
        <f aca="false">IF(IF(ISBLANK(D54),1,(TRIM(D54)="")),"",ROUND(4.184*D54+$AB54*0.1094,3))</f>
        <v/>
      </c>
      <c r="AF54" s="85" t="str">
        <f aca="false">IF(IF(ISBLANK(E54),1,(TRIM(E54)="")),"",ROUND(4.184*E54+$AB54*0.1094,3))</f>
        <v/>
      </c>
      <c r="AG54" s="101" t="n">
        <f aca="false">IF(IF(ISBLANK(F54),1,(TRIM(F54)="")),"",ROUND(4.184*F54+$AB54*0.1094,3))</f>
        <v>58.576</v>
      </c>
      <c r="AH54" s="85" t="n">
        <f aca="false">IF(IF(ISBLANK(G54),1,(TRIM(G54)="")),"",ROUND(4.184*G54+$AB54*0.1094,3))</f>
        <v>65.982</v>
      </c>
      <c r="AI54" s="101" t="n">
        <f aca="false">IF(IF(ISBLANK(H54),1,(TRIM(H54)="")),"",ROUND(4.184*H54+$AB54*0.1094,3))</f>
        <v>67.781</v>
      </c>
      <c r="AJ54" s="85" t="str">
        <f aca="false">IF(IF(ISBLANK(I54),1,(TRIM(I54)="")),"",ROUND(4.184*I54+$AB54*0.1094,3))</f>
        <v/>
      </c>
      <c r="AK54" s="101" t="n">
        <f aca="false">IF(IF(ISBLANK(J54),1,(TRIM(J54)="")),"",ROUND(4.184*J54+$AB54*0.1094,3))</f>
        <v>68.074</v>
      </c>
      <c r="AL54" s="85" t="str">
        <f aca="false">IF(IF(ISBLANK(K54),1,(TRIM(K54)="")),"",ROUND(4.184*K54+$AB54*0.1094,3))</f>
        <v/>
      </c>
      <c r="AM54" s="101" t="n">
        <f aca="false">IF(IF(ISBLANK(L54),1,(TRIM(L54)="")),"",ROUND(4.184*L54+$AB54*0.1094,3))</f>
        <v>67.948</v>
      </c>
      <c r="AN54" s="85" t="n">
        <f aca="false">IF(IF(ISBLANK(M54),1,(TRIM(M54)="")),"",ROUND(4.184*M54+$AB54*0.1094,3))</f>
        <v>67.948</v>
      </c>
      <c r="AP54" s="31" t="s">
        <v>72</v>
      </c>
      <c r="AQ54" s="85" t="str">
        <f aca="false">IF(IF(ISBLANK(C54),1,(TRIM(C54)="")),"",ROUND(C54+($AB54*0.1094/4.184),3))</f>
        <v/>
      </c>
      <c r="AR54" s="101" t="str">
        <f aca="false">IF(IF(ISBLANK(D54),1,(TRIM(D54)="")),"",ROUND(D54+($AB54*0.1094/4.184),3))</f>
        <v/>
      </c>
      <c r="AS54" s="85" t="str">
        <f aca="false">IF(IF(ISBLANK(E54),1,(TRIM(E54)="")),"",ROUND(E54+($AB54*0.1094/4.184),3))</f>
        <v/>
      </c>
      <c r="AT54" s="101" t="n">
        <f aca="false">IF(IF(ISBLANK(F54),1,(TRIM(F54)="")),"",ROUND(F54+($AB54*0.1094/4.184),3))</f>
        <v>14</v>
      </c>
      <c r="AU54" s="85" t="n">
        <f aca="false">IF(IF(ISBLANK(G54),1,(TRIM(G54)="")),"",ROUND(G54+($AB54*0.1094/4.184),3))</f>
        <v>15.77</v>
      </c>
      <c r="AV54" s="101" t="n">
        <f aca="false">IF(IF(ISBLANK(H54),1,(TRIM(H54)="")),"",ROUND(H54+($AB54*0.1094/4.184),3))</f>
        <v>16.2</v>
      </c>
      <c r="AW54" s="85" t="str">
        <f aca="false">IF(IF(ISBLANK(I54),1,(TRIM(I54)="")),"",ROUND(I54+($AB54*0.1094/4.184),3))</f>
        <v/>
      </c>
      <c r="AX54" s="101" t="n">
        <f aca="false">IF(IF(ISBLANK(J54),1,(TRIM(J54)="")),"",ROUND(J54+($AB54*0.1094/4.184),3))</f>
        <v>16.27</v>
      </c>
      <c r="AY54" s="85" t="str">
        <f aca="false">IF(IF(ISBLANK(K54),1,(TRIM(K54)="")),"",ROUND(K54+($AB54*0.1094/4.184),3))</f>
        <v/>
      </c>
      <c r="AZ54" s="101" t="n">
        <f aca="false">IF(IF(ISBLANK(L54),1,(TRIM(L54)="")),"",ROUND(L54+($AB54*0.1094/4.184),3))</f>
        <v>16.24</v>
      </c>
      <c r="BA54" s="85" t="n">
        <f aca="false">IF(IF(ISBLANK(M54),1,(TRIM(M54)="")),"",ROUND(M54+($AB54*0.1094/4.184),3))</f>
        <v>16.24</v>
      </c>
    </row>
    <row r="55" customFormat="false" ht="12.75" hidden="false" customHeight="false" outlineLevel="0" collapsed="false">
      <c r="B55" s="31" t="s">
        <v>73</v>
      </c>
      <c r="C55" s="62"/>
      <c r="D55" s="63"/>
      <c r="E55" s="64" t="s">
        <v>319</v>
      </c>
      <c r="F55" s="63" t="n">
        <v>10.14</v>
      </c>
      <c r="G55" s="64" t="s">
        <v>320</v>
      </c>
      <c r="H55" s="63" t="n">
        <v>7.43</v>
      </c>
      <c r="I55" s="62"/>
      <c r="J55" s="102" t="n">
        <v>7.43</v>
      </c>
      <c r="K55" s="62"/>
      <c r="L55" s="65" t="s">
        <v>320</v>
      </c>
      <c r="M55" s="64" t="s">
        <v>321</v>
      </c>
      <c r="O55" s="31" t="s">
        <v>73</v>
      </c>
      <c r="P55" s="85" t="str">
        <f aca="false">IF(IF(ISBLANK(C55),1,(TRIM(C55)="")),"",ROUND(4.184*C55,3))</f>
        <v/>
      </c>
      <c r="Q55" s="101" t="str">
        <f aca="false">IF(IF(ISBLANK(D55),1,(TRIM(D55)="")),"",ROUND(4.184*D55,3))</f>
        <v/>
      </c>
      <c r="R55" s="85" t="n">
        <f aca="false">IF(IF(ISBLANK(E55),1,(TRIM(E55)="")),"",ROUND(4.184*E55,3))</f>
        <v>40.585</v>
      </c>
      <c r="S55" s="101" t="n">
        <f aca="false">IF(IF(ISBLANK(F55),1,(TRIM(F55)="")),"",ROUND(4.184*F55,3))</f>
        <v>42.426</v>
      </c>
      <c r="T55" s="85" t="n">
        <f aca="false">IF(IF(ISBLANK(G55),1,(TRIM(G55)="")),"",ROUND(4.184*G55,3))</f>
        <v>31.087</v>
      </c>
      <c r="U55" s="101" t="n">
        <f aca="false">IF(IF(ISBLANK(H55),1,(TRIM(H55)="")),"",ROUND(4.184*H55,3))</f>
        <v>31.087</v>
      </c>
      <c r="V55" s="85" t="str">
        <f aca="false">IF(IF(ISBLANK(I55),1,(TRIM(I55)="")),"",ROUND(4.184*I55,3))</f>
        <v/>
      </c>
      <c r="W55" s="101" t="n">
        <f aca="false">IF(IF(ISBLANK(J55),1,(TRIM(J55)="")),"",ROUND(4.184*J55,3))</f>
        <v>31.087</v>
      </c>
      <c r="X55" s="85" t="str">
        <f aca="false">IF(IF(ISBLANK(K55),1,(TRIM(K55)="")),"",ROUND(4.184*K55,3))</f>
        <v/>
      </c>
      <c r="Y55" s="101" t="n">
        <f aca="false">IF(IF(ISBLANK(L55),1,(TRIM(L55)="")),"",ROUND(4.184*L55,3))</f>
        <v>31.087</v>
      </c>
      <c r="Z55" s="85" t="n">
        <f aca="false">IF(IF(ISBLANK(M55),1,(TRIM(M55)="")),"",ROUND(4.184*M55,3))</f>
        <v>31.087</v>
      </c>
      <c r="AB55" s="34"/>
      <c r="AC55" s="31" t="s">
        <v>73</v>
      </c>
      <c r="AD55" s="85" t="str">
        <f aca="false">IF(IF(ISBLANK(C55),1,(TRIM(C55)="")),"",ROUND(4.184*C55+$AB55*0.1094,3))</f>
        <v/>
      </c>
      <c r="AE55" s="101" t="str">
        <f aca="false">IF(IF(ISBLANK(D55),1,(TRIM(D55)="")),"",ROUND(4.184*D55+$AB55*0.1094,3))</f>
        <v/>
      </c>
      <c r="AF55" s="85" t="n">
        <f aca="false">IF(IF(ISBLANK(E55),1,(TRIM(E55)="")),"",ROUND(4.184*E55+$AB55*0.1094,3))</f>
        <v>40.585</v>
      </c>
      <c r="AG55" s="101" t="n">
        <f aca="false">IF(IF(ISBLANK(F55),1,(TRIM(F55)="")),"",ROUND(4.184*F55+$AB55*0.1094,3))</f>
        <v>42.426</v>
      </c>
      <c r="AH55" s="85" t="n">
        <f aca="false">IF(IF(ISBLANK(G55),1,(TRIM(G55)="")),"",ROUND(4.184*G55+$AB55*0.1094,3))</f>
        <v>31.087</v>
      </c>
      <c r="AI55" s="101" t="n">
        <f aca="false">IF(IF(ISBLANK(H55),1,(TRIM(H55)="")),"",ROUND(4.184*H55+$AB55*0.1094,3))</f>
        <v>31.087</v>
      </c>
      <c r="AJ55" s="85" t="str">
        <f aca="false">IF(IF(ISBLANK(I55),1,(TRIM(I55)="")),"",ROUND(4.184*I55+$AB55*0.1094,3))</f>
        <v/>
      </c>
      <c r="AK55" s="101" t="n">
        <f aca="false">IF(IF(ISBLANK(J55),1,(TRIM(J55)="")),"",ROUND(4.184*J55+$AB55*0.1094,3))</f>
        <v>31.087</v>
      </c>
      <c r="AL55" s="85" t="str">
        <f aca="false">IF(IF(ISBLANK(K55),1,(TRIM(K55)="")),"",ROUND(4.184*K55+$AB55*0.1094,3))</f>
        <v/>
      </c>
      <c r="AM55" s="101" t="n">
        <f aca="false">IF(IF(ISBLANK(L55),1,(TRIM(L55)="")),"",ROUND(4.184*L55+$AB55*0.1094,3))</f>
        <v>31.087</v>
      </c>
      <c r="AN55" s="85" t="n">
        <f aca="false">IF(IF(ISBLANK(M55),1,(TRIM(M55)="")),"",ROUND(4.184*M55+$AB55*0.1094,3))</f>
        <v>31.087</v>
      </c>
      <c r="AP55" s="31" t="s">
        <v>73</v>
      </c>
      <c r="AQ55" s="85" t="str">
        <f aca="false">IF(IF(ISBLANK(C55),1,(TRIM(C55)="")),"",ROUND(C55+($AB55*0.1094/4.184),3))</f>
        <v/>
      </c>
      <c r="AR55" s="101" t="str">
        <f aca="false">IF(IF(ISBLANK(D55),1,(TRIM(D55)="")),"",ROUND(D55+($AB55*0.1094/4.184),3))</f>
        <v/>
      </c>
      <c r="AS55" s="85" t="n">
        <f aca="false">IF(IF(ISBLANK(E55),1,(TRIM(E55)="")),"",ROUND(E55+($AB55*0.1094/4.184),3))</f>
        <v>9.7</v>
      </c>
      <c r="AT55" s="101" t="n">
        <f aca="false">IF(IF(ISBLANK(F55),1,(TRIM(F55)="")),"",ROUND(F55+($AB55*0.1094/4.184),3))</f>
        <v>10.14</v>
      </c>
      <c r="AU55" s="85" t="n">
        <f aca="false">IF(IF(ISBLANK(G55),1,(TRIM(G55)="")),"",ROUND(G55+($AB55*0.1094/4.184),3))</f>
        <v>7.43</v>
      </c>
      <c r="AV55" s="101" t="n">
        <f aca="false">IF(IF(ISBLANK(H55),1,(TRIM(H55)="")),"",ROUND(H55+($AB55*0.1094/4.184),3))</f>
        <v>7.43</v>
      </c>
      <c r="AW55" s="85" t="str">
        <f aca="false">IF(IF(ISBLANK(I55),1,(TRIM(I55)="")),"",ROUND(I55+($AB55*0.1094/4.184),3))</f>
        <v/>
      </c>
      <c r="AX55" s="101" t="n">
        <f aca="false">IF(IF(ISBLANK(J55),1,(TRIM(J55)="")),"",ROUND(J55+($AB55*0.1094/4.184),3))</f>
        <v>7.43</v>
      </c>
      <c r="AY55" s="85" t="str">
        <f aca="false">IF(IF(ISBLANK(K55),1,(TRIM(K55)="")),"",ROUND(K55+($AB55*0.1094/4.184),3))</f>
        <v/>
      </c>
      <c r="AZ55" s="101" t="n">
        <f aca="false">IF(IF(ISBLANK(L55),1,(TRIM(L55)="")),"",ROUND(L55+($AB55*0.1094/4.184),3))</f>
        <v>7.43</v>
      </c>
      <c r="BA55" s="85" t="n">
        <f aca="false">IF(IF(ISBLANK(M55),1,(TRIM(M55)="")),"",ROUND(M55+($AB55*0.1094/4.184),3))</f>
        <v>7.43</v>
      </c>
    </row>
    <row r="56" s="90" customFormat="true" ht="12.75" hidden="false" customHeight="false" outlineLevel="0" collapsed="false">
      <c r="A56" s="89"/>
      <c r="B56" s="38" t="s">
        <v>75</v>
      </c>
      <c r="C56" s="64" t="s">
        <v>176</v>
      </c>
      <c r="D56" s="65" t="s">
        <v>177</v>
      </c>
      <c r="E56" s="64" t="s">
        <v>322</v>
      </c>
      <c r="F56" s="63" t="n">
        <v>31.211</v>
      </c>
      <c r="G56" s="64" t="s">
        <v>323</v>
      </c>
      <c r="H56" s="63" t="n">
        <v>31.21</v>
      </c>
      <c r="I56" s="62" t="n">
        <v>31.208</v>
      </c>
      <c r="J56" s="102" t="n">
        <v>31.208</v>
      </c>
      <c r="K56" s="62" t="n">
        <v>31.208</v>
      </c>
      <c r="L56" s="65" t="s">
        <v>324</v>
      </c>
      <c r="M56" s="62" t="n">
        <v>31.207</v>
      </c>
      <c r="O56" s="38" t="s">
        <v>75</v>
      </c>
      <c r="P56" s="85" t="n">
        <f aca="false">IF(IF(ISBLANK(C56),1,(TRIM(C56)="")),"",ROUND(4.184*C56,3))</f>
        <v>133.051</v>
      </c>
      <c r="Q56" s="101" t="n">
        <f aca="false">IF(IF(ISBLANK(D56),1,(TRIM(D56)="")),"",ROUND(4.184*D56,3))</f>
        <v>123.177</v>
      </c>
      <c r="R56" s="85" t="n">
        <f aca="false">IF(IF(ISBLANK(E56),1,(TRIM(E56)="")),"",ROUND(4.184*E56,3))</f>
        <v>130.666</v>
      </c>
      <c r="S56" s="101" t="n">
        <f aca="false">IF(IF(ISBLANK(F56),1,(TRIM(F56)="")),"",ROUND(4.184*F56,3))</f>
        <v>130.587</v>
      </c>
      <c r="T56" s="85" t="n">
        <f aca="false">IF(IF(ISBLANK(G56),1,(TRIM(G56)="")),"",ROUND(4.184*G56,3))</f>
        <v>130.583</v>
      </c>
      <c r="U56" s="101" t="n">
        <f aca="false">IF(IF(ISBLANK(H56),1,(TRIM(H56)="")),"",ROUND(4.184*H56,3))</f>
        <v>130.583</v>
      </c>
      <c r="V56" s="85" t="n">
        <f aca="false">IF(IF(ISBLANK(I56),1,(TRIM(I56)="")),"",ROUND(4.184*I56,3))</f>
        <v>130.574</v>
      </c>
      <c r="W56" s="101" t="n">
        <f aca="false">IF(IF(ISBLANK(J56),1,(TRIM(J56)="")),"",ROUND(4.184*J56,3))</f>
        <v>130.574</v>
      </c>
      <c r="X56" s="85" t="n">
        <f aca="false">IF(IF(ISBLANK(K56),1,(TRIM(K56)="")),"",ROUND(4.184*K56,3))</f>
        <v>130.574</v>
      </c>
      <c r="Y56" s="101" t="n">
        <f aca="false">IF(IF(ISBLANK(L56),1,(TRIM(L56)="")),"",ROUND(4.184*L56,3))</f>
        <v>130.574</v>
      </c>
      <c r="Z56" s="85" t="n">
        <f aca="false">IF(IF(ISBLANK(M56),1,(TRIM(M56)="")),"",ROUND(4.184*M56,3))</f>
        <v>130.57</v>
      </c>
      <c r="AB56" s="34" t="n">
        <v>1</v>
      </c>
      <c r="AC56" s="38" t="s">
        <v>75</v>
      </c>
      <c r="AD56" s="85" t="n">
        <f aca="false">IF(IF(ISBLANK(C56),1,(TRIM(C56)="")),"",ROUND(4.184*C56+$AB56*0.1094,3))</f>
        <v>133.161</v>
      </c>
      <c r="AE56" s="101" t="n">
        <f aca="false">IF(IF(ISBLANK(D56),1,(TRIM(D56)="")),"",ROUND(4.184*D56+$AB56*0.1094,3))</f>
        <v>123.286</v>
      </c>
      <c r="AF56" s="85" t="n">
        <f aca="false">IF(IF(ISBLANK(E56),1,(TRIM(E56)="")),"",ROUND(4.184*E56+$AB56*0.1094,3))</f>
        <v>130.776</v>
      </c>
      <c r="AG56" s="101" t="n">
        <f aca="false">IF(IF(ISBLANK(F56),1,(TRIM(F56)="")),"",ROUND(4.184*F56+$AB56*0.1094,3))</f>
        <v>130.696</v>
      </c>
      <c r="AH56" s="85" t="n">
        <f aca="false">IF(IF(ISBLANK(G56),1,(TRIM(G56)="")),"",ROUND(4.184*G56+$AB56*0.1094,3))</f>
        <v>130.692</v>
      </c>
      <c r="AI56" s="101" t="n">
        <f aca="false">IF(IF(ISBLANK(H56),1,(TRIM(H56)="")),"",ROUND(4.184*H56+$AB56*0.1094,3))</f>
        <v>130.692</v>
      </c>
      <c r="AJ56" s="85" t="n">
        <f aca="false">IF(IF(ISBLANK(I56),1,(TRIM(I56)="")),"",ROUND(4.184*I56+$AB56*0.1094,3))</f>
        <v>130.684</v>
      </c>
      <c r="AK56" s="101" t="n">
        <f aca="false">IF(IF(ISBLANK(J56),1,(TRIM(J56)="")),"",ROUND(4.184*J56+$AB56*0.1094,3))</f>
        <v>130.684</v>
      </c>
      <c r="AL56" s="85" t="n">
        <f aca="false">IF(IF(ISBLANK(K56),1,(TRIM(K56)="")),"",ROUND(4.184*K56+$AB56*0.1094,3))</f>
        <v>130.684</v>
      </c>
      <c r="AM56" s="101" t="n">
        <f aca="false">IF(IF(ISBLANK(L56),1,(TRIM(L56)="")),"",ROUND(4.184*L56+$AB56*0.1094,3))</f>
        <v>130.684</v>
      </c>
      <c r="AN56" s="85" t="n">
        <f aca="false">IF(IF(ISBLANK(M56),1,(TRIM(M56)="")),"",ROUND(4.184*M56+$AB56*0.1094,3))</f>
        <v>130.679</v>
      </c>
      <c r="AP56" s="38" t="s">
        <v>75</v>
      </c>
      <c r="AQ56" s="85" t="n">
        <f aca="false">IF(IF(ISBLANK(C56),1,(TRIM(C56)="")),"",ROUND(C56+($AB56*0.1094/4.184),3))</f>
        <v>31.826</v>
      </c>
      <c r="AR56" s="101" t="n">
        <f aca="false">IF(IF(ISBLANK(D56),1,(TRIM(D56)="")),"",ROUND(D56+($AB56*0.1094/4.184),3))</f>
        <v>29.466</v>
      </c>
      <c r="AS56" s="85" t="n">
        <f aca="false">IF(IF(ISBLANK(E56),1,(TRIM(E56)="")),"",ROUND(E56+($AB56*0.1094/4.184),3))</f>
        <v>31.256</v>
      </c>
      <c r="AT56" s="101" t="n">
        <f aca="false">IF(IF(ISBLANK(F56),1,(TRIM(F56)="")),"",ROUND(F56+($AB56*0.1094/4.184),3))</f>
        <v>31.237</v>
      </c>
      <c r="AU56" s="85" t="n">
        <f aca="false">IF(IF(ISBLANK(G56),1,(TRIM(G56)="")),"",ROUND(G56+($AB56*0.1094/4.184),3))</f>
        <v>31.236</v>
      </c>
      <c r="AV56" s="101" t="n">
        <f aca="false">IF(IF(ISBLANK(H56),1,(TRIM(H56)="")),"",ROUND(H56+($AB56*0.1094/4.184),3))</f>
        <v>31.236</v>
      </c>
      <c r="AW56" s="85" t="n">
        <f aca="false">IF(IF(ISBLANK(I56),1,(TRIM(I56)="")),"",ROUND(I56+($AB56*0.1094/4.184),3))</f>
        <v>31.234</v>
      </c>
      <c r="AX56" s="101" t="n">
        <f aca="false">IF(IF(ISBLANK(J56),1,(TRIM(J56)="")),"",ROUND(J56+($AB56*0.1094/4.184),3))</f>
        <v>31.234</v>
      </c>
      <c r="AY56" s="85" t="n">
        <f aca="false">IF(IF(ISBLANK(K56),1,(TRIM(K56)="")),"",ROUND(K56+($AB56*0.1094/4.184),3))</f>
        <v>31.234</v>
      </c>
      <c r="AZ56" s="101" t="n">
        <f aca="false">IF(IF(ISBLANK(L56),1,(TRIM(L56)="")),"",ROUND(L56+($AB56*0.1094/4.184),3))</f>
        <v>31.234</v>
      </c>
      <c r="BA56" s="85" t="n">
        <f aca="false">IF(IF(ISBLANK(M56),1,(TRIM(M56)="")),"",ROUND(M56+($AB56*0.1094/4.184),3))</f>
        <v>31.233</v>
      </c>
    </row>
    <row r="57" customFormat="false" ht="12.75" hidden="false" customHeight="false" outlineLevel="0" collapsed="false">
      <c r="B57" s="31" t="s">
        <v>77</v>
      </c>
      <c r="C57" s="62" t="n">
        <v>29.2</v>
      </c>
      <c r="D57" s="63" t="n">
        <v>29.83</v>
      </c>
      <c r="E57" s="64" t="s">
        <v>325</v>
      </c>
      <c r="F57" s="63" t="n">
        <v>30.126</v>
      </c>
      <c r="G57" s="64" t="s">
        <v>325</v>
      </c>
      <c r="H57" s="63" t="n">
        <v>30.13</v>
      </c>
      <c r="I57" s="62"/>
      <c r="J57" s="102" t="n">
        <v>30.1244</v>
      </c>
      <c r="K57" s="62"/>
      <c r="L57" s="65" t="s">
        <v>326</v>
      </c>
      <c r="M57" s="62" t="n">
        <v>30.125</v>
      </c>
      <c r="O57" s="31" t="s">
        <v>77</v>
      </c>
      <c r="P57" s="85" t="n">
        <f aca="false">IF(IF(ISBLANK(C57),1,(TRIM(C57)="")),"",ROUND(4.184*C57,3))</f>
        <v>122.173</v>
      </c>
      <c r="Q57" s="101" t="n">
        <f aca="false">IF(IF(ISBLANK(D57),1,(TRIM(D57)="")),"",ROUND(4.184*D57,3))</f>
        <v>124.809</v>
      </c>
      <c r="R57" s="85" t="n">
        <f aca="false">IF(IF(ISBLANK(E57),1,(TRIM(E57)="")),"",ROUND(4.184*E57,3))</f>
        <v>126.064</v>
      </c>
      <c r="S57" s="101" t="n">
        <f aca="false">IF(IF(ISBLANK(F57),1,(TRIM(F57)="")),"",ROUND(4.184*F57,3))</f>
        <v>126.047</v>
      </c>
      <c r="T57" s="85" t="n">
        <f aca="false">IF(IF(ISBLANK(G57),1,(TRIM(G57)="")),"",ROUND(4.184*G57,3))</f>
        <v>126.064</v>
      </c>
      <c r="U57" s="101" t="n">
        <f aca="false">IF(IF(ISBLANK(H57),1,(TRIM(H57)="")),"",ROUND(4.184*H57,3))</f>
        <v>126.064</v>
      </c>
      <c r="V57" s="85" t="str">
        <f aca="false">IF(IF(ISBLANK(I57),1,(TRIM(I57)="")),"",ROUND(4.184*I57,3))</f>
        <v/>
      </c>
      <c r="W57" s="101" t="n">
        <f aca="false">IF(IF(ISBLANK(J57),1,(TRIM(J57)="")),"",ROUND(4.184*J57,3))</f>
        <v>126.04</v>
      </c>
      <c r="X57" s="85" t="str">
        <f aca="false">IF(IF(ISBLANK(K57),1,(TRIM(K57)="")),"",ROUND(4.184*K57,3))</f>
        <v/>
      </c>
      <c r="Y57" s="101" t="n">
        <f aca="false">IF(IF(ISBLANK(L57),1,(TRIM(L57)="")),"",ROUND(4.184*L57,3))</f>
        <v>126.039</v>
      </c>
      <c r="Z57" s="85" t="n">
        <f aca="false">IF(IF(ISBLANK(M57),1,(TRIM(M57)="")),"",ROUND(4.184*M57,3))</f>
        <v>126.043</v>
      </c>
      <c r="AB57" s="34" t="n">
        <v>1</v>
      </c>
      <c r="AC57" s="31" t="s">
        <v>77</v>
      </c>
      <c r="AD57" s="85" t="n">
        <f aca="false">IF(IF(ISBLANK(C57),1,(TRIM(C57)="")),"",ROUND(4.184*C57+$AB57*0.1094,3))</f>
        <v>122.282</v>
      </c>
      <c r="AE57" s="101" t="n">
        <f aca="false">IF(IF(ISBLANK(D57),1,(TRIM(D57)="")),"",ROUND(4.184*D57+$AB57*0.1094,3))</f>
        <v>124.918</v>
      </c>
      <c r="AF57" s="85" t="n">
        <f aca="false">IF(IF(ISBLANK(E57),1,(TRIM(E57)="")),"",ROUND(4.184*E57+$AB57*0.1094,3))</f>
        <v>126.173</v>
      </c>
      <c r="AG57" s="101" t="n">
        <f aca="false">IF(IF(ISBLANK(F57),1,(TRIM(F57)="")),"",ROUND(4.184*F57+$AB57*0.1094,3))</f>
        <v>126.157</v>
      </c>
      <c r="AH57" s="85" t="n">
        <f aca="false">IF(IF(ISBLANK(G57),1,(TRIM(G57)="")),"",ROUND(4.184*G57+$AB57*0.1094,3))</f>
        <v>126.173</v>
      </c>
      <c r="AI57" s="101" t="n">
        <f aca="false">IF(IF(ISBLANK(H57),1,(TRIM(H57)="")),"",ROUND(4.184*H57+$AB57*0.1094,3))</f>
        <v>126.173</v>
      </c>
      <c r="AJ57" s="85" t="str">
        <f aca="false">IF(IF(ISBLANK(I57),1,(TRIM(I57)="")),"",ROUND(4.184*I57+$AB57*0.1094,3))</f>
        <v/>
      </c>
      <c r="AK57" s="101" t="n">
        <f aca="false">IF(IF(ISBLANK(J57),1,(TRIM(J57)="")),"",ROUND(4.184*J57+$AB57*0.1094,3))</f>
        <v>126.15</v>
      </c>
      <c r="AL57" s="85" t="str">
        <f aca="false">IF(IF(ISBLANK(K57),1,(TRIM(K57)="")),"",ROUND(4.184*K57+$AB57*0.1094,3))</f>
        <v/>
      </c>
      <c r="AM57" s="101" t="n">
        <f aca="false">IF(IF(ISBLANK(L57),1,(TRIM(L57)="")),"",ROUND(4.184*L57+$AB57*0.1094,3))</f>
        <v>126.148</v>
      </c>
      <c r="AN57" s="85" t="n">
        <f aca="false">IF(IF(ISBLANK(M57),1,(TRIM(M57)="")),"",ROUND(4.184*M57+$AB57*0.1094,3))</f>
        <v>126.152</v>
      </c>
      <c r="AP57" s="31" t="s">
        <v>77</v>
      </c>
      <c r="AQ57" s="85" t="n">
        <f aca="false">IF(IF(ISBLANK(C57),1,(TRIM(C57)="")),"",ROUND(C57+($AB57*0.1094/4.184),3))</f>
        <v>29.226</v>
      </c>
      <c r="AR57" s="101" t="n">
        <f aca="false">IF(IF(ISBLANK(D57),1,(TRIM(D57)="")),"",ROUND(D57+($AB57*0.1094/4.184),3))</f>
        <v>29.856</v>
      </c>
      <c r="AS57" s="85" t="n">
        <f aca="false">IF(IF(ISBLANK(E57),1,(TRIM(E57)="")),"",ROUND(E57+($AB57*0.1094/4.184),3))</f>
        <v>30.156</v>
      </c>
      <c r="AT57" s="101" t="n">
        <f aca="false">IF(IF(ISBLANK(F57),1,(TRIM(F57)="")),"",ROUND(F57+($AB57*0.1094/4.184),3))</f>
        <v>30.152</v>
      </c>
      <c r="AU57" s="85" t="n">
        <f aca="false">IF(IF(ISBLANK(G57),1,(TRIM(G57)="")),"",ROUND(G57+($AB57*0.1094/4.184),3))</f>
        <v>30.156</v>
      </c>
      <c r="AV57" s="101" t="n">
        <f aca="false">IF(IF(ISBLANK(H57),1,(TRIM(H57)="")),"",ROUND(H57+($AB57*0.1094/4.184),3))</f>
        <v>30.156</v>
      </c>
      <c r="AW57" s="85" t="str">
        <f aca="false">IF(IF(ISBLANK(I57),1,(TRIM(I57)="")),"",ROUND(I57+($AB57*0.1094/4.184),3))</f>
        <v/>
      </c>
      <c r="AX57" s="101" t="n">
        <f aca="false">IF(IF(ISBLANK(J57),1,(TRIM(J57)="")),"",ROUND(J57+($AB57*0.1094/4.184),3))</f>
        <v>30.151</v>
      </c>
      <c r="AY57" s="85" t="str">
        <f aca="false">IF(IF(ISBLANK(K57),1,(TRIM(K57)="")),"",ROUND(K57+($AB57*0.1094/4.184),3))</f>
        <v/>
      </c>
      <c r="AZ57" s="101" t="n">
        <f aca="false">IF(IF(ISBLANK(L57),1,(TRIM(L57)="")),"",ROUND(L57+($AB57*0.1094/4.184),3))</f>
        <v>30.15</v>
      </c>
      <c r="BA57" s="85" t="n">
        <f aca="false">IF(IF(ISBLANK(M57),1,(TRIM(M57)="")),"",ROUND(M57+($AB57*0.1094/4.184),3))</f>
        <v>30.151</v>
      </c>
    </row>
    <row r="58" customFormat="false" ht="12.75" hidden="false" customHeight="false" outlineLevel="0" collapsed="false">
      <c r="B58" s="31" t="s">
        <v>78</v>
      </c>
      <c r="C58" s="62"/>
      <c r="D58" s="63"/>
      <c r="E58" s="64"/>
      <c r="F58" s="63" t="n">
        <v>13.1</v>
      </c>
      <c r="G58" s="64" t="s">
        <v>327</v>
      </c>
      <c r="H58" s="63" t="n">
        <v>10.91</v>
      </c>
      <c r="I58" s="62" t="n">
        <v>10.41</v>
      </c>
      <c r="J58" s="102" t="n">
        <v>10.41</v>
      </c>
      <c r="K58" s="62"/>
      <c r="L58" s="65" t="s">
        <v>328</v>
      </c>
      <c r="M58" s="64" t="s">
        <v>329</v>
      </c>
      <c r="O58" s="31" t="s">
        <v>78</v>
      </c>
      <c r="P58" s="85" t="str">
        <f aca="false">IF(IF(ISBLANK(C58),1,(TRIM(C58)="")),"",ROUND(4.184*C58,3))</f>
        <v/>
      </c>
      <c r="Q58" s="101" t="str">
        <f aca="false">IF(IF(ISBLANK(D58),1,(TRIM(D58)="")),"",ROUND(4.184*D58,3))</f>
        <v/>
      </c>
      <c r="R58" s="85" t="str">
        <f aca="false">IF(IF(ISBLANK(E58),1,(TRIM(E58)="")),"",ROUND(4.184*E58,3))</f>
        <v/>
      </c>
      <c r="S58" s="101" t="n">
        <f aca="false">IF(IF(ISBLANK(F58),1,(TRIM(F58)="")),"",ROUND(4.184*F58,3))</f>
        <v>54.81</v>
      </c>
      <c r="T58" s="85" t="n">
        <f aca="false">IF(IF(ISBLANK(G58),1,(TRIM(G58)="")),"",ROUND(4.184*G58,3))</f>
        <v>45.647</v>
      </c>
      <c r="U58" s="101" t="n">
        <f aca="false">IF(IF(ISBLANK(H58),1,(TRIM(H58)="")),"",ROUND(4.184*H58,3))</f>
        <v>45.647</v>
      </c>
      <c r="V58" s="85" t="n">
        <f aca="false">IF(IF(ISBLANK(I58),1,(TRIM(I58)="")),"",ROUND(4.184*I58,3))</f>
        <v>43.555</v>
      </c>
      <c r="W58" s="101" t="n">
        <f aca="false">IF(IF(ISBLANK(J58),1,(TRIM(J58)="")),"",ROUND(4.184*J58,3))</f>
        <v>43.555</v>
      </c>
      <c r="X58" s="85" t="str">
        <f aca="false">IF(IF(ISBLANK(K58),1,(TRIM(K58)="")),"",ROUND(4.184*K58,3))</f>
        <v/>
      </c>
      <c r="Y58" s="101" t="n">
        <f aca="false">IF(IF(ISBLANK(L58),1,(TRIM(L58)="")),"",ROUND(4.184*L58,3))</f>
        <v>43.555</v>
      </c>
      <c r="Z58" s="85" t="n">
        <f aca="false">IF(IF(ISBLANK(M58),1,(TRIM(M58)="")),"",ROUND(4.184*M58,3))</f>
        <v>43.555</v>
      </c>
      <c r="AB58" s="34"/>
      <c r="AC58" s="31" t="s">
        <v>78</v>
      </c>
      <c r="AD58" s="85" t="str">
        <f aca="false">IF(IF(ISBLANK(C58),1,(TRIM(C58)="")),"",ROUND(4.184*C58+$AB58*0.1094,3))</f>
        <v/>
      </c>
      <c r="AE58" s="101" t="str">
        <f aca="false">IF(IF(ISBLANK(D58),1,(TRIM(D58)="")),"",ROUND(4.184*D58+$AB58*0.1094,3))</f>
        <v/>
      </c>
      <c r="AF58" s="85" t="str">
        <f aca="false">IF(IF(ISBLANK(E58),1,(TRIM(E58)="")),"",ROUND(4.184*E58+$AB58*0.1094,3))</f>
        <v/>
      </c>
      <c r="AG58" s="101" t="n">
        <f aca="false">IF(IF(ISBLANK(F58),1,(TRIM(F58)="")),"",ROUND(4.184*F58+$AB58*0.1094,3))</f>
        <v>54.81</v>
      </c>
      <c r="AH58" s="85" t="n">
        <f aca="false">IF(IF(ISBLANK(G58),1,(TRIM(G58)="")),"",ROUND(4.184*G58+$AB58*0.1094,3))</f>
        <v>45.647</v>
      </c>
      <c r="AI58" s="101" t="n">
        <f aca="false">IF(IF(ISBLANK(H58),1,(TRIM(H58)="")),"",ROUND(4.184*H58+$AB58*0.1094,3))</f>
        <v>45.647</v>
      </c>
      <c r="AJ58" s="85" t="n">
        <f aca="false">IF(IF(ISBLANK(I58),1,(TRIM(I58)="")),"",ROUND(4.184*I58+$AB58*0.1094,3))</f>
        <v>43.555</v>
      </c>
      <c r="AK58" s="101" t="n">
        <f aca="false">IF(IF(ISBLANK(J58),1,(TRIM(J58)="")),"",ROUND(4.184*J58+$AB58*0.1094,3))</f>
        <v>43.555</v>
      </c>
      <c r="AL58" s="85" t="str">
        <f aca="false">IF(IF(ISBLANK(K58),1,(TRIM(K58)="")),"",ROUND(4.184*K58+$AB58*0.1094,3))</f>
        <v/>
      </c>
      <c r="AM58" s="101" t="n">
        <f aca="false">IF(IF(ISBLANK(L58),1,(TRIM(L58)="")),"",ROUND(4.184*L58+$AB58*0.1094,3))</f>
        <v>43.555</v>
      </c>
      <c r="AN58" s="85" t="n">
        <f aca="false">IF(IF(ISBLANK(M58),1,(TRIM(M58)="")),"",ROUND(4.184*M58+$AB58*0.1094,3))</f>
        <v>43.555</v>
      </c>
      <c r="AP58" s="31" t="s">
        <v>78</v>
      </c>
      <c r="AQ58" s="85" t="str">
        <f aca="false">IF(IF(ISBLANK(C58),1,(TRIM(C58)="")),"",ROUND(C58+($AB58*0.1094/4.184),3))</f>
        <v/>
      </c>
      <c r="AR58" s="101" t="str">
        <f aca="false">IF(IF(ISBLANK(D58),1,(TRIM(D58)="")),"",ROUND(D58+($AB58*0.1094/4.184),3))</f>
        <v/>
      </c>
      <c r="AS58" s="85" t="str">
        <f aca="false">IF(IF(ISBLANK(E58),1,(TRIM(E58)="")),"",ROUND(E58+($AB58*0.1094/4.184),3))</f>
        <v/>
      </c>
      <c r="AT58" s="101" t="n">
        <f aca="false">IF(IF(ISBLANK(F58),1,(TRIM(F58)="")),"",ROUND(F58+($AB58*0.1094/4.184),3))</f>
        <v>13.1</v>
      </c>
      <c r="AU58" s="85" t="n">
        <f aca="false">IF(IF(ISBLANK(G58),1,(TRIM(G58)="")),"",ROUND(G58+($AB58*0.1094/4.184),3))</f>
        <v>10.91</v>
      </c>
      <c r="AV58" s="101" t="n">
        <f aca="false">IF(IF(ISBLANK(H58),1,(TRIM(H58)="")),"",ROUND(H58+($AB58*0.1094/4.184),3))</f>
        <v>10.91</v>
      </c>
      <c r="AW58" s="85" t="n">
        <f aca="false">IF(IF(ISBLANK(I58),1,(TRIM(I58)="")),"",ROUND(I58+($AB58*0.1094/4.184),3))</f>
        <v>10.41</v>
      </c>
      <c r="AX58" s="101" t="n">
        <f aca="false">IF(IF(ISBLANK(J58),1,(TRIM(J58)="")),"",ROUND(J58+($AB58*0.1094/4.184),3))</f>
        <v>10.41</v>
      </c>
      <c r="AY58" s="85" t="str">
        <f aca="false">IF(IF(ISBLANK(K58),1,(TRIM(K58)="")),"",ROUND(K58+($AB58*0.1094/4.184),3))</f>
        <v/>
      </c>
      <c r="AZ58" s="101" t="n">
        <f aca="false">IF(IF(ISBLANK(L58),1,(TRIM(L58)="")),"",ROUND(L58+($AB58*0.1094/4.184),3))</f>
        <v>10.41</v>
      </c>
      <c r="BA58" s="85" t="n">
        <f aca="false">IF(IF(ISBLANK(M58),1,(TRIM(M58)="")),"",ROUND(M58+($AB58*0.1094/4.184),3))</f>
        <v>10.41</v>
      </c>
    </row>
    <row r="59" customFormat="false" ht="12.75" hidden="false" customHeight="false" outlineLevel="0" collapsed="false">
      <c r="A59" s="10"/>
      <c r="B59" s="31" t="s">
        <v>79</v>
      </c>
      <c r="C59" s="62" t="n">
        <v>17.8</v>
      </c>
      <c r="D59" s="63" t="n">
        <v>17.8</v>
      </c>
      <c r="E59" s="64" t="s">
        <v>330</v>
      </c>
      <c r="F59" s="63" t="n">
        <v>18.5</v>
      </c>
      <c r="G59" s="64" t="s">
        <v>331</v>
      </c>
      <c r="H59" s="63" t="n">
        <v>18.17</v>
      </c>
      <c r="I59" s="62" t="n">
        <v>18.17</v>
      </c>
      <c r="J59" s="102" t="n">
        <v>18.17</v>
      </c>
      <c r="K59" s="62" t="n">
        <v>18.171</v>
      </c>
      <c r="L59" s="65" t="s">
        <v>332</v>
      </c>
      <c r="M59" s="64" t="s">
        <v>332</v>
      </c>
      <c r="N59" s="10"/>
      <c r="O59" s="31" t="s">
        <v>79</v>
      </c>
      <c r="P59" s="85" t="n">
        <f aca="false">IF(IF(ISBLANK(C59),1,(TRIM(C59)="")),"",ROUND(4.184*C59,3))</f>
        <v>74.475</v>
      </c>
      <c r="Q59" s="101" t="n">
        <f aca="false">IF(IF(ISBLANK(D59),1,(TRIM(D59)="")),"",ROUND(4.184*D59,3))</f>
        <v>74.475</v>
      </c>
      <c r="R59" s="85" t="n">
        <f aca="false">IF(IF(ISBLANK(E59),1,(TRIM(E59)="")),"",ROUND(4.184*E59,3))</f>
        <v>77.404</v>
      </c>
      <c r="S59" s="101" t="n">
        <f aca="false">IF(IF(ISBLANK(F59),1,(TRIM(F59)="")),"",ROUND(4.184*F59,3))</f>
        <v>77.404</v>
      </c>
      <c r="T59" s="85" t="n">
        <f aca="false">IF(IF(ISBLANK(G59),1,(TRIM(G59)="")),"",ROUND(4.184*G59,3))</f>
        <v>76.107</v>
      </c>
      <c r="U59" s="101" t="n">
        <f aca="false">IF(IF(ISBLANK(H59),1,(TRIM(H59)="")),"",ROUND(4.184*H59,3))</f>
        <v>76.023</v>
      </c>
      <c r="V59" s="85" t="n">
        <f aca="false">IF(IF(ISBLANK(I59),1,(TRIM(I59)="")),"",ROUND(4.184*I59,3))</f>
        <v>76.023</v>
      </c>
      <c r="W59" s="101" t="n">
        <f aca="false">IF(IF(ISBLANK(J59),1,(TRIM(J59)="")),"",ROUND(4.184*J59,3))</f>
        <v>76.023</v>
      </c>
      <c r="X59" s="85" t="n">
        <f aca="false">IF(IF(ISBLANK(K59),1,(TRIM(K59)="")),"",ROUND(4.184*K59,3))</f>
        <v>76.027</v>
      </c>
      <c r="Y59" s="101" t="n">
        <f aca="false">IF(IF(ISBLANK(L59),1,(TRIM(L59)="")),"",ROUND(4.184*L59,3))</f>
        <v>75.898</v>
      </c>
      <c r="Z59" s="85" t="n">
        <f aca="false">IF(IF(ISBLANK(M59),1,(TRIM(M59)="")),"",ROUND(4.184*M59,3))</f>
        <v>75.898</v>
      </c>
      <c r="AB59" s="34"/>
      <c r="AC59" s="31" t="s">
        <v>79</v>
      </c>
      <c r="AD59" s="85" t="n">
        <f aca="false">IF(IF(ISBLANK(C59),1,(TRIM(C59)="")),"",ROUND(4.184*C59+$AB59*0.1094,3))</f>
        <v>74.475</v>
      </c>
      <c r="AE59" s="101" t="n">
        <f aca="false">IF(IF(ISBLANK(D59),1,(TRIM(D59)="")),"",ROUND(4.184*D59+$AB59*0.1094,3))</f>
        <v>74.475</v>
      </c>
      <c r="AF59" s="85" t="n">
        <f aca="false">IF(IF(ISBLANK(E59),1,(TRIM(E59)="")),"",ROUND(4.184*E59+$AB59*0.1094,3))</f>
        <v>77.404</v>
      </c>
      <c r="AG59" s="101" t="n">
        <f aca="false">IF(IF(ISBLANK(F59),1,(TRIM(F59)="")),"",ROUND(4.184*F59+$AB59*0.1094,3))</f>
        <v>77.404</v>
      </c>
      <c r="AH59" s="85" t="n">
        <f aca="false">IF(IF(ISBLANK(G59),1,(TRIM(G59)="")),"",ROUND(4.184*G59+$AB59*0.1094,3))</f>
        <v>76.107</v>
      </c>
      <c r="AI59" s="101" t="n">
        <f aca="false">IF(IF(ISBLANK(H59),1,(TRIM(H59)="")),"",ROUND(4.184*H59+$AB59*0.1094,3))</f>
        <v>76.023</v>
      </c>
      <c r="AJ59" s="85" t="n">
        <f aca="false">IF(IF(ISBLANK(I59),1,(TRIM(I59)="")),"",ROUND(4.184*I59+$AB59*0.1094,3))</f>
        <v>76.023</v>
      </c>
      <c r="AK59" s="101" t="n">
        <f aca="false">IF(IF(ISBLANK(J59),1,(TRIM(J59)="")),"",ROUND(4.184*J59+$AB59*0.1094,3))</f>
        <v>76.023</v>
      </c>
      <c r="AL59" s="85" t="n">
        <f aca="false">IF(IF(ISBLANK(K59),1,(TRIM(K59)="")),"",ROUND(4.184*K59+$AB59*0.1094,3))</f>
        <v>76.027</v>
      </c>
      <c r="AM59" s="101" t="n">
        <f aca="false">IF(IF(ISBLANK(L59),1,(TRIM(L59)="")),"",ROUND(4.184*L59+$AB59*0.1094,3))</f>
        <v>75.898</v>
      </c>
      <c r="AN59" s="85" t="n">
        <f aca="false">IF(IF(ISBLANK(M59),1,(TRIM(M59)="")),"",ROUND(4.184*M59+$AB59*0.1094,3))</f>
        <v>75.898</v>
      </c>
      <c r="AP59" s="31" t="s">
        <v>79</v>
      </c>
      <c r="AQ59" s="85" t="n">
        <f aca="false">IF(IF(ISBLANK(C59),1,(TRIM(C59)="")),"",ROUND(C59+($AB59*0.1094/4.184),3))</f>
        <v>17.8</v>
      </c>
      <c r="AR59" s="101" t="n">
        <f aca="false">IF(IF(ISBLANK(D59),1,(TRIM(D59)="")),"",ROUND(D59+($AB59*0.1094/4.184),3))</f>
        <v>17.8</v>
      </c>
      <c r="AS59" s="85" t="n">
        <f aca="false">IF(IF(ISBLANK(E59),1,(TRIM(E59)="")),"",ROUND(E59+($AB59*0.1094/4.184),3))</f>
        <v>18.5</v>
      </c>
      <c r="AT59" s="101" t="n">
        <f aca="false">IF(IF(ISBLANK(F59),1,(TRIM(F59)="")),"",ROUND(F59+($AB59*0.1094/4.184),3))</f>
        <v>18.5</v>
      </c>
      <c r="AU59" s="85" t="n">
        <f aca="false">IF(IF(ISBLANK(G59),1,(TRIM(G59)="")),"",ROUND(G59+($AB59*0.1094/4.184),3))</f>
        <v>18.19</v>
      </c>
      <c r="AV59" s="101" t="n">
        <f aca="false">IF(IF(ISBLANK(H59),1,(TRIM(H59)="")),"",ROUND(H59+($AB59*0.1094/4.184),3))</f>
        <v>18.17</v>
      </c>
      <c r="AW59" s="85" t="n">
        <f aca="false">IF(IF(ISBLANK(I59),1,(TRIM(I59)="")),"",ROUND(I59+($AB59*0.1094/4.184),3))</f>
        <v>18.17</v>
      </c>
      <c r="AX59" s="101" t="n">
        <f aca="false">IF(IF(ISBLANK(J59),1,(TRIM(J59)="")),"",ROUND(J59+($AB59*0.1094/4.184),3))</f>
        <v>18.17</v>
      </c>
      <c r="AY59" s="85" t="n">
        <f aca="false">IF(IF(ISBLANK(K59),1,(TRIM(K59)="")),"",ROUND(K59+($AB59*0.1094/4.184),3))</f>
        <v>18.171</v>
      </c>
      <c r="AZ59" s="101" t="n">
        <f aca="false">IF(IF(ISBLANK(L59),1,(TRIM(L59)="")),"",ROUND(L59+($AB59*0.1094/4.184),3))</f>
        <v>18.14</v>
      </c>
      <c r="BA59" s="85" t="n">
        <f aca="false">IF(IF(ISBLANK(M59),1,(TRIM(M59)="")),"",ROUND(M59+($AB59*0.1094/4.184),3))</f>
        <v>18.14</v>
      </c>
    </row>
    <row r="60" customFormat="false" ht="12.75" hidden="false" customHeight="false" outlineLevel="0" collapsed="false">
      <c r="B60" s="31" t="s">
        <v>80</v>
      </c>
      <c r="C60" s="62"/>
      <c r="D60" s="63"/>
      <c r="E60" s="64"/>
      <c r="F60" s="63"/>
      <c r="G60" s="64" t="s">
        <v>333</v>
      </c>
      <c r="H60" s="65" t="s">
        <v>334</v>
      </c>
      <c r="I60" s="62"/>
      <c r="J60" s="103" t="s">
        <v>334</v>
      </c>
      <c r="K60" s="62"/>
      <c r="L60" s="65" t="s">
        <v>335</v>
      </c>
      <c r="M60" s="64" t="s">
        <v>336</v>
      </c>
      <c r="O60" s="31" t="s">
        <v>80</v>
      </c>
      <c r="P60" s="85" t="str">
        <f aca="false">IF(IF(ISBLANK(C60),1,(TRIM(C60)="")),"",ROUND(4.184*C60,3))</f>
        <v/>
      </c>
      <c r="Q60" s="101" t="str">
        <f aca="false">IF(IF(ISBLANK(D60),1,(TRIM(D60)="")),"",ROUND(4.184*D60,3))</f>
        <v/>
      </c>
      <c r="R60" s="85" t="str">
        <f aca="false">IF(IF(ISBLANK(E60),1,(TRIM(E60)="")),"",ROUND(4.184*E60,3))</f>
        <v/>
      </c>
      <c r="S60" s="101" t="str">
        <f aca="false">IF(IF(ISBLANK(F60),1,(TRIM(F60)="")),"",ROUND(4.184*F60,3))</f>
        <v/>
      </c>
      <c r="T60" s="85" t="n">
        <f aca="false">IF(IF(ISBLANK(G60),1,(TRIM(G60)="")),"",ROUND(4.184*G60,3))</f>
        <v>74.35</v>
      </c>
      <c r="U60" s="101" t="n">
        <f aca="false">IF(IF(ISBLANK(H60),1,(TRIM(H60)="")),"",ROUND(4.184*H60,3))</f>
        <v>75.312</v>
      </c>
      <c r="V60" s="85" t="str">
        <f aca="false">IF(IF(ISBLANK(I60),1,(TRIM(I60)="")),"",ROUND(4.184*I60,3))</f>
        <v/>
      </c>
      <c r="W60" s="101" t="n">
        <f aca="false">IF(IF(ISBLANK(J60),1,(TRIM(J60)="")),"",ROUND(4.184*J60,3))</f>
        <v>75.312</v>
      </c>
      <c r="X60" s="85" t="str">
        <f aca="false">IF(IF(ISBLANK(K60),1,(TRIM(K60)="")),"",ROUND(4.184*K60,3))</f>
        <v/>
      </c>
      <c r="Y60" s="101" t="n">
        <f aca="false">IF(IF(ISBLANK(L60),1,(TRIM(L60)="")),"",ROUND(4.184*L60,3))</f>
        <v>75.019</v>
      </c>
      <c r="Z60" s="85" t="n">
        <f aca="false">IF(IF(ISBLANK(M60),1,(TRIM(M60)="")),"",ROUND(4.184*M60,3))</f>
        <v>75.019</v>
      </c>
      <c r="AB60" s="34"/>
      <c r="AC60" s="31" t="s">
        <v>80</v>
      </c>
      <c r="AD60" s="85" t="str">
        <f aca="false">IF(IF(ISBLANK(C60),1,(TRIM(C60)="")),"",ROUND(4.184*C60+$AB60*0.1094,3))</f>
        <v/>
      </c>
      <c r="AE60" s="101" t="str">
        <f aca="false">IF(IF(ISBLANK(D60),1,(TRIM(D60)="")),"",ROUND(4.184*D60+$AB60*0.1094,3))</f>
        <v/>
      </c>
      <c r="AF60" s="85" t="str">
        <f aca="false">IF(IF(ISBLANK(E60),1,(TRIM(E60)="")),"",ROUND(4.184*E60+$AB60*0.1094,3))</f>
        <v/>
      </c>
      <c r="AG60" s="101" t="str">
        <f aca="false">IF(IF(ISBLANK(F60),1,(TRIM(F60)="")),"",ROUND(4.184*F60+$AB60*0.1094,3))</f>
        <v/>
      </c>
      <c r="AH60" s="85" t="n">
        <f aca="false">IF(IF(ISBLANK(G60),1,(TRIM(G60)="")),"",ROUND(4.184*G60+$AB60*0.1094,3))</f>
        <v>74.35</v>
      </c>
      <c r="AI60" s="101" t="n">
        <f aca="false">IF(IF(ISBLANK(H60),1,(TRIM(H60)="")),"",ROUND(4.184*H60+$AB60*0.1094,3))</f>
        <v>75.312</v>
      </c>
      <c r="AJ60" s="85" t="str">
        <f aca="false">IF(IF(ISBLANK(I60),1,(TRIM(I60)="")),"",ROUND(4.184*I60+$AB60*0.1094,3))</f>
        <v/>
      </c>
      <c r="AK60" s="101" t="n">
        <f aca="false">IF(IF(ISBLANK(J60),1,(TRIM(J60)="")),"",ROUND(4.184*J60+$AB60*0.1094,3))</f>
        <v>75.312</v>
      </c>
      <c r="AL60" s="85" t="str">
        <f aca="false">IF(IF(ISBLANK(K60),1,(TRIM(K60)="")),"",ROUND(4.184*K60+$AB60*0.1094,3))</f>
        <v/>
      </c>
      <c r="AM60" s="101" t="n">
        <f aca="false">IF(IF(ISBLANK(L60),1,(TRIM(L60)="")),"",ROUND(4.184*L60+$AB60*0.1094,3))</f>
        <v>75.019</v>
      </c>
      <c r="AN60" s="85" t="n">
        <f aca="false">IF(IF(ISBLANK(M60),1,(TRIM(M60)="")),"",ROUND(4.184*M60+$AB60*0.1094,3))</f>
        <v>75.019</v>
      </c>
      <c r="AP60" s="31" t="s">
        <v>80</v>
      </c>
      <c r="AQ60" s="85" t="str">
        <f aca="false">IF(IF(ISBLANK(C60),1,(TRIM(C60)="")),"",ROUND(C60+($AB60*0.1094/4.184),3))</f>
        <v/>
      </c>
      <c r="AR60" s="101" t="str">
        <f aca="false">IF(IF(ISBLANK(D60),1,(TRIM(D60)="")),"",ROUND(D60+($AB60*0.1094/4.184),3))</f>
        <v/>
      </c>
      <c r="AS60" s="85" t="str">
        <f aca="false">IF(IF(ISBLANK(E60),1,(TRIM(E60)="")),"",ROUND(E60+($AB60*0.1094/4.184),3))</f>
        <v/>
      </c>
      <c r="AT60" s="101" t="str">
        <f aca="false">IF(IF(ISBLANK(F60),1,(TRIM(F60)="")),"",ROUND(F60+($AB60*0.1094/4.184),3))</f>
        <v/>
      </c>
      <c r="AU60" s="85" t="n">
        <f aca="false">IF(IF(ISBLANK(G60),1,(TRIM(G60)="")),"",ROUND(G60+($AB60*0.1094/4.184),3))</f>
        <v>17.77</v>
      </c>
      <c r="AV60" s="101" t="n">
        <f aca="false">IF(IF(ISBLANK(H60),1,(TRIM(H60)="")),"",ROUND(H60+($AB60*0.1094/4.184),3))</f>
        <v>18</v>
      </c>
      <c r="AW60" s="85" t="str">
        <f aca="false">IF(IF(ISBLANK(I60),1,(TRIM(I60)="")),"",ROUND(I60+($AB60*0.1094/4.184),3))</f>
        <v/>
      </c>
      <c r="AX60" s="101" t="n">
        <f aca="false">IF(IF(ISBLANK(J60),1,(TRIM(J60)="")),"",ROUND(J60+($AB60*0.1094/4.184),3))</f>
        <v>18</v>
      </c>
      <c r="AY60" s="85" t="str">
        <f aca="false">IF(IF(ISBLANK(K60),1,(TRIM(K60)="")),"",ROUND(K60+($AB60*0.1094/4.184),3))</f>
        <v/>
      </c>
      <c r="AZ60" s="101" t="n">
        <f aca="false">IF(IF(ISBLANK(L60),1,(TRIM(L60)="")),"",ROUND(L60+($AB60*0.1094/4.184),3))</f>
        <v>17.93</v>
      </c>
      <c r="BA60" s="85" t="n">
        <f aca="false">IF(IF(ISBLANK(M60),1,(TRIM(M60)="")),"",ROUND(M60+($AB60*0.1094/4.184),3))</f>
        <v>17.93</v>
      </c>
    </row>
    <row r="61" s="90" customFormat="true" ht="12.75" hidden="false" customHeight="false" outlineLevel="0" collapsed="false">
      <c r="A61" s="89"/>
      <c r="B61" s="38" t="s">
        <v>82</v>
      </c>
      <c r="C61" s="64" t="s">
        <v>178</v>
      </c>
      <c r="D61" s="65" t="s">
        <v>179</v>
      </c>
      <c r="E61" s="64" t="s">
        <v>337</v>
      </c>
      <c r="F61" s="65" t="s">
        <v>337</v>
      </c>
      <c r="G61" s="64" t="s">
        <v>338</v>
      </c>
      <c r="H61" s="63" t="n">
        <v>27.76</v>
      </c>
      <c r="I61" s="62" t="n">
        <v>27.757</v>
      </c>
      <c r="J61" s="102" t="n">
        <v>27.757</v>
      </c>
      <c r="K61" s="62" t="n">
        <v>27.758</v>
      </c>
      <c r="L61" s="65" t="s">
        <v>339</v>
      </c>
      <c r="M61" s="62" t="n">
        <v>27.758</v>
      </c>
      <c r="N61" s="89"/>
      <c r="O61" s="38" t="s">
        <v>82</v>
      </c>
      <c r="P61" s="85" t="n">
        <f aca="false">IF(IF(ISBLANK(C61),1,(TRIM(C61)="")),"",ROUND(4.184*C61,3))</f>
        <v>131.378</v>
      </c>
      <c r="Q61" s="101" t="n">
        <f aca="false">IF(IF(ISBLANK(D61),1,(TRIM(D61)="")),"",ROUND(4.184*D61,3))</f>
        <v>111.294</v>
      </c>
      <c r="R61" s="85" t="n">
        <f aca="false">IF(IF(ISBLANK(E61),1,(TRIM(E61)="")),"",ROUND(4.184*E61,3))</f>
        <v>116.734</v>
      </c>
      <c r="S61" s="101" t="n">
        <f aca="false">IF(IF(ISBLANK(F61),1,(TRIM(F61)="")),"",ROUND(4.184*F61,3))</f>
        <v>116.734</v>
      </c>
      <c r="T61" s="85" t="n">
        <f aca="false">IF(IF(ISBLANK(G61),1,(TRIM(G61)="")),"",ROUND(4.184*G61,3))</f>
        <v>116.734</v>
      </c>
      <c r="U61" s="101" t="n">
        <f aca="false">IF(IF(ISBLANK(H61),1,(TRIM(H61)="")),"",ROUND(4.184*H61,3))</f>
        <v>116.148</v>
      </c>
      <c r="V61" s="85" t="n">
        <f aca="false">IF(IF(ISBLANK(I61),1,(TRIM(I61)="")),"",ROUND(4.184*I61,3))</f>
        <v>116.135</v>
      </c>
      <c r="W61" s="101" t="n">
        <f aca="false">IF(IF(ISBLANK(J61),1,(TRIM(J61)="")),"",ROUND(4.184*J61,3))</f>
        <v>116.135</v>
      </c>
      <c r="X61" s="85" t="n">
        <f aca="false">IF(IF(ISBLANK(K61),1,(TRIM(K61)="")),"",ROUND(4.184*K61,3))</f>
        <v>116.139</v>
      </c>
      <c r="Y61" s="101" t="n">
        <f aca="false">IF(IF(ISBLANK(L61),1,(TRIM(L61)="")),"",ROUND(4.184*L61,3))</f>
        <v>116.148</v>
      </c>
      <c r="Z61" s="85" t="n">
        <f aca="false">IF(IF(ISBLANK(M61),1,(TRIM(M61)="")),"",ROUND(4.184*M61,3))</f>
        <v>116.139</v>
      </c>
      <c r="AB61" s="34"/>
      <c r="AC61" s="38" t="s">
        <v>82</v>
      </c>
      <c r="AD61" s="85" t="n">
        <f aca="false">IF(IF(ISBLANK(C61),1,(TRIM(C61)="")),"",ROUND(4.184*C61+$AB61*0.1094,3))</f>
        <v>131.378</v>
      </c>
      <c r="AE61" s="101" t="n">
        <f aca="false">IF(IF(ISBLANK(D61),1,(TRIM(D61)="")),"",ROUND(4.184*D61+$AB61*0.1094,3))</f>
        <v>111.294</v>
      </c>
      <c r="AF61" s="85" t="n">
        <f aca="false">IF(IF(ISBLANK(E61),1,(TRIM(E61)="")),"",ROUND(4.184*E61+$AB61*0.1094,3))</f>
        <v>116.734</v>
      </c>
      <c r="AG61" s="101" t="n">
        <f aca="false">IF(IF(ISBLANK(F61),1,(TRIM(F61)="")),"",ROUND(4.184*F61+$AB61*0.1094,3))</f>
        <v>116.734</v>
      </c>
      <c r="AH61" s="85" t="n">
        <f aca="false">IF(IF(ISBLANK(G61),1,(TRIM(G61)="")),"",ROUND(4.184*G61+$AB61*0.1094,3))</f>
        <v>116.734</v>
      </c>
      <c r="AI61" s="101" t="n">
        <f aca="false">IF(IF(ISBLANK(H61),1,(TRIM(H61)="")),"",ROUND(4.184*H61+$AB61*0.1094,3))</f>
        <v>116.148</v>
      </c>
      <c r="AJ61" s="85" t="n">
        <f aca="false">IF(IF(ISBLANK(I61),1,(TRIM(I61)="")),"",ROUND(4.184*I61+$AB61*0.1094,3))</f>
        <v>116.135</v>
      </c>
      <c r="AK61" s="101" t="n">
        <f aca="false">IF(IF(ISBLANK(J61),1,(TRIM(J61)="")),"",ROUND(4.184*J61+$AB61*0.1094,3))</f>
        <v>116.135</v>
      </c>
      <c r="AL61" s="85" t="n">
        <f aca="false">IF(IF(ISBLANK(K61),1,(TRIM(K61)="")),"",ROUND(4.184*K61+$AB61*0.1094,3))</f>
        <v>116.139</v>
      </c>
      <c r="AM61" s="101" t="n">
        <f aca="false">IF(IF(ISBLANK(L61),1,(TRIM(L61)="")),"",ROUND(4.184*L61+$AB61*0.1094,3))</f>
        <v>116.148</v>
      </c>
      <c r="AN61" s="85" t="n">
        <f aca="false">IF(IF(ISBLANK(M61),1,(TRIM(M61)="")),"",ROUND(4.184*M61+$AB61*0.1094,3))</f>
        <v>116.139</v>
      </c>
      <c r="AP61" s="38" t="s">
        <v>82</v>
      </c>
      <c r="AQ61" s="85" t="n">
        <f aca="false">IF(IF(ISBLANK(C61),1,(TRIM(C61)="")),"",ROUND(C61+($AB61*0.1094/4.184),3))</f>
        <v>31.4</v>
      </c>
      <c r="AR61" s="101" t="n">
        <f aca="false">IF(IF(ISBLANK(D61),1,(TRIM(D61)="")),"",ROUND(D61+($AB61*0.1094/4.184),3))</f>
        <v>26.6</v>
      </c>
      <c r="AS61" s="85" t="n">
        <f aca="false">IF(IF(ISBLANK(E61),1,(TRIM(E61)="")),"",ROUND(E61+($AB61*0.1094/4.184),3))</f>
        <v>27.9</v>
      </c>
      <c r="AT61" s="101" t="n">
        <f aca="false">IF(IF(ISBLANK(F61),1,(TRIM(F61)="")),"",ROUND(F61+($AB61*0.1094/4.184),3))</f>
        <v>27.9</v>
      </c>
      <c r="AU61" s="85" t="n">
        <f aca="false">IF(IF(ISBLANK(G61),1,(TRIM(G61)="")),"",ROUND(G61+($AB61*0.1094/4.184),3))</f>
        <v>27.9</v>
      </c>
      <c r="AV61" s="101" t="n">
        <f aca="false">IF(IF(ISBLANK(H61),1,(TRIM(H61)="")),"",ROUND(H61+($AB61*0.1094/4.184),3))</f>
        <v>27.76</v>
      </c>
      <c r="AW61" s="85" t="n">
        <f aca="false">IF(IF(ISBLANK(I61),1,(TRIM(I61)="")),"",ROUND(I61+($AB61*0.1094/4.184),3))</f>
        <v>27.757</v>
      </c>
      <c r="AX61" s="101" t="n">
        <f aca="false">IF(IF(ISBLANK(J61),1,(TRIM(J61)="")),"",ROUND(J61+($AB61*0.1094/4.184),3))</f>
        <v>27.757</v>
      </c>
      <c r="AY61" s="85" t="n">
        <f aca="false">IF(IF(ISBLANK(K61),1,(TRIM(K61)="")),"",ROUND(K61+($AB61*0.1094/4.184),3))</f>
        <v>27.758</v>
      </c>
      <c r="AZ61" s="101" t="n">
        <f aca="false">IF(IF(ISBLANK(L61),1,(TRIM(L61)="")),"",ROUND(L61+($AB61*0.1094/4.184),3))</f>
        <v>27.76</v>
      </c>
      <c r="BA61" s="85" t="n">
        <f aca="false">IF(IF(ISBLANK(M61),1,(TRIM(M61)="")),"",ROUND(M61+($AB61*0.1094/4.184),3))</f>
        <v>27.758</v>
      </c>
    </row>
    <row r="62" customFormat="false" ht="12.75" hidden="false" customHeight="false" outlineLevel="0" collapsed="false">
      <c r="B62" s="31" t="s">
        <v>84</v>
      </c>
      <c r="C62" s="62"/>
      <c r="D62" s="63"/>
      <c r="E62" s="64" t="s">
        <v>340</v>
      </c>
      <c r="F62" s="63" t="n">
        <v>12.5</v>
      </c>
      <c r="G62" s="64" t="s">
        <v>341</v>
      </c>
      <c r="H62" s="63" t="n">
        <v>13.9</v>
      </c>
      <c r="I62" s="62"/>
      <c r="J62" s="102" t="n">
        <v>13.82</v>
      </c>
      <c r="K62" s="62"/>
      <c r="L62" s="65" t="s">
        <v>342</v>
      </c>
      <c r="M62" s="64" t="s">
        <v>342</v>
      </c>
      <c r="O62" s="31" t="s">
        <v>84</v>
      </c>
      <c r="P62" s="85" t="str">
        <f aca="false">IF(IF(ISBLANK(C62),1,(TRIM(C62)="")),"",ROUND(4.184*C62,3))</f>
        <v/>
      </c>
      <c r="Q62" s="101" t="str">
        <f aca="false">IF(IF(ISBLANK(D62),1,(TRIM(D62)="")),"",ROUND(4.184*D62,3))</f>
        <v/>
      </c>
      <c r="R62" s="85" t="n">
        <f aca="false">IF(IF(ISBLANK(E62),1,(TRIM(E62)="")),"",ROUND(4.184*E62,3))</f>
        <v>60.668</v>
      </c>
      <c r="S62" s="101" t="n">
        <f aca="false">IF(IF(ISBLANK(F62),1,(TRIM(F62)="")),"",ROUND(4.184*F62,3))</f>
        <v>52.3</v>
      </c>
      <c r="T62" s="85" t="n">
        <f aca="false">IF(IF(ISBLANK(G62),1,(TRIM(G62)="")),"",ROUND(4.184*G62,3))</f>
        <v>57.823</v>
      </c>
      <c r="U62" s="101" t="n">
        <f aca="false">IF(IF(ISBLANK(H62),1,(TRIM(H62)="")),"",ROUND(4.184*H62,3))</f>
        <v>58.158</v>
      </c>
      <c r="V62" s="85" t="str">
        <f aca="false">IF(IF(ISBLANK(I62),1,(TRIM(I62)="")),"",ROUND(4.184*I62,3))</f>
        <v/>
      </c>
      <c r="W62" s="101" t="n">
        <f aca="false">IF(IF(ISBLANK(J62),1,(TRIM(J62)="")),"",ROUND(4.184*J62,3))</f>
        <v>57.823</v>
      </c>
      <c r="X62" s="85" t="str">
        <f aca="false">IF(IF(ISBLANK(K62),1,(TRIM(K62)="")),"",ROUND(4.184*K62,3))</f>
        <v/>
      </c>
      <c r="Y62" s="101" t="n">
        <f aca="false">IF(IF(ISBLANK(L62),1,(TRIM(L62)="")),"",ROUND(4.184*L62,3))</f>
        <v>57.823</v>
      </c>
      <c r="Z62" s="85" t="n">
        <f aca="false">IF(IF(ISBLANK(M62),1,(TRIM(M62)="")),"",ROUND(4.184*M62,3))</f>
        <v>57.823</v>
      </c>
      <c r="AB62" s="34"/>
      <c r="AC62" s="31" t="s">
        <v>84</v>
      </c>
      <c r="AD62" s="85" t="str">
        <f aca="false">IF(IF(ISBLANK(C62),1,(TRIM(C62)="")),"",ROUND(4.184*C62+$AB62*0.1094,3))</f>
        <v/>
      </c>
      <c r="AE62" s="101" t="str">
        <f aca="false">IF(IF(ISBLANK(D62),1,(TRIM(D62)="")),"",ROUND(4.184*D62+$AB62*0.1094,3))</f>
        <v/>
      </c>
      <c r="AF62" s="85" t="n">
        <f aca="false">IF(IF(ISBLANK(E62),1,(TRIM(E62)="")),"",ROUND(4.184*E62+$AB62*0.1094,3))</f>
        <v>60.668</v>
      </c>
      <c r="AG62" s="101" t="n">
        <f aca="false">IF(IF(ISBLANK(F62),1,(TRIM(F62)="")),"",ROUND(4.184*F62+$AB62*0.1094,3))</f>
        <v>52.3</v>
      </c>
      <c r="AH62" s="85" t="n">
        <f aca="false">IF(IF(ISBLANK(G62),1,(TRIM(G62)="")),"",ROUND(4.184*G62+$AB62*0.1094,3))</f>
        <v>57.823</v>
      </c>
      <c r="AI62" s="101" t="n">
        <f aca="false">IF(IF(ISBLANK(H62),1,(TRIM(H62)="")),"",ROUND(4.184*H62+$AB62*0.1094,3))</f>
        <v>58.158</v>
      </c>
      <c r="AJ62" s="85" t="str">
        <f aca="false">IF(IF(ISBLANK(I62),1,(TRIM(I62)="")),"",ROUND(4.184*I62+$AB62*0.1094,3))</f>
        <v/>
      </c>
      <c r="AK62" s="101" t="n">
        <f aca="false">IF(IF(ISBLANK(J62),1,(TRIM(J62)="")),"",ROUND(4.184*J62+$AB62*0.1094,3))</f>
        <v>57.823</v>
      </c>
      <c r="AL62" s="85" t="str">
        <f aca="false">IF(IF(ISBLANK(K62),1,(TRIM(K62)="")),"",ROUND(4.184*K62+$AB62*0.1094,3))</f>
        <v/>
      </c>
      <c r="AM62" s="101" t="n">
        <f aca="false">IF(IF(ISBLANK(L62),1,(TRIM(L62)="")),"",ROUND(4.184*L62+$AB62*0.1094,3))</f>
        <v>57.823</v>
      </c>
      <c r="AN62" s="85" t="n">
        <f aca="false">IF(IF(ISBLANK(M62),1,(TRIM(M62)="")),"",ROUND(4.184*M62+$AB62*0.1094,3))</f>
        <v>57.823</v>
      </c>
      <c r="AP62" s="31" t="s">
        <v>84</v>
      </c>
      <c r="AQ62" s="85" t="str">
        <f aca="false">IF(IF(ISBLANK(C62),1,(TRIM(C62)="")),"",ROUND(C62+($AB62*0.1094/4.184),3))</f>
        <v/>
      </c>
      <c r="AR62" s="101" t="str">
        <f aca="false">IF(IF(ISBLANK(D62),1,(TRIM(D62)="")),"",ROUND(D62+($AB62*0.1094/4.184),3))</f>
        <v/>
      </c>
      <c r="AS62" s="85" t="n">
        <f aca="false">IF(IF(ISBLANK(E62),1,(TRIM(E62)="")),"",ROUND(E62+($AB62*0.1094/4.184),3))</f>
        <v>14.5</v>
      </c>
      <c r="AT62" s="101" t="n">
        <f aca="false">IF(IF(ISBLANK(F62),1,(TRIM(F62)="")),"",ROUND(F62+($AB62*0.1094/4.184),3))</f>
        <v>12.5</v>
      </c>
      <c r="AU62" s="85" t="n">
        <f aca="false">IF(IF(ISBLANK(G62),1,(TRIM(G62)="")),"",ROUND(G62+($AB62*0.1094/4.184),3))</f>
        <v>13.82</v>
      </c>
      <c r="AV62" s="101" t="n">
        <f aca="false">IF(IF(ISBLANK(H62),1,(TRIM(H62)="")),"",ROUND(H62+($AB62*0.1094/4.184),3))</f>
        <v>13.9</v>
      </c>
      <c r="AW62" s="85" t="str">
        <f aca="false">IF(IF(ISBLANK(I62),1,(TRIM(I62)="")),"",ROUND(I62+($AB62*0.1094/4.184),3))</f>
        <v/>
      </c>
      <c r="AX62" s="101" t="n">
        <f aca="false">IF(IF(ISBLANK(J62),1,(TRIM(J62)="")),"",ROUND(J62+($AB62*0.1094/4.184),3))</f>
        <v>13.82</v>
      </c>
      <c r="AY62" s="85" t="str">
        <f aca="false">IF(IF(ISBLANK(K62),1,(TRIM(K62)="")),"",ROUND(K62+($AB62*0.1094/4.184),3))</f>
        <v/>
      </c>
      <c r="AZ62" s="101" t="n">
        <f aca="false">IF(IF(ISBLANK(L62),1,(TRIM(L62)="")),"",ROUND(L62+($AB62*0.1094/4.184),3))</f>
        <v>13.82</v>
      </c>
      <c r="BA62" s="85" t="n">
        <f aca="false">IF(IF(ISBLANK(M62),1,(TRIM(M62)="")),"",ROUND(M62+($AB62*0.1094/4.184),3))</f>
        <v>13.82</v>
      </c>
    </row>
    <row r="63" customFormat="false" ht="12.75" hidden="false" customHeight="false" outlineLevel="0" collapsed="false">
      <c r="B63" s="31" t="s">
        <v>85</v>
      </c>
      <c r="C63" s="62" t="n">
        <v>8.7</v>
      </c>
      <c r="D63" s="63" t="n">
        <v>8.7</v>
      </c>
      <c r="E63" s="64" t="s">
        <v>343</v>
      </c>
      <c r="F63" s="63" t="n">
        <v>8.7</v>
      </c>
      <c r="G63" s="64" t="s">
        <v>344</v>
      </c>
      <c r="H63" s="63" t="n">
        <v>8.48</v>
      </c>
      <c r="I63" s="62"/>
      <c r="J63" s="102" t="n">
        <v>8.48</v>
      </c>
      <c r="K63" s="62"/>
      <c r="L63" s="65" t="s">
        <v>345</v>
      </c>
      <c r="M63" s="62" t="n">
        <v>8.481</v>
      </c>
      <c r="O63" s="31" t="s">
        <v>85</v>
      </c>
      <c r="P63" s="85" t="n">
        <f aca="false">IF(IF(ISBLANK(C63),1,(TRIM(C63)="")),"",ROUND(4.184*C63,3))</f>
        <v>36.401</v>
      </c>
      <c r="Q63" s="101" t="n">
        <f aca="false">IF(IF(ISBLANK(D63),1,(TRIM(D63)="")),"",ROUND(4.184*D63,3))</f>
        <v>36.401</v>
      </c>
      <c r="R63" s="85" t="n">
        <f aca="false">IF(IF(ISBLANK(E63),1,(TRIM(E63)="")),"",ROUND(4.184*E63,3))</f>
        <v>36.401</v>
      </c>
      <c r="S63" s="101" t="n">
        <f aca="false">IF(IF(ISBLANK(F63),1,(TRIM(F63)="")),"",ROUND(4.184*F63,3))</f>
        <v>36.401</v>
      </c>
      <c r="T63" s="85" t="n">
        <f aca="false">IF(IF(ISBLANK(G63),1,(TRIM(G63)="")),"",ROUND(4.184*G63,3))</f>
        <v>36.401</v>
      </c>
      <c r="U63" s="101" t="n">
        <f aca="false">IF(IF(ISBLANK(H63),1,(TRIM(H63)="")),"",ROUND(4.184*H63,3))</f>
        <v>35.48</v>
      </c>
      <c r="V63" s="85" t="str">
        <f aca="false">IF(IF(ISBLANK(I63),1,(TRIM(I63)="")),"",ROUND(4.184*I63,3))</f>
        <v/>
      </c>
      <c r="W63" s="101" t="n">
        <f aca="false">IF(IF(ISBLANK(J63),1,(TRIM(J63)="")),"",ROUND(4.184*J63,3))</f>
        <v>35.48</v>
      </c>
      <c r="X63" s="85" t="str">
        <f aca="false">IF(IF(ISBLANK(K63),1,(TRIM(K63)="")),"",ROUND(4.184*K63,3))</f>
        <v/>
      </c>
      <c r="Y63" s="101" t="n">
        <f aca="false">IF(IF(ISBLANK(L63),1,(TRIM(L63)="")),"",ROUND(4.184*L63,3))</f>
        <v>35.505</v>
      </c>
      <c r="Z63" s="85" t="n">
        <f aca="false">IF(IF(ISBLANK(M63),1,(TRIM(M63)="")),"",ROUND(4.184*M63,3))</f>
        <v>35.485</v>
      </c>
      <c r="AB63" s="34"/>
      <c r="AC63" s="31" t="s">
        <v>85</v>
      </c>
      <c r="AD63" s="85" t="n">
        <f aca="false">IF(IF(ISBLANK(C63),1,(TRIM(C63)="")),"",ROUND(4.184*C63+$AB63*0.1094,3))</f>
        <v>36.401</v>
      </c>
      <c r="AE63" s="101" t="n">
        <f aca="false">IF(IF(ISBLANK(D63),1,(TRIM(D63)="")),"",ROUND(4.184*D63+$AB63*0.1094,3))</f>
        <v>36.401</v>
      </c>
      <c r="AF63" s="85" t="n">
        <f aca="false">IF(IF(ISBLANK(E63),1,(TRIM(E63)="")),"",ROUND(4.184*E63+$AB63*0.1094,3))</f>
        <v>36.401</v>
      </c>
      <c r="AG63" s="101" t="n">
        <f aca="false">IF(IF(ISBLANK(F63),1,(TRIM(F63)="")),"",ROUND(4.184*F63+$AB63*0.1094,3))</f>
        <v>36.401</v>
      </c>
      <c r="AH63" s="85" t="n">
        <f aca="false">IF(IF(ISBLANK(G63),1,(TRIM(G63)="")),"",ROUND(4.184*G63+$AB63*0.1094,3))</f>
        <v>36.401</v>
      </c>
      <c r="AI63" s="101" t="n">
        <f aca="false">IF(IF(ISBLANK(H63),1,(TRIM(H63)="")),"",ROUND(4.184*H63+$AB63*0.1094,3))</f>
        <v>35.48</v>
      </c>
      <c r="AJ63" s="85" t="str">
        <f aca="false">IF(IF(ISBLANK(I63),1,(TRIM(I63)="")),"",ROUND(4.184*I63+$AB63*0.1094,3))</f>
        <v/>
      </c>
      <c r="AK63" s="101" t="n">
        <f aca="false">IF(IF(ISBLANK(J63),1,(TRIM(J63)="")),"",ROUND(4.184*J63+$AB63*0.1094,3))</f>
        <v>35.48</v>
      </c>
      <c r="AL63" s="85" t="str">
        <f aca="false">IF(IF(ISBLANK(K63),1,(TRIM(K63)="")),"",ROUND(4.184*K63+$AB63*0.1094,3))</f>
        <v/>
      </c>
      <c r="AM63" s="101" t="n">
        <f aca="false">IF(IF(ISBLANK(L63),1,(TRIM(L63)="")),"",ROUND(4.184*L63+$AB63*0.1094,3))</f>
        <v>35.505</v>
      </c>
      <c r="AN63" s="85" t="n">
        <f aca="false">IF(IF(ISBLANK(M63),1,(TRIM(M63)="")),"",ROUND(4.184*M63+$AB63*0.1094,3))</f>
        <v>35.485</v>
      </c>
      <c r="AP63" s="31" t="s">
        <v>85</v>
      </c>
      <c r="AQ63" s="85" t="n">
        <f aca="false">IF(IF(ISBLANK(C63),1,(TRIM(C63)="")),"",ROUND(C63+($AB63*0.1094/4.184),3))</f>
        <v>8.7</v>
      </c>
      <c r="AR63" s="101" t="n">
        <f aca="false">IF(IF(ISBLANK(D63),1,(TRIM(D63)="")),"",ROUND(D63+($AB63*0.1094/4.184),3))</f>
        <v>8.7</v>
      </c>
      <c r="AS63" s="85" t="n">
        <f aca="false">IF(IF(ISBLANK(E63),1,(TRIM(E63)="")),"",ROUND(E63+($AB63*0.1094/4.184),3))</f>
        <v>8.7</v>
      </c>
      <c r="AT63" s="101" t="n">
        <f aca="false">IF(IF(ISBLANK(F63),1,(TRIM(F63)="")),"",ROUND(F63+($AB63*0.1094/4.184),3))</f>
        <v>8.7</v>
      </c>
      <c r="AU63" s="85" t="n">
        <f aca="false">IF(IF(ISBLANK(G63),1,(TRIM(G63)="")),"",ROUND(G63+($AB63*0.1094/4.184),3))</f>
        <v>8.7</v>
      </c>
      <c r="AV63" s="101" t="n">
        <f aca="false">IF(IF(ISBLANK(H63),1,(TRIM(H63)="")),"",ROUND(H63+($AB63*0.1094/4.184),3))</f>
        <v>8.48</v>
      </c>
      <c r="AW63" s="85" t="str">
        <f aca="false">IF(IF(ISBLANK(I63),1,(TRIM(I63)="")),"",ROUND(I63+($AB63*0.1094/4.184),3))</f>
        <v/>
      </c>
      <c r="AX63" s="101" t="n">
        <f aca="false">IF(IF(ISBLANK(J63),1,(TRIM(J63)="")),"",ROUND(J63+($AB63*0.1094/4.184),3))</f>
        <v>8.48</v>
      </c>
      <c r="AY63" s="85" t="str">
        <f aca="false">IF(IF(ISBLANK(K63),1,(TRIM(K63)="")),"",ROUND(K63+($AB63*0.1094/4.184),3))</f>
        <v/>
      </c>
      <c r="AZ63" s="101" t="n">
        <f aca="false">IF(IF(ISBLANK(L63),1,(TRIM(L63)="")),"",ROUND(L63+($AB63*0.1094/4.184),3))</f>
        <v>8.486</v>
      </c>
      <c r="BA63" s="85" t="n">
        <f aca="false">IF(IF(ISBLANK(M63),1,(TRIM(M63)="")),"",ROUND(M63+($AB63*0.1094/4.184),3))</f>
        <v>8.481</v>
      </c>
    </row>
    <row r="64" customFormat="false" ht="12.75" hidden="false" customHeight="false" outlineLevel="0" collapsed="false">
      <c r="B64" s="38" t="s">
        <v>86</v>
      </c>
      <c r="C64" s="64" t="n">
        <v>19.7</v>
      </c>
      <c r="D64" s="63" t="n">
        <v>16.6</v>
      </c>
      <c r="E64" s="64" t="s">
        <v>346</v>
      </c>
      <c r="F64" s="63" t="n">
        <v>15.2</v>
      </c>
      <c r="G64" s="64" t="s">
        <v>347</v>
      </c>
      <c r="H64" s="63" t="n">
        <v>15.34</v>
      </c>
      <c r="I64" s="62" t="n">
        <v>15.48</v>
      </c>
      <c r="J64" s="102" t="n">
        <v>15.34</v>
      </c>
      <c r="K64" s="62" t="n">
        <v>15.457</v>
      </c>
      <c r="L64" s="65" t="s">
        <v>348</v>
      </c>
      <c r="M64" s="62" t="n">
        <v>15.457</v>
      </c>
      <c r="O64" s="38" t="s">
        <v>86</v>
      </c>
      <c r="P64" s="85" t="n">
        <f aca="false">IF(IF(ISBLANK(C64),1,(TRIM(C64)="")),"",ROUND(4.184*C64,3))</f>
        <v>82.425</v>
      </c>
      <c r="Q64" s="101" t="n">
        <f aca="false">IF(IF(ISBLANK(D64),1,(TRIM(D64)="")),"",ROUND(4.184*D64,3))</f>
        <v>69.454</v>
      </c>
      <c r="R64" s="85" t="n">
        <f aca="false">IF(IF(ISBLANK(E64),1,(TRIM(E64)="")),"",ROUND(4.184*E64,3))</f>
        <v>63.597</v>
      </c>
      <c r="S64" s="101" t="n">
        <f aca="false">IF(IF(ISBLANK(F64),1,(TRIM(F64)="")),"",ROUND(4.184*F64,3))</f>
        <v>63.597</v>
      </c>
      <c r="T64" s="85" t="n">
        <f aca="false">IF(IF(ISBLANK(G64),1,(TRIM(G64)="")),"",ROUND(4.184*G64,3))</f>
        <v>64.392</v>
      </c>
      <c r="U64" s="101" t="n">
        <f aca="false">IF(IF(ISBLANK(H64),1,(TRIM(H64)="")),"",ROUND(4.184*H64,3))</f>
        <v>64.183</v>
      </c>
      <c r="V64" s="85" t="n">
        <f aca="false">IF(IF(ISBLANK(I64),1,(TRIM(I64)="")),"",ROUND(4.184*I64,3))</f>
        <v>64.768</v>
      </c>
      <c r="W64" s="101" t="n">
        <f aca="false">IF(IF(ISBLANK(J64),1,(TRIM(J64)="")),"",ROUND(4.184*J64,3))</f>
        <v>64.183</v>
      </c>
      <c r="X64" s="85" t="n">
        <f aca="false">IF(IF(ISBLANK(K64),1,(TRIM(K64)="")),"",ROUND(4.184*K64,3))</f>
        <v>64.672</v>
      </c>
      <c r="Y64" s="101" t="n">
        <f aca="false">IF(IF(ISBLANK(L64),1,(TRIM(L64)="")),"",ROUND(4.184*L64,3))</f>
        <v>64.685</v>
      </c>
      <c r="Z64" s="85" t="n">
        <f aca="false">IF(IF(ISBLANK(M64),1,(TRIM(M64)="")),"",ROUND(4.184*M64,3))</f>
        <v>64.672</v>
      </c>
      <c r="AB64" s="34"/>
      <c r="AC64" s="38" t="s">
        <v>86</v>
      </c>
      <c r="AD64" s="85" t="n">
        <f aca="false">IF(IF(ISBLANK(C64),1,(TRIM(C64)="")),"",ROUND(4.184*C64+$AB64*0.1094,3))</f>
        <v>82.425</v>
      </c>
      <c r="AE64" s="101" t="n">
        <f aca="false">IF(IF(ISBLANK(D64),1,(TRIM(D64)="")),"",ROUND(4.184*D64+$AB64*0.1094,3))</f>
        <v>69.454</v>
      </c>
      <c r="AF64" s="85" t="n">
        <f aca="false">IF(IF(ISBLANK(E64),1,(TRIM(E64)="")),"",ROUND(4.184*E64+$AB64*0.1094,3))</f>
        <v>63.597</v>
      </c>
      <c r="AG64" s="101" t="n">
        <f aca="false">IF(IF(ISBLANK(F64),1,(TRIM(F64)="")),"",ROUND(4.184*F64+$AB64*0.1094,3))</f>
        <v>63.597</v>
      </c>
      <c r="AH64" s="85" t="n">
        <f aca="false">IF(IF(ISBLANK(G64),1,(TRIM(G64)="")),"",ROUND(4.184*G64+$AB64*0.1094,3))</f>
        <v>64.392</v>
      </c>
      <c r="AI64" s="101" t="n">
        <f aca="false">IF(IF(ISBLANK(H64),1,(TRIM(H64)="")),"",ROUND(4.184*H64+$AB64*0.1094,3))</f>
        <v>64.183</v>
      </c>
      <c r="AJ64" s="85" t="n">
        <f aca="false">IF(IF(ISBLANK(I64),1,(TRIM(I64)="")),"",ROUND(4.184*I64+$AB64*0.1094,3))</f>
        <v>64.768</v>
      </c>
      <c r="AK64" s="101" t="n">
        <f aca="false">IF(IF(ISBLANK(J64),1,(TRIM(J64)="")),"",ROUND(4.184*J64+$AB64*0.1094,3))</f>
        <v>64.183</v>
      </c>
      <c r="AL64" s="85" t="n">
        <f aca="false">IF(IF(ISBLANK(K64),1,(TRIM(K64)="")),"",ROUND(4.184*K64+$AB64*0.1094,3))</f>
        <v>64.672</v>
      </c>
      <c r="AM64" s="101" t="n">
        <f aca="false">IF(IF(ISBLANK(L64),1,(TRIM(L64)="")),"",ROUND(4.184*L64+$AB64*0.1094,3))</f>
        <v>64.685</v>
      </c>
      <c r="AN64" s="85" t="n">
        <f aca="false">IF(IF(ISBLANK(M64),1,(TRIM(M64)="")),"",ROUND(4.184*M64+$AB64*0.1094,3))</f>
        <v>64.672</v>
      </c>
      <c r="AP64" s="38" t="s">
        <v>86</v>
      </c>
      <c r="AQ64" s="85" t="n">
        <f aca="false">IF(IF(ISBLANK(C64),1,(TRIM(C64)="")),"",ROUND(C64+($AB64*0.1094/4.184),3))</f>
        <v>19.7</v>
      </c>
      <c r="AR64" s="101" t="n">
        <f aca="false">IF(IF(ISBLANK(D64),1,(TRIM(D64)="")),"",ROUND(D64+($AB64*0.1094/4.184),3))</f>
        <v>16.6</v>
      </c>
      <c r="AS64" s="85" t="n">
        <f aca="false">IF(IF(ISBLANK(E64),1,(TRIM(E64)="")),"",ROUND(E64+($AB64*0.1094/4.184),3))</f>
        <v>15.2</v>
      </c>
      <c r="AT64" s="101" t="n">
        <f aca="false">IF(IF(ISBLANK(F64),1,(TRIM(F64)="")),"",ROUND(F64+($AB64*0.1094/4.184),3))</f>
        <v>15.2</v>
      </c>
      <c r="AU64" s="85" t="n">
        <f aca="false">IF(IF(ISBLANK(G64),1,(TRIM(G64)="")),"",ROUND(G64+($AB64*0.1094/4.184),3))</f>
        <v>15.39</v>
      </c>
      <c r="AV64" s="101" t="n">
        <f aca="false">IF(IF(ISBLANK(H64),1,(TRIM(H64)="")),"",ROUND(H64+($AB64*0.1094/4.184),3))</f>
        <v>15.34</v>
      </c>
      <c r="AW64" s="85" t="n">
        <f aca="false">IF(IF(ISBLANK(I64),1,(TRIM(I64)="")),"",ROUND(I64+($AB64*0.1094/4.184),3))</f>
        <v>15.48</v>
      </c>
      <c r="AX64" s="101" t="n">
        <f aca="false">IF(IF(ISBLANK(J64),1,(TRIM(J64)="")),"",ROUND(J64+($AB64*0.1094/4.184),3))</f>
        <v>15.34</v>
      </c>
      <c r="AY64" s="85" t="n">
        <f aca="false">IF(IF(ISBLANK(K64),1,(TRIM(K64)="")),"",ROUND(K64+($AB64*0.1094/4.184),3))</f>
        <v>15.457</v>
      </c>
      <c r="AZ64" s="101" t="n">
        <f aca="false">IF(IF(ISBLANK(L64),1,(TRIM(L64)="")),"",ROUND(L64+($AB64*0.1094/4.184),3))</f>
        <v>15.46</v>
      </c>
      <c r="BA64" s="85" t="n">
        <f aca="false">IF(IF(ISBLANK(M64),1,(TRIM(M64)="")),"",ROUND(M64+($AB64*0.1094/4.184),3))</f>
        <v>15.457</v>
      </c>
    </row>
    <row r="65" customFormat="false" ht="12.75" hidden="false" customHeight="false" outlineLevel="0" collapsed="false">
      <c r="B65" s="31" t="s">
        <v>87</v>
      </c>
      <c r="C65" s="62"/>
      <c r="D65" s="63" t="n">
        <v>38.88</v>
      </c>
      <c r="E65" s="64" t="s">
        <v>349</v>
      </c>
      <c r="F65" s="63" t="n">
        <v>39.19</v>
      </c>
      <c r="G65" s="64" t="s">
        <v>350</v>
      </c>
      <c r="H65" s="63" t="n">
        <v>39.19</v>
      </c>
      <c r="I65" s="62"/>
      <c r="J65" s="102" t="n">
        <v>39.1905</v>
      </c>
      <c r="K65" s="62"/>
      <c r="L65" s="65" t="s">
        <v>351</v>
      </c>
      <c r="M65" s="62" t="n">
        <v>39.191</v>
      </c>
      <c r="O65" s="31" t="s">
        <v>87</v>
      </c>
      <c r="P65" s="85" t="str">
        <f aca="false">IF(IF(ISBLANK(C65),1,(TRIM(C65)="")),"",ROUND(4.184*C65,3))</f>
        <v/>
      </c>
      <c r="Q65" s="101" t="n">
        <f aca="false">IF(IF(ISBLANK(D65),1,(TRIM(D65)="")),"",ROUND(4.184*D65,3))</f>
        <v>162.674</v>
      </c>
      <c r="R65" s="85" t="n">
        <f aca="false">IF(IF(ISBLANK(E65),1,(TRIM(E65)="")),"",ROUND(4.184*E65,3))</f>
        <v>163.887</v>
      </c>
      <c r="S65" s="101" t="n">
        <f aca="false">IF(IF(ISBLANK(F65),1,(TRIM(F65)="")),"",ROUND(4.184*F65,3))</f>
        <v>163.971</v>
      </c>
      <c r="T65" s="85" t="n">
        <f aca="false">IF(IF(ISBLANK(G65),1,(TRIM(G65)="")),"",ROUND(4.184*G65,3))</f>
        <v>163.971</v>
      </c>
      <c r="U65" s="101" t="n">
        <f aca="false">IF(IF(ISBLANK(H65),1,(TRIM(H65)="")),"",ROUND(4.184*H65,3))</f>
        <v>163.971</v>
      </c>
      <c r="V65" s="85" t="str">
        <f aca="false">IF(IF(ISBLANK(I65),1,(TRIM(I65)="")),"",ROUND(4.184*I65,3))</f>
        <v/>
      </c>
      <c r="W65" s="101" t="n">
        <f aca="false">IF(IF(ISBLANK(J65),1,(TRIM(J65)="")),"",ROUND(4.184*J65,3))</f>
        <v>163.973</v>
      </c>
      <c r="X65" s="85" t="str">
        <f aca="false">IF(IF(ISBLANK(K65),1,(TRIM(K65)="")),"",ROUND(4.184*K65,3))</f>
        <v/>
      </c>
      <c r="Y65" s="101" t="n">
        <f aca="false">IF(IF(ISBLANK(L65),1,(TRIM(L65)="")),"",ROUND(4.184*L65,3))</f>
        <v>163.975</v>
      </c>
      <c r="Z65" s="85" t="n">
        <f aca="false">IF(IF(ISBLANK(M65),1,(TRIM(M65)="")),"",ROUND(4.184*M65,3))</f>
        <v>163.975</v>
      </c>
      <c r="AB65" s="34" t="n">
        <v>1</v>
      </c>
      <c r="AC65" s="31" t="s">
        <v>87</v>
      </c>
      <c r="AD65" s="85" t="str">
        <f aca="false">IF(IF(ISBLANK(C65),1,(TRIM(C65)="")),"",ROUND(4.184*C65+$AB65*0.1094,3))</f>
        <v/>
      </c>
      <c r="AE65" s="101" t="n">
        <f aca="false">IF(IF(ISBLANK(D65),1,(TRIM(D65)="")),"",ROUND(4.184*D65+$AB65*0.1094,3))</f>
        <v>162.783</v>
      </c>
      <c r="AF65" s="85" t="n">
        <f aca="false">IF(IF(ISBLANK(E65),1,(TRIM(E65)="")),"",ROUND(4.184*E65+$AB65*0.1094,3))</f>
        <v>163.997</v>
      </c>
      <c r="AG65" s="101" t="n">
        <f aca="false">IF(IF(ISBLANK(F65),1,(TRIM(F65)="")),"",ROUND(4.184*F65+$AB65*0.1094,3))</f>
        <v>164.08</v>
      </c>
      <c r="AH65" s="85" t="n">
        <f aca="false">IF(IF(ISBLANK(G65),1,(TRIM(G65)="")),"",ROUND(4.184*G65+$AB65*0.1094,3))</f>
        <v>164.08</v>
      </c>
      <c r="AI65" s="101" t="n">
        <f aca="false">IF(IF(ISBLANK(H65),1,(TRIM(H65)="")),"",ROUND(4.184*H65+$AB65*0.1094,3))</f>
        <v>164.08</v>
      </c>
      <c r="AJ65" s="85" t="str">
        <f aca="false">IF(IF(ISBLANK(I65),1,(TRIM(I65)="")),"",ROUND(4.184*I65+$AB65*0.1094,3))</f>
        <v/>
      </c>
      <c r="AK65" s="101" t="n">
        <f aca="false">IF(IF(ISBLANK(J65),1,(TRIM(J65)="")),"",ROUND(4.184*J65+$AB65*0.1094,3))</f>
        <v>164.082</v>
      </c>
      <c r="AL65" s="85" t="str">
        <f aca="false">IF(IF(ISBLANK(K65),1,(TRIM(K65)="")),"",ROUND(4.184*K65+$AB65*0.1094,3))</f>
        <v/>
      </c>
      <c r="AM65" s="101" t="n">
        <f aca="false">IF(IF(ISBLANK(L65),1,(TRIM(L65)="")),"",ROUND(4.184*L65+$AB65*0.1094,3))</f>
        <v>164.085</v>
      </c>
      <c r="AN65" s="85" t="n">
        <f aca="false">IF(IF(ISBLANK(M65),1,(TRIM(M65)="")),"",ROUND(4.184*M65+$AB65*0.1094,3))</f>
        <v>164.085</v>
      </c>
      <c r="AP65" s="31" t="s">
        <v>87</v>
      </c>
      <c r="AQ65" s="85" t="str">
        <f aca="false">IF(IF(ISBLANK(C65),1,(TRIM(C65)="")),"",ROUND(C65+($AB65*0.1094/4.184),3))</f>
        <v/>
      </c>
      <c r="AR65" s="101" t="n">
        <f aca="false">IF(IF(ISBLANK(D65),1,(TRIM(D65)="")),"",ROUND(D65+($AB65*0.1094/4.184),3))</f>
        <v>38.906</v>
      </c>
      <c r="AS65" s="85" t="n">
        <f aca="false">IF(IF(ISBLANK(E65),1,(TRIM(E65)="")),"",ROUND(E65+($AB65*0.1094/4.184),3))</f>
        <v>39.196</v>
      </c>
      <c r="AT65" s="101" t="n">
        <f aca="false">IF(IF(ISBLANK(F65),1,(TRIM(F65)="")),"",ROUND(F65+($AB65*0.1094/4.184),3))</f>
        <v>39.216</v>
      </c>
      <c r="AU65" s="85" t="n">
        <f aca="false">IF(IF(ISBLANK(G65),1,(TRIM(G65)="")),"",ROUND(G65+($AB65*0.1094/4.184),3))</f>
        <v>39.216</v>
      </c>
      <c r="AV65" s="101" t="n">
        <f aca="false">IF(IF(ISBLANK(H65),1,(TRIM(H65)="")),"",ROUND(H65+($AB65*0.1094/4.184),3))</f>
        <v>39.216</v>
      </c>
      <c r="AW65" s="85" t="str">
        <f aca="false">IF(IF(ISBLANK(I65),1,(TRIM(I65)="")),"",ROUND(I65+($AB65*0.1094/4.184),3))</f>
        <v/>
      </c>
      <c r="AX65" s="101" t="n">
        <f aca="false">IF(IF(ISBLANK(J65),1,(TRIM(J65)="")),"",ROUND(J65+($AB65*0.1094/4.184),3))</f>
        <v>39.217</v>
      </c>
      <c r="AY65" s="85" t="str">
        <f aca="false">IF(IF(ISBLANK(K65),1,(TRIM(K65)="")),"",ROUND(K65+($AB65*0.1094/4.184),3))</f>
        <v/>
      </c>
      <c r="AZ65" s="101" t="n">
        <f aca="false">IF(IF(ISBLANK(L65),1,(TRIM(L65)="")),"",ROUND(L65+($AB65*0.1094/4.184),3))</f>
        <v>39.217</v>
      </c>
      <c r="BA65" s="85" t="n">
        <f aca="false">IF(IF(ISBLANK(M65),1,(TRIM(M65)="")),"",ROUND(M65+($AB65*0.1094/4.184),3))</f>
        <v>39.217</v>
      </c>
    </row>
    <row r="66" customFormat="false" ht="12.75" hidden="false" customHeight="false" outlineLevel="0" collapsed="false">
      <c r="B66" s="31" t="s">
        <v>88</v>
      </c>
      <c r="C66" s="62" t="n">
        <v>13.7</v>
      </c>
      <c r="D66" s="63" t="n">
        <v>13.7</v>
      </c>
      <c r="E66" s="64" t="s">
        <v>352</v>
      </c>
      <c r="F66" s="63" t="n">
        <v>13.7</v>
      </c>
      <c r="G66" s="64" t="s">
        <v>353</v>
      </c>
      <c r="H66" s="65" t="s">
        <v>354</v>
      </c>
      <c r="I66" s="62"/>
      <c r="J66" s="102" t="n">
        <v>13.6</v>
      </c>
      <c r="K66" s="62"/>
      <c r="L66" s="65" t="s">
        <v>354</v>
      </c>
      <c r="M66" s="64" t="s">
        <v>355</v>
      </c>
      <c r="O66" s="31" t="s">
        <v>88</v>
      </c>
      <c r="P66" s="85" t="n">
        <f aca="false">IF(IF(ISBLANK(C66),1,(TRIM(C66)="")),"",ROUND(4.184*C66,3))</f>
        <v>57.321</v>
      </c>
      <c r="Q66" s="101" t="n">
        <f aca="false">IF(IF(ISBLANK(D66),1,(TRIM(D66)="")),"",ROUND(4.184*D66,3))</f>
        <v>57.321</v>
      </c>
      <c r="R66" s="85" t="n">
        <f aca="false">IF(IF(ISBLANK(E66),1,(TRIM(E66)="")),"",ROUND(4.184*E66,3))</f>
        <v>57.321</v>
      </c>
      <c r="S66" s="101" t="n">
        <f aca="false">IF(IF(ISBLANK(F66),1,(TRIM(F66)="")),"",ROUND(4.184*F66,3))</f>
        <v>57.321</v>
      </c>
      <c r="T66" s="85" t="n">
        <f aca="false">IF(IF(ISBLANK(G66),1,(TRIM(G66)="")),"",ROUND(4.184*G66,3))</f>
        <v>56.902</v>
      </c>
      <c r="U66" s="101" t="n">
        <f aca="false">IF(IF(ISBLANK(H66),1,(TRIM(H66)="")),"",ROUND(4.184*H66,3))</f>
        <v>56.902</v>
      </c>
      <c r="V66" s="85" t="str">
        <f aca="false">IF(IF(ISBLANK(I66),1,(TRIM(I66)="")),"",ROUND(4.184*I66,3))</f>
        <v/>
      </c>
      <c r="W66" s="101" t="n">
        <f aca="false">IF(IF(ISBLANK(J66),1,(TRIM(J66)="")),"",ROUND(4.184*J66,3))</f>
        <v>56.902</v>
      </c>
      <c r="X66" s="85" t="str">
        <f aca="false">IF(IF(ISBLANK(K66),1,(TRIM(K66)="")),"",ROUND(4.184*K66,3))</f>
        <v/>
      </c>
      <c r="Y66" s="101" t="n">
        <f aca="false">IF(IF(ISBLANK(L66),1,(TRIM(L66)="")),"",ROUND(4.184*L66,3))</f>
        <v>56.902</v>
      </c>
      <c r="Z66" s="85" t="n">
        <f aca="false">IF(IF(ISBLANK(M66),1,(TRIM(M66)="")),"",ROUND(4.184*M66,3))</f>
        <v>56.902</v>
      </c>
      <c r="AB66" s="34"/>
      <c r="AC66" s="31" t="s">
        <v>88</v>
      </c>
      <c r="AD66" s="85" t="n">
        <f aca="false">IF(IF(ISBLANK(C66),1,(TRIM(C66)="")),"",ROUND(4.184*C66+$AB66*0.1094,3))</f>
        <v>57.321</v>
      </c>
      <c r="AE66" s="101" t="n">
        <f aca="false">IF(IF(ISBLANK(D66),1,(TRIM(D66)="")),"",ROUND(4.184*D66+$AB66*0.1094,3))</f>
        <v>57.321</v>
      </c>
      <c r="AF66" s="85" t="n">
        <f aca="false">IF(IF(ISBLANK(E66),1,(TRIM(E66)="")),"",ROUND(4.184*E66+$AB66*0.1094,3))</f>
        <v>57.321</v>
      </c>
      <c r="AG66" s="101" t="n">
        <f aca="false">IF(IF(ISBLANK(F66),1,(TRIM(F66)="")),"",ROUND(4.184*F66+$AB66*0.1094,3))</f>
        <v>57.321</v>
      </c>
      <c r="AH66" s="85" t="n">
        <f aca="false">IF(IF(ISBLANK(G66),1,(TRIM(G66)="")),"",ROUND(4.184*G66+$AB66*0.1094,3))</f>
        <v>56.902</v>
      </c>
      <c r="AI66" s="101" t="n">
        <f aca="false">IF(IF(ISBLANK(H66),1,(TRIM(H66)="")),"",ROUND(4.184*H66+$AB66*0.1094,3))</f>
        <v>56.902</v>
      </c>
      <c r="AJ66" s="85" t="str">
        <f aca="false">IF(IF(ISBLANK(I66),1,(TRIM(I66)="")),"",ROUND(4.184*I66+$AB66*0.1094,3))</f>
        <v/>
      </c>
      <c r="AK66" s="101" t="n">
        <f aca="false">IF(IF(ISBLANK(J66),1,(TRIM(J66)="")),"",ROUND(4.184*J66+$AB66*0.1094,3))</f>
        <v>56.902</v>
      </c>
      <c r="AL66" s="85" t="str">
        <f aca="false">IF(IF(ISBLANK(K66),1,(TRIM(K66)="")),"",ROUND(4.184*K66+$AB66*0.1094,3))</f>
        <v/>
      </c>
      <c r="AM66" s="101" t="n">
        <f aca="false">IF(IF(ISBLANK(L66),1,(TRIM(L66)="")),"",ROUND(4.184*L66+$AB66*0.1094,3))</f>
        <v>56.902</v>
      </c>
      <c r="AN66" s="85" t="n">
        <f aca="false">IF(IF(ISBLANK(M66),1,(TRIM(M66)="")),"",ROUND(4.184*M66+$AB66*0.1094,3))</f>
        <v>56.902</v>
      </c>
      <c r="AP66" s="31" t="s">
        <v>88</v>
      </c>
      <c r="AQ66" s="85" t="n">
        <f aca="false">IF(IF(ISBLANK(C66),1,(TRIM(C66)="")),"",ROUND(C66+($AB66*0.1094/4.184),3))</f>
        <v>13.7</v>
      </c>
      <c r="AR66" s="101" t="n">
        <f aca="false">IF(IF(ISBLANK(D66),1,(TRIM(D66)="")),"",ROUND(D66+($AB66*0.1094/4.184),3))</f>
        <v>13.7</v>
      </c>
      <c r="AS66" s="85" t="n">
        <f aca="false">IF(IF(ISBLANK(E66),1,(TRIM(E66)="")),"",ROUND(E66+($AB66*0.1094/4.184),3))</f>
        <v>13.7</v>
      </c>
      <c r="AT66" s="101" t="n">
        <f aca="false">IF(IF(ISBLANK(F66),1,(TRIM(F66)="")),"",ROUND(F66+($AB66*0.1094/4.184),3))</f>
        <v>13.7</v>
      </c>
      <c r="AU66" s="85" t="n">
        <f aca="false">IF(IF(ISBLANK(G66),1,(TRIM(G66)="")),"",ROUND(G66+($AB66*0.1094/4.184),3))</f>
        <v>13.6</v>
      </c>
      <c r="AV66" s="101" t="n">
        <f aca="false">IF(IF(ISBLANK(H66),1,(TRIM(H66)="")),"",ROUND(H66+($AB66*0.1094/4.184),3))</f>
        <v>13.6</v>
      </c>
      <c r="AW66" s="85" t="str">
        <f aca="false">IF(IF(ISBLANK(I66),1,(TRIM(I66)="")),"",ROUND(I66+($AB66*0.1094/4.184),3))</f>
        <v/>
      </c>
      <c r="AX66" s="101" t="n">
        <f aca="false">IF(IF(ISBLANK(J66),1,(TRIM(J66)="")),"",ROUND(J66+($AB66*0.1094/4.184),3))</f>
        <v>13.6</v>
      </c>
      <c r="AY66" s="85" t="str">
        <f aca="false">IF(IF(ISBLANK(K66),1,(TRIM(K66)="")),"",ROUND(K66+($AB66*0.1094/4.184),3))</f>
        <v/>
      </c>
      <c r="AZ66" s="101" t="n">
        <f aca="false">IF(IF(ISBLANK(L66),1,(TRIM(L66)="")),"",ROUND(L66+($AB66*0.1094/4.184),3))</f>
        <v>13.6</v>
      </c>
      <c r="BA66" s="85" t="n">
        <f aca="false">IF(IF(ISBLANK(M66),1,(TRIM(M66)="")),"",ROUND(M66+($AB66*0.1094/4.184),3))</f>
        <v>13.6</v>
      </c>
    </row>
    <row r="67" customFormat="false" ht="12.75" hidden="false" customHeight="false" outlineLevel="0" collapsed="false">
      <c r="B67" s="38" t="s">
        <v>89</v>
      </c>
      <c r="C67" s="62" t="n">
        <v>7.6</v>
      </c>
      <c r="D67" s="63" t="n">
        <v>7.6</v>
      </c>
      <c r="E67" s="64" t="s">
        <v>356</v>
      </c>
      <c r="F67" s="65" t="s">
        <v>357</v>
      </c>
      <c r="G67" s="64" t="s">
        <v>233</v>
      </c>
      <c r="H67" s="65" t="s">
        <v>357</v>
      </c>
      <c r="I67" s="62" t="n">
        <v>6.95</v>
      </c>
      <c r="J67" s="102" t="n">
        <v>6.96</v>
      </c>
      <c r="K67" s="62" t="n">
        <v>6.954</v>
      </c>
      <c r="L67" s="65" t="s">
        <v>358</v>
      </c>
      <c r="M67" s="62" t="n">
        <v>6.954</v>
      </c>
      <c r="O67" s="38" t="s">
        <v>89</v>
      </c>
      <c r="P67" s="85" t="n">
        <f aca="false">IF(IF(ISBLANK(C67),1,(TRIM(C67)="")),"",ROUND(4.184*C67,3))</f>
        <v>31.798</v>
      </c>
      <c r="Q67" s="101" t="n">
        <f aca="false">IF(IF(ISBLANK(D67),1,(TRIM(D67)="")),"",ROUND(4.184*D67,3))</f>
        <v>31.798</v>
      </c>
      <c r="R67" s="85" t="n">
        <f aca="false">IF(IF(ISBLANK(E67),1,(TRIM(E67)="")),"",ROUND(4.184*E67,3))</f>
        <v>31.798</v>
      </c>
      <c r="S67" s="101" t="n">
        <f aca="false">IF(IF(ISBLANK(F67),1,(TRIM(F67)="")),"",ROUND(4.184*F67,3))</f>
        <v>28.033</v>
      </c>
      <c r="T67" s="85" t="n">
        <f aca="false">IF(IF(ISBLANK(G67),1,(TRIM(G67)="")),"",ROUND(4.184*G67,3))</f>
        <v>28.242</v>
      </c>
      <c r="U67" s="101" t="n">
        <f aca="false">IF(IF(ISBLANK(H67),1,(TRIM(H67)="")),"",ROUND(4.184*H67,3))</f>
        <v>28.033</v>
      </c>
      <c r="V67" s="85" t="n">
        <f aca="false">IF(IF(ISBLANK(I67),1,(TRIM(I67)="")),"",ROUND(4.184*I67,3))</f>
        <v>29.079</v>
      </c>
      <c r="W67" s="101" t="n">
        <f aca="false">IF(IF(ISBLANK(J67),1,(TRIM(J67)="")),"",ROUND(4.184*J67,3))</f>
        <v>29.121</v>
      </c>
      <c r="X67" s="85" t="n">
        <f aca="false">IF(IF(ISBLANK(K67),1,(TRIM(K67)="")),"",ROUND(4.184*K67,3))</f>
        <v>29.096</v>
      </c>
      <c r="Y67" s="101" t="n">
        <f aca="false">IF(IF(ISBLANK(L67),1,(TRIM(L67)="")),"",ROUND(4.184*L67,3))</f>
        <v>29.275</v>
      </c>
      <c r="Z67" s="85" t="n">
        <f aca="false">IF(IF(ISBLANK(M67),1,(TRIM(M67)="")),"",ROUND(4.184*M67,3))</f>
        <v>29.096</v>
      </c>
      <c r="AB67" s="34"/>
      <c r="AC67" s="38" t="s">
        <v>89</v>
      </c>
      <c r="AD67" s="85" t="n">
        <f aca="false">IF(IF(ISBLANK(C67),1,(TRIM(C67)="")),"",ROUND(4.184*C67+$AB67*0.1094,3))</f>
        <v>31.798</v>
      </c>
      <c r="AE67" s="101" t="n">
        <f aca="false">IF(IF(ISBLANK(D67),1,(TRIM(D67)="")),"",ROUND(4.184*D67+$AB67*0.1094,3))</f>
        <v>31.798</v>
      </c>
      <c r="AF67" s="85" t="n">
        <f aca="false">IF(IF(ISBLANK(E67),1,(TRIM(E67)="")),"",ROUND(4.184*E67+$AB67*0.1094,3))</f>
        <v>31.798</v>
      </c>
      <c r="AG67" s="101" t="n">
        <f aca="false">IF(IF(ISBLANK(F67),1,(TRIM(F67)="")),"",ROUND(4.184*F67+$AB67*0.1094,3))</f>
        <v>28.033</v>
      </c>
      <c r="AH67" s="85" t="n">
        <f aca="false">IF(IF(ISBLANK(G67),1,(TRIM(G67)="")),"",ROUND(4.184*G67+$AB67*0.1094,3))</f>
        <v>28.242</v>
      </c>
      <c r="AI67" s="101" t="n">
        <f aca="false">IF(IF(ISBLANK(H67),1,(TRIM(H67)="")),"",ROUND(4.184*H67+$AB67*0.1094,3))</f>
        <v>28.033</v>
      </c>
      <c r="AJ67" s="85" t="n">
        <f aca="false">IF(IF(ISBLANK(I67),1,(TRIM(I67)="")),"",ROUND(4.184*I67+$AB67*0.1094,3))</f>
        <v>29.079</v>
      </c>
      <c r="AK67" s="101" t="n">
        <f aca="false">IF(IF(ISBLANK(J67),1,(TRIM(J67)="")),"",ROUND(4.184*J67+$AB67*0.1094,3))</f>
        <v>29.121</v>
      </c>
      <c r="AL67" s="85" t="n">
        <f aca="false">IF(IF(ISBLANK(K67),1,(TRIM(K67)="")),"",ROUND(4.184*K67+$AB67*0.1094,3))</f>
        <v>29.096</v>
      </c>
      <c r="AM67" s="101" t="n">
        <f aca="false">IF(IF(ISBLANK(L67),1,(TRIM(L67)="")),"",ROUND(4.184*L67+$AB67*0.1094,3))</f>
        <v>29.275</v>
      </c>
      <c r="AN67" s="85" t="n">
        <f aca="false">IF(IF(ISBLANK(M67),1,(TRIM(M67)="")),"",ROUND(4.184*M67+$AB67*0.1094,3))</f>
        <v>29.096</v>
      </c>
      <c r="AP67" s="38" t="s">
        <v>89</v>
      </c>
      <c r="AQ67" s="85" t="n">
        <f aca="false">IF(IF(ISBLANK(C67),1,(TRIM(C67)="")),"",ROUND(C67+($AB67*0.1094/4.184),3))</f>
        <v>7.6</v>
      </c>
      <c r="AR67" s="101" t="n">
        <f aca="false">IF(IF(ISBLANK(D67),1,(TRIM(D67)="")),"",ROUND(D67+($AB67*0.1094/4.184),3))</f>
        <v>7.6</v>
      </c>
      <c r="AS67" s="85" t="n">
        <f aca="false">IF(IF(ISBLANK(E67),1,(TRIM(E67)="")),"",ROUND(E67+($AB67*0.1094/4.184),3))</f>
        <v>7.6</v>
      </c>
      <c r="AT67" s="101" t="n">
        <f aca="false">IF(IF(ISBLANK(F67),1,(TRIM(F67)="")),"",ROUND(F67+($AB67*0.1094/4.184),3))</f>
        <v>6.7</v>
      </c>
      <c r="AU67" s="85" t="n">
        <f aca="false">IF(IF(ISBLANK(G67),1,(TRIM(G67)="")),"",ROUND(G67+($AB67*0.1094/4.184),3))</f>
        <v>6.75</v>
      </c>
      <c r="AV67" s="101" t="n">
        <f aca="false">IF(IF(ISBLANK(H67),1,(TRIM(H67)="")),"",ROUND(H67+($AB67*0.1094/4.184),3))</f>
        <v>6.7</v>
      </c>
      <c r="AW67" s="85" t="n">
        <f aca="false">IF(IF(ISBLANK(I67),1,(TRIM(I67)="")),"",ROUND(I67+($AB67*0.1094/4.184),3))</f>
        <v>6.95</v>
      </c>
      <c r="AX67" s="101" t="n">
        <f aca="false">IF(IF(ISBLANK(J67),1,(TRIM(J67)="")),"",ROUND(J67+($AB67*0.1094/4.184),3))</f>
        <v>6.96</v>
      </c>
      <c r="AY67" s="85" t="n">
        <f aca="false">IF(IF(ISBLANK(K67),1,(TRIM(K67)="")),"",ROUND(K67+($AB67*0.1094/4.184),3))</f>
        <v>6.954</v>
      </c>
      <c r="AZ67" s="101" t="n">
        <f aca="false">IF(IF(ISBLANK(L67),1,(TRIM(L67)="")),"",ROUND(L67+($AB67*0.1094/4.184),3))</f>
        <v>6.997</v>
      </c>
      <c r="BA67" s="85" t="n">
        <f aca="false">IF(IF(ISBLANK(M67),1,(TRIM(M67)="")),"",ROUND(M67+($AB67*0.1094/4.184),3))</f>
        <v>6.954</v>
      </c>
    </row>
    <row r="68" customFormat="false" ht="12.75" hidden="false" customHeight="false" outlineLevel="0" collapsed="false">
      <c r="B68" s="31" t="s">
        <v>90</v>
      </c>
      <c r="C68" s="64"/>
      <c r="D68" s="63"/>
      <c r="E68" s="64"/>
      <c r="F68" s="63"/>
      <c r="G68" s="62"/>
      <c r="H68" s="63"/>
      <c r="I68" s="62"/>
      <c r="J68" s="102"/>
      <c r="K68" s="62"/>
      <c r="L68" s="63"/>
      <c r="M68" s="62"/>
      <c r="O68" s="31" t="s">
        <v>90</v>
      </c>
      <c r="P68" s="85" t="str">
        <f aca="false">IF(IF(ISBLANK(C68),1,(TRIM(C68)="")),"",ROUND(4.184*C68,3))</f>
        <v/>
      </c>
      <c r="Q68" s="101" t="str">
        <f aca="false">IF(IF(ISBLANK(D68),1,(TRIM(D68)="")),"",ROUND(4.184*D68,3))</f>
        <v/>
      </c>
      <c r="R68" s="85" t="str">
        <f aca="false">IF(IF(ISBLANK(E68),1,(TRIM(E68)="")),"",ROUND(4.184*E68,3))</f>
        <v/>
      </c>
      <c r="S68" s="101" t="str">
        <f aca="false">IF(IF(ISBLANK(F68),1,(TRIM(F68)="")),"",ROUND(4.184*F68,3))</f>
        <v/>
      </c>
      <c r="T68" s="85" t="str">
        <f aca="false">IF(IF(ISBLANK(G68),1,(TRIM(G68)="")),"",ROUND(4.184*G68,3))</f>
        <v/>
      </c>
      <c r="U68" s="101" t="str">
        <f aca="false">IF(IF(ISBLANK(H68),1,(TRIM(H68)="")),"",ROUND(4.184*H68,3))</f>
        <v/>
      </c>
      <c r="V68" s="85" t="str">
        <f aca="false">IF(IF(ISBLANK(I68),1,(TRIM(I68)="")),"",ROUND(4.184*I68,3))</f>
        <v/>
      </c>
      <c r="W68" s="101" t="str">
        <f aca="false">IF(IF(ISBLANK(J68),1,(TRIM(J68)="")),"",ROUND(4.184*J68,3))</f>
        <v/>
      </c>
      <c r="X68" s="85" t="str">
        <f aca="false">IF(IF(ISBLANK(K68),1,(TRIM(K68)="")),"",ROUND(4.184*K68,3))</f>
        <v/>
      </c>
      <c r="Y68" s="101" t="str">
        <f aca="false">IF(IF(ISBLANK(L68),1,(TRIM(L68)="")),"",ROUND(4.184*L68,3))</f>
        <v/>
      </c>
      <c r="Z68" s="85" t="str">
        <f aca="false">IF(IF(ISBLANK(M68),1,(TRIM(M68)="")),"",ROUND(4.184*M68,3))</f>
        <v/>
      </c>
      <c r="AB68" s="34"/>
      <c r="AC68" s="31" t="s">
        <v>90</v>
      </c>
      <c r="AD68" s="85" t="str">
        <f aca="false">IF(IF(ISBLANK(C68),1,(TRIM(C68)="")),"",ROUND(4.184*C68+$AB68*0.1094,3))</f>
        <v/>
      </c>
      <c r="AE68" s="101" t="str">
        <f aca="false">IF(IF(ISBLANK(D68),1,(TRIM(D68)="")),"",ROUND(4.184*D68+$AB68*0.1094,3))</f>
        <v/>
      </c>
      <c r="AF68" s="85" t="str">
        <f aca="false">IF(IF(ISBLANK(E68),1,(TRIM(E68)="")),"",ROUND(4.184*E68+$AB68*0.1094,3))</f>
        <v/>
      </c>
      <c r="AG68" s="101" t="str">
        <f aca="false">IF(IF(ISBLANK(F68),1,(TRIM(F68)="")),"",ROUND(4.184*F68+$AB68*0.1094,3))</f>
        <v/>
      </c>
      <c r="AH68" s="85" t="str">
        <f aca="false">IF(IF(ISBLANK(G68),1,(TRIM(G68)="")),"",ROUND(4.184*G68+$AB68*0.1094,3))</f>
        <v/>
      </c>
      <c r="AI68" s="101" t="str">
        <f aca="false">IF(IF(ISBLANK(H68),1,(TRIM(H68)="")),"",ROUND(4.184*H68+$AB68*0.1094,3))</f>
        <v/>
      </c>
      <c r="AJ68" s="85" t="str">
        <f aca="false">IF(IF(ISBLANK(I68),1,(TRIM(I68)="")),"",ROUND(4.184*I68+$AB68*0.1094,3))</f>
        <v/>
      </c>
      <c r="AK68" s="101" t="str">
        <f aca="false">IF(IF(ISBLANK(J68),1,(TRIM(J68)="")),"",ROUND(4.184*J68+$AB68*0.1094,3))</f>
        <v/>
      </c>
      <c r="AL68" s="85" t="str">
        <f aca="false">IF(IF(ISBLANK(K68),1,(TRIM(K68)="")),"",ROUND(4.184*K68+$AB68*0.1094,3))</f>
        <v/>
      </c>
      <c r="AM68" s="101" t="str">
        <f aca="false">IF(IF(ISBLANK(L68),1,(TRIM(L68)="")),"",ROUND(4.184*L68+$AB68*0.1094,3))</f>
        <v/>
      </c>
      <c r="AN68" s="85" t="str">
        <f aca="false">IF(IF(ISBLANK(M68),1,(TRIM(M68)="")),"",ROUND(4.184*M68+$AB68*0.1094,3))</f>
        <v/>
      </c>
      <c r="AP68" s="31" t="s">
        <v>90</v>
      </c>
      <c r="AQ68" s="85" t="str">
        <f aca="false">IF(IF(ISBLANK(C68),1,(TRIM(C68)="")),"",ROUND(C68+($AB68*0.1094/4.184),3))</f>
        <v/>
      </c>
      <c r="AR68" s="101" t="str">
        <f aca="false">IF(IF(ISBLANK(D68),1,(TRIM(D68)="")),"",ROUND(D68+($AB68*0.1094/4.184),3))</f>
        <v/>
      </c>
      <c r="AS68" s="85" t="str">
        <f aca="false">IF(IF(ISBLANK(E68),1,(TRIM(E68)="")),"",ROUND(E68+($AB68*0.1094/4.184),3))</f>
        <v/>
      </c>
      <c r="AT68" s="101" t="str">
        <f aca="false">IF(IF(ISBLANK(F68),1,(TRIM(F68)="")),"",ROUND(F68+($AB68*0.1094/4.184),3))</f>
        <v/>
      </c>
      <c r="AU68" s="85" t="str">
        <f aca="false">IF(IF(ISBLANK(G68),1,(TRIM(G68)="")),"",ROUND(G68+($AB68*0.1094/4.184),3))</f>
        <v/>
      </c>
      <c r="AV68" s="101" t="str">
        <f aca="false">IF(IF(ISBLANK(H68),1,(TRIM(H68)="")),"",ROUND(H68+($AB68*0.1094/4.184),3))</f>
        <v/>
      </c>
      <c r="AW68" s="85" t="str">
        <f aca="false">IF(IF(ISBLANK(I68),1,(TRIM(I68)="")),"",ROUND(I68+($AB68*0.1094/4.184),3))</f>
        <v/>
      </c>
      <c r="AX68" s="101" t="str">
        <f aca="false">IF(IF(ISBLANK(J68),1,(TRIM(J68)="")),"",ROUND(J68+($AB68*0.1094/4.184),3))</f>
        <v/>
      </c>
      <c r="AY68" s="85" t="str">
        <f aca="false">IF(IF(ISBLANK(K68),1,(TRIM(K68)="")),"",ROUND(K68+($AB68*0.1094/4.184),3))</f>
        <v/>
      </c>
      <c r="AZ68" s="101" t="str">
        <f aca="false">IF(IF(ISBLANK(L68),1,(TRIM(L68)="")),"",ROUND(L68+($AB68*0.1094/4.184),3))</f>
        <v/>
      </c>
      <c r="BA68" s="85" t="str">
        <f aca="false">IF(IF(ISBLANK(M68),1,(TRIM(M68)="")),"",ROUND(M68+($AB68*0.1094/4.184),3))</f>
        <v/>
      </c>
    </row>
    <row r="69" customFormat="false" ht="12.75" hidden="false" customHeight="false" outlineLevel="0" collapsed="false">
      <c r="B69" s="31" t="s">
        <v>91</v>
      </c>
      <c r="C69" s="62"/>
      <c r="D69" s="63"/>
      <c r="E69" s="64"/>
      <c r="F69" s="63"/>
      <c r="G69" s="64" t="s">
        <v>359</v>
      </c>
      <c r="H69" s="63" t="n">
        <v>11.8</v>
      </c>
      <c r="I69" s="62"/>
      <c r="J69" s="102" t="n">
        <v>12.18</v>
      </c>
      <c r="K69" s="62"/>
      <c r="L69" s="65" t="s">
        <v>360</v>
      </c>
      <c r="M69" s="64" t="s">
        <v>361</v>
      </c>
      <c r="O69" s="31" t="s">
        <v>91</v>
      </c>
      <c r="P69" s="85" t="str">
        <f aca="false">IF(IF(ISBLANK(C69),1,(TRIM(C69)="")),"",ROUND(4.184*C69,3))</f>
        <v/>
      </c>
      <c r="Q69" s="101" t="str">
        <f aca="false">IF(IF(ISBLANK(D69),1,(TRIM(D69)="")),"",ROUND(4.184*D69,3))</f>
        <v/>
      </c>
      <c r="R69" s="85" t="str">
        <f aca="false">IF(IF(ISBLANK(E69),1,(TRIM(E69)="")),"",ROUND(4.184*E69,3))</f>
        <v/>
      </c>
      <c r="S69" s="101" t="str">
        <f aca="false">IF(IF(ISBLANK(F69),1,(TRIM(F69)="")),"",ROUND(4.184*F69,3))</f>
        <v/>
      </c>
      <c r="T69" s="85" t="n">
        <f aca="false">IF(IF(ISBLANK(G69),1,(TRIM(G69)="")),"",ROUND(4.184*G69,3))</f>
        <v>49.162</v>
      </c>
      <c r="U69" s="101" t="n">
        <f aca="false">IF(IF(ISBLANK(H69),1,(TRIM(H69)="")),"",ROUND(4.184*H69,3))</f>
        <v>49.371</v>
      </c>
      <c r="V69" s="85" t="str">
        <f aca="false">IF(IF(ISBLANK(I69),1,(TRIM(I69)="")),"",ROUND(4.184*I69,3))</f>
        <v/>
      </c>
      <c r="W69" s="101" t="n">
        <f aca="false">IF(IF(ISBLANK(J69),1,(TRIM(J69)="")),"",ROUND(4.184*J69,3))</f>
        <v>50.961</v>
      </c>
      <c r="X69" s="85" t="str">
        <f aca="false">IF(IF(ISBLANK(K69),1,(TRIM(K69)="")),"",ROUND(4.184*K69,3))</f>
        <v/>
      </c>
      <c r="Y69" s="101" t="n">
        <f aca="false">IF(IF(ISBLANK(L69),1,(TRIM(L69)="")),"",ROUND(4.184*L69,3))</f>
        <v>50.961</v>
      </c>
      <c r="Z69" s="85" t="n">
        <f aca="false">IF(IF(ISBLANK(M69),1,(TRIM(M69)="")),"",ROUND(4.184*M69,3))</f>
        <v>50.961</v>
      </c>
      <c r="AB69" s="34"/>
      <c r="AC69" s="31" t="s">
        <v>91</v>
      </c>
      <c r="AD69" s="85" t="str">
        <f aca="false">IF(IF(ISBLANK(C69),1,(TRIM(C69)="")),"",ROUND(4.184*C69+$AB69*0.1094,3))</f>
        <v/>
      </c>
      <c r="AE69" s="101" t="str">
        <f aca="false">IF(IF(ISBLANK(D69),1,(TRIM(D69)="")),"",ROUND(4.184*D69+$AB69*0.1094,3))</f>
        <v/>
      </c>
      <c r="AF69" s="85" t="str">
        <f aca="false">IF(IF(ISBLANK(E69),1,(TRIM(E69)="")),"",ROUND(4.184*E69+$AB69*0.1094,3))</f>
        <v/>
      </c>
      <c r="AG69" s="101" t="str">
        <f aca="false">IF(IF(ISBLANK(F69),1,(TRIM(F69)="")),"",ROUND(4.184*F69+$AB69*0.1094,3))</f>
        <v/>
      </c>
      <c r="AH69" s="85" t="n">
        <f aca="false">IF(IF(ISBLANK(G69),1,(TRIM(G69)="")),"",ROUND(4.184*G69+$AB69*0.1094,3))</f>
        <v>49.162</v>
      </c>
      <c r="AI69" s="101" t="n">
        <f aca="false">IF(IF(ISBLANK(H69),1,(TRIM(H69)="")),"",ROUND(4.184*H69+$AB69*0.1094,3))</f>
        <v>49.371</v>
      </c>
      <c r="AJ69" s="85" t="str">
        <f aca="false">IF(IF(ISBLANK(I69),1,(TRIM(I69)="")),"",ROUND(4.184*I69+$AB69*0.1094,3))</f>
        <v/>
      </c>
      <c r="AK69" s="101" t="n">
        <f aca="false">IF(IF(ISBLANK(J69),1,(TRIM(J69)="")),"",ROUND(4.184*J69+$AB69*0.1094,3))</f>
        <v>50.961</v>
      </c>
      <c r="AL69" s="85" t="str">
        <f aca="false">IF(IF(ISBLANK(K69),1,(TRIM(K69)="")),"",ROUND(4.184*K69+$AB69*0.1094,3))</f>
        <v/>
      </c>
      <c r="AM69" s="101" t="n">
        <f aca="false">IF(IF(ISBLANK(L69),1,(TRIM(L69)="")),"",ROUND(4.184*L69+$AB69*0.1094,3))</f>
        <v>50.961</v>
      </c>
      <c r="AN69" s="85" t="n">
        <f aca="false">IF(IF(ISBLANK(M69),1,(TRIM(M69)="")),"",ROUND(4.184*M69+$AB69*0.1094,3))</f>
        <v>50.961</v>
      </c>
      <c r="AP69" s="31" t="s">
        <v>91</v>
      </c>
      <c r="AQ69" s="85" t="str">
        <f aca="false">IF(IF(ISBLANK(C69),1,(TRIM(C69)="")),"",ROUND(C69+($AB69*0.1094/4.184),3))</f>
        <v/>
      </c>
      <c r="AR69" s="101" t="str">
        <f aca="false">IF(IF(ISBLANK(D69),1,(TRIM(D69)="")),"",ROUND(D69+($AB69*0.1094/4.184),3))</f>
        <v/>
      </c>
      <c r="AS69" s="85" t="str">
        <f aca="false">IF(IF(ISBLANK(E69),1,(TRIM(E69)="")),"",ROUND(E69+($AB69*0.1094/4.184),3))</f>
        <v/>
      </c>
      <c r="AT69" s="101" t="str">
        <f aca="false">IF(IF(ISBLANK(F69),1,(TRIM(F69)="")),"",ROUND(F69+($AB69*0.1094/4.184),3))</f>
        <v/>
      </c>
      <c r="AU69" s="85" t="n">
        <f aca="false">IF(IF(ISBLANK(G69),1,(TRIM(G69)="")),"",ROUND(G69+($AB69*0.1094/4.184),3))</f>
        <v>11.75</v>
      </c>
      <c r="AV69" s="101" t="n">
        <f aca="false">IF(IF(ISBLANK(H69),1,(TRIM(H69)="")),"",ROUND(H69+($AB69*0.1094/4.184),3))</f>
        <v>11.8</v>
      </c>
      <c r="AW69" s="85" t="str">
        <f aca="false">IF(IF(ISBLANK(I69),1,(TRIM(I69)="")),"",ROUND(I69+($AB69*0.1094/4.184),3))</f>
        <v/>
      </c>
      <c r="AX69" s="101" t="n">
        <f aca="false">IF(IF(ISBLANK(J69),1,(TRIM(J69)="")),"",ROUND(J69+($AB69*0.1094/4.184),3))</f>
        <v>12.18</v>
      </c>
      <c r="AY69" s="85" t="str">
        <f aca="false">IF(IF(ISBLANK(K69),1,(TRIM(K69)="")),"",ROUND(K69+($AB69*0.1094/4.184),3))</f>
        <v/>
      </c>
      <c r="AZ69" s="101" t="n">
        <f aca="false">IF(IF(ISBLANK(L69),1,(TRIM(L69)="")),"",ROUND(L69+($AB69*0.1094/4.184),3))</f>
        <v>12.18</v>
      </c>
      <c r="BA69" s="85" t="n">
        <f aca="false">IF(IF(ISBLANK(M69),1,(TRIM(M69)="")),"",ROUND(M69+($AB69*0.1094/4.184),3))</f>
        <v>12.18</v>
      </c>
    </row>
    <row r="70" customFormat="false" ht="12.75" hidden="false" customHeight="false" outlineLevel="0" collapsed="false">
      <c r="B70" s="31" t="s">
        <v>92</v>
      </c>
      <c r="C70" s="64"/>
      <c r="D70" s="63"/>
      <c r="E70" s="64"/>
      <c r="F70" s="63"/>
      <c r="G70" s="62"/>
      <c r="H70" s="63"/>
      <c r="I70" s="62"/>
      <c r="J70" s="102"/>
      <c r="K70" s="62"/>
      <c r="L70" s="63"/>
      <c r="M70" s="62"/>
      <c r="O70" s="31" t="s">
        <v>92</v>
      </c>
      <c r="P70" s="85" t="str">
        <f aca="false">IF(IF(ISBLANK(C70),1,(TRIM(C70)="")),"",ROUND(4.184*C70,3))</f>
        <v/>
      </c>
      <c r="Q70" s="101" t="str">
        <f aca="false">IF(IF(ISBLANK(D70),1,(TRIM(D70)="")),"",ROUND(4.184*D70,3))</f>
        <v/>
      </c>
      <c r="R70" s="85" t="str">
        <f aca="false">IF(IF(ISBLANK(E70),1,(TRIM(E70)="")),"",ROUND(4.184*E70,3))</f>
        <v/>
      </c>
      <c r="S70" s="101" t="str">
        <f aca="false">IF(IF(ISBLANK(F70),1,(TRIM(F70)="")),"",ROUND(4.184*F70,3))</f>
        <v/>
      </c>
      <c r="T70" s="85" t="str">
        <f aca="false">IF(IF(ISBLANK(G70),1,(TRIM(G70)="")),"",ROUND(4.184*G70,3))</f>
        <v/>
      </c>
      <c r="U70" s="101" t="str">
        <f aca="false">IF(IF(ISBLANK(H70),1,(TRIM(H70)="")),"",ROUND(4.184*H70,3))</f>
        <v/>
      </c>
      <c r="V70" s="85" t="str">
        <f aca="false">IF(IF(ISBLANK(I70),1,(TRIM(I70)="")),"",ROUND(4.184*I70,3))</f>
        <v/>
      </c>
      <c r="W70" s="101" t="str">
        <f aca="false">IF(IF(ISBLANK(J70),1,(TRIM(J70)="")),"",ROUND(4.184*J70,3))</f>
        <v/>
      </c>
      <c r="X70" s="85" t="str">
        <f aca="false">IF(IF(ISBLANK(K70),1,(TRIM(K70)="")),"",ROUND(4.184*K70,3))</f>
        <v/>
      </c>
      <c r="Y70" s="101" t="str">
        <f aca="false">IF(IF(ISBLANK(L70),1,(TRIM(L70)="")),"",ROUND(4.184*L70,3))</f>
        <v/>
      </c>
      <c r="Z70" s="85" t="str">
        <f aca="false">IF(IF(ISBLANK(M70),1,(TRIM(M70)="")),"",ROUND(4.184*M70,3))</f>
        <v/>
      </c>
      <c r="AB70" s="34"/>
      <c r="AC70" s="31" t="s">
        <v>92</v>
      </c>
      <c r="AD70" s="85" t="str">
        <f aca="false">IF(IF(ISBLANK(C70),1,(TRIM(C70)="")),"",ROUND(4.184*C70+$AB70*0.1094,3))</f>
        <v/>
      </c>
      <c r="AE70" s="101" t="str">
        <f aca="false">IF(IF(ISBLANK(D70),1,(TRIM(D70)="")),"",ROUND(4.184*D70+$AB70*0.1094,3))</f>
        <v/>
      </c>
      <c r="AF70" s="85" t="str">
        <f aca="false">IF(IF(ISBLANK(E70),1,(TRIM(E70)="")),"",ROUND(4.184*E70+$AB70*0.1094,3))</f>
        <v/>
      </c>
      <c r="AG70" s="101" t="str">
        <f aca="false">IF(IF(ISBLANK(F70),1,(TRIM(F70)="")),"",ROUND(4.184*F70+$AB70*0.1094,3))</f>
        <v/>
      </c>
      <c r="AH70" s="85" t="str">
        <f aca="false">IF(IF(ISBLANK(G70),1,(TRIM(G70)="")),"",ROUND(4.184*G70+$AB70*0.1094,3))</f>
        <v/>
      </c>
      <c r="AI70" s="101" t="str">
        <f aca="false">IF(IF(ISBLANK(H70),1,(TRIM(H70)="")),"",ROUND(4.184*H70+$AB70*0.1094,3))</f>
        <v/>
      </c>
      <c r="AJ70" s="85" t="str">
        <f aca="false">IF(IF(ISBLANK(I70),1,(TRIM(I70)="")),"",ROUND(4.184*I70+$AB70*0.1094,3))</f>
        <v/>
      </c>
      <c r="AK70" s="101" t="str">
        <f aca="false">IF(IF(ISBLANK(J70),1,(TRIM(J70)="")),"",ROUND(4.184*J70+$AB70*0.1094,3))</f>
        <v/>
      </c>
      <c r="AL70" s="85" t="str">
        <f aca="false">IF(IF(ISBLANK(K70),1,(TRIM(K70)="")),"",ROUND(4.184*K70+$AB70*0.1094,3))</f>
        <v/>
      </c>
      <c r="AM70" s="101" t="str">
        <f aca="false">IF(IF(ISBLANK(L70),1,(TRIM(L70)="")),"",ROUND(4.184*L70+$AB70*0.1094,3))</f>
        <v/>
      </c>
      <c r="AN70" s="85" t="str">
        <f aca="false">IF(IF(ISBLANK(M70),1,(TRIM(M70)="")),"",ROUND(4.184*M70+$AB70*0.1094,3))</f>
        <v/>
      </c>
      <c r="AP70" s="31" t="s">
        <v>92</v>
      </c>
      <c r="AQ70" s="85" t="str">
        <f aca="false">IF(IF(ISBLANK(C70),1,(TRIM(C70)="")),"",ROUND(C70+($AB70*0.1094/4.184),3))</f>
        <v/>
      </c>
      <c r="AR70" s="101" t="str">
        <f aca="false">IF(IF(ISBLANK(D70),1,(TRIM(D70)="")),"",ROUND(D70+($AB70*0.1094/4.184),3))</f>
        <v/>
      </c>
      <c r="AS70" s="85" t="str">
        <f aca="false">IF(IF(ISBLANK(E70),1,(TRIM(E70)="")),"",ROUND(E70+($AB70*0.1094/4.184),3))</f>
        <v/>
      </c>
      <c r="AT70" s="101" t="str">
        <f aca="false">IF(IF(ISBLANK(F70),1,(TRIM(F70)="")),"",ROUND(F70+($AB70*0.1094/4.184),3))</f>
        <v/>
      </c>
      <c r="AU70" s="85" t="str">
        <f aca="false">IF(IF(ISBLANK(G70),1,(TRIM(G70)="")),"",ROUND(G70+($AB70*0.1094/4.184),3))</f>
        <v/>
      </c>
      <c r="AV70" s="101" t="str">
        <f aca="false">IF(IF(ISBLANK(H70),1,(TRIM(H70)="")),"",ROUND(H70+($AB70*0.1094/4.184),3))</f>
        <v/>
      </c>
      <c r="AW70" s="85" t="str">
        <f aca="false">IF(IF(ISBLANK(I70),1,(TRIM(I70)="")),"",ROUND(I70+($AB70*0.1094/4.184),3))</f>
        <v/>
      </c>
      <c r="AX70" s="101" t="str">
        <f aca="false">IF(IF(ISBLANK(J70),1,(TRIM(J70)="")),"",ROUND(J70+($AB70*0.1094/4.184),3))</f>
        <v/>
      </c>
      <c r="AY70" s="85" t="str">
        <f aca="false">IF(IF(ISBLANK(K70),1,(TRIM(K70)="")),"",ROUND(K70+($AB70*0.1094/4.184),3))</f>
        <v/>
      </c>
      <c r="AZ70" s="101" t="str">
        <f aca="false">IF(IF(ISBLANK(L70),1,(TRIM(L70)="")),"",ROUND(L70+($AB70*0.1094/4.184),3))</f>
        <v/>
      </c>
      <c r="BA70" s="85" t="str">
        <f aca="false">IF(IF(ISBLANK(M70),1,(TRIM(M70)="")),"",ROUND(M70+($AB70*0.1094/4.184),3))</f>
        <v/>
      </c>
    </row>
    <row r="71" customFormat="false" ht="12.75" hidden="false" customHeight="false" outlineLevel="0" collapsed="false">
      <c r="B71" s="31" t="s">
        <v>93</v>
      </c>
      <c r="C71" s="62" t="n">
        <v>8.3</v>
      </c>
      <c r="D71" s="63" t="n">
        <v>8.3</v>
      </c>
      <c r="E71" s="64" t="s">
        <v>362</v>
      </c>
      <c r="F71" s="63" t="n">
        <v>7.77</v>
      </c>
      <c r="G71" s="64" t="s">
        <v>363</v>
      </c>
      <c r="H71" s="63" t="n">
        <v>7.81</v>
      </c>
      <c r="I71" s="62" t="n">
        <v>7.81</v>
      </c>
      <c r="J71" s="102" t="n">
        <v>7.81</v>
      </c>
      <c r="K71" s="62" t="n">
        <v>7.814</v>
      </c>
      <c r="L71" s="65" t="s">
        <v>363</v>
      </c>
      <c r="M71" s="64" t="s">
        <v>364</v>
      </c>
      <c r="O71" s="31" t="s">
        <v>93</v>
      </c>
      <c r="P71" s="85" t="n">
        <f aca="false">IF(IF(ISBLANK(C71),1,(TRIM(C71)="")),"",ROUND(4.184*C71,3))</f>
        <v>34.727</v>
      </c>
      <c r="Q71" s="101" t="n">
        <f aca="false">IF(IF(ISBLANK(D71),1,(TRIM(D71)="")),"",ROUND(4.184*D71,3))</f>
        <v>34.727</v>
      </c>
      <c r="R71" s="85" t="n">
        <f aca="false">IF(IF(ISBLANK(E71),1,(TRIM(E71)="")),"",ROUND(4.184*E71,3))</f>
        <v>32.635</v>
      </c>
      <c r="S71" s="101" t="n">
        <f aca="false">IF(IF(ISBLANK(F71),1,(TRIM(F71)="")),"",ROUND(4.184*F71,3))</f>
        <v>32.51</v>
      </c>
      <c r="T71" s="85" t="n">
        <f aca="false">IF(IF(ISBLANK(G71),1,(TRIM(G71)="")),"",ROUND(4.184*G71,3))</f>
        <v>32.677</v>
      </c>
      <c r="U71" s="101" t="n">
        <f aca="false">IF(IF(ISBLANK(H71),1,(TRIM(H71)="")),"",ROUND(4.184*H71,3))</f>
        <v>32.677</v>
      </c>
      <c r="V71" s="85" t="n">
        <f aca="false">IF(IF(ISBLANK(I71),1,(TRIM(I71)="")),"",ROUND(4.184*I71,3))</f>
        <v>32.677</v>
      </c>
      <c r="W71" s="101" t="n">
        <f aca="false">IF(IF(ISBLANK(J71),1,(TRIM(J71)="")),"",ROUND(4.184*J71,3))</f>
        <v>32.677</v>
      </c>
      <c r="X71" s="85" t="n">
        <f aca="false">IF(IF(ISBLANK(K71),1,(TRIM(K71)="")),"",ROUND(4.184*K71,3))</f>
        <v>32.694</v>
      </c>
      <c r="Y71" s="101" t="n">
        <f aca="false">IF(IF(ISBLANK(L71),1,(TRIM(L71)="")),"",ROUND(4.184*L71,3))</f>
        <v>32.677</v>
      </c>
      <c r="Z71" s="85" t="n">
        <f aca="false">IF(IF(ISBLANK(M71),1,(TRIM(M71)="")),"",ROUND(4.184*M71,3))</f>
        <v>32.677</v>
      </c>
      <c r="AB71" s="34"/>
      <c r="AC71" s="31" t="s">
        <v>93</v>
      </c>
      <c r="AD71" s="85" t="n">
        <f aca="false">IF(IF(ISBLANK(C71),1,(TRIM(C71)="")),"",ROUND(4.184*C71+$AB71*0.1094,3))</f>
        <v>34.727</v>
      </c>
      <c r="AE71" s="101" t="n">
        <f aca="false">IF(IF(ISBLANK(D71),1,(TRIM(D71)="")),"",ROUND(4.184*D71+$AB71*0.1094,3))</f>
        <v>34.727</v>
      </c>
      <c r="AF71" s="85" t="n">
        <f aca="false">IF(IF(ISBLANK(E71),1,(TRIM(E71)="")),"",ROUND(4.184*E71+$AB71*0.1094,3))</f>
        <v>32.635</v>
      </c>
      <c r="AG71" s="101" t="n">
        <f aca="false">IF(IF(ISBLANK(F71),1,(TRIM(F71)="")),"",ROUND(4.184*F71+$AB71*0.1094,3))</f>
        <v>32.51</v>
      </c>
      <c r="AH71" s="85" t="n">
        <f aca="false">IF(IF(ISBLANK(G71),1,(TRIM(G71)="")),"",ROUND(4.184*G71+$AB71*0.1094,3))</f>
        <v>32.677</v>
      </c>
      <c r="AI71" s="101" t="n">
        <f aca="false">IF(IF(ISBLANK(H71),1,(TRIM(H71)="")),"",ROUND(4.184*H71+$AB71*0.1094,3))</f>
        <v>32.677</v>
      </c>
      <c r="AJ71" s="85" t="n">
        <f aca="false">IF(IF(ISBLANK(I71),1,(TRIM(I71)="")),"",ROUND(4.184*I71+$AB71*0.1094,3))</f>
        <v>32.677</v>
      </c>
      <c r="AK71" s="101" t="n">
        <f aca="false">IF(IF(ISBLANK(J71),1,(TRIM(J71)="")),"",ROUND(4.184*J71+$AB71*0.1094,3))</f>
        <v>32.677</v>
      </c>
      <c r="AL71" s="85" t="n">
        <f aca="false">IF(IF(ISBLANK(K71),1,(TRIM(K71)="")),"",ROUND(4.184*K71+$AB71*0.1094,3))</f>
        <v>32.694</v>
      </c>
      <c r="AM71" s="101" t="n">
        <f aca="false">IF(IF(ISBLANK(L71),1,(TRIM(L71)="")),"",ROUND(4.184*L71+$AB71*0.1094,3))</f>
        <v>32.677</v>
      </c>
      <c r="AN71" s="85" t="n">
        <f aca="false">IF(IF(ISBLANK(M71),1,(TRIM(M71)="")),"",ROUND(4.184*M71+$AB71*0.1094,3))</f>
        <v>32.677</v>
      </c>
      <c r="AP71" s="31" t="s">
        <v>93</v>
      </c>
      <c r="AQ71" s="85" t="n">
        <f aca="false">IF(IF(ISBLANK(C71),1,(TRIM(C71)="")),"",ROUND(C71+($AB71*0.1094/4.184),3))</f>
        <v>8.3</v>
      </c>
      <c r="AR71" s="101" t="n">
        <f aca="false">IF(IF(ISBLANK(D71),1,(TRIM(D71)="")),"",ROUND(D71+($AB71*0.1094/4.184),3))</f>
        <v>8.3</v>
      </c>
      <c r="AS71" s="85" t="n">
        <f aca="false">IF(IF(ISBLANK(E71),1,(TRIM(E71)="")),"",ROUND(E71+($AB71*0.1094/4.184),3))</f>
        <v>7.8</v>
      </c>
      <c r="AT71" s="101" t="n">
        <f aca="false">IF(IF(ISBLANK(F71),1,(TRIM(F71)="")),"",ROUND(F71+($AB71*0.1094/4.184),3))</f>
        <v>7.77</v>
      </c>
      <c r="AU71" s="85" t="n">
        <f aca="false">IF(IF(ISBLANK(G71),1,(TRIM(G71)="")),"",ROUND(G71+($AB71*0.1094/4.184),3))</f>
        <v>7.81</v>
      </c>
      <c r="AV71" s="101" t="n">
        <f aca="false">IF(IF(ISBLANK(H71),1,(TRIM(H71)="")),"",ROUND(H71+($AB71*0.1094/4.184),3))</f>
        <v>7.81</v>
      </c>
      <c r="AW71" s="85" t="n">
        <f aca="false">IF(IF(ISBLANK(I71),1,(TRIM(I71)="")),"",ROUND(I71+($AB71*0.1094/4.184),3))</f>
        <v>7.81</v>
      </c>
      <c r="AX71" s="101" t="n">
        <f aca="false">IF(IF(ISBLANK(J71),1,(TRIM(J71)="")),"",ROUND(J71+($AB71*0.1094/4.184),3))</f>
        <v>7.81</v>
      </c>
      <c r="AY71" s="85" t="n">
        <f aca="false">IF(IF(ISBLANK(K71),1,(TRIM(K71)="")),"",ROUND(K71+($AB71*0.1094/4.184),3))</f>
        <v>7.814</v>
      </c>
      <c r="AZ71" s="101" t="n">
        <f aca="false">IF(IF(ISBLANK(L71),1,(TRIM(L71)="")),"",ROUND(L71+($AB71*0.1094/4.184),3))</f>
        <v>7.81</v>
      </c>
      <c r="BA71" s="85" t="n">
        <f aca="false">IF(IF(ISBLANK(M71),1,(TRIM(M71)="")),"",ROUND(M71+($AB71*0.1094/4.184),3))</f>
        <v>7.81</v>
      </c>
    </row>
    <row r="72" customFormat="false" ht="12.75" hidden="false" customHeight="false" outlineLevel="0" collapsed="false">
      <c r="B72" s="31" t="s">
        <v>94</v>
      </c>
      <c r="C72" s="62" t="n">
        <v>7.3</v>
      </c>
      <c r="D72" s="63" t="n">
        <v>7.3</v>
      </c>
      <c r="E72" s="64" t="s">
        <v>365</v>
      </c>
      <c r="F72" s="63" t="n">
        <v>7.59</v>
      </c>
      <c r="G72" s="64" t="s">
        <v>366</v>
      </c>
      <c r="H72" s="63" t="n">
        <v>7.64</v>
      </c>
      <c r="I72" s="62" t="n">
        <v>7.65</v>
      </c>
      <c r="J72" s="102" t="n">
        <v>7.65</v>
      </c>
      <c r="K72" s="62"/>
      <c r="L72" s="65" t="s">
        <v>366</v>
      </c>
      <c r="M72" s="64" t="s">
        <v>367</v>
      </c>
      <c r="O72" s="31" t="s">
        <v>94</v>
      </c>
      <c r="P72" s="85" t="n">
        <f aca="false">IF(IF(ISBLANK(C72),1,(TRIM(C72)="")),"",ROUND(4.184*C72,3))</f>
        <v>30.543</v>
      </c>
      <c r="Q72" s="101" t="n">
        <f aca="false">IF(IF(ISBLANK(D72),1,(TRIM(D72)="")),"",ROUND(4.184*D72,3))</f>
        <v>30.543</v>
      </c>
      <c r="R72" s="85" t="n">
        <f aca="false">IF(IF(ISBLANK(E72),1,(TRIM(E72)="")),"",ROUND(4.184*E72,3))</f>
        <v>30.543</v>
      </c>
      <c r="S72" s="101" t="n">
        <f aca="false">IF(IF(ISBLANK(F72),1,(TRIM(F72)="")),"",ROUND(4.184*F72,3))</f>
        <v>31.757</v>
      </c>
      <c r="T72" s="85" t="n">
        <f aca="false">IF(IF(ISBLANK(G72),1,(TRIM(G72)="")),"",ROUND(4.184*G72,3))</f>
        <v>32.008</v>
      </c>
      <c r="U72" s="101" t="n">
        <f aca="false">IF(IF(ISBLANK(H72),1,(TRIM(H72)="")),"",ROUND(4.184*H72,3))</f>
        <v>31.966</v>
      </c>
      <c r="V72" s="85" t="n">
        <f aca="false">IF(IF(ISBLANK(I72),1,(TRIM(I72)="")),"",ROUND(4.184*I72,3))</f>
        <v>32.008</v>
      </c>
      <c r="W72" s="101" t="n">
        <f aca="false">IF(IF(ISBLANK(J72),1,(TRIM(J72)="")),"",ROUND(4.184*J72,3))</f>
        <v>32.008</v>
      </c>
      <c r="X72" s="85" t="str">
        <f aca="false">IF(IF(ISBLANK(K72),1,(TRIM(K72)="")),"",ROUND(4.184*K72,3))</f>
        <v/>
      </c>
      <c r="Y72" s="101" t="n">
        <f aca="false">IF(IF(ISBLANK(L72),1,(TRIM(L72)="")),"",ROUND(4.184*L72,3))</f>
        <v>32.008</v>
      </c>
      <c r="Z72" s="85" t="n">
        <f aca="false">IF(IF(ISBLANK(M72),1,(TRIM(M72)="")),"",ROUND(4.184*M72,3))</f>
        <v>32.008</v>
      </c>
      <c r="AB72" s="34"/>
      <c r="AC72" s="31" t="s">
        <v>94</v>
      </c>
      <c r="AD72" s="85" t="n">
        <f aca="false">IF(IF(ISBLANK(C72),1,(TRIM(C72)="")),"",ROUND(4.184*C72+$AB72*0.1094,3))</f>
        <v>30.543</v>
      </c>
      <c r="AE72" s="101" t="n">
        <f aca="false">IF(IF(ISBLANK(D72),1,(TRIM(D72)="")),"",ROUND(4.184*D72+$AB72*0.1094,3))</f>
        <v>30.543</v>
      </c>
      <c r="AF72" s="85" t="n">
        <f aca="false">IF(IF(ISBLANK(E72),1,(TRIM(E72)="")),"",ROUND(4.184*E72+$AB72*0.1094,3))</f>
        <v>30.543</v>
      </c>
      <c r="AG72" s="101" t="n">
        <f aca="false">IF(IF(ISBLANK(F72),1,(TRIM(F72)="")),"",ROUND(4.184*F72+$AB72*0.1094,3))</f>
        <v>31.757</v>
      </c>
      <c r="AH72" s="85" t="n">
        <f aca="false">IF(IF(ISBLANK(G72),1,(TRIM(G72)="")),"",ROUND(4.184*G72+$AB72*0.1094,3))</f>
        <v>32.008</v>
      </c>
      <c r="AI72" s="101" t="n">
        <f aca="false">IF(IF(ISBLANK(H72),1,(TRIM(H72)="")),"",ROUND(4.184*H72+$AB72*0.1094,3))</f>
        <v>31.966</v>
      </c>
      <c r="AJ72" s="85" t="n">
        <f aca="false">IF(IF(ISBLANK(I72),1,(TRIM(I72)="")),"",ROUND(4.184*I72+$AB72*0.1094,3))</f>
        <v>32.008</v>
      </c>
      <c r="AK72" s="101" t="n">
        <f aca="false">IF(IF(ISBLANK(J72),1,(TRIM(J72)="")),"",ROUND(4.184*J72+$AB72*0.1094,3))</f>
        <v>32.008</v>
      </c>
      <c r="AL72" s="85" t="str">
        <f aca="false">IF(IF(ISBLANK(K72),1,(TRIM(K72)="")),"",ROUND(4.184*K72+$AB72*0.1094,3))</f>
        <v/>
      </c>
      <c r="AM72" s="101" t="n">
        <f aca="false">IF(IF(ISBLANK(L72),1,(TRIM(L72)="")),"",ROUND(4.184*L72+$AB72*0.1094,3))</f>
        <v>32.008</v>
      </c>
      <c r="AN72" s="85" t="n">
        <f aca="false">IF(IF(ISBLANK(M72),1,(TRIM(M72)="")),"",ROUND(4.184*M72+$AB72*0.1094,3))</f>
        <v>32.008</v>
      </c>
      <c r="AP72" s="31" t="s">
        <v>94</v>
      </c>
      <c r="AQ72" s="85" t="n">
        <f aca="false">IF(IF(ISBLANK(C72),1,(TRIM(C72)="")),"",ROUND(C72+($AB72*0.1094/4.184),3))</f>
        <v>7.3</v>
      </c>
      <c r="AR72" s="101" t="n">
        <f aca="false">IF(IF(ISBLANK(D72),1,(TRIM(D72)="")),"",ROUND(D72+($AB72*0.1094/4.184),3))</f>
        <v>7.3</v>
      </c>
      <c r="AS72" s="85" t="n">
        <f aca="false">IF(IF(ISBLANK(E72),1,(TRIM(E72)="")),"",ROUND(E72+($AB72*0.1094/4.184),3))</f>
        <v>7.3</v>
      </c>
      <c r="AT72" s="101" t="n">
        <f aca="false">IF(IF(ISBLANK(F72),1,(TRIM(F72)="")),"",ROUND(F72+($AB72*0.1094/4.184),3))</f>
        <v>7.59</v>
      </c>
      <c r="AU72" s="85" t="n">
        <f aca="false">IF(IF(ISBLANK(G72),1,(TRIM(G72)="")),"",ROUND(G72+($AB72*0.1094/4.184),3))</f>
        <v>7.65</v>
      </c>
      <c r="AV72" s="101" t="n">
        <f aca="false">IF(IF(ISBLANK(H72),1,(TRIM(H72)="")),"",ROUND(H72+($AB72*0.1094/4.184),3))</f>
        <v>7.64</v>
      </c>
      <c r="AW72" s="85" t="n">
        <f aca="false">IF(IF(ISBLANK(I72),1,(TRIM(I72)="")),"",ROUND(I72+($AB72*0.1094/4.184),3))</f>
        <v>7.65</v>
      </c>
      <c r="AX72" s="101" t="n">
        <f aca="false">IF(IF(ISBLANK(J72),1,(TRIM(J72)="")),"",ROUND(J72+($AB72*0.1094/4.184),3))</f>
        <v>7.65</v>
      </c>
      <c r="AY72" s="85" t="str">
        <f aca="false">IF(IF(ISBLANK(K72),1,(TRIM(K72)="")),"",ROUND(K72+($AB72*0.1094/4.184),3))</f>
        <v/>
      </c>
      <c r="AZ72" s="101" t="n">
        <f aca="false">IF(IF(ISBLANK(L72),1,(TRIM(L72)="")),"",ROUND(L72+($AB72*0.1094/4.184),3))</f>
        <v>7.65</v>
      </c>
      <c r="BA72" s="85" t="n">
        <f aca="false">IF(IF(ISBLANK(M72),1,(TRIM(M72)="")),"",ROUND(M72+($AB72*0.1094/4.184),3))</f>
        <v>7.65</v>
      </c>
    </row>
    <row r="73" customFormat="false" ht="12.75" hidden="false" customHeight="false" outlineLevel="0" collapsed="false">
      <c r="B73" s="31" t="s">
        <v>95</v>
      </c>
      <c r="C73" s="62" t="n">
        <v>7.5</v>
      </c>
      <c r="D73" s="63" t="n">
        <v>7.5</v>
      </c>
      <c r="E73" s="64" t="s">
        <v>283</v>
      </c>
      <c r="F73" s="63" t="n">
        <v>6.83</v>
      </c>
      <c r="G73" s="64" t="s">
        <v>368</v>
      </c>
      <c r="H73" s="63" t="n">
        <v>6.82</v>
      </c>
      <c r="I73" s="62" t="n">
        <v>6.85</v>
      </c>
      <c r="J73" s="102" t="n">
        <v>6.85</v>
      </c>
      <c r="K73" s="62" t="n">
        <v>6.837</v>
      </c>
      <c r="L73" s="65" t="s">
        <v>369</v>
      </c>
      <c r="M73" s="64" t="s">
        <v>370</v>
      </c>
      <c r="O73" s="31" t="s">
        <v>95</v>
      </c>
      <c r="P73" s="85" t="n">
        <f aca="false">IF(IF(ISBLANK(C73),1,(TRIM(C73)="")),"",ROUND(4.184*C73,3))</f>
        <v>31.38</v>
      </c>
      <c r="Q73" s="101" t="n">
        <f aca="false">IF(IF(ISBLANK(D73),1,(TRIM(D73)="")),"",ROUND(4.184*D73,3))</f>
        <v>31.38</v>
      </c>
      <c r="R73" s="85" t="n">
        <f aca="false">IF(IF(ISBLANK(E73),1,(TRIM(E73)="")),"",ROUND(4.184*E73,3))</f>
        <v>28.451</v>
      </c>
      <c r="S73" s="101" t="n">
        <f aca="false">IF(IF(ISBLANK(F73),1,(TRIM(F73)="")),"",ROUND(4.184*F73,3))</f>
        <v>28.577</v>
      </c>
      <c r="T73" s="85" t="n">
        <f aca="false">IF(IF(ISBLANK(G73),1,(TRIM(G73)="")),"",ROUND(4.184*G73,3))</f>
        <v>28.577</v>
      </c>
      <c r="U73" s="101" t="n">
        <f aca="false">IF(IF(ISBLANK(H73),1,(TRIM(H73)="")),"",ROUND(4.184*H73,3))</f>
        <v>28.535</v>
      </c>
      <c r="V73" s="85" t="n">
        <f aca="false">IF(IF(ISBLANK(I73),1,(TRIM(I73)="")),"",ROUND(4.184*I73,3))</f>
        <v>28.66</v>
      </c>
      <c r="W73" s="101" t="n">
        <f aca="false">IF(IF(ISBLANK(J73),1,(TRIM(J73)="")),"",ROUND(4.184*J73,3))</f>
        <v>28.66</v>
      </c>
      <c r="X73" s="85" t="n">
        <f aca="false">IF(IF(ISBLANK(K73),1,(TRIM(K73)="")),"",ROUND(4.184*K73,3))</f>
        <v>28.606</v>
      </c>
      <c r="Y73" s="101" t="n">
        <f aca="false">IF(IF(ISBLANK(L73),1,(TRIM(L73)="")),"",ROUND(4.184*L73,3))</f>
        <v>28.66</v>
      </c>
      <c r="Z73" s="85" t="n">
        <f aca="false">IF(IF(ISBLANK(M73),1,(TRIM(M73)="")),"",ROUND(4.184*M73,3))</f>
        <v>28.66</v>
      </c>
      <c r="AB73" s="34"/>
      <c r="AC73" s="31" t="s">
        <v>95</v>
      </c>
      <c r="AD73" s="85" t="n">
        <f aca="false">IF(IF(ISBLANK(C73),1,(TRIM(C73)="")),"",ROUND(4.184*C73+$AB73*0.1094,3))</f>
        <v>31.38</v>
      </c>
      <c r="AE73" s="101" t="n">
        <f aca="false">IF(IF(ISBLANK(D73),1,(TRIM(D73)="")),"",ROUND(4.184*D73+$AB73*0.1094,3))</f>
        <v>31.38</v>
      </c>
      <c r="AF73" s="85" t="n">
        <f aca="false">IF(IF(ISBLANK(E73),1,(TRIM(E73)="")),"",ROUND(4.184*E73+$AB73*0.1094,3))</f>
        <v>28.451</v>
      </c>
      <c r="AG73" s="101" t="n">
        <f aca="false">IF(IF(ISBLANK(F73),1,(TRIM(F73)="")),"",ROUND(4.184*F73+$AB73*0.1094,3))</f>
        <v>28.577</v>
      </c>
      <c r="AH73" s="85" t="n">
        <f aca="false">IF(IF(ISBLANK(G73),1,(TRIM(G73)="")),"",ROUND(4.184*G73+$AB73*0.1094,3))</f>
        <v>28.577</v>
      </c>
      <c r="AI73" s="101" t="n">
        <f aca="false">IF(IF(ISBLANK(H73),1,(TRIM(H73)="")),"",ROUND(4.184*H73+$AB73*0.1094,3))</f>
        <v>28.535</v>
      </c>
      <c r="AJ73" s="85" t="n">
        <f aca="false">IF(IF(ISBLANK(I73),1,(TRIM(I73)="")),"",ROUND(4.184*I73+$AB73*0.1094,3))</f>
        <v>28.66</v>
      </c>
      <c r="AK73" s="101" t="n">
        <f aca="false">IF(IF(ISBLANK(J73),1,(TRIM(J73)="")),"",ROUND(4.184*J73+$AB73*0.1094,3))</f>
        <v>28.66</v>
      </c>
      <c r="AL73" s="85" t="n">
        <f aca="false">IF(IF(ISBLANK(K73),1,(TRIM(K73)="")),"",ROUND(4.184*K73+$AB73*0.1094,3))</f>
        <v>28.606</v>
      </c>
      <c r="AM73" s="101" t="n">
        <f aca="false">IF(IF(ISBLANK(L73),1,(TRIM(L73)="")),"",ROUND(4.184*L73+$AB73*0.1094,3))</f>
        <v>28.66</v>
      </c>
      <c r="AN73" s="85" t="n">
        <f aca="false">IF(IF(ISBLANK(M73),1,(TRIM(M73)="")),"",ROUND(4.184*M73+$AB73*0.1094,3))</f>
        <v>28.66</v>
      </c>
      <c r="AP73" s="31" t="s">
        <v>95</v>
      </c>
      <c r="AQ73" s="85" t="n">
        <f aca="false">IF(IF(ISBLANK(C73),1,(TRIM(C73)="")),"",ROUND(C73+($AB73*0.1094/4.184),3))</f>
        <v>7.5</v>
      </c>
      <c r="AR73" s="101" t="n">
        <f aca="false">IF(IF(ISBLANK(D73),1,(TRIM(D73)="")),"",ROUND(D73+($AB73*0.1094/4.184),3))</f>
        <v>7.5</v>
      </c>
      <c r="AS73" s="85" t="n">
        <f aca="false">IF(IF(ISBLANK(E73),1,(TRIM(E73)="")),"",ROUND(E73+($AB73*0.1094/4.184),3))</f>
        <v>6.8</v>
      </c>
      <c r="AT73" s="101" t="n">
        <f aca="false">IF(IF(ISBLANK(F73),1,(TRIM(F73)="")),"",ROUND(F73+($AB73*0.1094/4.184),3))</f>
        <v>6.83</v>
      </c>
      <c r="AU73" s="85" t="n">
        <f aca="false">IF(IF(ISBLANK(G73),1,(TRIM(G73)="")),"",ROUND(G73+($AB73*0.1094/4.184),3))</f>
        <v>6.83</v>
      </c>
      <c r="AV73" s="101" t="n">
        <f aca="false">IF(IF(ISBLANK(H73),1,(TRIM(H73)="")),"",ROUND(H73+($AB73*0.1094/4.184),3))</f>
        <v>6.82</v>
      </c>
      <c r="AW73" s="85" t="n">
        <f aca="false">IF(IF(ISBLANK(I73),1,(TRIM(I73)="")),"",ROUND(I73+($AB73*0.1094/4.184),3))</f>
        <v>6.85</v>
      </c>
      <c r="AX73" s="101" t="n">
        <f aca="false">IF(IF(ISBLANK(J73),1,(TRIM(J73)="")),"",ROUND(J73+($AB73*0.1094/4.184),3))</f>
        <v>6.85</v>
      </c>
      <c r="AY73" s="85" t="n">
        <f aca="false">IF(IF(ISBLANK(K73),1,(TRIM(K73)="")),"",ROUND(K73+($AB73*0.1094/4.184),3))</f>
        <v>6.837</v>
      </c>
      <c r="AZ73" s="101" t="n">
        <f aca="false">IF(IF(ISBLANK(L73),1,(TRIM(L73)="")),"",ROUND(L73+($AB73*0.1094/4.184),3))</f>
        <v>6.85</v>
      </c>
      <c r="BA73" s="85" t="n">
        <f aca="false">IF(IF(ISBLANK(M73),1,(TRIM(M73)="")),"",ROUND(M73+($AB73*0.1094/4.184),3))</f>
        <v>6.85</v>
      </c>
    </row>
    <row r="74" s="90" customFormat="true" ht="12.75" hidden="false" customHeight="false" outlineLevel="0" collapsed="false">
      <c r="A74" s="89"/>
      <c r="B74" s="38" t="s">
        <v>97</v>
      </c>
      <c r="C74" s="64" t="s">
        <v>180</v>
      </c>
      <c r="D74" s="65" t="s">
        <v>180</v>
      </c>
      <c r="E74" s="64" t="s">
        <v>371</v>
      </c>
      <c r="F74" s="63" t="n">
        <v>45.767</v>
      </c>
      <c r="G74" s="64" t="s">
        <v>372</v>
      </c>
      <c r="H74" s="63" t="n">
        <v>45.77</v>
      </c>
      <c r="I74" s="62" t="n">
        <v>45.77</v>
      </c>
      <c r="J74" s="102" t="n">
        <v>45.77</v>
      </c>
      <c r="K74" s="64" t="s">
        <v>373</v>
      </c>
      <c r="L74" s="65" t="s">
        <v>373</v>
      </c>
      <c r="M74" s="64" t="s">
        <v>373</v>
      </c>
      <c r="O74" s="38" t="s">
        <v>97</v>
      </c>
      <c r="P74" s="85" t="n">
        <f aca="false">IF(IF(ISBLANK(C74),1,(TRIM(C74)="")),"",ROUND(4.184*C74,3))</f>
        <v>190.79</v>
      </c>
      <c r="Q74" s="101" t="n">
        <f aca="false">IF(IF(ISBLANK(D74),1,(TRIM(D74)="")),"",ROUND(4.184*D74,3))</f>
        <v>190.79</v>
      </c>
      <c r="R74" s="85" t="n">
        <f aca="false">IF(IF(ISBLANK(E74),1,(TRIM(E74)="")),"",ROUND(4.184*E74,3))</f>
        <v>191.627</v>
      </c>
      <c r="S74" s="101" t="n">
        <f aca="false">IF(IF(ISBLANK(F74),1,(TRIM(F74)="")),"",ROUND(4.184*F74,3))</f>
        <v>191.489</v>
      </c>
      <c r="T74" s="85" t="n">
        <f aca="false">IF(IF(ISBLANK(G74),1,(TRIM(G74)="")),"",ROUND(4.184*G74,3))</f>
        <v>191.502</v>
      </c>
      <c r="U74" s="101" t="n">
        <f aca="false">IF(IF(ISBLANK(H74),1,(TRIM(H74)="")),"",ROUND(4.184*H74,3))</f>
        <v>191.502</v>
      </c>
      <c r="V74" s="85" t="n">
        <f aca="false">IF(IF(ISBLANK(I74),1,(TRIM(I74)="")),"",ROUND(4.184*I74,3))</f>
        <v>191.502</v>
      </c>
      <c r="W74" s="101" t="n">
        <f aca="false">IF(IF(ISBLANK(J74),1,(TRIM(J74)="")),"",ROUND(4.184*J74,3))</f>
        <v>191.502</v>
      </c>
      <c r="X74" s="85" t="n">
        <f aca="false">IF(IF(ISBLANK(K74),1,(TRIM(K74)="")),"",ROUND(4.184*K74,3))</f>
        <v>191.502</v>
      </c>
      <c r="Y74" s="101" t="n">
        <f aca="false">IF(IF(ISBLANK(L74),1,(TRIM(L74)="")),"",ROUND(4.184*L74,3))</f>
        <v>191.502</v>
      </c>
      <c r="Z74" s="85" t="n">
        <f aca="false">IF(IF(ISBLANK(M74),1,(TRIM(M74)="")),"",ROUND(4.184*M74,3))</f>
        <v>191.502</v>
      </c>
      <c r="AB74" s="34" t="n">
        <v>1</v>
      </c>
      <c r="AC74" s="38" t="s">
        <v>97</v>
      </c>
      <c r="AD74" s="85" t="n">
        <f aca="false">IF(IF(ISBLANK(C74),1,(TRIM(C74)="")),"",ROUND(4.184*C74+$AB74*0.1094,3))</f>
        <v>190.9</v>
      </c>
      <c r="AE74" s="101" t="n">
        <f aca="false">IF(IF(ISBLANK(D74),1,(TRIM(D74)="")),"",ROUND(4.184*D74+$AB74*0.1094,3))</f>
        <v>190.9</v>
      </c>
      <c r="AF74" s="85" t="n">
        <f aca="false">IF(IF(ISBLANK(E74),1,(TRIM(E74)="")),"",ROUND(4.184*E74+$AB74*0.1094,3))</f>
        <v>191.737</v>
      </c>
      <c r="AG74" s="101" t="n">
        <f aca="false">IF(IF(ISBLANK(F74),1,(TRIM(F74)="")),"",ROUND(4.184*F74+$AB74*0.1094,3))</f>
        <v>191.599</v>
      </c>
      <c r="AH74" s="85" t="n">
        <f aca="false">IF(IF(ISBLANK(G74),1,(TRIM(G74)="")),"",ROUND(4.184*G74+$AB74*0.1094,3))</f>
        <v>191.611</v>
      </c>
      <c r="AI74" s="101" t="n">
        <f aca="false">IF(IF(ISBLANK(H74),1,(TRIM(H74)="")),"",ROUND(4.184*H74+$AB74*0.1094,3))</f>
        <v>191.611</v>
      </c>
      <c r="AJ74" s="85" t="n">
        <f aca="false">IF(IF(ISBLANK(I74),1,(TRIM(I74)="")),"",ROUND(4.184*I74+$AB74*0.1094,3))</f>
        <v>191.611</v>
      </c>
      <c r="AK74" s="101" t="n">
        <f aca="false">IF(IF(ISBLANK(J74),1,(TRIM(J74)="")),"",ROUND(4.184*J74+$AB74*0.1094,3))</f>
        <v>191.611</v>
      </c>
      <c r="AL74" s="85" t="n">
        <f aca="false">IF(IF(ISBLANK(K74),1,(TRIM(K74)="")),"",ROUND(4.184*K74+$AB74*0.1094,3))</f>
        <v>191.611</v>
      </c>
      <c r="AM74" s="101" t="n">
        <f aca="false">IF(IF(ISBLANK(L74),1,(TRIM(L74)="")),"",ROUND(4.184*L74+$AB74*0.1094,3))</f>
        <v>191.611</v>
      </c>
      <c r="AN74" s="85" t="n">
        <f aca="false">IF(IF(ISBLANK(M74),1,(TRIM(M74)="")),"",ROUND(4.184*M74+$AB74*0.1094,3))</f>
        <v>191.611</v>
      </c>
      <c r="AP74" s="38" t="s">
        <v>97</v>
      </c>
      <c r="AQ74" s="85" t="n">
        <f aca="false">IF(IF(ISBLANK(C74),1,(TRIM(C74)="")),"",ROUND(C74+($AB74*0.1094/4.184),3))</f>
        <v>45.626</v>
      </c>
      <c r="AR74" s="101" t="n">
        <f aca="false">IF(IF(ISBLANK(D74),1,(TRIM(D74)="")),"",ROUND(D74+($AB74*0.1094/4.184),3))</f>
        <v>45.626</v>
      </c>
      <c r="AS74" s="85" t="n">
        <f aca="false">IF(IF(ISBLANK(E74),1,(TRIM(E74)="")),"",ROUND(E74+($AB74*0.1094/4.184),3))</f>
        <v>45.826</v>
      </c>
      <c r="AT74" s="101" t="n">
        <f aca="false">IF(IF(ISBLANK(F74),1,(TRIM(F74)="")),"",ROUND(F74+($AB74*0.1094/4.184),3))</f>
        <v>45.793</v>
      </c>
      <c r="AU74" s="85" t="n">
        <f aca="false">IF(IF(ISBLANK(G74),1,(TRIM(G74)="")),"",ROUND(G74+($AB74*0.1094/4.184),3))</f>
        <v>45.796</v>
      </c>
      <c r="AV74" s="101" t="n">
        <f aca="false">IF(IF(ISBLANK(H74),1,(TRIM(H74)="")),"",ROUND(H74+($AB74*0.1094/4.184),3))</f>
        <v>45.796</v>
      </c>
      <c r="AW74" s="85" t="n">
        <f aca="false">IF(IF(ISBLANK(I74),1,(TRIM(I74)="")),"",ROUND(I74+($AB74*0.1094/4.184),3))</f>
        <v>45.796</v>
      </c>
      <c r="AX74" s="101" t="n">
        <f aca="false">IF(IF(ISBLANK(J74),1,(TRIM(J74)="")),"",ROUND(J74+($AB74*0.1094/4.184),3))</f>
        <v>45.796</v>
      </c>
      <c r="AY74" s="85" t="n">
        <f aca="false">IF(IF(ISBLANK(K74),1,(TRIM(K74)="")),"",ROUND(K74+($AB74*0.1094/4.184),3))</f>
        <v>45.796</v>
      </c>
      <c r="AZ74" s="101" t="n">
        <f aca="false">IF(IF(ISBLANK(L74),1,(TRIM(L74)="")),"",ROUND(L74+($AB74*0.1094/4.184),3))</f>
        <v>45.796</v>
      </c>
      <c r="BA74" s="85" t="n">
        <f aca="false">IF(IF(ISBLANK(M74),1,(TRIM(M74)="")),"",ROUND(M74+($AB74*0.1094/4.184),3))</f>
        <v>45.796</v>
      </c>
    </row>
    <row r="75" customFormat="false" ht="12.75" hidden="false" customHeight="false" outlineLevel="0" collapsed="false">
      <c r="B75" s="38" t="s">
        <v>99</v>
      </c>
      <c r="C75" s="62" t="n">
        <v>12.2</v>
      </c>
      <c r="D75" s="65" t="n">
        <v>12.2</v>
      </c>
      <c r="E75" s="64" t="s">
        <v>374</v>
      </c>
      <c r="F75" s="63" t="n">
        <v>12.2</v>
      </c>
      <c r="G75" s="64" t="s">
        <v>375</v>
      </c>
      <c r="H75" s="63" t="n">
        <v>12.24</v>
      </c>
      <c r="I75" s="62" t="n">
        <v>12.24</v>
      </c>
      <c r="J75" s="102" t="n">
        <v>12.24</v>
      </c>
      <c r="K75" s="62" t="n">
        <v>12.298</v>
      </c>
      <c r="L75" s="65" t="s">
        <v>376</v>
      </c>
      <c r="M75" s="62" t="n">
        <v>12.298</v>
      </c>
      <c r="O75" s="38" t="s">
        <v>99</v>
      </c>
      <c r="P75" s="85" t="n">
        <f aca="false">IF(IF(ISBLANK(C75),1,(TRIM(C75)="")),"",ROUND(4.184*C75,3))</f>
        <v>51.045</v>
      </c>
      <c r="Q75" s="101" t="n">
        <f aca="false">IF(IF(ISBLANK(D75),1,(TRIM(D75)="")),"",ROUND(4.184*D75,3))</f>
        <v>51.045</v>
      </c>
      <c r="R75" s="85" t="n">
        <f aca="false">IF(IF(ISBLANK(E75),1,(TRIM(E75)="")),"",ROUND(4.184*E75,3))</f>
        <v>51.045</v>
      </c>
      <c r="S75" s="101" t="n">
        <f aca="false">IF(IF(ISBLANK(F75),1,(TRIM(F75)="")),"",ROUND(4.184*F75,3))</f>
        <v>51.045</v>
      </c>
      <c r="T75" s="85" t="n">
        <f aca="false">IF(IF(ISBLANK(G75),1,(TRIM(G75)="")),"",ROUND(4.184*G75,3))</f>
        <v>51.087</v>
      </c>
      <c r="U75" s="101" t="n">
        <f aca="false">IF(IF(ISBLANK(H75),1,(TRIM(H75)="")),"",ROUND(4.184*H75,3))</f>
        <v>51.212</v>
      </c>
      <c r="V75" s="85" t="n">
        <f aca="false">IF(IF(ISBLANK(I75),1,(TRIM(I75)="")),"",ROUND(4.184*I75,3))</f>
        <v>51.212</v>
      </c>
      <c r="W75" s="101" t="n">
        <f aca="false">IF(IF(ISBLANK(J75),1,(TRIM(J75)="")),"",ROUND(4.184*J75,3))</f>
        <v>51.212</v>
      </c>
      <c r="X75" s="85" t="n">
        <f aca="false">IF(IF(ISBLANK(K75),1,(TRIM(K75)="")),"",ROUND(4.184*K75,3))</f>
        <v>51.455</v>
      </c>
      <c r="Y75" s="101" t="n">
        <f aca="false">IF(IF(ISBLANK(L75),1,(TRIM(L75)="")),"",ROUND(4.184*L75,3))</f>
        <v>51.17</v>
      </c>
      <c r="Z75" s="85" t="n">
        <f aca="false">IF(IF(ISBLANK(M75),1,(TRIM(M75)="")),"",ROUND(4.184*M75,3))</f>
        <v>51.455</v>
      </c>
      <c r="AB75" s="34"/>
      <c r="AC75" s="38" t="s">
        <v>99</v>
      </c>
      <c r="AD75" s="85" t="n">
        <f aca="false">IF(IF(ISBLANK(C75),1,(TRIM(C75)="")),"",ROUND(4.184*C75+$AB75*0.1094,3))</f>
        <v>51.045</v>
      </c>
      <c r="AE75" s="101" t="n">
        <f aca="false">IF(IF(ISBLANK(D75),1,(TRIM(D75)="")),"",ROUND(4.184*D75+$AB75*0.1094,3))</f>
        <v>51.045</v>
      </c>
      <c r="AF75" s="85" t="n">
        <f aca="false">IF(IF(ISBLANK(E75),1,(TRIM(E75)="")),"",ROUND(4.184*E75+$AB75*0.1094,3))</f>
        <v>51.045</v>
      </c>
      <c r="AG75" s="101" t="n">
        <f aca="false">IF(IF(ISBLANK(F75),1,(TRIM(F75)="")),"",ROUND(4.184*F75+$AB75*0.1094,3))</f>
        <v>51.045</v>
      </c>
      <c r="AH75" s="85" t="n">
        <f aca="false">IF(IF(ISBLANK(G75),1,(TRIM(G75)="")),"",ROUND(4.184*G75+$AB75*0.1094,3))</f>
        <v>51.087</v>
      </c>
      <c r="AI75" s="101" t="n">
        <f aca="false">IF(IF(ISBLANK(H75),1,(TRIM(H75)="")),"",ROUND(4.184*H75+$AB75*0.1094,3))</f>
        <v>51.212</v>
      </c>
      <c r="AJ75" s="85" t="n">
        <f aca="false">IF(IF(ISBLANK(I75),1,(TRIM(I75)="")),"",ROUND(4.184*I75+$AB75*0.1094,3))</f>
        <v>51.212</v>
      </c>
      <c r="AK75" s="101" t="n">
        <f aca="false">IF(IF(ISBLANK(J75),1,(TRIM(J75)="")),"",ROUND(4.184*J75+$AB75*0.1094,3))</f>
        <v>51.212</v>
      </c>
      <c r="AL75" s="85" t="n">
        <f aca="false">IF(IF(ISBLANK(K75),1,(TRIM(K75)="")),"",ROUND(4.184*K75+$AB75*0.1094,3))</f>
        <v>51.455</v>
      </c>
      <c r="AM75" s="101" t="n">
        <f aca="false">IF(IF(ISBLANK(L75),1,(TRIM(L75)="")),"",ROUND(4.184*L75+$AB75*0.1094,3))</f>
        <v>51.17</v>
      </c>
      <c r="AN75" s="85" t="n">
        <f aca="false">IF(IF(ISBLANK(M75),1,(TRIM(M75)="")),"",ROUND(4.184*M75+$AB75*0.1094,3))</f>
        <v>51.455</v>
      </c>
      <c r="AP75" s="38" t="s">
        <v>99</v>
      </c>
      <c r="AQ75" s="85" t="n">
        <f aca="false">IF(IF(ISBLANK(C75),1,(TRIM(C75)="")),"",ROUND(C75+($AB75*0.1094/4.184),3))</f>
        <v>12.2</v>
      </c>
      <c r="AR75" s="101" t="n">
        <f aca="false">IF(IF(ISBLANK(D75),1,(TRIM(D75)="")),"",ROUND(D75+($AB75*0.1094/4.184),3))</f>
        <v>12.2</v>
      </c>
      <c r="AS75" s="85" t="n">
        <f aca="false">IF(IF(ISBLANK(E75),1,(TRIM(E75)="")),"",ROUND(E75+($AB75*0.1094/4.184),3))</f>
        <v>12.2</v>
      </c>
      <c r="AT75" s="101" t="n">
        <f aca="false">IF(IF(ISBLANK(F75),1,(TRIM(F75)="")),"",ROUND(F75+($AB75*0.1094/4.184),3))</f>
        <v>12.2</v>
      </c>
      <c r="AU75" s="85" t="n">
        <f aca="false">IF(IF(ISBLANK(G75),1,(TRIM(G75)="")),"",ROUND(G75+($AB75*0.1094/4.184),3))</f>
        <v>12.21</v>
      </c>
      <c r="AV75" s="101" t="n">
        <f aca="false">IF(IF(ISBLANK(H75),1,(TRIM(H75)="")),"",ROUND(H75+($AB75*0.1094/4.184),3))</f>
        <v>12.24</v>
      </c>
      <c r="AW75" s="85" t="n">
        <f aca="false">IF(IF(ISBLANK(I75),1,(TRIM(I75)="")),"",ROUND(I75+($AB75*0.1094/4.184),3))</f>
        <v>12.24</v>
      </c>
      <c r="AX75" s="101" t="n">
        <f aca="false">IF(IF(ISBLANK(J75),1,(TRIM(J75)="")),"",ROUND(J75+($AB75*0.1094/4.184),3))</f>
        <v>12.24</v>
      </c>
      <c r="AY75" s="85" t="n">
        <f aca="false">IF(IF(ISBLANK(K75),1,(TRIM(K75)="")),"",ROUND(K75+($AB75*0.1094/4.184),3))</f>
        <v>12.298</v>
      </c>
      <c r="AZ75" s="101" t="n">
        <f aca="false">IF(IF(ISBLANK(L75),1,(TRIM(L75)="")),"",ROUND(L75+($AB75*0.1094/4.184),3))</f>
        <v>12.23</v>
      </c>
      <c r="BA75" s="85" t="n">
        <f aca="false">IF(IF(ISBLANK(M75),1,(TRIM(M75)="")),"",ROUND(M75+($AB75*0.1094/4.184),3))</f>
        <v>12.298</v>
      </c>
    </row>
    <row r="76" customFormat="false" ht="12.75" hidden="false" customHeight="false" outlineLevel="0" collapsed="false">
      <c r="B76" s="31" t="s">
        <v>100</v>
      </c>
      <c r="C76" s="62"/>
      <c r="D76" s="63"/>
      <c r="E76" s="64"/>
      <c r="F76" s="63" t="n">
        <v>8.3</v>
      </c>
      <c r="G76" s="64" t="s">
        <v>377</v>
      </c>
      <c r="H76" s="65" t="s">
        <v>378</v>
      </c>
      <c r="I76" s="64" t="s">
        <v>344</v>
      </c>
      <c r="J76" s="103" t="s">
        <v>344</v>
      </c>
      <c r="K76" s="62"/>
      <c r="L76" s="65" t="s">
        <v>344</v>
      </c>
      <c r="M76" s="64" t="s">
        <v>379</v>
      </c>
      <c r="O76" s="31" t="s">
        <v>100</v>
      </c>
      <c r="P76" s="85" t="str">
        <f aca="false">IF(IF(ISBLANK(C76),1,(TRIM(C76)="")),"",ROUND(4.184*C76,3))</f>
        <v/>
      </c>
      <c r="Q76" s="101" t="str">
        <f aca="false">IF(IF(ISBLANK(D76),1,(TRIM(D76)="")),"",ROUND(4.184*D76,3))</f>
        <v/>
      </c>
      <c r="R76" s="85" t="str">
        <f aca="false">IF(IF(ISBLANK(E76),1,(TRIM(E76)="")),"",ROUND(4.184*E76,3))</f>
        <v/>
      </c>
      <c r="S76" s="101" t="n">
        <f aca="false">IF(IF(ISBLANK(F76),1,(TRIM(F76)="")),"",ROUND(4.184*F76,3))</f>
        <v>34.727</v>
      </c>
      <c r="T76" s="85" t="n">
        <f aca="false">IF(IF(ISBLANK(G76),1,(TRIM(G76)="")),"",ROUND(4.184*G76,3))</f>
        <v>36.526</v>
      </c>
      <c r="U76" s="101" t="n">
        <f aca="false">IF(IF(ISBLANK(H76),1,(TRIM(H76)="")),"",ROUND(4.184*H76,3))</f>
        <v>37.656</v>
      </c>
      <c r="V76" s="85" t="n">
        <f aca="false">IF(IF(ISBLANK(I76),1,(TRIM(I76)="")),"",ROUND(4.184*I76,3))</f>
        <v>36.401</v>
      </c>
      <c r="W76" s="101" t="n">
        <f aca="false">IF(IF(ISBLANK(J76),1,(TRIM(J76)="")),"",ROUND(4.184*J76,3))</f>
        <v>36.401</v>
      </c>
      <c r="X76" s="85" t="str">
        <f aca="false">IF(IF(ISBLANK(K76),1,(TRIM(K76)="")),"",ROUND(4.184*K76,3))</f>
        <v/>
      </c>
      <c r="Y76" s="101" t="n">
        <f aca="false">IF(IF(ISBLANK(L76),1,(TRIM(L76)="")),"",ROUND(4.184*L76,3))</f>
        <v>36.401</v>
      </c>
      <c r="Z76" s="85" t="n">
        <f aca="false">IF(IF(ISBLANK(M76),1,(TRIM(M76)="")),"",ROUND(4.184*M76,3))</f>
        <v>36.401</v>
      </c>
      <c r="AB76" s="34"/>
      <c r="AC76" s="31" t="s">
        <v>100</v>
      </c>
      <c r="AD76" s="85" t="str">
        <f aca="false">IF(IF(ISBLANK(C76),1,(TRIM(C76)="")),"",ROUND(4.184*C76+$AB76*0.1094,3))</f>
        <v/>
      </c>
      <c r="AE76" s="101" t="str">
        <f aca="false">IF(IF(ISBLANK(D76),1,(TRIM(D76)="")),"",ROUND(4.184*D76+$AB76*0.1094,3))</f>
        <v/>
      </c>
      <c r="AF76" s="85" t="str">
        <f aca="false">IF(IF(ISBLANK(E76),1,(TRIM(E76)="")),"",ROUND(4.184*E76+$AB76*0.1094,3))</f>
        <v/>
      </c>
      <c r="AG76" s="101" t="n">
        <f aca="false">IF(IF(ISBLANK(F76),1,(TRIM(F76)="")),"",ROUND(4.184*F76+$AB76*0.1094,3))</f>
        <v>34.727</v>
      </c>
      <c r="AH76" s="85" t="n">
        <f aca="false">IF(IF(ISBLANK(G76),1,(TRIM(G76)="")),"",ROUND(4.184*G76+$AB76*0.1094,3))</f>
        <v>36.526</v>
      </c>
      <c r="AI76" s="101" t="n">
        <f aca="false">IF(IF(ISBLANK(H76),1,(TRIM(H76)="")),"",ROUND(4.184*H76+$AB76*0.1094,3))</f>
        <v>37.656</v>
      </c>
      <c r="AJ76" s="85" t="n">
        <f aca="false">IF(IF(ISBLANK(I76),1,(TRIM(I76)="")),"",ROUND(4.184*I76+$AB76*0.1094,3))</f>
        <v>36.401</v>
      </c>
      <c r="AK76" s="101" t="n">
        <f aca="false">IF(IF(ISBLANK(J76),1,(TRIM(J76)="")),"",ROUND(4.184*J76+$AB76*0.1094,3))</f>
        <v>36.401</v>
      </c>
      <c r="AL76" s="85" t="str">
        <f aca="false">IF(IF(ISBLANK(K76),1,(TRIM(K76)="")),"",ROUND(4.184*K76+$AB76*0.1094,3))</f>
        <v/>
      </c>
      <c r="AM76" s="101" t="n">
        <f aca="false">IF(IF(ISBLANK(L76),1,(TRIM(L76)="")),"",ROUND(4.184*L76+$AB76*0.1094,3))</f>
        <v>36.401</v>
      </c>
      <c r="AN76" s="85" t="n">
        <f aca="false">IF(IF(ISBLANK(M76),1,(TRIM(M76)="")),"",ROUND(4.184*M76+$AB76*0.1094,3))</f>
        <v>36.401</v>
      </c>
      <c r="AP76" s="31" t="s">
        <v>100</v>
      </c>
      <c r="AQ76" s="85" t="str">
        <f aca="false">IF(IF(ISBLANK(C76),1,(TRIM(C76)="")),"",ROUND(C76+($AB76*0.1094/4.184),3))</f>
        <v/>
      </c>
      <c r="AR76" s="101" t="str">
        <f aca="false">IF(IF(ISBLANK(D76),1,(TRIM(D76)="")),"",ROUND(D76+($AB76*0.1094/4.184),3))</f>
        <v/>
      </c>
      <c r="AS76" s="85" t="str">
        <f aca="false">IF(IF(ISBLANK(E76),1,(TRIM(E76)="")),"",ROUND(E76+($AB76*0.1094/4.184),3))</f>
        <v/>
      </c>
      <c r="AT76" s="101" t="n">
        <f aca="false">IF(IF(ISBLANK(F76),1,(TRIM(F76)="")),"",ROUND(F76+($AB76*0.1094/4.184),3))</f>
        <v>8.3</v>
      </c>
      <c r="AU76" s="85" t="n">
        <f aca="false">IF(IF(ISBLANK(G76),1,(TRIM(G76)="")),"",ROUND(G76+($AB76*0.1094/4.184),3))</f>
        <v>8.73</v>
      </c>
      <c r="AV76" s="101" t="n">
        <f aca="false">IF(IF(ISBLANK(H76),1,(TRIM(H76)="")),"",ROUND(H76+($AB76*0.1094/4.184),3))</f>
        <v>9</v>
      </c>
      <c r="AW76" s="85" t="n">
        <f aca="false">IF(IF(ISBLANK(I76),1,(TRIM(I76)="")),"",ROUND(I76+($AB76*0.1094/4.184),3))</f>
        <v>8.7</v>
      </c>
      <c r="AX76" s="101" t="n">
        <f aca="false">IF(IF(ISBLANK(J76),1,(TRIM(J76)="")),"",ROUND(J76+($AB76*0.1094/4.184),3))</f>
        <v>8.7</v>
      </c>
      <c r="AY76" s="85" t="str">
        <f aca="false">IF(IF(ISBLANK(K76),1,(TRIM(K76)="")),"",ROUND(K76+($AB76*0.1094/4.184),3))</f>
        <v/>
      </c>
      <c r="AZ76" s="101" t="n">
        <f aca="false">IF(IF(ISBLANK(L76),1,(TRIM(L76)="")),"",ROUND(L76+($AB76*0.1094/4.184),3))</f>
        <v>8.7</v>
      </c>
      <c r="BA76" s="85" t="n">
        <f aca="false">IF(IF(ISBLANK(M76),1,(TRIM(M76)="")),"",ROUND(M76+($AB76*0.1094/4.184),3))</f>
        <v>8.7</v>
      </c>
    </row>
    <row r="77" customFormat="false" ht="12.75" hidden="false" customHeight="false" outlineLevel="0" collapsed="false">
      <c r="B77" s="31" t="s">
        <v>101</v>
      </c>
      <c r="C77" s="62"/>
      <c r="D77" s="63"/>
      <c r="E77" s="64"/>
      <c r="F77" s="63"/>
      <c r="G77" s="64" t="s">
        <v>380</v>
      </c>
      <c r="H77" s="63" t="n">
        <v>17.5</v>
      </c>
      <c r="I77" s="62"/>
      <c r="J77" s="102" t="n">
        <v>17.1</v>
      </c>
      <c r="K77" s="62"/>
      <c r="L77" s="65" t="s">
        <v>381</v>
      </c>
      <c r="M77" s="64" t="s">
        <v>382</v>
      </c>
      <c r="O77" s="31" t="s">
        <v>101</v>
      </c>
      <c r="P77" s="85" t="str">
        <f aca="false">IF(IF(ISBLANK(C77),1,(TRIM(C77)="")),"",ROUND(4.184*C77,3))</f>
        <v/>
      </c>
      <c r="Q77" s="101" t="str">
        <f aca="false">IF(IF(ISBLANK(D77),1,(TRIM(D77)="")),"",ROUND(4.184*D77,3))</f>
        <v/>
      </c>
      <c r="R77" s="85" t="str">
        <f aca="false">IF(IF(ISBLANK(E77),1,(TRIM(E77)="")),"",ROUND(4.184*E77,3))</f>
        <v/>
      </c>
      <c r="S77" s="101" t="str">
        <f aca="false">IF(IF(ISBLANK(F77),1,(TRIM(F77)="")),"",ROUND(4.184*F77,3))</f>
        <v/>
      </c>
      <c r="T77" s="85" t="n">
        <f aca="false">IF(IF(ISBLANK(G77),1,(TRIM(G77)="")),"",ROUND(4.184*G77,3))</f>
        <v>73.22</v>
      </c>
      <c r="U77" s="101" t="n">
        <f aca="false">IF(IF(ISBLANK(H77),1,(TRIM(H77)="")),"",ROUND(4.184*H77,3))</f>
        <v>73.22</v>
      </c>
      <c r="V77" s="85" t="str">
        <f aca="false">IF(IF(ISBLANK(I77),1,(TRIM(I77)="")),"",ROUND(4.184*I77,3))</f>
        <v/>
      </c>
      <c r="W77" s="101" t="n">
        <f aca="false">IF(IF(ISBLANK(J77),1,(TRIM(J77)="")),"",ROUND(4.184*J77,3))</f>
        <v>71.546</v>
      </c>
      <c r="X77" s="85" t="str">
        <f aca="false">IF(IF(ISBLANK(K77),1,(TRIM(K77)="")),"",ROUND(4.184*K77,3))</f>
        <v/>
      </c>
      <c r="Y77" s="101" t="n">
        <f aca="false">IF(IF(ISBLANK(L77),1,(TRIM(L77)="")),"",ROUND(4.184*L77,3))</f>
        <v>71.086</v>
      </c>
      <c r="Z77" s="85" t="n">
        <f aca="false">IF(IF(ISBLANK(M77),1,(TRIM(M77)="")),"",ROUND(4.184*M77,3))</f>
        <v>71.546</v>
      </c>
      <c r="AB77" s="34"/>
      <c r="AC77" s="31" t="s">
        <v>101</v>
      </c>
      <c r="AD77" s="85" t="str">
        <f aca="false">IF(IF(ISBLANK(C77),1,(TRIM(C77)="")),"",ROUND(4.184*C77+$AB77*0.1094,3))</f>
        <v/>
      </c>
      <c r="AE77" s="101" t="str">
        <f aca="false">IF(IF(ISBLANK(D77),1,(TRIM(D77)="")),"",ROUND(4.184*D77+$AB77*0.1094,3))</f>
        <v/>
      </c>
      <c r="AF77" s="85" t="str">
        <f aca="false">IF(IF(ISBLANK(E77),1,(TRIM(E77)="")),"",ROUND(4.184*E77+$AB77*0.1094,3))</f>
        <v/>
      </c>
      <c r="AG77" s="101" t="str">
        <f aca="false">IF(IF(ISBLANK(F77),1,(TRIM(F77)="")),"",ROUND(4.184*F77+$AB77*0.1094,3))</f>
        <v/>
      </c>
      <c r="AH77" s="85" t="n">
        <f aca="false">IF(IF(ISBLANK(G77),1,(TRIM(G77)="")),"",ROUND(4.184*G77+$AB77*0.1094,3))</f>
        <v>73.22</v>
      </c>
      <c r="AI77" s="101" t="n">
        <f aca="false">IF(IF(ISBLANK(H77),1,(TRIM(H77)="")),"",ROUND(4.184*H77+$AB77*0.1094,3))</f>
        <v>73.22</v>
      </c>
      <c r="AJ77" s="85" t="str">
        <f aca="false">IF(IF(ISBLANK(I77),1,(TRIM(I77)="")),"",ROUND(4.184*I77+$AB77*0.1094,3))</f>
        <v/>
      </c>
      <c r="AK77" s="101" t="n">
        <f aca="false">IF(IF(ISBLANK(J77),1,(TRIM(J77)="")),"",ROUND(4.184*J77+$AB77*0.1094,3))</f>
        <v>71.546</v>
      </c>
      <c r="AL77" s="85" t="str">
        <f aca="false">IF(IF(ISBLANK(K77),1,(TRIM(K77)="")),"",ROUND(4.184*K77+$AB77*0.1094,3))</f>
        <v/>
      </c>
      <c r="AM77" s="101" t="n">
        <f aca="false">IF(IF(ISBLANK(L77),1,(TRIM(L77)="")),"",ROUND(4.184*L77+$AB77*0.1094,3))</f>
        <v>71.086</v>
      </c>
      <c r="AN77" s="85" t="n">
        <f aca="false">IF(IF(ISBLANK(M77),1,(TRIM(M77)="")),"",ROUND(4.184*M77+$AB77*0.1094,3))</f>
        <v>71.546</v>
      </c>
      <c r="AP77" s="31" t="s">
        <v>101</v>
      </c>
      <c r="AQ77" s="85" t="str">
        <f aca="false">IF(IF(ISBLANK(C77),1,(TRIM(C77)="")),"",ROUND(C77+($AB77*0.1094/4.184),3))</f>
        <v/>
      </c>
      <c r="AR77" s="101" t="str">
        <f aca="false">IF(IF(ISBLANK(D77),1,(TRIM(D77)="")),"",ROUND(D77+($AB77*0.1094/4.184),3))</f>
        <v/>
      </c>
      <c r="AS77" s="85" t="str">
        <f aca="false">IF(IF(ISBLANK(E77),1,(TRIM(E77)="")),"",ROUND(E77+($AB77*0.1094/4.184),3))</f>
        <v/>
      </c>
      <c r="AT77" s="101" t="str">
        <f aca="false">IF(IF(ISBLANK(F77),1,(TRIM(F77)="")),"",ROUND(F77+($AB77*0.1094/4.184),3))</f>
        <v/>
      </c>
      <c r="AU77" s="85" t="n">
        <f aca="false">IF(IF(ISBLANK(G77),1,(TRIM(G77)="")),"",ROUND(G77+($AB77*0.1094/4.184),3))</f>
        <v>17.5</v>
      </c>
      <c r="AV77" s="101" t="n">
        <f aca="false">IF(IF(ISBLANK(H77),1,(TRIM(H77)="")),"",ROUND(H77+($AB77*0.1094/4.184),3))</f>
        <v>17.5</v>
      </c>
      <c r="AW77" s="85" t="str">
        <f aca="false">IF(IF(ISBLANK(I77),1,(TRIM(I77)="")),"",ROUND(I77+($AB77*0.1094/4.184),3))</f>
        <v/>
      </c>
      <c r="AX77" s="101" t="n">
        <f aca="false">IF(IF(ISBLANK(J77),1,(TRIM(J77)="")),"",ROUND(J77+($AB77*0.1094/4.184),3))</f>
        <v>17.1</v>
      </c>
      <c r="AY77" s="85" t="str">
        <f aca="false">IF(IF(ISBLANK(K77),1,(TRIM(K77)="")),"",ROUND(K77+($AB77*0.1094/4.184),3))</f>
        <v/>
      </c>
      <c r="AZ77" s="101" t="n">
        <f aca="false">IF(IF(ISBLANK(L77),1,(TRIM(L77)="")),"",ROUND(L77+($AB77*0.1094/4.184),3))</f>
        <v>16.99</v>
      </c>
      <c r="BA77" s="85" t="n">
        <f aca="false">IF(IF(ISBLANK(M77),1,(TRIM(M77)="")),"",ROUND(M77+($AB77*0.1094/4.184),3))</f>
        <v>17.1</v>
      </c>
    </row>
    <row r="78" customFormat="false" ht="12.75" hidden="false" customHeight="false" outlineLevel="0" collapsed="false">
      <c r="B78" s="31" t="s">
        <v>102</v>
      </c>
      <c r="C78" s="62"/>
      <c r="D78" s="63" t="n">
        <v>34.66</v>
      </c>
      <c r="E78" s="64" t="s">
        <v>383</v>
      </c>
      <c r="F78" s="63" t="n">
        <v>34.948</v>
      </c>
      <c r="G78" s="64" t="s">
        <v>384</v>
      </c>
      <c r="H78" s="63" t="n">
        <v>34.95</v>
      </c>
      <c r="I78" s="62"/>
      <c r="J78" s="102" t="n">
        <v>34.9471</v>
      </c>
      <c r="K78" s="62"/>
      <c r="L78" s="65" t="s">
        <v>385</v>
      </c>
      <c r="M78" s="62" t="n">
        <v>34.947</v>
      </c>
      <c r="O78" s="31" t="s">
        <v>102</v>
      </c>
      <c r="P78" s="85" t="str">
        <f aca="false">IF(IF(ISBLANK(C78),1,(TRIM(C78)="")),"",ROUND(4.184*C78,3))</f>
        <v/>
      </c>
      <c r="Q78" s="101" t="n">
        <f aca="false">IF(IF(ISBLANK(D78),1,(TRIM(D78)="")),"",ROUND(4.184*D78,3))</f>
        <v>145.017</v>
      </c>
      <c r="R78" s="85" t="n">
        <f aca="false">IF(IF(ISBLANK(E78),1,(TRIM(E78)="")),"",ROUND(4.184*E78,3))</f>
        <v>146.273</v>
      </c>
      <c r="S78" s="101" t="n">
        <f aca="false">IF(IF(ISBLANK(F78),1,(TRIM(F78)="")),"",ROUND(4.184*F78,3))</f>
        <v>146.222</v>
      </c>
      <c r="T78" s="85" t="n">
        <f aca="false">IF(IF(ISBLANK(G78),1,(TRIM(G78)="")),"",ROUND(4.184*G78,3))</f>
        <v>146.231</v>
      </c>
      <c r="U78" s="101" t="n">
        <f aca="false">IF(IF(ISBLANK(H78),1,(TRIM(H78)="")),"",ROUND(4.184*H78,3))</f>
        <v>146.231</v>
      </c>
      <c r="V78" s="85" t="str">
        <f aca="false">IF(IF(ISBLANK(I78),1,(TRIM(I78)="")),"",ROUND(4.184*I78,3))</f>
        <v/>
      </c>
      <c r="W78" s="101" t="n">
        <f aca="false">IF(IF(ISBLANK(J78),1,(TRIM(J78)="")),"",ROUND(4.184*J78,3))</f>
        <v>146.219</v>
      </c>
      <c r="X78" s="85" t="str">
        <f aca="false">IF(IF(ISBLANK(K78),1,(TRIM(K78)="")),"",ROUND(4.184*K78,3))</f>
        <v/>
      </c>
      <c r="Y78" s="101" t="n">
        <f aca="false">IF(IF(ISBLANK(L78),1,(TRIM(L78)="")),"",ROUND(4.184*L78,3))</f>
        <v>146.218</v>
      </c>
      <c r="Z78" s="85" t="n">
        <f aca="false">IF(IF(ISBLANK(M78),1,(TRIM(M78)="")),"",ROUND(4.184*M78,3))</f>
        <v>146.218</v>
      </c>
      <c r="AB78" s="34" t="n">
        <v>1</v>
      </c>
      <c r="AC78" s="31" t="s">
        <v>102</v>
      </c>
      <c r="AD78" s="85" t="str">
        <f aca="false">IF(IF(ISBLANK(C78),1,(TRIM(C78)="")),"",ROUND(4.184*C78+$AB78*0.1094,3))</f>
        <v/>
      </c>
      <c r="AE78" s="101" t="n">
        <f aca="false">IF(IF(ISBLANK(D78),1,(TRIM(D78)="")),"",ROUND(4.184*D78+$AB78*0.1094,3))</f>
        <v>145.127</v>
      </c>
      <c r="AF78" s="85" t="n">
        <f aca="false">IF(IF(ISBLANK(E78),1,(TRIM(E78)="")),"",ROUND(4.184*E78+$AB78*0.1094,3))</f>
        <v>146.382</v>
      </c>
      <c r="AG78" s="101" t="n">
        <f aca="false">IF(IF(ISBLANK(F78),1,(TRIM(F78)="")),"",ROUND(4.184*F78+$AB78*0.1094,3))</f>
        <v>146.332</v>
      </c>
      <c r="AH78" s="85" t="n">
        <f aca="false">IF(IF(ISBLANK(G78),1,(TRIM(G78)="")),"",ROUND(4.184*G78+$AB78*0.1094,3))</f>
        <v>146.34</v>
      </c>
      <c r="AI78" s="101" t="n">
        <f aca="false">IF(IF(ISBLANK(H78),1,(TRIM(H78)="")),"",ROUND(4.184*H78+$AB78*0.1094,3))</f>
        <v>146.34</v>
      </c>
      <c r="AJ78" s="85" t="str">
        <f aca="false">IF(IF(ISBLANK(I78),1,(TRIM(I78)="")),"",ROUND(4.184*I78+$AB78*0.1094,3))</f>
        <v/>
      </c>
      <c r="AK78" s="101" t="n">
        <f aca="false">IF(IF(ISBLANK(J78),1,(TRIM(J78)="")),"",ROUND(4.184*J78+$AB78*0.1094,3))</f>
        <v>146.328</v>
      </c>
      <c r="AL78" s="85" t="str">
        <f aca="false">IF(IF(ISBLANK(K78),1,(TRIM(K78)="")),"",ROUND(4.184*K78+$AB78*0.1094,3))</f>
        <v/>
      </c>
      <c r="AM78" s="101" t="n">
        <f aca="false">IF(IF(ISBLANK(L78),1,(TRIM(L78)="")),"",ROUND(4.184*L78+$AB78*0.1094,3))</f>
        <v>146.328</v>
      </c>
      <c r="AN78" s="85" t="n">
        <f aca="false">IF(IF(ISBLANK(M78),1,(TRIM(M78)="")),"",ROUND(4.184*M78+$AB78*0.1094,3))</f>
        <v>146.328</v>
      </c>
      <c r="AP78" s="31" t="s">
        <v>102</v>
      </c>
      <c r="AQ78" s="85" t="str">
        <f aca="false">IF(IF(ISBLANK(C78),1,(TRIM(C78)="")),"",ROUND(C78+($AB78*0.1094/4.184),3))</f>
        <v/>
      </c>
      <c r="AR78" s="101" t="n">
        <f aca="false">IF(IF(ISBLANK(D78),1,(TRIM(D78)="")),"",ROUND(D78+($AB78*0.1094/4.184),3))</f>
        <v>34.686</v>
      </c>
      <c r="AS78" s="85" t="n">
        <f aca="false">IF(IF(ISBLANK(E78),1,(TRIM(E78)="")),"",ROUND(E78+($AB78*0.1094/4.184),3))</f>
        <v>34.986</v>
      </c>
      <c r="AT78" s="101" t="n">
        <f aca="false">IF(IF(ISBLANK(F78),1,(TRIM(F78)="")),"",ROUND(F78+($AB78*0.1094/4.184),3))</f>
        <v>34.974</v>
      </c>
      <c r="AU78" s="85" t="n">
        <f aca="false">IF(IF(ISBLANK(G78),1,(TRIM(G78)="")),"",ROUND(G78+($AB78*0.1094/4.184),3))</f>
        <v>34.976</v>
      </c>
      <c r="AV78" s="101" t="n">
        <f aca="false">IF(IF(ISBLANK(H78),1,(TRIM(H78)="")),"",ROUND(H78+($AB78*0.1094/4.184),3))</f>
        <v>34.976</v>
      </c>
      <c r="AW78" s="85" t="str">
        <f aca="false">IF(IF(ISBLANK(I78),1,(TRIM(I78)="")),"",ROUND(I78+($AB78*0.1094/4.184),3))</f>
        <v/>
      </c>
      <c r="AX78" s="101" t="n">
        <f aca="false">IF(IF(ISBLANK(J78),1,(TRIM(J78)="")),"",ROUND(J78+($AB78*0.1094/4.184),3))</f>
        <v>34.973</v>
      </c>
      <c r="AY78" s="85" t="str">
        <f aca="false">IF(IF(ISBLANK(K78),1,(TRIM(K78)="")),"",ROUND(K78+($AB78*0.1094/4.184),3))</f>
        <v/>
      </c>
      <c r="AZ78" s="101" t="n">
        <f aca="false">IF(IF(ISBLANK(L78),1,(TRIM(L78)="")),"",ROUND(L78+($AB78*0.1094/4.184),3))</f>
        <v>34.973</v>
      </c>
      <c r="BA78" s="85" t="n">
        <f aca="false">IF(IF(ISBLANK(M78),1,(TRIM(M78)="")),"",ROUND(M78+($AB78*0.1094/4.184),3))</f>
        <v>34.973</v>
      </c>
    </row>
    <row r="79" customFormat="false" ht="12.75" hidden="false" customHeight="false" outlineLevel="0" collapsed="false">
      <c r="B79" s="31" t="s">
        <v>103</v>
      </c>
      <c r="C79" s="62" t="n">
        <v>7.2</v>
      </c>
      <c r="D79" s="63" t="n">
        <v>7.2</v>
      </c>
      <c r="E79" s="64" t="s">
        <v>386</v>
      </c>
      <c r="F79" s="65" t="s">
        <v>387</v>
      </c>
      <c r="G79" s="64" t="s">
        <v>388</v>
      </c>
      <c r="H79" s="63" t="n">
        <v>7.14</v>
      </c>
      <c r="I79" s="62" t="n">
        <v>7.14</v>
      </c>
      <c r="J79" s="102" t="n">
        <v>7.14</v>
      </c>
      <c r="K79" s="62"/>
      <c r="L79" s="65" t="s">
        <v>388</v>
      </c>
      <c r="M79" s="64" t="s">
        <v>389</v>
      </c>
      <c r="O79" s="31" t="s">
        <v>103</v>
      </c>
      <c r="P79" s="85" t="n">
        <f aca="false">IF(IF(ISBLANK(C79),1,(TRIM(C79)="")),"",ROUND(4.184*C79,3))</f>
        <v>30.125</v>
      </c>
      <c r="Q79" s="101" t="n">
        <f aca="false">IF(IF(ISBLANK(D79),1,(TRIM(D79)="")),"",ROUND(4.184*D79,3))</f>
        <v>30.125</v>
      </c>
      <c r="R79" s="85" t="n">
        <f aca="false">IF(IF(ISBLANK(E79),1,(TRIM(E79)="")),"",ROUND(4.184*E79,3))</f>
        <v>29.706</v>
      </c>
      <c r="S79" s="101" t="n">
        <f aca="false">IF(IF(ISBLANK(F79),1,(TRIM(F79)="")),"",ROUND(4.184*F79,3))</f>
        <v>30.125</v>
      </c>
      <c r="T79" s="85" t="n">
        <f aca="false">IF(IF(ISBLANK(G79),1,(TRIM(G79)="")),"",ROUND(4.184*G79,3))</f>
        <v>29.874</v>
      </c>
      <c r="U79" s="101" t="n">
        <f aca="false">IF(IF(ISBLANK(H79),1,(TRIM(H79)="")),"",ROUND(4.184*H79,3))</f>
        <v>29.874</v>
      </c>
      <c r="V79" s="85" t="n">
        <f aca="false">IF(IF(ISBLANK(I79),1,(TRIM(I79)="")),"",ROUND(4.184*I79,3))</f>
        <v>29.874</v>
      </c>
      <c r="W79" s="101" t="n">
        <f aca="false">IF(IF(ISBLANK(J79),1,(TRIM(J79)="")),"",ROUND(4.184*J79,3))</f>
        <v>29.874</v>
      </c>
      <c r="X79" s="85" t="str">
        <f aca="false">IF(IF(ISBLANK(K79),1,(TRIM(K79)="")),"",ROUND(4.184*K79,3))</f>
        <v/>
      </c>
      <c r="Y79" s="101" t="n">
        <f aca="false">IF(IF(ISBLANK(L79),1,(TRIM(L79)="")),"",ROUND(4.184*L79,3))</f>
        <v>29.874</v>
      </c>
      <c r="Z79" s="85" t="n">
        <f aca="false">IF(IF(ISBLANK(M79),1,(TRIM(M79)="")),"",ROUND(4.184*M79,3))</f>
        <v>29.874</v>
      </c>
      <c r="AB79" s="34"/>
      <c r="AC79" s="31" t="s">
        <v>103</v>
      </c>
      <c r="AD79" s="85" t="n">
        <f aca="false">IF(IF(ISBLANK(C79),1,(TRIM(C79)="")),"",ROUND(4.184*C79+$AB79*0.1094,3))</f>
        <v>30.125</v>
      </c>
      <c r="AE79" s="101" t="n">
        <f aca="false">IF(IF(ISBLANK(D79),1,(TRIM(D79)="")),"",ROUND(4.184*D79+$AB79*0.1094,3))</f>
        <v>30.125</v>
      </c>
      <c r="AF79" s="85" t="n">
        <f aca="false">IF(IF(ISBLANK(E79),1,(TRIM(E79)="")),"",ROUND(4.184*E79+$AB79*0.1094,3))</f>
        <v>29.706</v>
      </c>
      <c r="AG79" s="101" t="n">
        <f aca="false">IF(IF(ISBLANK(F79),1,(TRIM(F79)="")),"",ROUND(4.184*F79+$AB79*0.1094,3))</f>
        <v>30.125</v>
      </c>
      <c r="AH79" s="85" t="n">
        <f aca="false">IF(IF(ISBLANK(G79),1,(TRIM(G79)="")),"",ROUND(4.184*G79+$AB79*0.1094,3))</f>
        <v>29.874</v>
      </c>
      <c r="AI79" s="101" t="n">
        <f aca="false">IF(IF(ISBLANK(H79),1,(TRIM(H79)="")),"",ROUND(4.184*H79+$AB79*0.1094,3))</f>
        <v>29.874</v>
      </c>
      <c r="AJ79" s="85" t="n">
        <f aca="false">IF(IF(ISBLANK(I79),1,(TRIM(I79)="")),"",ROUND(4.184*I79+$AB79*0.1094,3))</f>
        <v>29.874</v>
      </c>
      <c r="AK79" s="101" t="n">
        <f aca="false">IF(IF(ISBLANK(J79),1,(TRIM(J79)="")),"",ROUND(4.184*J79+$AB79*0.1094,3))</f>
        <v>29.874</v>
      </c>
      <c r="AL79" s="85" t="str">
        <f aca="false">IF(IF(ISBLANK(K79),1,(TRIM(K79)="")),"",ROUND(4.184*K79+$AB79*0.1094,3))</f>
        <v/>
      </c>
      <c r="AM79" s="101" t="n">
        <f aca="false">IF(IF(ISBLANK(L79),1,(TRIM(L79)="")),"",ROUND(4.184*L79+$AB79*0.1094,3))</f>
        <v>29.874</v>
      </c>
      <c r="AN79" s="85" t="n">
        <f aca="false">IF(IF(ISBLANK(M79),1,(TRIM(M79)="")),"",ROUND(4.184*M79+$AB79*0.1094,3))</f>
        <v>29.874</v>
      </c>
      <c r="AP79" s="31" t="s">
        <v>103</v>
      </c>
      <c r="AQ79" s="85" t="n">
        <f aca="false">IF(IF(ISBLANK(C79),1,(TRIM(C79)="")),"",ROUND(C79+($AB79*0.1094/4.184),3))</f>
        <v>7.2</v>
      </c>
      <c r="AR79" s="101" t="n">
        <f aca="false">IF(IF(ISBLANK(D79),1,(TRIM(D79)="")),"",ROUND(D79+($AB79*0.1094/4.184),3))</f>
        <v>7.2</v>
      </c>
      <c r="AS79" s="85" t="n">
        <f aca="false">IF(IF(ISBLANK(E79),1,(TRIM(E79)="")),"",ROUND(E79+($AB79*0.1094/4.184),3))</f>
        <v>7.1</v>
      </c>
      <c r="AT79" s="101" t="n">
        <f aca="false">IF(IF(ISBLANK(F79),1,(TRIM(F79)="")),"",ROUND(F79+($AB79*0.1094/4.184),3))</f>
        <v>7.2</v>
      </c>
      <c r="AU79" s="85" t="n">
        <f aca="false">IF(IF(ISBLANK(G79),1,(TRIM(G79)="")),"",ROUND(G79+($AB79*0.1094/4.184),3))</f>
        <v>7.14</v>
      </c>
      <c r="AV79" s="101" t="n">
        <f aca="false">IF(IF(ISBLANK(H79),1,(TRIM(H79)="")),"",ROUND(H79+($AB79*0.1094/4.184),3))</f>
        <v>7.14</v>
      </c>
      <c r="AW79" s="85" t="n">
        <f aca="false">IF(IF(ISBLANK(I79),1,(TRIM(I79)="")),"",ROUND(I79+($AB79*0.1094/4.184),3))</f>
        <v>7.14</v>
      </c>
      <c r="AX79" s="101" t="n">
        <f aca="false">IF(IF(ISBLANK(J79),1,(TRIM(J79)="")),"",ROUND(J79+($AB79*0.1094/4.184),3))</f>
        <v>7.14</v>
      </c>
      <c r="AY79" s="85" t="str">
        <f aca="false">IF(IF(ISBLANK(K79),1,(TRIM(K79)="")),"",ROUND(K79+($AB79*0.1094/4.184),3))</f>
        <v/>
      </c>
      <c r="AZ79" s="101" t="n">
        <f aca="false">IF(IF(ISBLANK(L79),1,(TRIM(L79)="")),"",ROUND(L79+($AB79*0.1094/4.184),3))</f>
        <v>7.14</v>
      </c>
      <c r="BA79" s="85" t="n">
        <f aca="false">IF(IF(ISBLANK(M79),1,(TRIM(M79)="")),"",ROUND(M79+($AB79*0.1094/4.184),3))</f>
        <v>7.14</v>
      </c>
    </row>
    <row r="80" customFormat="false" ht="12.75" hidden="false" customHeight="false" outlineLevel="0" collapsed="false">
      <c r="B80" s="31" t="s">
        <v>104</v>
      </c>
      <c r="C80" s="64"/>
      <c r="D80" s="63"/>
      <c r="E80" s="64"/>
      <c r="F80" s="63"/>
      <c r="G80" s="62"/>
      <c r="H80" s="63"/>
      <c r="I80" s="62"/>
      <c r="J80" s="102"/>
      <c r="K80" s="62"/>
      <c r="L80" s="63"/>
      <c r="M80" s="62"/>
      <c r="O80" s="31" t="s">
        <v>104</v>
      </c>
      <c r="P80" s="85" t="str">
        <f aca="false">IF(IF(ISBLANK(C80),1,(TRIM(C80)="")),"",ROUND(4.184*C80,3))</f>
        <v/>
      </c>
      <c r="Q80" s="101" t="str">
        <f aca="false">IF(IF(ISBLANK(D80),1,(TRIM(D80)="")),"",ROUND(4.184*D80,3))</f>
        <v/>
      </c>
      <c r="R80" s="85" t="str">
        <f aca="false">IF(IF(ISBLANK(E80),1,(TRIM(E80)="")),"",ROUND(4.184*E80,3))</f>
        <v/>
      </c>
      <c r="S80" s="101" t="str">
        <f aca="false">IF(IF(ISBLANK(F80),1,(TRIM(F80)="")),"",ROUND(4.184*F80,3))</f>
        <v/>
      </c>
      <c r="T80" s="85" t="str">
        <f aca="false">IF(IF(ISBLANK(G80),1,(TRIM(G80)="")),"",ROUND(4.184*G80,3))</f>
        <v/>
      </c>
      <c r="U80" s="101" t="str">
        <f aca="false">IF(IF(ISBLANK(H80),1,(TRIM(H80)="")),"",ROUND(4.184*H80,3))</f>
        <v/>
      </c>
      <c r="V80" s="85" t="str">
        <f aca="false">IF(IF(ISBLANK(I80),1,(TRIM(I80)="")),"",ROUND(4.184*I80,3))</f>
        <v/>
      </c>
      <c r="W80" s="101" t="str">
        <f aca="false">IF(IF(ISBLANK(J80),1,(TRIM(J80)="")),"",ROUND(4.184*J80,3))</f>
        <v/>
      </c>
      <c r="X80" s="85" t="str">
        <f aca="false">IF(IF(ISBLANK(K80),1,(TRIM(K80)="")),"",ROUND(4.184*K80,3))</f>
        <v/>
      </c>
      <c r="Y80" s="101" t="str">
        <f aca="false">IF(IF(ISBLANK(L80),1,(TRIM(L80)="")),"",ROUND(4.184*L80,3))</f>
        <v/>
      </c>
      <c r="Z80" s="85" t="str">
        <f aca="false">IF(IF(ISBLANK(M80),1,(TRIM(M80)="")),"",ROUND(4.184*M80,3))</f>
        <v/>
      </c>
      <c r="AB80" s="34"/>
      <c r="AC80" s="31" t="s">
        <v>104</v>
      </c>
      <c r="AD80" s="85" t="str">
        <f aca="false">IF(IF(ISBLANK(C80),1,(TRIM(C80)="")),"",ROUND(4.184*C80+$AB80*0.1094,3))</f>
        <v/>
      </c>
      <c r="AE80" s="101" t="str">
        <f aca="false">IF(IF(ISBLANK(D80),1,(TRIM(D80)="")),"",ROUND(4.184*D80+$AB80*0.1094,3))</f>
        <v/>
      </c>
      <c r="AF80" s="85" t="str">
        <f aca="false">IF(IF(ISBLANK(E80),1,(TRIM(E80)="")),"",ROUND(4.184*E80+$AB80*0.1094,3))</f>
        <v/>
      </c>
      <c r="AG80" s="101" t="str">
        <f aca="false">IF(IF(ISBLANK(F80),1,(TRIM(F80)="")),"",ROUND(4.184*F80+$AB80*0.1094,3))</f>
        <v/>
      </c>
      <c r="AH80" s="85" t="str">
        <f aca="false">IF(IF(ISBLANK(G80),1,(TRIM(G80)="")),"",ROUND(4.184*G80+$AB80*0.1094,3))</f>
        <v/>
      </c>
      <c r="AI80" s="101" t="str">
        <f aca="false">IF(IF(ISBLANK(H80),1,(TRIM(H80)="")),"",ROUND(4.184*H80+$AB80*0.1094,3))</f>
        <v/>
      </c>
      <c r="AJ80" s="85" t="str">
        <f aca="false">IF(IF(ISBLANK(I80),1,(TRIM(I80)="")),"",ROUND(4.184*I80+$AB80*0.1094,3))</f>
        <v/>
      </c>
      <c r="AK80" s="101" t="str">
        <f aca="false">IF(IF(ISBLANK(J80),1,(TRIM(J80)="")),"",ROUND(4.184*J80+$AB80*0.1094,3))</f>
        <v/>
      </c>
      <c r="AL80" s="85" t="str">
        <f aca="false">IF(IF(ISBLANK(K80),1,(TRIM(K80)="")),"",ROUND(4.184*K80+$AB80*0.1094,3))</f>
        <v/>
      </c>
      <c r="AM80" s="101" t="str">
        <f aca="false">IF(IF(ISBLANK(L80),1,(TRIM(L80)="")),"",ROUND(4.184*L80+$AB80*0.1094,3))</f>
        <v/>
      </c>
      <c r="AN80" s="85" t="str">
        <f aca="false">IF(IF(ISBLANK(M80),1,(TRIM(M80)="")),"",ROUND(4.184*M80+$AB80*0.1094,3))</f>
        <v/>
      </c>
      <c r="AP80" s="31" t="s">
        <v>104</v>
      </c>
      <c r="AQ80" s="85" t="str">
        <f aca="false">IF(IF(ISBLANK(C80),1,(TRIM(C80)="")),"",ROUND(C80+($AB80*0.1094/4.184),3))</f>
        <v/>
      </c>
      <c r="AR80" s="101" t="str">
        <f aca="false">IF(IF(ISBLANK(D80),1,(TRIM(D80)="")),"",ROUND(D80+($AB80*0.1094/4.184),3))</f>
        <v/>
      </c>
      <c r="AS80" s="85" t="str">
        <f aca="false">IF(IF(ISBLANK(E80),1,(TRIM(E80)="")),"",ROUND(E80+($AB80*0.1094/4.184),3))</f>
        <v/>
      </c>
      <c r="AT80" s="101" t="str">
        <f aca="false">IF(IF(ISBLANK(F80),1,(TRIM(F80)="")),"",ROUND(F80+($AB80*0.1094/4.184),3))</f>
        <v/>
      </c>
      <c r="AU80" s="85" t="str">
        <f aca="false">IF(IF(ISBLANK(G80),1,(TRIM(G80)="")),"",ROUND(G80+($AB80*0.1094/4.184),3))</f>
        <v/>
      </c>
      <c r="AV80" s="101" t="str">
        <f aca="false">IF(IF(ISBLANK(H80),1,(TRIM(H80)="")),"",ROUND(H80+($AB80*0.1094/4.184),3))</f>
        <v/>
      </c>
      <c r="AW80" s="85" t="str">
        <f aca="false">IF(IF(ISBLANK(I80),1,(TRIM(I80)="")),"",ROUND(I80+($AB80*0.1094/4.184),3))</f>
        <v/>
      </c>
      <c r="AX80" s="101" t="str">
        <f aca="false">IF(IF(ISBLANK(J80),1,(TRIM(J80)="")),"",ROUND(J80+($AB80*0.1094/4.184),3))</f>
        <v/>
      </c>
      <c r="AY80" s="85" t="str">
        <f aca="false">IF(IF(ISBLANK(K80),1,(TRIM(K80)="")),"",ROUND(K80+($AB80*0.1094/4.184),3))</f>
        <v/>
      </c>
      <c r="AZ80" s="101" t="str">
        <f aca="false">IF(IF(ISBLANK(L80),1,(TRIM(L80)="")),"",ROUND(L80+($AB80*0.1094/4.184),3))</f>
        <v/>
      </c>
      <c r="BA80" s="85" t="str">
        <f aca="false">IF(IF(ISBLANK(M80),1,(TRIM(M80)="")),"",ROUND(M80+($AB80*0.1094/4.184),3))</f>
        <v/>
      </c>
    </row>
    <row r="81" customFormat="false" ht="12.75" hidden="false" customHeight="false" outlineLevel="0" collapsed="false">
      <c r="B81" s="31" t="s">
        <v>105</v>
      </c>
      <c r="C81" s="64"/>
      <c r="D81" s="63"/>
      <c r="E81" s="64"/>
      <c r="F81" s="63"/>
      <c r="G81" s="62"/>
      <c r="H81" s="63"/>
      <c r="I81" s="62"/>
      <c r="J81" s="102"/>
      <c r="K81" s="62"/>
      <c r="L81" s="63"/>
      <c r="M81" s="64" t="s">
        <v>390</v>
      </c>
      <c r="O81" s="31" t="s">
        <v>105</v>
      </c>
      <c r="P81" s="85" t="str">
        <f aca="false">IF(IF(ISBLANK(C81),1,(TRIM(C81)="")),"",ROUND(4.184*C81,3))</f>
        <v/>
      </c>
      <c r="Q81" s="101" t="str">
        <f aca="false">IF(IF(ISBLANK(D81),1,(TRIM(D81)="")),"",ROUND(4.184*D81,3))</f>
        <v/>
      </c>
      <c r="R81" s="85" t="str">
        <f aca="false">IF(IF(ISBLANK(E81),1,(TRIM(E81)="")),"",ROUND(4.184*E81,3))</f>
        <v/>
      </c>
      <c r="S81" s="101" t="str">
        <f aca="false">IF(IF(ISBLANK(F81),1,(TRIM(F81)="")),"",ROUND(4.184*F81,3))</f>
        <v/>
      </c>
      <c r="T81" s="85" t="str">
        <f aca="false">IF(IF(ISBLANK(G81),1,(TRIM(G81)="")),"",ROUND(4.184*G81,3))</f>
        <v/>
      </c>
      <c r="U81" s="101" t="str">
        <f aca="false">IF(IF(ISBLANK(H81),1,(TRIM(H81)="")),"",ROUND(4.184*H81,3))</f>
        <v/>
      </c>
      <c r="V81" s="85" t="str">
        <f aca="false">IF(IF(ISBLANK(I81),1,(TRIM(I81)="")),"",ROUND(4.184*I81,3))</f>
        <v/>
      </c>
      <c r="W81" s="101" t="str">
        <f aca="false">IF(IF(ISBLANK(J81),1,(TRIM(J81)="")),"",ROUND(4.184*J81,3))</f>
        <v/>
      </c>
      <c r="X81" s="85" t="str">
        <f aca="false">IF(IF(ISBLANK(K81),1,(TRIM(K81)="")),"",ROUND(4.184*K81,3))</f>
        <v/>
      </c>
      <c r="Y81" s="101" t="str">
        <f aca="false">IF(IF(ISBLANK(L81),1,(TRIM(L81)="")),"",ROUND(4.184*L81,3))</f>
        <v/>
      </c>
      <c r="Z81" s="85" t="n">
        <f aca="false">IF(IF(ISBLANK(M81),1,(TRIM(M81)="")),"",ROUND(4.184*M81,3))</f>
        <v>50.459</v>
      </c>
      <c r="AB81" s="34"/>
      <c r="AC81" s="31" t="s">
        <v>105</v>
      </c>
      <c r="AD81" s="85" t="str">
        <f aca="false">IF(IF(ISBLANK(C81),1,(TRIM(C81)="")),"",ROUND(4.184*C81+$AB81*0.1094,3))</f>
        <v/>
      </c>
      <c r="AE81" s="101" t="str">
        <f aca="false">IF(IF(ISBLANK(D81),1,(TRIM(D81)="")),"",ROUND(4.184*D81+$AB81*0.1094,3))</f>
        <v/>
      </c>
      <c r="AF81" s="85" t="str">
        <f aca="false">IF(IF(ISBLANK(E81),1,(TRIM(E81)="")),"",ROUND(4.184*E81+$AB81*0.1094,3))</f>
        <v/>
      </c>
      <c r="AG81" s="101" t="str">
        <f aca="false">IF(IF(ISBLANK(F81),1,(TRIM(F81)="")),"",ROUND(4.184*F81+$AB81*0.1094,3))</f>
        <v/>
      </c>
      <c r="AH81" s="85" t="str">
        <f aca="false">IF(IF(ISBLANK(G81),1,(TRIM(G81)="")),"",ROUND(4.184*G81+$AB81*0.1094,3))</f>
        <v/>
      </c>
      <c r="AI81" s="101" t="str">
        <f aca="false">IF(IF(ISBLANK(H81),1,(TRIM(H81)="")),"",ROUND(4.184*H81+$AB81*0.1094,3))</f>
        <v/>
      </c>
      <c r="AJ81" s="85" t="str">
        <f aca="false">IF(IF(ISBLANK(I81),1,(TRIM(I81)="")),"",ROUND(4.184*I81+$AB81*0.1094,3))</f>
        <v/>
      </c>
      <c r="AK81" s="101" t="str">
        <f aca="false">IF(IF(ISBLANK(J81),1,(TRIM(J81)="")),"",ROUND(4.184*J81+$AB81*0.1094,3))</f>
        <v/>
      </c>
      <c r="AL81" s="85" t="str">
        <f aca="false">IF(IF(ISBLANK(K81),1,(TRIM(K81)="")),"",ROUND(4.184*K81+$AB81*0.1094,3))</f>
        <v/>
      </c>
      <c r="AM81" s="101" t="str">
        <f aca="false">IF(IF(ISBLANK(L81),1,(TRIM(L81)="")),"",ROUND(4.184*L81+$AB81*0.1094,3))</f>
        <v/>
      </c>
      <c r="AN81" s="85" t="n">
        <f aca="false">IF(IF(ISBLANK(M81),1,(TRIM(M81)="")),"",ROUND(4.184*M81+$AB81*0.1094,3))</f>
        <v>50.459</v>
      </c>
      <c r="AP81" s="31" t="s">
        <v>105</v>
      </c>
      <c r="AQ81" s="85" t="str">
        <f aca="false">IF(IF(ISBLANK(C81),1,(TRIM(C81)="")),"",ROUND(C81+($AB81*0.1094/4.184),3))</f>
        <v/>
      </c>
      <c r="AR81" s="101" t="str">
        <f aca="false">IF(IF(ISBLANK(D81),1,(TRIM(D81)="")),"",ROUND(D81+($AB81*0.1094/4.184),3))</f>
        <v/>
      </c>
      <c r="AS81" s="85" t="str">
        <f aca="false">IF(IF(ISBLANK(E81),1,(TRIM(E81)="")),"",ROUND(E81+($AB81*0.1094/4.184),3))</f>
        <v/>
      </c>
      <c r="AT81" s="101" t="str">
        <f aca="false">IF(IF(ISBLANK(F81),1,(TRIM(F81)="")),"",ROUND(F81+($AB81*0.1094/4.184),3))</f>
        <v/>
      </c>
      <c r="AU81" s="85" t="str">
        <f aca="false">IF(IF(ISBLANK(G81),1,(TRIM(G81)="")),"",ROUND(G81+($AB81*0.1094/4.184),3))</f>
        <v/>
      </c>
      <c r="AV81" s="101" t="str">
        <f aca="false">IF(IF(ISBLANK(H81),1,(TRIM(H81)="")),"",ROUND(H81+($AB81*0.1094/4.184),3))</f>
        <v/>
      </c>
      <c r="AW81" s="85" t="str">
        <f aca="false">IF(IF(ISBLANK(I81),1,(TRIM(I81)="")),"",ROUND(I81+($AB81*0.1094/4.184),3))</f>
        <v/>
      </c>
      <c r="AX81" s="101" t="str">
        <f aca="false">IF(IF(ISBLANK(J81),1,(TRIM(J81)="")),"",ROUND(J81+($AB81*0.1094/4.184),3))</f>
        <v/>
      </c>
      <c r="AY81" s="85" t="str">
        <f aca="false">IF(IF(ISBLANK(K81),1,(TRIM(K81)="")),"",ROUND(K81+($AB81*0.1094/4.184),3))</f>
        <v/>
      </c>
      <c r="AZ81" s="101" t="str">
        <f aca="false">IF(IF(ISBLANK(L81),1,(TRIM(L81)="")),"",ROUND(L81+($AB81*0.1094/4.184),3))</f>
        <v/>
      </c>
      <c r="BA81" s="85" t="n">
        <f aca="false">IF(IF(ISBLANK(M81),1,(TRIM(M81)="")),"",ROUND(M81+($AB81*0.1094/4.184),3))</f>
        <v>12.06</v>
      </c>
    </row>
    <row r="82" s="90" customFormat="true" ht="12.75" hidden="false" customHeight="false" outlineLevel="0" collapsed="false">
      <c r="A82" s="89"/>
      <c r="B82" s="38" t="s">
        <v>107</v>
      </c>
      <c r="C82" s="64" t="s">
        <v>182</v>
      </c>
      <c r="D82" s="65" t="s">
        <v>183</v>
      </c>
      <c r="E82" s="64" t="s">
        <v>391</v>
      </c>
      <c r="F82" s="63" t="n">
        <v>49.003</v>
      </c>
      <c r="G82" s="64" t="s">
        <v>392</v>
      </c>
      <c r="H82" s="63" t="n">
        <v>49.01</v>
      </c>
      <c r="I82" s="62" t="n">
        <v>48.996</v>
      </c>
      <c r="J82" s="102" t="n">
        <v>49.003</v>
      </c>
      <c r="K82" s="62" t="n">
        <v>49.004</v>
      </c>
      <c r="L82" s="65" t="s">
        <v>393</v>
      </c>
      <c r="M82" s="62" t="n">
        <v>49.005</v>
      </c>
      <c r="O82" s="38" t="s">
        <v>107</v>
      </c>
      <c r="P82" s="85" t="n">
        <f aca="false">IF(IF(ISBLANK(C82),1,(TRIM(C82)="")),"",ROUND(4.184*C82,3))</f>
        <v>201.669</v>
      </c>
      <c r="Q82" s="101" t="n">
        <f aca="false">IF(IF(ISBLANK(D82),1,(TRIM(D82)="")),"",ROUND(4.184*D82,3))</f>
        <v>200.832</v>
      </c>
      <c r="R82" s="85" t="n">
        <f aca="false">IF(IF(ISBLANK(E82),1,(TRIM(E82)="")),"",ROUND(4.184*E82,3))</f>
        <v>205.142</v>
      </c>
      <c r="S82" s="101" t="n">
        <f aca="false">IF(IF(ISBLANK(F82),1,(TRIM(F82)="")),"",ROUND(4.184*F82,3))</f>
        <v>205.029</v>
      </c>
      <c r="T82" s="85" t="n">
        <f aca="false">IF(IF(ISBLANK(G82),1,(TRIM(G82)="")),"",ROUND(4.184*G82,3))</f>
        <v>205.058</v>
      </c>
      <c r="U82" s="101" t="n">
        <f aca="false">IF(IF(ISBLANK(H82),1,(TRIM(H82)="")),"",ROUND(4.184*H82,3))</f>
        <v>205.058</v>
      </c>
      <c r="V82" s="85" t="n">
        <f aca="false">IF(IF(ISBLANK(I82),1,(TRIM(I82)="")),"",ROUND(4.184*I82,3))</f>
        <v>204.999</v>
      </c>
      <c r="W82" s="101" t="n">
        <f aca="false">IF(IF(ISBLANK(J82),1,(TRIM(J82)="")),"",ROUND(4.184*J82,3))</f>
        <v>205.029</v>
      </c>
      <c r="X82" s="85" t="n">
        <f aca="false">IF(IF(ISBLANK(K82),1,(TRIM(K82)="")),"",ROUND(4.184*K82,3))</f>
        <v>205.033</v>
      </c>
      <c r="Y82" s="101" t="n">
        <f aca="false">IF(IF(ISBLANK(L82),1,(TRIM(L82)="")),"",ROUND(4.184*L82,3))</f>
        <v>205.033</v>
      </c>
      <c r="Z82" s="85" t="n">
        <f aca="false">IF(IF(ISBLANK(M82),1,(TRIM(M82)="")),"",ROUND(4.184*M82,3))</f>
        <v>205.037</v>
      </c>
      <c r="AB82" s="34" t="n">
        <v>1</v>
      </c>
      <c r="AC82" s="38" t="s">
        <v>107</v>
      </c>
      <c r="AD82" s="85" t="n">
        <f aca="false">IF(IF(ISBLANK(C82),1,(TRIM(C82)="")),"",ROUND(4.184*C82+$AB82*0.1094,3))</f>
        <v>201.778</v>
      </c>
      <c r="AE82" s="101" t="n">
        <f aca="false">IF(IF(ISBLANK(D82),1,(TRIM(D82)="")),"",ROUND(4.184*D82+$AB82*0.1094,3))</f>
        <v>200.941</v>
      </c>
      <c r="AF82" s="85" t="n">
        <f aca="false">IF(IF(ISBLANK(E82),1,(TRIM(E82)="")),"",ROUND(4.184*E82+$AB82*0.1094,3))</f>
        <v>205.251</v>
      </c>
      <c r="AG82" s="101" t="n">
        <f aca="false">IF(IF(ISBLANK(F82),1,(TRIM(F82)="")),"",ROUND(4.184*F82+$AB82*0.1094,3))</f>
        <v>205.138</v>
      </c>
      <c r="AH82" s="85" t="n">
        <f aca="false">IF(IF(ISBLANK(G82),1,(TRIM(G82)="")),"",ROUND(4.184*G82+$AB82*0.1094,3))</f>
        <v>205.167</v>
      </c>
      <c r="AI82" s="101" t="n">
        <f aca="false">IF(IF(ISBLANK(H82),1,(TRIM(H82)="")),"",ROUND(4.184*H82+$AB82*0.1094,3))</f>
        <v>205.167</v>
      </c>
      <c r="AJ82" s="85" t="n">
        <f aca="false">IF(IF(ISBLANK(I82),1,(TRIM(I82)="")),"",ROUND(4.184*I82+$AB82*0.1094,3))</f>
        <v>205.109</v>
      </c>
      <c r="AK82" s="101" t="n">
        <f aca="false">IF(IF(ISBLANK(J82),1,(TRIM(J82)="")),"",ROUND(4.184*J82+$AB82*0.1094,3))</f>
        <v>205.138</v>
      </c>
      <c r="AL82" s="85" t="n">
        <f aca="false">IF(IF(ISBLANK(K82),1,(TRIM(K82)="")),"",ROUND(4.184*K82+$AB82*0.1094,3))</f>
        <v>205.142</v>
      </c>
      <c r="AM82" s="101" t="n">
        <f aca="false">IF(IF(ISBLANK(L82),1,(TRIM(L82)="")),"",ROUND(4.184*L82+$AB82*0.1094,3))</f>
        <v>205.142</v>
      </c>
      <c r="AN82" s="85" t="n">
        <f aca="false">IF(IF(ISBLANK(M82),1,(TRIM(M82)="")),"",ROUND(4.184*M82+$AB82*0.1094,3))</f>
        <v>205.146</v>
      </c>
      <c r="AP82" s="38" t="s">
        <v>107</v>
      </c>
      <c r="AQ82" s="85" t="n">
        <f aca="false">IF(IF(ISBLANK(C82),1,(TRIM(C82)="")),"",ROUND(C82+($AB82*0.1094/4.184),3))</f>
        <v>48.226</v>
      </c>
      <c r="AR82" s="101" t="n">
        <f aca="false">IF(IF(ISBLANK(D82),1,(TRIM(D82)="")),"",ROUND(D82+($AB82*0.1094/4.184),3))</f>
        <v>48.026</v>
      </c>
      <c r="AS82" s="85" t="n">
        <f aca="false">IF(IF(ISBLANK(E82),1,(TRIM(E82)="")),"",ROUND(E82+($AB82*0.1094/4.184),3))</f>
        <v>49.056</v>
      </c>
      <c r="AT82" s="101" t="n">
        <f aca="false">IF(IF(ISBLANK(F82),1,(TRIM(F82)="")),"",ROUND(F82+($AB82*0.1094/4.184),3))</f>
        <v>49.029</v>
      </c>
      <c r="AU82" s="85" t="n">
        <f aca="false">IF(IF(ISBLANK(G82),1,(TRIM(G82)="")),"",ROUND(G82+($AB82*0.1094/4.184),3))</f>
        <v>49.036</v>
      </c>
      <c r="AV82" s="101" t="n">
        <f aca="false">IF(IF(ISBLANK(H82),1,(TRIM(H82)="")),"",ROUND(H82+($AB82*0.1094/4.184),3))</f>
        <v>49.036</v>
      </c>
      <c r="AW82" s="85" t="n">
        <f aca="false">IF(IF(ISBLANK(I82),1,(TRIM(I82)="")),"",ROUND(I82+($AB82*0.1094/4.184),3))</f>
        <v>49.022</v>
      </c>
      <c r="AX82" s="101" t="n">
        <f aca="false">IF(IF(ISBLANK(J82),1,(TRIM(J82)="")),"",ROUND(J82+($AB82*0.1094/4.184),3))</f>
        <v>49.029</v>
      </c>
      <c r="AY82" s="85" t="n">
        <f aca="false">IF(IF(ISBLANK(K82),1,(TRIM(K82)="")),"",ROUND(K82+($AB82*0.1094/4.184),3))</f>
        <v>49.03</v>
      </c>
      <c r="AZ82" s="101" t="n">
        <f aca="false">IF(IF(ISBLANK(L82),1,(TRIM(L82)="")),"",ROUND(L82+($AB82*0.1094/4.184),3))</f>
        <v>49.03</v>
      </c>
      <c r="BA82" s="85" t="n">
        <f aca="false">IF(IF(ISBLANK(M82),1,(TRIM(M82)="")),"",ROUND(M82+($AB82*0.1094/4.184),3))</f>
        <v>49.031</v>
      </c>
    </row>
    <row r="83" customFormat="false" ht="12.75" hidden="false" customHeight="false" outlineLevel="0" collapsed="false">
      <c r="B83" s="31" t="s">
        <v>109</v>
      </c>
      <c r="C83" s="64" t="n">
        <v>7.8</v>
      </c>
      <c r="D83" s="63" t="n">
        <v>7.8</v>
      </c>
      <c r="E83" s="64" t="s">
        <v>362</v>
      </c>
      <c r="F83" s="63" t="n">
        <v>7.8</v>
      </c>
      <c r="G83" s="64" t="s">
        <v>394</v>
      </c>
      <c r="H83" s="63" t="n">
        <v>7.8</v>
      </c>
      <c r="I83" s="62"/>
      <c r="J83" s="102" t="n">
        <v>7.8</v>
      </c>
      <c r="K83" s="62"/>
      <c r="L83" s="65" t="s">
        <v>394</v>
      </c>
      <c r="M83" s="64" t="s">
        <v>395</v>
      </c>
      <c r="O83" s="31" t="s">
        <v>109</v>
      </c>
      <c r="P83" s="85" t="n">
        <f aca="false">IF(IF(ISBLANK(C83),1,(TRIM(C83)="")),"",ROUND(4.184*C83,3))</f>
        <v>32.635</v>
      </c>
      <c r="Q83" s="101" t="n">
        <f aca="false">IF(IF(ISBLANK(D83),1,(TRIM(D83)="")),"",ROUND(4.184*D83,3))</f>
        <v>32.635</v>
      </c>
      <c r="R83" s="85" t="n">
        <f aca="false">IF(IF(ISBLANK(E83),1,(TRIM(E83)="")),"",ROUND(4.184*E83,3))</f>
        <v>32.635</v>
      </c>
      <c r="S83" s="101" t="n">
        <f aca="false">IF(IF(ISBLANK(F83),1,(TRIM(F83)="")),"",ROUND(4.184*F83,3))</f>
        <v>32.635</v>
      </c>
      <c r="T83" s="85" t="n">
        <f aca="false">IF(IF(ISBLANK(G83),1,(TRIM(G83)="")),"",ROUND(4.184*G83,3))</f>
        <v>32.635</v>
      </c>
      <c r="U83" s="101" t="n">
        <f aca="false">IF(IF(ISBLANK(H83),1,(TRIM(H83)="")),"",ROUND(4.184*H83,3))</f>
        <v>32.635</v>
      </c>
      <c r="V83" s="85" t="str">
        <f aca="false">IF(IF(ISBLANK(I83),1,(TRIM(I83)="")),"",ROUND(4.184*I83,3))</f>
        <v/>
      </c>
      <c r="W83" s="101" t="n">
        <f aca="false">IF(IF(ISBLANK(J83),1,(TRIM(J83)="")),"",ROUND(4.184*J83,3))</f>
        <v>32.635</v>
      </c>
      <c r="X83" s="85" t="str">
        <f aca="false">IF(IF(ISBLANK(K83),1,(TRIM(K83)="")),"",ROUND(4.184*K83,3))</f>
        <v/>
      </c>
      <c r="Y83" s="101" t="n">
        <f aca="false">IF(IF(ISBLANK(L83),1,(TRIM(L83)="")),"",ROUND(4.184*L83,3))</f>
        <v>32.635</v>
      </c>
      <c r="Z83" s="85" t="n">
        <f aca="false">IF(IF(ISBLANK(M83),1,(TRIM(M83)="")),"",ROUND(4.184*M83,3))</f>
        <v>32.635</v>
      </c>
      <c r="AB83" s="34"/>
      <c r="AC83" s="31" t="s">
        <v>109</v>
      </c>
      <c r="AD83" s="85" t="n">
        <f aca="false">IF(IF(ISBLANK(C83),1,(TRIM(C83)="")),"",ROUND(4.184*C83+$AB83*0.1094,3))</f>
        <v>32.635</v>
      </c>
      <c r="AE83" s="101" t="n">
        <f aca="false">IF(IF(ISBLANK(D83),1,(TRIM(D83)="")),"",ROUND(4.184*D83+$AB83*0.1094,3))</f>
        <v>32.635</v>
      </c>
      <c r="AF83" s="85" t="n">
        <f aca="false">IF(IF(ISBLANK(E83),1,(TRIM(E83)="")),"",ROUND(4.184*E83+$AB83*0.1094,3))</f>
        <v>32.635</v>
      </c>
      <c r="AG83" s="101" t="n">
        <f aca="false">IF(IF(ISBLANK(F83),1,(TRIM(F83)="")),"",ROUND(4.184*F83+$AB83*0.1094,3))</f>
        <v>32.635</v>
      </c>
      <c r="AH83" s="85" t="n">
        <f aca="false">IF(IF(ISBLANK(G83),1,(TRIM(G83)="")),"",ROUND(4.184*G83+$AB83*0.1094,3))</f>
        <v>32.635</v>
      </c>
      <c r="AI83" s="101" t="n">
        <f aca="false">IF(IF(ISBLANK(H83),1,(TRIM(H83)="")),"",ROUND(4.184*H83+$AB83*0.1094,3))</f>
        <v>32.635</v>
      </c>
      <c r="AJ83" s="85" t="str">
        <f aca="false">IF(IF(ISBLANK(I83),1,(TRIM(I83)="")),"",ROUND(4.184*I83+$AB83*0.1094,3))</f>
        <v/>
      </c>
      <c r="AK83" s="101" t="n">
        <f aca="false">IF(IF(ISBLANK(J83),1,(TRIM(J83)="")),"",ROUND(4.184*J83+$AB83*0.1094,3))</f>
        <v>32.635</v>
      </c>
      <c r="AL83" s="85" t="str">
        <f aca="false">IF(IF(ISBLANK(K83),1,(TRIM(K83)="")),"",ROUND(4.184*K83+$AB83*0.1094,3))</f>
        <v/>
      </c>
      <c r="AM83" s="101" t="n">
        <f aca="false">IF(IF(ISBLANK(L83),1,(TRIM(L83)="")),"",ROUND(4.184*L83+$AB83*0.1094,3))</f>
        <v>32.635</v>
      </c>
      <c r="AN83" s="85" t="n">
        <f aca="false">IF(IF(ISBLANK(M83),1,(TRIM(M83)="")),"",ROUND(4.184*M83+$AB83*0.1094,3))</f>
        <v>32.635</v>
      </c>
      <c r="AP83" s="31" t="s">
        <v>109</v>
      </c>
      <c r="AQ83" s="85" t="n">
        <f aca="false">IF(IF(ISBLANK(C83),1,(TRIM(C83)="")),"",ROUND(C83+($AB83*0.1094/4.184),3))</f>
        <v>7.8</v>
      </c>
      <c r="AR83" s="101" t="n">
        <f aca="false">IF(IF(ISBLANK(D83),1,(TRIM(D83)="")),"",ROUND(D83+($AB83*0.1094/4.184),3))</f>
        <v>7.8</v>
      </c>
      <c r="AS83" s="85" t="n">
        <f aca="false">IF(IF(ISBLANK(E83),1,(TRIM(E83)="")),"",ROUND(E83+($AB83*0.1094/4.184),3))</f>
        <v>7.8</v>
      </c>
      <c r="AT83" s="101" t="n">
        <f aca="false">IF(IF(ISBLANK(F83),1,(TRIM(F83)="")),"",ROUND(F83+($AB83*0.1094/4.184),3))</f>
        <v>7.8</v>
      </c>
      <c r="AU83" s="85" t="n">
        <f aca="false">IF(IF(ISBLANK(G83),1,(TRIM(G83)="")),"",ROUND(G83+($AB83*0.1094/4.184),3))</f>
        <v>7.8</v>
      </c>
      <c r="AV83" s="101" t="n">
        <f aca="false">IF(IF(ISBLANK(H83),1,(TRIM(H83)="")),"",ROUND(H83+($AB83*0.1094/4.184),3))</f>
        <v>7.8</v>
      </c>
      <c r="AW83" s="85" t="str">
        <f aca="false">IF(IF(ISBLANK(I83),1,(TRIM(I83)="")),"",ROUND(I83+($AB83*0.1094/4.184),3))</f>
        <v/>
      </c>
      <c r="AX83" s="101" t="n">
        <f aca="false">IF(IF(ISBLANK(J83),1,(TRIM(J83)="")),"",ROUND(J83+($AB83*0.1094/4.184),3))</f>
        <v>7.8</v>
      </c>
      <c r="AY83" s="85" t="str">
        <f aca="false">IF(IF(ISBLANK(K83),1,(TRIM(K83)="")),"",ROUND(K83+($AB83*0.1094/4.184),3))</f>
        <v/>
      </c>
      <c r="AZ83" s="101" t="n">
        <f aca="false">IF(IF(ISBLANK(L83),1,(TRIM(L83)="")),"",ROUND(L83+($AB83*0.1094/4.184),3))</f>
        <v>7.8</v>
      </c>
      <c r="BA83" s="85" t="n">
        <f aca="false">IF(IF(ISBLANK(M83),1,(TRIM(M83)="")),"",ROUND(M83+($AB83*0.1094/4.184),3))</f>
        <v>7.8</v>
      </c>
    </row>
    <row r="84" customFormat="false" ht="12.75" hidden="false" customHeight="false" outlineLevel="0" collapsed="false">
      <c r="B84" s="31" t="s">
        <v>110</v>
      </c>
      <c r="C84" s="62"/>
      <c r="D84" s="63"/>
      <c r="E84" s="64"/>
      <c r="F84" s="65" t="s">
        <v>396</v>
      </c>
      <c r="G84" s="64" t="s">
        <v>397</v>
      </c>
      <c r="H84" s="65" t="s">
        <v>398</v>
      </c>
      <c r="I84" s="64" t="s">
        <v>399</v>
      </c>
      <c r="J84" s="102" t="n">
        <v>9.82</v>
      </c>
      <c r="K84" s="64" t="s">
        <v>400</v>
      </c>
      <c r="L84" s="65" t="s">
        <v>401</v>
      </c>
      <c r="M84" s="64" t="s">
        <v>402</v>
      </c>
      <c r="O84" s="31" t="s">
        <v>110</v>
      </c>
      <c r="P84" s="85" t="str">
        <f aca="false">IF(IF(ISBLANK(C84),1,(TRIM(C84)="")),"",ROUND(4.184*C84,3))</f>
        <v/>
      </c>
      <c r="Q84" s="101" t="str">
        <f aca="false">IF(IF(ISBLANK(D84),1,(TRIM(D84)="")),"",ROUND(4.184*D84,3))</f>
        <v/>
      </c>
      <c r="R84" s="85" t="str">
        <f aca="false">IF(IF(ISBLANK(E84),1,(TRIM(E84)="")),"",ROUND(4.184*E84,3))</f>
        <v/>
      </c>
      <c r="S84" s="101" t="n">
        <f aca="false">IF(IF(ISBLANK(F84),1,(TRIM(F84)="")),"",ROUND(4.184*F84,3))</f>
        <v>44.35</v>
      </c>
      <c r="T84" s="85" t="n">
        <f aca="false">IF(IF(ISBLANK(G84),1,(TRIM(G84)="")),"",ROUND(4.184*G84,3))</f>
        <v>22.845</v>
      </c>
      <c r="U84" s="101" t="n">
        <f aca="false">IF(IF(ISBLANK(H84),1,(TRIM(H84)="")),"",ROUND(4.184*H84,3))</f>
        <v>41.003</v>
      </c>
      <c r="V84" s="85" t="n">
        <f aca="false">IF(IF(ISBLANK(I84),1,(TRIM(I84)="")),"",ROUND(4.184*I84,3))</f>
        <v>22.803</v>
      </c>
      <c r="W84" s="101" t="n">
        <f aca="false">IF(IF(ISBLANK(J84),1,(TRIM(J84)="")),"",ROUND(4.184*J84,3))</f>
        <v>41.087</v>
      </c>
      <c r="X84" s="85" t="n">
        <f aca="false">IF(IF(ISBLANK(K84),1,(TRIM(K84)="")),"",ROUND(4.184*K84,3))</f>
        <v>22.803</v>
      </c>
      <c r="Y84" s="101" t="n">
        <f aca="false">IF(IF(ISBLANK(L84),1,(TRIM(L84)="")),"",ROUND(4.184*L84,3))</f>
        <v>41.003</v>
      </c>
      <c r="Z84" s="85" t="n">
        <f aca="false">IF(IF(ISBLANK(M84),1,(TRIM(M84)="")),"",ROUND(4.184*M84,3))</f>
        <v>41.087</v>
      </c>
      <c r="AB84" s="34"/>
      <c r="AC84" s="31" t="s">
        <v>110</v>
      </c>
      <c r="AD84" s="85" t="str">
        <f aca="false">IF(IF(ISBLANK(C84),1,(TRIM(C84)="")),"",ROUND(4.184*C84+$AB84*0.1094,3))</f>
        <v/>
      </c>
      <c r="AE84" s="101" t="str">
        <f aca="false">IF(IF(ISBLANK(D84),1,(TRIM(D84)="")),"",ROUND(4.184*D84+$AB84*0.1094,3))</f>
        <v/>
      </c>
      <c r="AF84" s="85" t="str">
        <f aca="false">IF(IF(ISBLANK(E84),1,(TRIM(E84)="")),"",ROUND(4.184*E84+$AB84*0.1094,3))</f>
        <v/>
      </c>
      <c r="AG84" s="101" t="n">
        <f aca="false">IF(IF(ISBLANK(F84),1,(TRIM(F84)="")),"",ROUND(4.184*F84+$AB84*0.1094,3))</f>
        <v>44.35</v>
      </c>
      <c r="AH84" s="85" t="n">
        <f aca="false">IF(IF(ISBLANK(G84),1,(TRIM(G84)="")),"",ROUND(4.184*G84+$AB84*0.1094,3))</f>
        <v>22.845</v>
      </c>
      <c r="AI84" s="101" t="n">
        <f aca="false">IF(IF(ISBLANK(H84),1,(TRIM(H84)="")),"",ROUND(4.184*H84+$AB84*0.1094,3))</f>
        <v>41.003</v>
      </c>
      <c r="AJ84" s="85" t="n">
        <f aca="false">IF(IF(ISBLANK(I84),1,(TRIM(I84)="")),"",ROUND(4.184*I84+$AB84*0.1094,3))</f>
        <v>22.803</v>
      </c>
      <c r="AK84" s="101" t="n">
        <f aca="false">IF(IF(ISBLANK(J84),1,(TRIM(J84)="")),"",ROUND(4.184*J84+$AB84*0.1094,3))</f>
        <v>41.087</v>
      </c>
      <c r="AL84" s="85" t="n">
        <f aca="false">IF(IF(ISBLANK(K84),1,(TRIM(K84)="")),"",ROUND(4.184*K84+$AB84*0.1094,3))</f>
        <v>22.803</v>
      </c>
      <c r="AM84" s="101" t="n">
        <f aca="false">IF(IF(ISBLANK(L84),1,(TRIM(L84)="")),"",ROUND(4.184*L84+$AB84*0.1094,3))</f>
        <v>41.003</v>
      </c>
      <c r="AN84" s="85" t="n">
        <f aca="false">IF(IF(ISBLANK(M84),1,(TRIM(M84)="")),"",ROUND(4.184*M84+$AB84*0.1094,3))</f>
        <v>41.087</v>
      </c>
      <c r="AP84" s="31" t="s">
        <v>110</v>
      </c>
      <c r="AQ84" s="85" t="str">
        <f aca="false">IF(IF(ISBLANK(C84),1,(TRIM(C84)="")),"",ROUND(C84+($AB84*0.1094/4.184),3))</f>
        <v/>
      </c>
      <c r="AR84" s="101" t="str">
        <f aca="false">IF(IF(ISBLANK(D84),1,(TRIM(D84)="")),"",ROUND(D84+($AB84*0.1094/4.184),3))</f>
        <v/>
      </c>
      <c r="AS84" s="85" t="str">
        <f aca="false">IF(IF(ISBLANK(E84),1,(TRIM(E84)="")),"",ROUND(E84+($AB84*0.1094/4.184),3))</f>
        <v/>
      </c>
      <c r="AT84" s="101" t="n">
        <f aca="false">IF(IF(ISBLANK(F84),1,(TRIM(F84)="")),"",ROUND(F84+($AB84*0.1094/4.184),3))</f>
        <v>10.6</v>
      </c>
      <c r="AU84" s="85" t="n">
        <f aca="false">IF(IF(ISBLANK(G84),1,(TRIM(G84)="")),"",ROUND(G84+($AB84*0.1094/4.184),3))</f>
        <v>5.46</v>
      </c>
      <c r="AV84" s="101" t="n">
        <f aca="false">IF(IF(ISBLANK(H84),1,(TRIM(H84)="")),"",ROUND(H84+($AB84*0.1094/4.184),3))</f>
        <v>9.8</v>
      </c>
      <c r="AW84" s="85" t="n">
        <f aca="false">IF(IF(ISBLANK(I84),1,(TRIM(I84)="")),"",ROUND(I84+($AB84*0.1094/4.184),3))</f>
        <v>5.45</v>
      </c>
      <c r="AX84" s="101" t="n">
        <f aca="false">IF(IF(ISBLANK(J84),1,(TRIM(J84)="")),"",ROUND(J84+($AB84*0.1094/4.184),3))</f>
        <v>9.82</v>
      </c>
      <c r="AY84" s="85" t="n">
        <f aca="false">IF(IF(ISBLANK(K84),1,(TRIM(K84)="")),"",ROUND(K84+($AB84*0.1094/4.184),3))</f>
        <v>5.45</v>
      </c>
      <c r="AZ84" s="101" t="n">
        <f aca="false">IF(IF(ISBLANK(L84),1,(TRIM(L84)="")),"",ROUND(L84+($AB84*0.1094/4.184),3))</f>
        <v>9.8</v>
      </c>
      <c r="BA84" s="85" t="n">
        <f aca="false">IF(IF(ISBLANK(M84),1,(TRIM(M84)="")),"",ROUND(M84+($AB84*0.1094/4.184),3))</f>
        <v>9.82</v>
      </c>
    </row>
    <row r="85" customFormat="false" ht="12.75" hidden="false" customHeight="false" outlineLevel="0" collapsed="false">
      <c r="B85" s="31" t="s">
        <v>111</v>
      </c>
      <c r="C85" s="62"/>
      <c r="D85" s="63"/>
      <c r="E85" s="64"/>
      <c r="F85" s="63"/>
      <c r="G85" s="64" t="s">
        <v>403</v>
      </c>
      <c r="H85" s="63" t="n">
        <v>12.4</v>
      </c>
      <c r="I85" s="62"/>
      <c r="J85" s="102" t="n">
        <v>12.4</v>
      </c>
      <c r="K85" s="62"/>
      <c r="L85" s="63"/>
      <c r="M85" s="64" t="s">
        <v>404</v>
      </c>
      <c r="O85" s="31" t="s">
        <v>111</v>
      </c>
      <c r="P85" s="85" t="str">
        <f aca="false">IF(IF(ISBLANK(C85),1,(TRIM(C85)="")),"",ROUND(4.184*C85,3))</f>
        <v/>
      </c>
      <c r="Q85" s="101" t="str">
        <f aca="false">IF(IF(ISBLANK(D85),1,(TRIM(D85)="")),"",ROUND(4.184*D85,3))</f>
        <v/>
      </c>
      <c r="R85" s="85" t="str">
        <f aca="false">IF(IF(ISBLANK(E85),1,(TRIM(E85)="")),"",ROUND(4.184*E85,3))</f>
        <v/>
      </c>
      <c r="S85" s="101" t="str">
        <f aca="false">IF(IF(ISBLANK(F85),1,(TRIM(F85)="")),"",ROUND(4.184*F85,3))</f>
        <v/>
      </c>
      <c r="T85" s="85" t="n">
        <f aca="false">IF(IF(ISBLANK(G85),1,(TRIM(G85)="")),"",ROUND(4.184*G85,3))</f>
        <v>51.882</v>
      </c>
      <c r="U85" s="101" t="n">
        <f aca="false">IF(IF(ISBLANK(H85),1,(TRIM(H85)="")),"",ROUND(4.184*H85,3))</f>
        <v>51.882</v>
      </c>
      <c r="V85" s="85" t="str">
        <f aca="false">IF(IF(ISBLANK(I85),1,(TRIM(I85)="")),"",ROUND(4.184*I85,3))</f>
        <v/>
      </c>
      <c r="W85" s="101" t="n">
        <f aca="false">IF(IF(ISBLANK(J85),1,(TRIM(J85)="")),"",ROUND(4.184*J85,3))</f>
        <v>51.882</v>
      </c>
      <c r="X85" s="85" t="str">
        <f aca="false">IF(IF(ISBLANK(K85),1,(TRIM(K85)="")),"",ROUND(4.184*K85,3))</f>
        <v/>
      </c>
      <c r="Y85" s="101" t="str">
        <f aca="false">IF(IF(ISBLANK(L85),1,(TRIM(L85)="")),"",ROUND(4.184*L85,3))</f>
        <v/>
      </c>
      <c r="Z85" s="85" t="n">
        <f aca="false">IF(IF(ISBLANK(M85),1,(TRIM(M85)="")),"",ROUND(4.184*M85,3))</f>
        <v>51.882</v>
      </c>
      <c r="AB85" s="34"/>
      <c r="AC85" s="31" t="s">
        <v>111</v>
      </c>
      <c r="AD85" s="85" t="str">
        <f aca="false">IF(IF(ISBLANK(C85),1,(TRIM(C85)="")),"",ROUND(4.184*C85+$AB85*0.1094,3))</f>
        <v/>
      </c>
      <c r="AE85" s="101" t="str">
        <f aca="false">IF(IF(ISBLANK(D85),1,(TRIM(D85)="")),"",ROUND(4.184*D85+$AB85*0.1094,3))</f>
        <v/>
      </c>
      <c r="AF85" s="85" t="str">
        <f aca="false">IF(IF(ISBLANK(E85),1,(TRIM(E85)="")),"",ROUND(4.184*E85+$AB85*0.1094,3))</f>
        <v/>
      </c>
      <c r="AG85" s="101" t="str">
        <f aca="false">IF(IF(ISBLANK(F85),1,(TRIM(F85)="")),"",ROUND(4.184*F85+$AB85*0.1094,3))</f>
        <v/>
      </c>
      <c r="AH85" s="85" t="n">
        <f aca="false">IF(IF(ISBLANK(G85),1,(TRIM(G85)="")),"",ROUND(4.184*G85+$AB85*0.1094,3))</f>
        <v>51.882</v>
      </c>
      <c r="AI85" s="101" t="n">
        <f aca="false">IF(IF(ISBLANK(H85),1,(TRIM(H85)="")),"",ROUND(4.184*H85+$AB85*0.1094,3))</f>
        <v>51.882</v>
      </c>
      <c r="AJ85" s="85" t="str">
        <f aca="false">IF(IF(ISBLANK(I85),1,(TRIM(I85)="")),"",ROUND(4.184*I85+$AB85*0.1094,3))</f>
        <v/>
      </c>
      <c r="AK85" s="101" t="n">
        <f aca="false">IF(IF(ISBLANK(J85),1,(TRIM(J85)="")),"",ROUND(4.184*J85+$AB85*0.1094,3))</f>
        <v>51.882</v>
      </c>
      <c r="AL85" s="85" t="str">
        <f aca="false">IF(IF(ISBLANK(K85),1,(TRIM(K85)="")),"",ROUND(4.184*K85+$AB85*0.1094,3))</f>
        <v/>
      </c>
      <c r="AM85" s="101" t="str">
        <f aca="false">IF(IF(ISBLANK(L85),1,(TRIM(L85)="")),"",ROUND(4.184*L85+$AB85*0.1094,3))</f>
        <v/>
      </c>
      <c r="AN85" s="85" t="n">
        <f aca="false">IF(IF(ISBLANK(M85),1,(TRIM(M85)="")),"",ROUND(4.184*M85+$AB85*0.1094,3))</f>
        <v>51.882</v>
      </c>
      <c r="AP85" s="31" t="s">
        <v>111</v>
      </c>
      <c r="AQ85" s="85" t="str">
        <f aca="false">IF(IF(ISBLANK(C85),1,(TRIM(C85)="")),"",ROUND(C85+($AB85*0.1094/4.184),3))</f>
        <v/>
      </c>
      <c r="AR85" s="101" t="str">
        <f aca="false">IF(IF(ISBLANK(D85),1,(TRIM(D85)="")),"",ROUND(D85+($AB85*0.1094/4.184),3))</f>
        <v/>
      </c>
      <c r="AS85" s="85" t="str">
        <f aca="false">IF(IF(ISBLANK(E85),1,(TRIM(E85)="")),"",ROUND(E85+($AB85*0.1094/4.184),3))</f>
        <v/>
      </c>
      <c r="AT85" s="101" t="str">
        <f aca="false">IF(IF(ISBLANK(F85),1,(TRIM(F85)="")),"",ROUND(F85+($AB85*0.1094/4.184),3))</f>
        <v/>
      </c>
      <c r="AU85" s="85" t="n">
        <f aca="false">IF(IF(ISBLANK(G85),1,(TRIM(G85)="")),"",ROUND(G85+($AB85*0.1094/4.184),3))</f>
        <v>12.4</v>
      </c>
      <c r="AV85" s="101" t="n">
        <f aca="false">IF(IF(ISBLANK(H85),1,(TRIM(H85)="")),"",ROUND(H85+($AB85*0.1094/4.184),3))</f>
        <v>12.4</v>
      </c>
      <c r="AW85" s="85" t="str">
        <f aca="false">IF(IF(ISBLANK(I85),1,(TRIM(I85)="")),"",ROUND(I85+($AB85*0.1094/4.184),3))</f>
        <v/>
      </c>
      <c r="AX85" s="101" t="n">
        <f aca="false">IF(IF(ISBLANK(J85),1,(TRIM(J85)="")),"",ROUND(J85+($AB85*0.1094/4.184),3))</f>
        <v>12.4</v>
      </c>
      <c r="AY85" s="85" t="str">
        <f aca="false">IF(IF(ISBLANK(K85),1,(TRIM(K85)="")),"",ROUND(K85+($AB85*0.1094/4.184),3))</f>
        <v/>
      </c>
      <c r="AZ85" s="101" t="str">
        <f aca="false">IF(IF(ISBLANK(L85),1,(TRIM(L85)="")),"",ROUND(L85+($AB85*0.1094/4.184),3))</f>
        <v/>
      </c>
      <c r="BA85" s="85" t="n">
        <f aca="false">IF(IF(ISBLANK(M85),1,(TRIM(M85)="")),"",ROUND(M85+($AB85*0.1094/4.184),3))</f>
        <v>12.4</v>
      </c>
    </row>
    <row r="86" customFormat="false" ht="12.75" hidden="false" customHeight="false" outlineLevel="0" collapsed="false">
      <c r="B86" s="31" t="s">
        <v>112</v>
      </c>
      <c r="C86" s="62" t="n">
        <v>15.4</v>
      </c>
      <c r="D86" s="63" t="n">
        <v>15.53</v>
      </c>
      <c r="E86" s="64" t="s">
        <v>405</v>
      </c>
      <c r="F86" s="63" t="n">
        <v>15.51</v>
      </c>
      <c r="G86" s="64" t="s">
        <v>406</v>
      </c>
      <c r="H86" s="63" t="n">
        <v>15.49</v>
      </c>
      <c r="I86" s="62" t="n">
        <v>15.55</v>
      </c>
      <c r="J86" s="102" t="n">
        <v>15.49</v>
      </c>
      <c r="K86" s="62" t="n">
        <v>15.484</v>
      </c>
      <c r="L86" s="65" t="s">
        <v>407</v>
      </c>
      <c r="M86" s="64" t="s">
        <v>408</v>
      </c>
      <c r="O86" s="31" t="s">
        <v>112</v>
      </c>
      <c r="P86" s="85" t="n">
        <f aca="false">IF(IF(ISBLANK(C86),1,(TRIM(C86)="")),"",ROUND(4.184*C86,3))</f>
        <v>64.434</v>
      </c>
      <c r="Q86" s="101" t="n">
        <f aca="false">IF(IF(ISBLANK(D86),1,(TRIM(D86)="")),"",ROUND(4.184*D86,3))</f>
        <v>64.978</v>
      </c>
      <c r="R86" s="85" t="n">
        <f aca="false">IF(IF(ISBLANK(E86),1,(TRIM(E86)="")),"",ROUND(4.184*E86,3))</f>
        <v>65.27</v>
      </c>
      <c r="S86" s="101" t="n">
        <f aca="false">IF(IF(ISBLANK(F86),1,(TRIM(F86)="")),"",ROUND(4.184*F86,3))</f>
        <v>64.894</v>
      </c>
      <c r="T86" s="85" t="n">
        <f aca="false">IF(IF(ISBLANK(G86),1,(TRIM(G86)="")),"",ROUND(4.184*G86,3))</f>
        <v>64.81</v>
      </c>
      <c r="U86" s="101" t="n">
        <f aca="false">IF(IF(ISBLANK(H86),1,(TRIM(H86)="")),"",ROUND(4.184*H86,3))</f>
        <v>64.81</v>
      </c>
      <c r="V86" s="85" t="n">
        <f aca="false">IF(IF(ISBLANK(I86),1,(TRIM(I86)="")),"",ROUND(4.184*I86,3))</f>
        <v>65.061</v>
      </c>
      <c r="W86" s="101" t="n">
        <f aca="false">IF(IF(ISBLANK(J86),1,(TRIM(J86)="")),"",ROUND(4.184*J86,3))</f>
        <v>64.81</v>
      </c>
      <c r="X86" s="85" t="n">
        <f aca="false">IF(IF(ISBLANK(K86),1,(TRIM(K86)="")),"",ROUND(4.184*K86,3))</f>
        <v>64.785</v>
      </c>
      <c r="Y86" s="101" t="n">
        <f aca="false">IF(IF(ISBLANK(L86),1,(TRIM(L86)="")),"",ROUND(4.184*L86,3))</f>
        <v>65.061</v>
      </c>
      <c r="Z86" s="85" t="n">
        <f aca="false">IF(IF(ISBLANK(M86),1,(TRIM(M86)="")),"",ROUND(4.184*M86,3))</f>
        <v>64.81</v>
      </c>
      <c r="AB86" s="34"/>
      <c r="AC86" s="31" t="s">
        <v>112</v>
      </c>
      <c r="AD86" s="85" t="n">
        <f aca="false">IF(IF(ISBLANK(C86),1,(TRIM(C86)="")),"",ROUND(4.184*C86+$AB86*0.1094,3))</f>
        <v>64.434</v>
      </c>
      <c r="AE86" s="101" t="n">
        <f aca="false">IF(IF(ISBLANK(D86),1,(TRIM(D86)="")),"",ROUND(4.184*D86+$AB86*0.1094,3))</f>
        <v>64.978</v>
      </c>
      <c r="AF86" s="85" t="n">
        <f aca="false">IF(IF(ISBLANK(E86),1,(TRIM(E86)="")),"",ROUND(4.184*E86+$AB86*0.1094,3))</f>
        <v>65.27</v>
      </c>
      <c r="AG86" s="101" t="n">
        <f aca="false">IF(IF(ISBLANK(F86),1,(TRIM(F86)="")),"",ROUND(4.184*F86+$AB86*0.1094,3))</f>
        <v>64.894</v>
      </c>
      <c r="AH86" s="85" t="n">
        <f aca="false">IF(IF(ISBLANK(G86),1,(TRIM(G86)="")),"",ROUND(4.184*G86+$AB86*0.1094,3))</f>
        <v>64.81</v>
      </c>
      <c r="AI86" s="101" t="n">
        <f aca="false">IF(IF(ISBLANK(H86),1,(TRIM(H86)="")),"",ROUND(4.184*H86+$AB86*0.1094,3))</f>
        <v>64.81</v>
      </c>
      <c r="AJ86" s="85" t="n">
        <f aca="false">IF(IF(ISBLANK(I86),1,(TRIM(I86)="")),"",ROUND(4.184*I86+$AB86*0.1094,3))</f>
        <v>65.061</v>
      </c>
      <c r="AK86" s="101" t="n">
        <f aca="false">IF(IF(ISBLANK(J86),1,(TRIM(J86)="")),"",ROUND(4.184*J86+$AB86*0.1094,3))</f>
        <v>64.81</v>
      </c>
      <c r="AL86" s="85" t="n">
        <f aca="false">IF(IF(ISBLANK(K86),1,(TRIM(K86)="")),"",ROUND(4.184*K86+$AB86*0.1094,3))</f>
        <v>64.785</v>
      </c>
      <c r="AM86" s="101" t="n">
        <f aca="false">IF(IF(ISBLANK(L86),1,(TRIM(L86)="")),"",ROUND(4.184*L86+$AB86*0.1094,3))</f>
        <v>65.061</v>
      </c>
      <c r="AN86" s="85" t="n">
        <f aca="false">IF(IF(ISBLANK(M86),1,(TRIM(M86)="")),"",ROUND(4.184*M86+$AB86*0.1094,3))</f>
        <v>64.81</v>
      </c>
      <c r="AP86" s="31" t="s">
        <v>112</v>
      </c>
      <c r="AQ86" s="85" t="n">
        <f aca="false">IF(IF(ISBLANK(C86),1,(TRIM(C86)="")),"",ROUND(C86+($AB86*0.1094/4.184),3))</f>
        <v>15.4</v>
      </c>
      <c r="AR86" s="101" t="n">
        <f aca="false">IF(IF(ISBLANK(D86),1,(TRIM(D86)="")),"",ROUND(D86+($AB86*0.1094/4.184),3))</f>
        <v>15.53</v>
      </c>
      <c r="AS86" s="85" t="n">
        <f aca="false">IF(IF(ISBLANK(E86),1,(TRIM(E86)="")),"",ROUND(E86+($AB86*0.1094/4.184),3))</f>
        <v>15.6</v>
      </c>
      <c r="AT86" s="101" t="n">
        <f aca="false">IF(IF(ISBLANK(F86),1,(TRIM(F86)="")),"",ROUND(F86+($AB86*0.1094/4.184),3))</f>
        <v>15.51</v>
      </c>
      <c r="AU86" s="85" t="n">
        <f aca="false">IF(IF(ISBLANK(G86),1,(TRIM(G86)="")),"",ROUND(G86+($AB86*0.1094/4.184),3))</f>
        <v>15.49</v>
      </c>
      <c r="AV86" s="101" t="n">
        <f aca="false">IF(IF(ISBLANK(H86),1,(TRIM(H86)="")),"",ROUND(H86+($AB86*0.1094/4.184),3))</f>
        <v>15.49</v>
      </c>
      <c r="AW86" s="85" t="n">
        <f aca="false">IF(IF(ISBLANK(I86),1,(TRIM(I86)="")),"",ROUND(I86+($AB86*0.1094/4.184),3))</f>
        <v>15.55</v>
      </c>
      <c r="AX86" s="101" t="n">
        <f aca="false">IF(IF(ISBLANK(J86),1,(TRIM(J86)="")),"",ROUND(J86+($AB86*0.1094/4.184),3))</f>
        <v>15.49</v>
      </c>
      <c r="AY86" s="85" t="n">
        <f aca="false">IF(IF(ISBLANK(K86),1,(TRIM(K86)="")),"",ROUND(K86+($AB86*0.1094/4.184),3))</f>
        <v>15.484</v>
      </c>
      <c r="AZ86" s="101" t="n">
        <f aca="false">IF(IF(ISBLANK(L86),1,(TRIM(L86)="")),"",ROUND(L86+($AB86*0.1094/4.184),3))</f>
        <v>15.55</v>
      </c>
      <c r="BA86" s="85" t="n">
        <f aca="false">IF(IF(ISBLANK(M86),1,(TRIM(M86)="")),"",ROUND(M86+($AB86*0.1094/4.184),3))</f>
        <v>15.49</v>
      </c>
    </row>
    <row r="87" customFormat="false" ht="12.75" hidden="false" customHeight="false" outlineLevel="0" collapsed="false">
      <c r="B87" s="38" t="s">
        <v>113</v>
      </c>
      <c r="C87" s="62" t="n">
        <v>8.9</v>
      </c>
      <c r="D87" s="63" t="n">
        <v>8.9</v>
      </c>
      <c r="E87" s="64" t="s">
        <v>409</v>
      </c>
      <c r="F87" s="63" t="n">
        <v>8.9</v>
      </c>
      <c r="G87" s="64" t="s">
        <v>410</v>
      </c>
      <c r="H87" s="63" t="n">
        <v>9.06</v>
      </c>
      <c r="I87" s="62"/>
      <c r="J87" s="102" t="n">
        <v>8.98</v>
      </c>
      <c r="K87" s="62"/>
      <c r="L87" s="65" t="s">
        <v>411</v>
      </c>
      <c r="M87" s="62" t="n">
        <v>9.013</v>
      </c>
      <c r="O87" s="38" t="s">
        <v>113</v>
      </c>
      <c r="P87" s="85" t="n">
        <f aca="false">IF(IF(ISBLANK(C87),1,(TRIM(C87)="")),"",ROUND(4.184*C87,3))</f>
        <v>37.238</v>
      </c>
      <c r="Q87" s="101" t="n">
        <f aca="false">IF(IF(ISBLANK(D87),1,(TRIM(D87)="")),"",ROUND(4.184*D87,3))</f>
        <v>37.238</v>
      </c>
      <c r="R87" s="85" t="n">
        <f aca="false">IF(IF(ISBLANK(E87),1,(TRIM(E87)="")),"",ROUND(4.184*E87,3))</f>
        <v>37.238</v>
      </c>
      <c r="S87" s="101" t="n">
        <f aca="false">IF(IF(ISBLANK(F87),1,(TRIM(F87)="")),"",ROUND(4.184*F87,3))</f>
        <v>37.238</v>
      </c>
      <c r="T87" s="85" t="n">
        <f aca="false">IF(IF(ISBLANK(G87),1,(TRIM(G87)="")),"",ROUND(4.184*G87,3))</f>
        <v>37.865</v>
      </c>
      <c r="U87" s="101" t="n">
        <f aca="false">IF(IF(ISBLANK(H87),1,(TRIM(H87)="")),"",ROUND(4.184*H87,3))</f>
        <v>37.907</v>
      </c>
      <c r="V87" s="85" t="str">
        <f aca="false">IF(IF(ISBLANK(I87),1,(TRIM(I87)="")),"",ROUND(4.184*I87,3))</f>
        <v/>
      </c>
      <c r="W87" s="101" t="n">
        <f aca="false">IF(IF(ISBLANK(J87),1,(TRIM(J87)="")),"",ROUND(4.184*J87,3))</f>
        <v>37.572</v>
      </c>
      <c r="X87" s="85" t="str">
        <f aca="false">IF(IF(ISBLANK(K87),1,(TRIM(K87)="")),"",ROUND(4.184*K87,3))</f>
        <v/>
      </c>
      <c r="Y87" s="101" t="n">
        <f aca="false">IF(IF(ISBLANK(L87),1,(TRIM(L87)="")),"",ROUND(4.184*L87,3))</f>
        <v>37.823</v>
      </c>
      <c r="Z87" s="85" t="n">
        <f aca="false">IF(IF(ISBLANK(M87),1,(TRIM(M87)="")),"",ROUND(4.184*M87,3))</f>
        <v>37.71</v>
      </c>
      <c r="AB87" s="34"/>
      <c r="AC87" s="38" t="s">
        <v>113</v>
      </c>
      <c r="AD87" s="85" t="n">
        <f aca="false">IF(IF(ISBLANK(C87),1,(TRIM(C87)="")),"",ROUND(4.184*C87+$AB87*0.1094,3))</f>
        <v>37.238</v>
      </c>
      <c r="AE87" s="101" t="n">
        <f aca="false">IF(IF(ISBLANK(D87),1,(TRIM(D87)="")),"",ROUND(4.184*D87+$AB87*0.1094,3))</f>
        <v>37.238</v>
      </c>
      <c r="AF87" s="85" t="n">
        <f aca="false">IF(IF(ISBLANK(E87),1,(TRIM(E87)="")),"",ROUND(4.184*E87+$AB87*0.1094,3))</f>
        <v>37.238</v>
      </c>
      <c r="AG87" s="101" t="n">
        <f aca="false">IF(IF(ISBLANK(F87),1,(TRIM(F87)="")),"",ROUND(4.184*F87+$AB87*0.1094,3))</f>
        <v>37.238</v>
      </c>
      <c r="AH87" s="85" t="n">
        <f aca="false">IF(IF(ISBLANK(G87),1,(TRIM(G87)="")),"",ROUND(4.184*G87+$AB87*0.1094,3))</f>
        <v>37.865</v>
      </c>
      <c r="AI87" s="101" t="n">
        <f aca="false">IF(IF(ISBLANK(H87),1,(TRIM(H87)="")),"",ROUND(4.184*H87+$AB87*0.1094,3))</f>
        <v>37.907</v>
      </c>
      <c r="AJ87" s="85" t="str">
        <f aca="false">IF(IF(ISBLANK(I87),1,(TRIM(I87)="")),"",ROUND(4.184*I87+$AB87*0.1094,3))</f>
        <v/>
      </c>
      <c r="AK87" s="101" t="n">
        <f aca="false">IF(IF(ISBLANK(J87),1,(TRIM(J87)="")),"",ROUND(4.184*J87+$AB87*0.1094,3))</f>
        <v>37.572</v>
      </c>
      <c r="AL87" s="85" t="str">
        <f aca="false">IF(IF(ISBLANK(K87),1,(TRIM(K87)="")),"",ROUND(4.184*K87+$AB87*0.1094,3))</f>
        <v/>
      </c>
      <c r="AM87" s="101" t="n">
        <f aca="false">IF(IF(ISBLANK(L87),1,(TRIM(L87)="")),"",ROUND(4.184*L87+$AB87*0.1094,3))</f>
        <v>37.823</v>
      </c>
      <c r="AN87" s="85" t="n">
        <f aca="false">IF(IF(ISBLANK(M87),1,(TRIM(M87)="")),"",ROUND(4.184*M87+$AB87*0.1094,3))</f>
        <v>37.71</v>
      </c>
      <c r="AP87" s="38" t="s">
        <v>113</v>
      </c>
      <c r="AQ87" s="85" t="n">
        <f aca="false">IF(IF(ISBLANK(C87),1,(TRIM(C87)="")),"",ROUND(C87+($AB87*0.1094/4.184),3))</f>
        <v>8.9</v>
      </c>
      <c r="AR87" s="101" t="n">
        <f aca="false">IF(IF(ISBLANK(D87),1,(TRIM(D87)="")),"",ROUND(D87+($AB87*0.1094/4.184),3))</f>
        <v>8.9</v>
      </c>
      <c r="AS87" s="85" t="n">
        <f aca="false">IF(IF(ISBLANK(E87),1,(TRIM(E87)="")),"",ROUND(E87+($AB87*0.1094/4.184),3))</f>
        <v>8.9</v>
      </c>
      <c r="AT87" s="101" t="n">
        <f aca="false">IF(IF(ISBLANK(F87),1,(TRIM(F87)="")),"",ROUND(F87+($AB87*0.1094/4.184),3))</f>
        <v>8.9</v>
      </c>
      <c r="AU87" s="85" t="n">
        <f aca="false">IF(IF(ISBLANK(G87),1,(TRIM(G87)="")),"",ROUND(G87+($AB87*0.1094/4.184),3))</f>
        <v>9.05</v>
      </c>
      <c r="AV87" s="101" t="n">
        <f aca="false">IF(IF(ISBLANK(H87),1,(TRIM(H87)="")),"",ROUND(H87+($AB87*0.1094/4.184),3))</f>
        <v>9.06</v>
      </c>
      <c r="AW87" s="85" t="str">
        <f aca="false">IF(IF(ISBLANK(I87),1,(TRIM(I87)="")),"",ROUND(I87+($AB87*0.1094/4.184),3))</f>
        <v/>
      </c>
      <c r="AX87" s="101" t="n">
        <f aca="false">IF(IF(ISBLANK(J87),1,(TRIM(J87)="")),"",ROUND(J87+($AB87*0.1094/4.184),3))</f>
        <v>8.98</v>
      </c>
      <c r="AY87" s="85" t="str">
        <f aca="false">IF(IF(ISBLANK(K87),1,(TRIM(K87)="")),"",ROUND(K87+($AB87*0.1094/4.184),3))</f>
        <v/>
      </c>
      <c r="AZ87" s="101" t="n">
        <f aca="false">IF(IF(ISBLANK(L87),1,(TRIM(L87)="")),"",ROUND(L87+($AB87*0.1094/4.184),3))</f>
        <v>9.04</v>
      </c>
      <c r="BA87" s="85" t="n">
        <f aca="false">IF(IF(ISBLANK(M87),1,(TRIM(M87)="")),"",ROUND(M87+($AB87*0.1094/4.184),3))</f>
        <v>9.013</v>
      </c>
    </row>
    <row r="88" customFormat="false" ht="12.75" hidden="false" customHeight="false" outlineLevel="0" collapsed="false">
      <c r="B88" s="31" t="s">
        <v>114</v>
      </c>
      <c r="C88" s="64"/>
      <c r="D88" s="63"/>
      <c r="E88" s="64"/>
      <c r="F88" s="63"/>
      <c r="G88" s="64" t="s">
        <v>412</v>
      </c>
      <c r="H88" s="63" t="n">
        <v>17.2</v>
      </c>
      <c r="I88" s="62"/>
      <c r="J88" s="102"/>
      <c r="K88" s="62"/>
      <c r="L88" s="63"/>
      <c r="M88" s="62"/>
      <c r="O88" s="31" t="s">
        <v>114</v>
      </c>
      <c r="P88" s="85" t="str">
        <f aca="false">IF(IF(ISBLANK(C88),1,(TRIM(C88)="")),"",ROUND(4.184*C88,3))</f>
        <v/>
      </c>
      <c r="Q88" s="101" t="str">
        <f aca="false">IF(IF(ISBLANK(D88),1,(TRIM(D88)="")),"",ROUND(4.184*D88,3))</f>
        <v/>
      </c>
      <c r="R88" s="85" t="str">
        <f aca="false">IF(IF(ISBLANK(E88),1,(TRIM(E88)="")),"",ROUND(4.184*E88,3))</f>
        <v/>
      </c>
      <c r="S88" s="101" t="str">
        <f aca="false">IF(IF(ISBLANK(F88),1,(TRIM(F88)="")),"",ROUND(4.184*F88,3))</f>
        <v/>
      </c>
      <c r="T88" s="85" t="n">
        <f aca="false">IF(IF(ISBLANK(G88),1,(TRIM(G88)="")),"",ROUND(4.184*G88,3))</f>
        <v>72.007</v>
      </c>
      <c r="U88" s="101" t="n">
        <f aca="false">IF(IF(ISBLANK(H88),1,(TRIM(H88)="")),"",ROUND(4.184*H88,3))</f>
        <v>71.965</v>
      </c>
      <c r="V88" s="85" t="str">
        <f aca="false">IF(IF(ISBLANK(I88),1,(TRIM(I88)="")),"",ROUND(4.184*I88,3))</f>
        <v/>
      </c>
      <c r="W88" s="101" t="str">
        <f aca="false">IF(IF(ISBLANK(J88),1,(TRIM(J88)="")),"",ROUND(4.184*J88,3))</f>
        <v/>
      </c>
      <c r="X88" s="85" t="str">
        <f aca="false">IF(IF(ISBLANK(K88),1,(TRIM(K88)="")),"",ROUND(4.184*K88,3))</f>
        <v/>
      </c>
      <c r="Y88" s="101" t="str">
        <f aca="false">IF(IF(ISBLANK(L88),1,(TRIM(L88)="")),"",ROUND(4.184*L88,3))</f>
        <v/>
      </c>
      <c r="Z88" s="85" t="str">
        <f aca="false">IF(IF(ISBLANK(M88),1,(TRIM(M88)="")),"",ROUND(4.184*M88,3))</f>
        <v/>
      </c>
      <c r="AB88" s="34"/>
      <c r="AC88" s="31" t="s">
        <v>114</v>
      </c>
      <c r="AD88" s="85" t="str">
        <f aca="false">IF(IF(ISBLANK(C88),1,(TRIM(C88)="")),"",ROUND(4.184*C88+$AB88*0.1094,3))</f>
        <v/>
      </c>
      <c r="AE88" s="101" t="str">
        <f aca="false">IF(IF(ISBLANK(D88),1,(TRIM(D88)="")),"",ROUND(4.184*D88+$AB88*0.1094,3))</f>
        <v/>
      </c>
      <c r="AF88" s="85" t="str">
        <f aca="false">IF(IF(ISBLANK(E88),1,(TRIM(E88)="")),"",ROUND(4.184*E88+$AB88*0.1094,3))</f>
        <v/>
      </c>
      <c r="AG88" s="101" t="str">
        <f aca="false">IF(IF(ISBLANK(F88),1,(TRIM(F88)="")),"",ROUND(4.184*F88+$AB88*0.1094,3))</f>
        <v/>
      </c>
      <c r="AH88" s="85" t="n">
        <f aca="false">IF(IF(ISBLANK(G88),1,(TRIM(G88)="")),"",ROUND(4.184*G88+$AB88*0.1094,3))</f>
        <v>72.007</v>
      </c>
      <c r="AI88" s="101" t="n">
        <f aca="false">IF(IF(ISBLANK(H88),1,(TRIM(H88)="")),"",ROUND(4.184*H88+$AB88*0.1094,3))</f>
        <v>71.965</v>
      </c>
      <c r="AJ88" s="85" t="str">
        <f aca="false">IF(IF(ISBLANK(I88),1,(TRIM(I88)="")),"",ROUND(4.184*I88+$AB88*0.1094,3))</f>
        <v/>
      </c>
      <c r="AK88" s="101" t="str">
        <f aca="false">IF(IF(ISBLANK(J88),1,(TRIM(J88)="")),"",ROUND(4.184*J88+$AB88*0.1094,3))</f>
        <v/>
      </c>
      <c r="AL88" s="85" t="str">
        <f aca="false">IF(IF(ISBLANK(K88),1,(TRIM(K88)="")),"",ROUND(4.184*K88+$AB88*0.1094,3))</f>
        <v/>
      </c>
      <c r="AM88" s="101" t="str">
        <f aca="false">IF(IF(ISBLANK(L88),1,(TRIM(L88)="")),"",ROUND(4.184*L88+$AB88*0.1094,3))</f>
        <v/>
      </c>
      <c r="AN88" s="85" t="str">
        <f aca="false">IF(IF(ISBLANK(M88),1,(TRIM(M88)="")),"",ROUND(4.184*M88+$AB88*0.1094,3))</f>
        <v/>
      </c>
      <c r="AP88" s="31" t="s">
        <v>114</v>
      </c>
      <c r="AQ88" s="85" t="str">
        <f aca="false">IF(IF(ISBLANK(C88),1,(TRIM(C88)="")),"",ROUND(C88+($AB88*0.1094/4.184),3))</f>
        <v/>
      </c>
      <c r="AR88" s="101" t="str">
        <f aca="false">IF(IF(ISBLANK(D88),1,(TRIM(D88)="")),"",ROUND(D88+($AB88*0.1094/4.184),3))</f>
        <v/>
      </c>
      <c r="AS88" s="85" t="str">
        <f aca="false">IF(IF(ISBLANK(E88),1,(TRIM(E88)="")),"",ROUND(E88+($AB88*0.1094/4.184),3))</f>
        <v/>
      </c>
      <c r="AT88" s="101" t="str">
        <f aca="false">IF(IF(ISBLANK(F88),1,(TRIM(F88)="")),"",ROUND(F88+($AB88*0.1094/4.184),3))</f>
        <v/>
      </c>
      <c r="AU88" s="85" t="n">
        <f aca="false">IF(IF(ISBLANK(G88),1,(TRIM(G88)="")),"",ROUND(G88+($AB88*0.1094/4.184),3))</f>
        <v>17.21</v>
      </c>
      <c r="AV88" s="101" t="n">
        <f aca="false">IF(IF(ISBLANK(H88),1,(TRIM(H88)="")),"",ROUND(H88+($AB88*0.1094/4.184),3))</f>
        <v>17.2</v>
      </c>
      <c r="AW88" s="85" t="str">
        <f aca="false">IF(IF(ISBLANK(I88),1,(TRIM(I88)="")),"",ROUND(I88+($AB88*0.1094/4.184),3))</f>
        <v/>
      </c>
      <c r="AX88" s="101" t="str">
        <f aca="false">IF(IF(ISBLANK(J88),1,(TRIM(J88)="")),"",ROUND(J88+($AB88*0.1094/4.184),3))</f>
        <v/>
      </c>
      <c r="AY88" s="85" t="str">
        <f aca="false">IF(IF(ISBLANK(K88),1,(TRIM(K88)="")),"",ROUND(K88+($AB88*0.1094/4.184),3))</f>
        <v/>
      </c>
      <c r="AZ88" s="101" t="str">
        <f aca="false">IF(IF(ISBLANK(L88),1,(TRIM(L88)="")),"",ROUND(L88+($AB88*0.1094/4.184),3))</f>
        <v/>
      </c>
      <c r="BA88" s="85" t="str">
        <f aca="false">IF(IF(ISBLANK(M88),1,(TRIM(M88)="")),"",ROUND(M88+($AB88*0.1094/4.184),3))</f>
        <v/>
      </c>
    </row>
    <row r="89" customFormat="false" ht="12.75" hidden="false" customHeight="false" outlineLevel="0" collapsed="false">
      <c r="B89" s="38" t="s">
        <v>115</v>
      </c>
      <c r="C89" s="64"/>
      <c r="D89" s="63"/>
      <c r="E89" s="64"/>
      <c r="F89" s="63"/>
      <c r="G89" s="64" t="s">
        <v>228</v>
      </c>
      <c r="H89" s="65" t="s">
        <v>229</v>
      </c>
      <c r="I89" s="62"/>
      <c r="J89" s="102"/>
      <c r="K89" s="62"/>
      <c r="L89" s="63"/>
      <c r="M89" s="62"/>
      <c r="O89" s="38" t="s">
        <v>115</v>
      </c>
      <c r="P89" s="85" t="str">
        <f aca="false">IF(IF(ISBLANK(C89),1,(TRIM(C89)="")),"",ROUND(4.184*C89,3))</f>
        <v/>
      </c>
      <c r="Q89" s="101" t="str">
        <f aca="false">IF(IF(ISBLANK(D89),1,(TRIM(D89)="")),"",ROUND(4.184*D89,3))</f>
        <v/>
      </c>
      <c r="R89" s="85" t="str">
        <f aca="false">IF(IF(ISBLANK(E89),1,(TRIM(E89)="")),"",ROUND(4.184*E89,3))</f>
        <v/>
      </c>
      <c r="S89" s="101" t="str">
        <f aca="false">IF(IF(ISBLANK(F89),1,(TRIM(F89)="")),"",ROUND(4.184*F89,3))</f>
        <v/>
      </c>
      <c r="T89" s="85" t="n">
        <f aca="false">IF(IF(ISBLANK(G89),1,(TRIM(G89)="")),"",ROUND(4.184*G89,3))</f>
        <v>62.76</v>
      </c>
      <c r="U89" s="101" t="n">
        <f aca="false">IF(IF(ISBLANK(H89),1,(TRIM(H89)="")),"",ROUND(4.184*H89,3))</f>
        <v>62.76</v>
      </c>
      <c r="V89" s="85" t="str">
        <f aca="false">IF(IF(ISBLANK(I89),1,(TRIM(I89)="")),"",ROUND(4.184*I89,3))</f>
        <v/>
      </c>
      <c r="W89" s="101" t="str">
        <f aca="false">IF(IF(ISBLANK(J89),1,(TRIM(J89)="")),"",ROUND(4.184*J89,3))</f>
        <v/>
      </c>
      <c r="X89" s="85" t="str">
        <f aca="false">IF(IF(ISBLANK(K89),1,(TRIM(K89)="")),"",ROUND(4.184*K89,3))</f>
        <v/>
      </c>
      <c r="Y89" s="101" t="str">
        <f aca="false">IF(IF(ISBLANK(L89),1,(TRIM(L89)="")),"",ROUND(4.184*L89,3))</f>
        <v/>
      </c>
      <c r="Z89" s="85" t="str">
        <f aca="false">IF(IF(ISBLANK(M89),1,(TRIM(M89)="")),"",ROUND(4.184*M89,3))</f>
        <v/>
      </c>
      <c r="AB89" s="34"/>
      <c r="AC89" s="38" t="s">
        <v>115</v>
      </c>
      <c r="AD89" s="85" t="str">
        <f aca="false">IF(IF(ISBLANK(C89),1,(TRIM(C89)="")),"",ROUND(4.184*C89+$AB89*0.1094,3))</f>
        <v/>
      </c>
      <c r="AE89" s="101" t="str">
        <f aca="false">IF(IF(ISBLANK(D89),1,(TRIM(D89)="")),"",ROUND(4.184*D89+$AB89*0.1094,3))</f>
        <v/>
      </c>
      <c r="AF89" s="85" t="str">
        <f aca="false">IF(IF(ISBLANK(E89),1,(TRIM(E89)="")),"",ROUND(4.184*E89+$AB89*0.1094,3))</f>
        <v/>
      </c>
      <c r="AG89" s="101" t="str">
        <f aca="false">IF(IF(ISBLANK(F89),1,(TRIM(F89)="")),"",ROUND(4.184*F89+$AB89*0.1094,3))</f>
        <v/>
      </c>
      <c r="AH89" s="85" t="n">
        <f aca="false">IF(IF(ISBLANK(G89),1,(TRIM(G89)="")),"",ROUND(4.184*G89+$AB89*0.1094,3))</f>
        <v>62.76</v>
      </c>
      <c r="AI89" s="101" t="n">
        <f aca="false">IF(IF(ISBLANK(H89),1,(TRIM(H89)="")),"",ROUND(4.184*H89+$AB89*0.1094,3))</f>
        <v>62.76</v>
      </c>
      <c r="AJ89" s="85" t="str">
        <f aca="false">IF(IF(ISBLANK(I89),1,(TRIM(I89)="")),"",ROUND(4.184*I89+$AB89*0.1094,3))</f>
        <v/>
      </c>
      <c r="AK89" s="101" t="str">
        <f aca="false">IF(IF(ISBLANK(J89),1,(TRIM(J89)="")),"",ROUND(4.184*J89+$AB89*0.1094,3))</f>
        <v/>
      </c>
      <c r="AL89" s="85" t="str">
        <f aca="false">IF(IF(ISBLANK(K89),1,(TRIM(K89)="")),"",ROUND(4.184*K89+$AB89*0.1094,3))</f>
        <v/>
      </c>
      <c r="AM89" s="101" t="str">
        <f aca="false">IF(IF(ISBLANK(L89),1,(TRIM(L89)="")),"",ROUND(4.184*L89+$AB89*0.1094,3))</f>
        <v/>
      </c>
      <c r="AN89" s="85" t="str">
        <f aca="false">IF(IF(ISBLANK(M89),1,(TRIM(M89)="")),"",ROUND(4.184*M89+$AB89*0.1094,3))</f>
        <v/>
      </c>
      <c r="AP89" s="38" t="s">
        <v>115</v>
      </c>
      <c r="AQ89" s="85" t="str">
        <f aca="false">IF(IF(ISBLANK(C89),1,(TRIM(C89)="")),"",ROUND(C89+($AB89*0.1094/4.184),3))</f>
        <v/>
      </c>
      <c r="AR89" s="101" t="str">
        <f aca="false">IF(IF(ISBLANK(D89),1,(TRIM(D89)="")),"",ROUND(D89+($AB89*0.1094/4.184),3))</f>
        <v/>
      </c>
      <c r="AS89" s="85" t="str">
        <f aca="false">IF(IF(ISBLANK(E89),1,(TRIM(E89)="")),"",ROUND(E89+($AB89*0.1094/4.184),3))</f>
        <v/>
      </c>
      <c r="AT89" s="101" t="str">
        <f aca="false">IF(IF(ISBLANK(F89),1,(TRIM(F89)="")),"",ROUND(F89+($AB89*0.1094/4.184),3))</f>
        <v/>
      </c>
      <c r="AU89" s="85" t="n">
        <f aca="false">IF(IF(ISBLANK(G89),1,(TRIM(G89)="")),"",ROUND(G89+($AB89*0.1094/4.184),3))</f>
        <v>15</v>
      </c>
      <c r="AV89" s="101" t="n">
        <f aca="false">IF(IF(ISBLANK(H89),1,(TRIM(H89)="")),"",ROUND(H89+($AB89*0.1094/4.184),3))</f>
        <v>15</v>
      </c>
      <c r="AW89" s="85" t="str">
        <f aca="false">IF(IF(ISBLANK(I89),1,(TRIM(I89)="")),"",ROUND(I89+($AB89*0.1094/4.184),3))</f>
        <v/>
      </c>
      <c r="AX89" s="101" t="str">
        <f aca="false">IF(IF(ISBLANK(J89),1,(TRIM(J89)="")),"",ROUND(J89+($AB89*0.1094/4.184),3))</f>
        <v/>
      </c>
      <c r="AY89" s="85" t="str">
        <f aca="false">IF(IF(ISBLANK(K89),1,(TRIM(K89)="")),"",ROUND(K89+($AB89*0.1094/4.184),3))</f>
        <v/>
      </c>
      <c r="AZ89" s="101" t="str">
        <f aca="false">IF(IF(ISBLANK(L89),1,(TRIM(L89)="")),"",ROUND(L89+($AB89*0.1094/4.184),3))</f>
        <v/>
      </c>
      <c r="BA89" s="85" t="str">
        <f aca="false">IF(IF(ISBLANK(M89),1,(TRIM(M89)="")),"",ROUND(M89+($AB89*0.1094/4.184),3))</f>
        <v/>
      </c>
    </row>
    <row r="90" customFormat="false" ht="12.75" hidden="false" customHeight="false" outlineLevel="0" collapsed="false">
      <c r="B90" s="31" t="s">
        <v>116</v>
      </c>
      <c r="C90" s="62"/>
      <c r="D90" s="63"/>
      <c r="E90" s="64" t="s">
        <v>413</v>
      </c>
      <c r="F90" s="63"/>
      <c r="G90" s="64" t="s">
        <v>414</v>
      </c>
      <c r="H90" s="63" t="n">
        <v>17.6</v>
      </c>
      <c r="I90" s="62"/>
      <c r="J90" s="102" t="n">
        <v>17.5</v>
      </c>
      <c r="K90" s="62"/>
      <c r="L90" s="65" t="s">
        <v>415</v>
      </c>
      <c r="M90" s="64" t="s">
        <v>416</v>
      </c>
      <c r="O90" s="31" t="s">
        <v>116</v>
      </c>
      <c r="P90" s="85" t="str">
        <f aca="false">IF(IF(ISBLANK(C90),1,(TRIM(C90)="")),"",ROUND(4.184*C90,3))</f>
        <v/>
      </c>
      <c r="Q90" s="101" t="str">
        <f aca="false">IF(IF(ISBLANK(D90),1,(TRIM(D90)="")),"",ROUND(4.184*D90,3))</f>
        <v/>
      </c>
      <c r="R90" s="85" t="n">
        <f aca="false">IF(IF(ISBLANK(E90),1,(TRIM(E90)="")),"",ROUND(4.184*E90,3))</f>
        <v>53.137</v>
      </c>
      <c r="S90" s="101" t="str">
        <f aca="false">IF(IF(ISBLANK(F90),1,(TRIM(F90)="")),"",ROUND(4.184*F90,3))</f>
        <v/>
      </c>
      <c r="T90" s="85" t="n">
        <f aca="false">IF(IF(ISBLANK(G90),1,(TRIM(G90)="")),"",ROUND(4.184*G90,3))</f>
        <v>73.011</v>
      </c>
      <c r="U90" s="101" t="n">
        <f aca="false">IF(IF(ISBLANK(H90),1,(TRIM(H90)="")),"",ROUND(4.184*H90,3))</f>
        <v>73.638</v>
      </c>
      <c r="V90" s="85" t="str">
        <f aca="false">IF(IF(ISBLANK(I90),1,(TRIM(I90)="")),"",ROUND(4.184*I90,3))</f>
        <v/>
      </c>
      <c r="W90" s="101" t="n">
        <f aca="false">IF(IF(ISBLANK(J90),1,(TRIM(J90)="")),"",ROUND(4.184*J90,3))</f>
        <v>73.22</v>
      </c>
      <c r="X90" s="85" t="str">
        <f aca="false">IF(IF(ISBLANK(K90),1,(TRIM(K90)="")),"",ROUND(4.184*K90,3))</f>
        <v/>
      </c>
      <c r="Y90" s="101" t="n">
        <f aca="false">IF(IF(ISBLANK(L90),1,(TRIM(L90)="")),"",ROUND(4.184*L90,3))</f>
        <v>73.931</v>
      </c>
      <c r="Z90" s="85" t="n">
        <f aca="false">IF(IF(ISBLANK(M90),1,(TRIM(M90)="")),"",ROUND(4.184*M90,3))</f>
        <v>73.931</v>
      </c>
      <c r="AB90" s="34"/>
      <c r="AC90" s="31" t="s">
        <v>116</v>
      </c>
      <c r="AD90" s="85" t="str">
        <f aca="false">IF(IF(ISBLANK(C90),1,(TRIM(C90)="")),"",ROUND(4.184*C90+$AB90*0.1094,3))</f>
        <v/>
      </c>
      <c r="AE90" s="101" t="str">
        <f aca="false">IF(IF(ISBLANK(D90),1,(TRIM(D90)="")),"",ROUND(4.184*D90+$AB90*0.1094,3))</f>
        <v/>
      </c>
      <c r="AF90" s="85" t="n">
        <f aca="false">IF(IF(ISBLANK(E90),1,(TRIM(E90)="")),"",ROUND(4.184*E90+$AB90*0.1094,3))</f>
        <v>53.137</v>
      </c>
      <c r="AG90" s="101" t="str">
        <f aca="false">IF(IF(ISBLANK(F90),1,(TRIM(F90)="")),"",ROUND(4.184*F90+$AB90*0.1094,3))</f>
        <v/>
      </c>
      <c r="AH90" s="85" t="n">
        <f aca="false">IF(IF(ISBLANK(G90),1,(TRIM(G90)="")),"",ROUND(4.184*G90+$AB90*0.1094,3))</f>
        <v>73.011</v>
      </c>
      <c r="AI90" s="101" t="n">
        <f aca="false">IF(IF(ISBLANK(H90),1,(TRIM(H90)="")),"",ROUND(4.184*H90+$AB90*0.1094,3))</f>
        <v>73.638</v>
      </c>
      <c r="AJ90" s="85" t="str">
        <f aca="false">IF(IF(ISBLANK(I90),1,(TRIM(I90)="")),"",ROUND(4.184*I90+$AB90*0.1094,3))</f>
        <v/>
      </c>
      <c r="AK90" s="101" t="n">
        <f aca="false">IF(IF(ISBLANK(J90),1,(TRIM(J90)="")),"",ROUND(4.184*J90+$AB90*0.1094,3))</f>
        <v>73.22</v>
      </c>
      <c r="AL90" s="85" t="str">
        <f aca="false">IF(IF(ISBLANK(K90),1,(TRIM(K90)="")),"",ROUND(4.184*K90+$AB90*0.1094,3))</f>
        <v/>
      </c>
      <c r="AM90" s="101" t="n">
        <f aca="false">IF(IF(ISBLANK(L90),1,(TRIM(L90)="")),"",ROUND(4.184*L90+$AB90*0.1094,3))</f>
        <v>73.931</v>
      </c>
      <c r="AN90" s="85" t="n">
        <f aca="false">IF(IF(ISBLANK(M90),1,(TRIM(M90)="")),"",ROUND(4.184*M90+$AB90*0.1094,3))</f>
        <v>73.931</v>
      </c>
      <c r="AP90" s="31" t="s">
        <v>116</v>
      </c>
      <c r="AQ90" s="85" t="str">
        <f aca="false">IF(IF(ISBLANK(C90),1,(TRIM(C90)="")),"",ROUND(C90+($AB90*0.1094/4.184),3))</f>
        <v/>
      </c>
      <c r="AR90" s="101" t="str">
        <f aca="false">IF(IF(ISBLANK(D90),1,(TRIM(D90)="")),"",ROUND(D90+($AB90*0.1094/4.184),3))</f>
        <v/>
      </c>
      <c r="AS90" s="85" t="n">
        <f aca="false">IF(IF(ISBLANK(E90),1,(TRIM(E90)="")),"",ROUND(E90+($AB90*0.1094/4.184),3))</f>
        <v>12.7</v>
      </c>
      <c r="AT90" s="101" t="str">
        <f aca="false">IF(IF(ISBLANK(F90),1,(TRIM(F90)="")),"",ROUND(F90+($AB90*0.1094/4.184),3))</f>
        <v/>
      </c>
      <c r="AU90" s="85" t="n">
        <f aca="false">IF(IF(ISBLANK(G90),1,(TRIM(G90)="")),"",ROUND(G90+($AB90*0.1094/4.184),3))</f>
        <v>17.45</v>
      </c>
      <c r="AV90" s="101" t="n">
        <f aca="false">IF(IF(ISBLANK(H90),1,(TRIM(H90)="")),"",ROUND(H90+($AB90*0.1094/4.184),3))</f>
        <v>17.6</v>
      </c>
      <c r="AW90" s="85" t="str">
        <f aca="false">IF(IF(ISBLANK(I90),1,(TRIM(I90)="")),"",ROUND(I90+($AB90*0.1094/4.184),3))</f>
        <v/>
      </c>
      <c r="AX90" s="101" t="n">
        <f aca="false">IF(IF(ISBLANK(J90),1,(TRIM(J90)="")),"",ROUND(J90+($AB90*0.1094/4.184),3))</f>
        <v>17.5</v>
      </c>
      <c r="AY90" s="85" t="str">
        <f aca="false">IF(IF(ISBLANK(K90),1,(TRIM(K90)="")),"",ROUND(K90+($AB90*0.1094/4.184),3))</f>
        <v/>
      </c>
      <c r="AZ90" s="101" t="n">
        <f aca="false">IF(IF(ISBLANK(L90),1,(TRIM(L90)="")),"",ROUND(L90+($AB90*0.1094/4.184),3))</f>
        <v>17.67</v>
      </c>
      <c r="BA90" s="85" t="n">
        <f aca="false">IF(IF(ISBLANK(M90),1,(TRIM(M90)="")),"",ROUND(M90+($AB90*0.1094/4.184),3))</f>
        <v>17.67</v>
      </c>
    </row>
    <row r="91" customFormat="false" ht="12.75" hidden="false" customHeight="false" outlineLevel="0" collapsed="false">
      <c r="B91" s="31" t="s">
        <v>117</v>
      </c>
      <c r="C91" s="64" t="s">
        <v>184</v>
      </c>
      <c r="D91" s="65" t="s">
        <v>184</v>
      </c>
      <c r="E91" s="64" t="s">
        <v>184</v>
      </c>
      <c r="F91" s="65" t="s">
        <v>184</v>
      </c>
      <c r="G91" s="64" t="s">
        <v>417</v>
      </c>
      <c r="H91" s="63" t="n">
        <v>9.95</v>
      </c>
      <c r="I91" s="62" t="n">
        <v>9.95</v>
      </c>
      <c r="J91" s="102" t="n">
        <v>9.95</v>
      </c>
      <c r="K91" s="62"/>
      <c r="L91" s="65" t="s">
        <v>267</v>
      </c>
      <c r="M91" s="64" t="s">
        <v>418</v>
      </c>
      <c r="O91" s="31" t="s">
        <v>117</v>
      </c>
      <c r="P91" s="85" t="n">
        <f aca="false">IF(IF(ISBLANK(C91),1,(TRIM(C91)="")),"",ROUND(4.184*C91,3))</f>
        <v>41.84</v>
      </c>
      <c r="Q91" s="101" t="n">
        <f aca="false">IF(IF(ISBLANK(D91),1,(TRIM(D91)="")),"",ROUND(4.184*D91,3))</f>
        <v>41.84</v>
      </c>
      <c r="R91" s="85" t="n">
        <f aca="false">IF(IF(ISBLANK(E91),1,(TRIM(E91)="")),"",ROUND(4.184*E91,3))</f>
        <v>41.84</v>
      </c>
      <c r="S91" s="101" t="n">
        <f aca="false">IF(IF(ISBLANK(F91),1,(TRIM(F91)="")),"",ROUND(4.184*F91,3))</f>
        <v>41.84</v>
      </c>
      <c r="T91" s="85" t="n">
        <f aca="false">IF(IF(ISBLANK(G91),1,(TRIM(G91)="")),"",ROUND(4.184*G91,3))</f>
        <v>41.84</v>
      </c>
      <c r="U91" s="101" t="n">
        <f aca="false">IF(IF(ISBLANK(H91),1,(TRIM(H91)="")),"",ROUND(4.184*H91,3))</f>
        <v>41.631</v>
      </c>
      <c r="V91" s="85" t="n">
        <f aca="false">IF(IF(ISBLANK(I91),1,(TRIM(I91)="")),"",ROUND(4.184*I91,3))</f>
        <v>41.631</v>
      </c>
      <c r="W91" s="101" t="n">
        <f aca="false">IF(IF(ISBLANK(J91),1,(TRIM(J91)="")),"",ROUND(4.184*J91,3))</f>
        <v>41.631</v>
      </c>
      <c r="X91" s="85" t="str">
        <f aca="false">IF(IF(ISBLANK(K91),1,(TRIM(K91)="")),"",ROUND(4.184*K91,3))</f>
        <v/>
      </c>
      <c r="Y91" s="101" t="n">
        <f aca="false">IF(IF(ISBLANK(L91),1,(TRIM(L91)="")),"",ROUND(4.184*L91,3))</f>
        <v>41.631</v>
      </c>
      <c r="Z91" s="85" t="n">
        <f aca="false">IF(IF(ISBLANK(M91),1,(TRIM(M91)="")),"",ROUND(4.184*M91,3))</f>
        <v>41.631</v>
      </c>
      <c r="AB91" s="34"/>
      <c r="AC91" s="31" t="s">
        <v>117</v>
      </c>
      <c r="AD91" s="85" t="n">
        <f aca="false">IF(IF(ISBLANK(C91),1,(TRIM(C91)="")),"",ROUND(4.184*C91+$AB91*0.1094,3))</f>
        <v>41.84</v>
      </c>
      <c r="AE91" s="101" t="n">
        <f aca="false">IF(IF(ISBLANK(D91),1,(TRIM(D91)="")),"",ROUND(4.184*D91+$AB91*0.1094,3))</f>
        <v>41.84</v>
      </c>
      <c r="AF91" s="85" t="n">
        <f aca="false">IF(IF(ISBLANK(E91),1,(TRIM(E91)="")),"",ROUND(4.184*E91+$AB91*0.1094,3))</f>
        <v>41.84</v>
      </c>
      <c r="AG91" s="101" t="n">
        <f aca="false">IF(IF(ISBLANK(F91),1,(TRIM(F91)="")),"",ROUND(4.184*F91+$AB91*0.1094,3))</f>
        <v>41.84</v>
      </c>
      <c r="AH91" s="85" t="n">
        <f aca="false">IF(IF(ISBLANK(G91),1,(TRIM(G91)="")),"",ROUND(4.184*G91+$AB91*0.1094,3))</f>
        <v>41.84</v>
      </c>
      <c r="AI91" s="101" t="n">
        <f aca="false">IF(IF(ISBLANK(H91),1,(TRIM(H91)="")),"",ROUND(4.184*H91+$AB91*0.1094,3))</f>
        <v>41.631</v>
      </c>
      <c r="AJ91" s="85" t="n">
        <f aca="false">IF(IF(ISBLANK(I91),1,(TRIM(I91)="")),"",ROUND(4.184*I91+$AB91*0.1094,3))</f>
        <v>41.631</v>
      </c>
      <c r="AK91" s="101" t="n">
        <f aca="false">IF(IF(ISBLANK(J91),1,(TRIM(J91)="")),"",ROUND(4.184*J91+$AB91*0.1094,3))</f>
        <v>41.631</v>
      </c>
      <c r="AL91" s="85" t="str">
        <f aca="false">IF(IF(ISBLANK(K91),1,(TRIM(K91)="")),"",ROUND(4.184*K91+$AB91*0.1094,3))</f>
        <v/>
      </c>
      <c r="AM91" s="101" t="n">
        <f aca="false">IF(IF(ISBLANK(L91),1,(TRIM(L91)="")),"",ROUND(4.184*L91+$AB91*0.1094,3))</f>
        <v>41.631</v>
      </c>
      <c r="AN91" s="85" t="n">
        <f aca="false">IF(IF(ISBLANK(M91),1,(TRIM(M91)="")),"",ROUND(4.184*M91+$AB91*0.1094,3))</f>
        <v>41.631</v>
      </c>
      <c r="AP91" s="31" t="s">
        <v>117</v>
      </c>
      <c r="AQ91" s="85" t="n">
        <f aca="false">IF(IF(ISBLANK(C91),1,(TRIM(C91)="")),"",ROUND(C91+($AB91*0.1094/4.184),3))</f>
        <v>10</v>
      </c>
      <c r="AR91" s="101" t="n">
        <f aca="false">IF(IF(ISBLANK(D91),1,(TRIM(D91)="")),"",ROUND(D91+($AB91*0.1094/4.184),3))</f>
        <v>10</v>
      </c>
      <c r="AS91" s="85" t="n">
        <f aca="false">IF(IF(ISBLANK(E91),1,(TRIM(E91)="")),"",ROUND(E91+($AB91*0.1094/4.184),3))</f>
        <v>10</v>
      </c>
      <c r="AT91" s="101" t="n">
        <f aca="false">IF(IF(ISBLANK(F91),1,(TRIM(F91)="")),"",ROUND(F91+($AB91*0.1094/4.184),3))</f>
        <v>10</v>
      </c>
      <c r="AU91" s="85" t="n">
        <f aca="false">IF(IF(ISBLANK(G91),1,(TRIM(G91)="")),"",ROUND(G91+($AB91*0.1094/4.184),3))</f>
        <v>10</v>
      </c>
      <c r="AV91" s="101" t="n">
        <f aca="false">IF(IF(ISBLANK(H91),1,(TRIM(H91)="")),"",ROUND(H91+($AB91*0.1094/4.184),3))</f>
        <v>9.95</v>
      </c>
      <c r="AW91" s="85" t="n">
        <f aca="false">IF(IF(ISBLANK(I91),1,(TRIM(I91)="")),"",ROUND(I91+($AB91*0.1094/4.184),3))</f>
        <v>9.95</v>
      </c>
      <c r="AX91" s="101" t="n">
        <f aca="false">IF(IF(ISBLANK(J91),1,(TRIM(J91)="")),"",ROUND(J91+($AB91*0.1094/4.184),3))</f>
        <v>9.95</v>
      </c>
      <c r="AY91" s="85" t="str">
        <f aca="false">IF(IF(ISBLANK(K91),1,(TRIM(K91)="")),"",ROUND(K91+($AB91*0.1094/4.184),3))</f>
        <v/>
      </c>
      <c r="AZ91" s="101" t="n">
        <f aca="false">IF(IF(ISBLANK(L91),1,(TRIM(L91)="")),"",ROUND(L91+($AB91*0.1094/4.184),3))</f>
        <v>9.95</v>
      </c>
      <c r="BA91" s="85" t="n">
        <f aca="false">IF(IF(ISBLANK(M91),1,(TRIM(M91)="")),"",ROUND(M91+($AB91*0.1094/4.184),3))</f>
        <v>9.95</v>
      </c>
    </row>
    <row r="92" customFormat="false" ht="12.75" hidden="false" customHeight="false" outlineLevel="0" collapsed="false">
      <c r="B92" s="31" t="s">
        <v>118</v>
      </c>
      <c r="C92" s="64"/>
      <c r="D92" s="63"/>
      <c r="E92" s="64"/>
      <c r="F92" s="63"/>
      <c r="G92" s="62"/>
      <c r="H92" s="63"/>
      <c r="I92" s="62"/>
      <c r="J92" s="102"/>
      <c r="K92" s="62"/>
      <c r="L92" s="65" t="s">
        <v>271</v>
      </c>
      <c r="M92" s="64" t="s">
        <v>419</v>
      </c>
      <c r="O92" s="31" t="s">
        <v>118</v>
      </c>
      <c r="P92" s="85" t="str">
        <f aca="false">IF(IF(ISBLANK(C92),1,(TRIM(C92)="")),"",ROUND(4.184*C92,3))</f>
        <v/>
      </c>
      <c r="Q92" s="101" t="str">
        <f aca="false">IF(IF(ISBLANK(D92),1,(TRIM(D92)="")),"",ROUND(4.184*D92,3))</f>
        <v/>
      </c>
      <c r="R92" s="85" t="str">
        <f aca="false">IF(IF(ISBLANK(E92),1,(TRIM(E92)="")),"",ROUND(4.184*E92,3))</f>
        <v/>
      </c>
      <c r="S92" s="101" t="str">
        <f aca="false">IF(IF(ISBLANK(F92),1,(TRIM(F92)="")),"",ROUND(4.184*F92,3))</f>
        <v/>
      </c>
      <c r="T92" s="85" t="str">
        <f aca="false">IF(IF(ISBLANK(G92),1,(TRIM(G92)="")),"",ROUND(4.184*G92,3))</f>
        <v/>
      </c>
      <c r="U92" s="101" t="str">
        <f aca="false">IF(IF(ISBLANK(H92),1,(TRIM(H92)="")),"",ROUND(4.184*H92,3))</f>
        <v/>
      </c>
      <c r="V92" s="85" t="str">
        <f aca="false">IF(IF(ISBLANK(I92),1,(TRIM(I92)="")),"",ROUND(4.184*I92,3))</f>
        <v/>
      </c>
      <c r="W92" s="101" t="str">
        <f aca="false">IF(IF(ISBLANK(J92),1,(TRIM(J92)="")),"",ROUND(4.184*J92,3))</f>
        <v/>
      </c>
      <c r="X92" s="85" t="str">
        <f aca="false">IF(IF(ISBLANK(K92),1,(TRIM(K92)="")),"",ROUND(4.184*K92,3))</f>
        <v/>
      </c>
      <c r="Y92" s="101" t="n">
        <f aca="false">IF(IF(ISBLANK(L92),1,(TRIM(L92)="")),"",ROUND(4.184*L92,3))</f>
        <v>51.463</v>
      </c>
      <c r="Z92" s="85" t="n">
        <f aca="false">IF(IF(ISBLANK(M92),1,(TRIM(M92)="")),"",ROUND(4.184*M92,3))</f>
        <v>56.149</v>
      </c>
      <c r="AB92" s="34"/>
      <c r="AC92" s="31" t="s">
        <v>118</v>
      </c>
      <c r="AD92" s="85" t="str">
        <f aca="false">IF(IF(ISBLANK(C92),1,(TRIM(C92)="")),"",ROUND(4.184*C92+$AB92*0.1094,3))</f>
        <v/>
      </c>
      <c r="AE92" s="101" t="str">
        <f aca="false">IF(IF(ISBLANK(D92),1,(TRIM(D92)="")),"",ROUND(4.184*D92+$AB92*0.1094,3))</f>
        <v/>
      </c>
      <c r="AF92" s="85" t="str">
        <f aca="false">IF(IF(ISBLANK(E92),1,(TRIM(E92)="")),"",ROUND(4.184*E92+$AB92*0.1094,3))</f>
        <v/>
      </c>
      <c r="AG92" s="101" t="str">
        <f aca="false">IF(IF(ISBLANK(F92),1,(TRIM(F92)="")),"",ROUND(4.184*F92+$AB92*0.1094,3))</f>
        <v/>
      </c>
      <c r="AH92" s="85" t="str">
        <f aca="false">IF(IF(ISBLANK(G92),1,(TRIM(G92)="")),"",ROUND(4.184*G92+$AB92*0.1094,3))</f>
        <v/>
      </c>
      <c r="AI92" s="101" t="str">
        <f aca="false">IF(IF(ISBLANK(H92),1,(TRIM(H92)="")),"",ROUND(4.184*H92+$AB92*0.1094,3))</f>
        <v/>
      </c>
      <c r="AJ92" s="85" t="str">
        <f aca="false">IF(IF(ISBLANK(I92),1,(TRIM(I92)="")),"",ROUND(4.184*I92+$AB92*0.1094,3))</f>
        <v/>
      </c>
      <c r="AK92" s="101" t="str">
        <f aca="false">IF(IF(ISBLANK(J92),1,(TRIM(J92)="")),"",ROUND(4.184*J92+$AB92*0.1094,3))</f>
        <v/>
      </c>
      <c r="AL92" s="85" t="str">
        <f aca="false">IF(IF(ISBLANK(K92),1,(TRIM(K92)="")),"",ROUND(4.184*K92+$AB92*0.1094,3))</f>
        <v/>
      </c>
      <c r="AM92" s="101" t="n">
        <f aca="false">IF(IF(ISBLANK(L92),1,(TRIM(L92)="")),"",ROUND(4.184*L92+$AB92*0.1094,3))</f>
        <v>51.463</v>
      </c>
      <c r="AN92" s="85" t="n">
        <f aca="false">IF(IF(ISBLANK(M92),1,(TRIM(M92)="")),"",ROUND(4.184*M92+$AB92*0.1094,3))</f>
        <v>56.149</v>
      </c>
      <c r="AP92" s="31" t="s">
        <v>118</v>
      </c>
      <c r="AQ92" s="85" t="str">
        <f aca="false">IF(IF(ISBLANK(C92),1,(TRIM(C92)="")),"",ROUND(C92+($AB92*0.1094/4.184),3))</f>
        <v/>
      </c>
      <c r="AR92" s="101" t="str">
        <f aca="false">IF(IF(ISBLANK(D92),1,(TRIM(D92)="")),"",ROUND(D92+($AB92*0.1094/4.184),3))</f>
        <v/>
      </c>
      <c r="AS92" s="85" t="str">
        <f aca="false">IF(IF(ISBLANK(E92),1,(TRIM(E92)="")),"",ROUND(E92+($AB92*0.1094/4.184),3))</f>
        <v/>
      </c>
      <c r="AT92" s="101" t="str">
        <f aca="false">IF(IF(ISBLANK(F92),1,(TRIM(F92)="")),"",ROUND(F92+($AB92*0.1094/4.184),3))</f>
        <v/>
      </c>
      <c r="AU92" s="85" t="str">
        <f aca="false">IF(IF(ISBLANK(G92),1,(TRIM(G92)="")),"",ROUND(G92+($AB92*0.1094/4.184),3))</f>
        <v/>
      </c>
      <c r="AV92" s="101" t="str">
        <f aca="false">IF(IF(ISBLANK(H92),1,(TRIM(H92)="")),"",ROUND(H92+($AB92*0.1094/4.184),3))</f>
        <v/>
      </c>
      <c r="AW92" s="85" t="str">
        <f aca="false">IF(IF(ISBLANK(I92),1,(TRIM(I92)="")),"",ROUND(I92+($AB92*0.1094/4.184),3))</f>
        <v/>
      </c>
      <c r="AX92" s="101" t="str">
        <f aca="false">IF(IF(ISBLANK(J92),1,(TRIM(J92)="")),"",ROUND(J92+($AB92*0.1094/4.184),3))</f>
        <v/>
      </c>
      <c r="AY92" s="85" t="str">
        <f aca="false">IF(IF(ISBLANK(K92),1,(TRIM(K92)="")),"",ROUND(K92+($AB92*0.1094/4.184),3))</f>
        <v/>
      </c>
      <c r="AZ92" s="101" t="n">
        <f aca="false">IF(IF(ISBLANK(L92),1,(TRIM(L92)="")),"",ROUND(L92+($AB92*0.1094/4.184),3))</f>
        <v>12.3</v>
      </c>
      <c r="BA92" s="85" t="n">
        <f aca="false">IF(IF(ISBLANK(M92),1,(TRIM(M92)="")),"",ROUND(M92+($AB92*0.1094/4.184),3))</f>
        <v>13.42</v>
      </c>
    </row>
    <row r="93" customFormat="false" ht="12.75" hidden="false" customHeight="false" outlineLevel="0" collapsed="false">
      <c r="B93" s="38" t="s">
        <v>119</v>
      </c>
      <c r="C93" s="62"/>
      <c r="D93" s="63"/>
      <c r="E93" s="64"/>
      <c r="F93" s="65" t="s">
        <v>420</v>
      </c>
      <c r="G93" s="64" t="s">
        <v>302</v>
      </c>
      <c r="H93" s="65" t="s">
        <v>303</v>
      </c>
      <c r="I93" s="62"/>
      <c r="J93" s="103" t="s">
        <v>420</v>
      </c>
      <c r="K93" s="62"/>
      <c r="L93" s="63"/>
      <c r="M93" s="62"/>
      <c r="O93" s="38" t="s">
        <v>119</v>
      </c>
      <c r="P93" s="85" t="str">
        <f aca="false">IF(IF(ISBLANK(C93),1,(TRIM(C93)="")),"",ROUND(4.184*C93,3))</f>
        <v/>
      </c>
      <c r="Q93" s="101" t="str">
        <f aca="false">IF(IF(ISBLANK(D93),1,(TRIM(D93)="")),"",ROUND(4.184*D93,3))</f>
        <v/>
      </c>
      <c r="R93" s="85" t="str">
        <f aca="false">IF(IF(ISBLANK(E93),1,(TRIM(E93)="")),"",ROUND(4.184*E93,3))</f>
        <v/>
      </c>
      <c r="S93" s="101" t="n">
        <f aca="false">IF(IF(ISBLANK(F93),1,(TRIM(F93)="")),"",ROUND(4.184*F93,3))</f>
        <v>71.128</v>
      </c>
      <c r="T93" s="85" t="n">
        <f aca="false">IF(IF(ISBLANK(G93),1,(TRIM(G93)="")),"",ROUND(4.184*G93,3))</f>
        <v>71.128</v>
      </c>
      <c r="U93" s="101" t="n">
        <f aca="false">IF(IF(ISBLANK(H93),1,(TRIM(H93)="")),"",ROUND(4.184*H93,3))</f>
        <v>71.128</v>
      </c>
      <c r="V93" s="85" t="str">
        <f aca="false">IF(IF(ISBLANK(I93),1,(TRIM(I93)="")),"",ROUND(4.184*I93,3))</f>
        <v/>
      </c>
      <c r="W93" s="101" t="n">
        <f aca="false">IF(IF(ISBLANK(J93),1,(TRIM(J93)="")),"",ROUND(4.184*J93,3))</f>
        <v>71.128</v>
      </c>
      <c r="X93" s="85" t="str">
        <f aca="false">IF(IF(ISBLANK(K93),1,(TRIM(K93)="")),"",ROUND(4.184*K93,3))</f>
        <v/>
      </c>
      <c r="Y93" s="101" t="str">
        <f aca="false">IF(IF(ISBLANK(L93),1,(TRIM(L93)="")),"",ROUND(4.184*L93,3))</f>
        <v/>
      </c>
      <c r="Z93" s="85" t="str">
        <f aca="false">IF(IF(ISBLANK(M93),1,(TRIM(M93)="")),"",ROUND(4.184*M93,3))</f>
        <v/>
      </c>
      <c r="AB93" s="34"/>
      <c r="AC93" s="38" t="s">
        <v>119</v>
      </c>
      <c r="AD93" s="85" t="str">
        <f aca="false">IF(IF(ISBLANK(C93),1,(TRIM(C93)="")),"",ROUND(4.184*C93+$AB93*0.1094,3))</f>
        <v/>
      </c>
      <c r="AE93" s="101" t="str">
        <f aca="false">IF(IF(ISBLANK(D93),1,(TRIM(D93)="")),"",ROUND(4.184*D93+$AB93*0.1094,3))</f>
        <v/>
      </c>
      <c r="AF93" s="85" t="str">
        <f aca="false">IF(IF(ISBLANK(E93),1,(TRIM(E93)="")),"",ROUND(4.184*E93+$AB93*0.1094,3))</f>
        <v/>
      </c>
      <c r="AG93" s="101" t="n">
        <f aca="false">IF(IF(ISBLANK(F93),1,(TRIM(F93)="")),"",ROUND(4.184*F93+$AB93*0.1094,3))</f>
        <v>71.128</v>
      </c>
      <c r="AH93" s="85" t="n">
        <f aca="false">IF(IF(ISBLANK(G93),1,(TRIM(G93)="")),"",ROUND(4.184*G93+$AB93*0.1094,3))</f>
        <v>71.128</v>
      </c>
      <c r="AI93" s="101" t="n">
        <f aca="false">IF(IF(ISBLANK(H93),1,(TRIM(H93)="")),"",ROUND(4.184*H93+$AB93*0.1094,3))</f>
        <v>71.128</v>
      </c>
      <c r="AJ93" s="85" t="str">
        <f aca="false">IF(IF(ISBLANK(I93),1,(TRIM(I93)="")),"",ROUND(4.184*I93+$AB93*0.1094,3))</f>
        <v/>
      </c>
      <c r="AK93" s="101" t="n">
        <f aca="false">IF(IF(ISBLANK(J93),1,(TRIM(J93)="")),"",ROUND(4.184*J93+$AB93*0.1094,3))</f>
        <v>71.128</v>
      </c>
      <c r="AL93" s="85" t="str">
        <f aca="false">IF(IF(ISBLANK(K93),1,(TRIM(K93)="")),"",ROUND(4.184*K93+$AB93*0.1094,3))</f>
        <v/>
      </c>
      <c r="AM93" s="101" t="str">
        <f aca="false">IF(IF(ISBLANK(L93),1,(TRIM(L93)="")),"",ROUND(4.184*L93+$AB93*0.1094,3))</f>
        <v/>
      </c>
      <c r="AN93" s="85" t="str">
        <f aca="false">IF(IF(ISBLANK(M93),1,(TRIM(M93)="")),"",ROUND(4.184*M93+$AB93*0.1094,3))</f>
        <v/>
      </c>
      <c r="AP93" s="38" t="s">
        <v>119</v>
      </c>
      <c r="AQ93" s="85" t="str">
        <f aca="false">IF(IF(ISBLANK(C93),1,(TRIM(C93)="")),"",ROUND(C93+($AB93*0.1094/4.184),3))</f>
        <v/>
      </c>
      <c r="AR93" s="101" t="str">
        <f aca="false">IF(IF(ISBLANK(D93),1,(TRIM(D93)="")),"",ROUND(D93+($AB93*0.1094/4.184),3))</f>
        <v/>
      </c>
      <c r="AS93" s="85" t="str">
        <f aca="false">IF(IF(ISBLANK(E93),1,(TRIM(E93)="")),"",ROUND(E93+($AB93*0.1094/4.184),3))</f>
        <v/>
      </c>
      <c r="AT93" s="101" t="n">
        <f aca="false">IF(IF(ISBLANK(F93),1,(TRIM(F93)="")),"",ROUND(F93+($AB93*0.1094/4.184),3))</f>
        <v>17</v>
      </c>
      <c r="AU93" s="85" t="n">
        <f aca="false">IF(IF(ISBLANK(G93),1,(TRIM(G93)="")),"",ROUND(G93+($AB93*0.1094/4.184),3))</f>
        <v>17</v>
      </c>
      <c r="AV93" s="101" t="n">
        <f aca="false">IF(IF(ISBLANK(H93),1,(TRIM(H93)="")),"",ROUND(H93+($AB93*0.1094/4.184),3))</f>
        <v>17</v>
      </c>
      <c r="AW93" s="85" t="str">
        <f aca="false">IF(IF(ISBLANK(I93),1,(TRIM(I93)="")),"",ROUND(I93+($AB93*0.1094/4.184),3))</f>
        <v/>
      </c>
      <c r="AX93" s="101" t="n">
        <f aca="false">IF(IF(ISBLANK(J93),1,(TRIM(J93)="")),"",ROUND(J93+($AB93*0.1094/4.184),3))</f>
        <v>17</v>
      </c>
      <c r="AY93" s="85" t="str">
        <f aca="false">IF(IF(ISBLANK(K93),1,(TRIM(K93)="")),"",ROUND(K93+($AB93*0.1094/4.184),3))</f>
        <v/>
      </c>
      <c r="AZ93" s="101" t="str">
        <f aca="false">IF(IF(ISBLANK(L93),1,(TRIM(L93)="")),"",ROUND(L93+($AB93*0.1094/4.184),3))</f>
        <v/>
      </c>
      <c r="BA93" s="85" t="str">
        <f aca="false">IF(IF(ISBLANK(M93),1,(TRIM(M93)="")),"",ROUND(M93+($AB93*0.1094/4.184),3))</f>
        <v/>
      </c>
    </row>
    <row r="94" customFormat="false" ht="12.75" hidden="false" customHeight="false" outlineLevel="0" collapsed="false">
      <c r="B94" s="38" t="s">
        <v>120</v>
      </c>
      <c r="C94" s="62"/>
      <c r="D94" s="63"/>
      <c r="E94" s="64" t="s">
        <v>421</v>
      </c>
      <c r="F94" s="63" t="n">
        <v>16.6</v>
      </c>
      <c r="G94" s="64" t="s">
        <v>422</v>
      </c>
      <c r="H94" s="63" t="n">
        <v>18.1</v>
      </c>
      <c r="I94" s="62"/>
      <c r="J94" s="102" t="n">
        <v>18.35</v>
      </c>
      <c r="K94" s="62"/>
      <c r="L94" s="65" t="s">
        <v>423</v>
      </c>
      <c r="M94" s="64" t="s">
        <v>424</v>
      </c>
      <c r="O94" s="38" t="s">
        <v>120</v>
      </c>
      <c r="P94" s="85" t="str">
        <f aca="false">IF(IF(ISBLANK(C94),1,(TRIM(C94)="")),"",ROUND(4.184*C94,3))</f>
        <v/>
      </c>
      <c r="Q94" s="101" t="str">
        <f aca="false">IF(IF(ISBLANK(D94),1,(TRIM(D94)="")),"",ROUND(4.184*D94,3))</f>
        <v/>
      </c>
      <c r="R94" s="85" t="n">
        <f aca="false">IF(IF(ISBLANK(E94),1,(TRIM(E94)="")),"",ROUND(4.184*E94,3))</f>
        <v>71.965</v>
      </c>
      <c r="S94" s="101" t="n">
        <f aca="false">IF(IF(ISBLANK(F94),1,(TRIM(F94)="")),"",ROUND(4.184*F94,3))</f>
        <v>69.454</v>
      </c>
      <c r="T94" s="85" t="n">
        <f aca="false">IF(IF(ISBLANK(G94),1,(TRIM(G94)="")),"",ROUND(4.184*G94,3))</f>
        <v>76.232</v>
      </c>
      <c r="U94" s="101" t="n">
        <f aca="false">IF(IF(ISBLANK(H94),1,(TRIM(H94)="")),"",ROUND(4.184*H94,3))</f>
        <v>75.73</v>
      </c>
      <c r="V94" s="85" t="str">
        <f aca="false">IF(IF(ISBLANK(I94),1,(TRIM(I94)="")),"",ROUND(4.184*I94,3))</f>
        <v/>
      </c>
      <c r="W94" s="101" t="n">
        <f aca="false">IF(IF(ISBLANK(J94),1,(TRIM(J94)="")),"",ROUND(4.184*J94,3))</f>
        <v>76.776</v>
      </c>
      <c r="X94" s="85" t="str">
        <f aca="false">IF(IF(ISBLANK(K94),1,(TRIM(K94)="")),"",ROUND(4.184*K94,3))</f>
        <v/>
      </c>
      <c r="Y94" s="101" t="n">
        <f aca="false">IF(IF(ISBLANK(L94),1,(TRIM(L94)="")),"",ROUND(4.184*L94,3))</f>
        <v>76.776</v>
      </c>
      <c r="Z94" s="85" t="n">
        <f aca="false">IF(IF(ISBLANK(M94),1,(TRIM(M94)="")),"",ROUND(4.184*M94,3))</f>
        <v>76.776</v>
      </c>
      <c r="AB94" s="34"/>
      <c r="AC94" s="38" t="s">
        <v>120</v>
      </c>
      <c r="AD94" s="85" t="str">
        <f aca="false">IF(IF(ISBLANK(C94),1,(TRIM(C94)="")),"",ROUND(4.184*C94+$AB94*0.1094,3))</f>
        <v/>
      </c>
      <c r="AE94" s="101" t="str">
        <f aca="false">IF(IF(ISBLANK(D94),1,(TRIM(D94)="")),"",ROUND(4.184*D94+$AB94*0.1094,3))</f>
        <v/>
      </c>
      <c r="AF94" s="85" t="n">
        <f aca="false">IF(IF(ISBLANK(E94),1,(TRIM(E94)="")),"",ROUND(4.184*E94+$AB94*0.1094,3))</f>
        <v>71.965</v>
      </c>
      <c r="AG94" s="101" t="n">
        <f aca="false">IF(IF(ISBLANK(F94),1,(TRIM(F94)="")),"",ROUND(4.184*F94+$AB94*0.1094,3))</f>
        <v>69.454</v>
      </c>
      <c r="AH94" s="85" t="n">
        <f aca="false">IF(IF(ISBLANK(G94),1,(TRIM(G94)="")),"",ROUND(4.184*G94+$AB94*0.1094,3))</f>
        <v>76.232</v>
      </c>
      <c r="AI94" s="101" t="n">
        <f aca="false">IF(IF(ISBLANK(H94),1,(TRIM(H94)="")),"",ROUND(4.184*H94+$AB94*0.1094,3))</f>
        <v>75.73</v>
      </c>
      <c r="AJ94" s="85" t="str">
        <f aca="false">IF(IF(ISBLANK(I94),1,(TRIM(I94)="")),"",ROUND(4.184*I94+$AB94*0.1094,3))</f>
        <v/>
      </c>
      <c r="AK94" s="101" t="n">
        <f aca="false">IF(IF(ISBLANK(J94),1,(TRIM(J94)="")),"",ROUND(4.184*J94+$AB94*0.1094,3))</f>
        <v>76.776</v>
      </c>
      <c r="AL94" s="85" t="str">
        <f aca="false">IF(IF(ISBLANK(K94),1,(TRIM(K94)="")),"",ROUND(4.184*K94+$AB94*0.1094,3))</f>
        <v/>
      </c>
      <c r="AM94" s="101" t="n">
        <f aca="false">IF(IF(ISBLANK(L94),1,(TRIM(L94)="")),"",ROUND(4.184*L94+$AB94*0.1094,3))</f>
        <v>76.776</v>
      </c>
      <c r="AN94" s="85" t="n">
        <f aca="false">IF(IF(ISBLANK(M94),1,(TRIM(M94)="")),"",ROUND(4.184*M94+$AB94*0.1094,3))</f>
        <v>76.776</v>
      </c>
      <c r="AP94" s="38" t="s">
        <v>120</v>
      </c>
      <c r="AQ94" s="85" t="str">
        <f aca="false">IF(IF(ISBLANK(C94),1,(TRIM(C94)="")),"",ROUND(C94+($AB94*0.1094/4.184),3))</f>
        <v/>
      </c>
      <c r="AR94" s="101" t="str">
        <f aca="false">IF(IF(ISBLANK(D94),1,(TRIM(D94)="")),"",ROUND(D94+($AB94*0.1094/4.184),3))</f>
        <v/>
      </c>
      <c r="AS94" s="85" t="n">
        <f aca="false">IF(IF(ISBLANK(E94),1,(TRIM(E94)="")),"",ROUND(E94+($AB94*0.1094/4.184),3))</f>
        <v>17.2</v>
      </c>
      <c r="AT94" s="101" t="n">
        <f aca="false">IF(IF(ISBLANK(F94),1,(TRIM(F94)="")),"",ROUND(F94+($AB94*0.1094/4.184),3))</f>
        <v>16.6</v>
      </c>
      <c r="AU94" s="85" t="n">
        <f aca="false">IF(IF(ISBLANK(G94),1,(TRIM(G94)="")),"",ROUND(G94+($AB94*0.1094/4.184),3))</f>
        <v>18.22</v>
      </c>
      <c r="AV94" s="101" t="n">
        <f aca="false">IF(IF(ISBLANK(H94),1,(TRIM(H94)="")),"",ROUND(H94+($AB94*0.1094/4.184),3))</f>
        <v>18.1</v>
      </c>
      <c r="AW94" s="85" t="str">
        <f aca="false">IF(IF(ISBLANK(I94),1,(TRIM(I94)="")),"",ROUND(I94+($AB94*0.1094/4.184),3))</f>
        <v/>
      </c>
      <c r="AX94" s="101" t="n">
        <f aca="false">IF(IF(ISBLANK(J94),1,(TRIM(J94)="")),"",ROUND(J94+($AB94*0.1094/4.184),3))</f>
        <v>18.35</v>
      </c>
      <c r="AY94" s="85" t="str">
        <f aca="false">IF(IF(ISBLANK(K94),1,(TRIM(K94)="")),"",ROUND(K94+($AB94*0.1094/4.184),3))</f>
        <v/>
      </c>
      <c r="AZ94" s="101" t="n">
        <f aca="false">IF(IF(ISBLANK(L94),1,(TRIM(L94)="")),"",ROUND(L94+($AB94*0.1094/4.184),3))</f>
        <v>18.35</v>
      </c>
      <c r="BA94" s="85" t="n">
        <f aca="false">IF(IF(ISBLANK(M94),1,(TRIM(M94)="")),"",ROUND(M94+($AB94*0.1094/4.184),3))</f>
        <v>18.35</v>
      </c>
    </row>
    <row r="95" customFormat="false" ht="12.75" hidden="false" customHeight="false" outlineLevel="0" collapsed="false">
      <c r="B95" s="31" t="s">
        <v>121</v>
      </c>
      <c r="C95" s="62"/>
      <c r="D95" s="63"/>
      <c r="E95" s="64"/>
      <c r="F95" s="65" t="s">
        <v>425</v>
      </c>
      <c r="G95" s="64" t="s">
        <v>426</v>
      </c>
      <c r="H95" s="63" t="n">
        <v>8.89</v>
      </c>
      <c r="I95" s="62"/>
      <c r="J95" s="102" t="n">
        <v>8.81</v>
      </c>
      <c r="K95" s="62"/>
      <c r="L95" s="65" t="s">
        <v>427</v>
      </c>
      <c r="M95" s="64" t="s">
        <v>427</v>
      </c>
      <c r="O95" s="31" t="s">
        <v>121</v>
      </c>
      <c r="P95" s="85" t="str">
        <f aca="false">IF(IF(ISBLANK(C95),1,(TRIM(C95)="")),"",ROUND(4.184*C95,3))</f>
        <v/>
      </c>
      <c r="Q95" s="101" t="str">
        <f aca="false">IF(IF(ISBLANK(D95),1,(TRIM(D95)="")),"",ROUND(4.184*D95,3))</f>
        <v/>
      </c>
      <c r="R95" s="85" t="str">
        <f aca="false">IF(IF(ISBLANK(E95),1,(TRIM(E95)="")),"",ROUND(4.184*E95,3))</f>
        <v/>
      </c>
      <c r="S95" s="101" t="n">
        <f aca="false">IF(IF(ISBLANK(F95),1,(TRIM(F95)="")),"",ROUND(4.184*F95,3))</f>
        <v>41.84</v>
      </c>
      <c r="T95" s="85" t="n">
        <f aca="false">IF(IF(ISBLANK(G95),1,(TRIM(G95)="")),"",ROUND(4.184*G95,3))</f>
        <v>37.196</v>
      </c>
      <c r="U95" s="101" t="n">
        <f aca="false">IF(IF(ISBLANK(H95),1,(TRIM(H95)="")),"",ROUND(4.184*H95,3))</f>
        <v>37.196</v>
      </c>
      <c r="V95" s="85" t="str">
        <f aca="false">IF(IF(ISBLANK(I95),1,(TRIM(I95)="")),"",ROUND(4.184*I95,3))</f>
        <v/>
      </c>
      <c r="W95" s="101" t="n">
        <f aca="false">IF(IF(ISBLANK(J95),1,(TRIM(J95)="")),"",ROUND(4.184*J95,3))</f>
        <v>36.861</v>
      </c>
      <c r="X95" s="85" t="str">
        <f aca="false">IF(IF(ISBLANK(K95),1,(TRIM(K95)="")),"",ROUND(4.184*K95,3))</f>
        <v/>
      </c>
      <c r="Y95" s="101" t="n">
        <f aca="false">IF(IF(ISBLANK(L95),1,(TRIM(L95)="")),"",ROUND(4.184*L95,3))</f>
        <v>36.526</v>
      </c>
      <c r="Z95" s="85" t="n">
        <f aca="false">IF(IF(ISBLANK(M95),1,(TRIM(M95)="")),"",ROUND(4.184*M95,3))</f>
        <v>36.526</v>
      </c>
      <c r="AB95" s="34"/>
      <c r="AC95" s="31" t="s">
        <v>121</v>
      </c>
      <c r="AD95" s="85" t="str">
        <f aca="false">IF(IF(ISBLANK(C95),1,(TRIM(C95)="")),"",ROUND(4.184*C95+$AB95*0.1094,3))</f>
        <v/>
      </c>
      <c r="AE95" s="101" t="str">
        <f aca="false">IF(IF(ISBLANK(D95),1,(TRIM(D95)="")),"",ROUND(4.184*D95+$AB95*0.1094,3))</f>
        <v/>
      </c>
      <c r="AF95" s="85" t="str">
        <f aca="false">IF(IF(ISBLANK(E95),1,(TRIM(E95)="")),"",ROUND(4.184*E95+$AB95*0.1094,3))</f>
        <v/>
      </c>
      <c r="AG95" s="101" t="n">
        <f aca="false">IF(IF(ISBLANK(F95),1,(TRIM(F95)="")),"",ROUND(4.184*F95+$AB95*0.1094,3))</f>
        <v>41.84</v>
      </c>
      <c r="AH95" s="85" t="n">
        <f aca="false">IF(IF(ISBLANK(G95),1,(TRIM(G95)="")),"",ROUND(4.184*G95+$AB95*0.1094,3))</f>
        <v>37.196</v>
      </c>
      <c r="AI95" s="101" t="n">
        <f aca="false">IF(IF(ISBLANK(H95),1,(TRIM(H95)="")),"",ROUND(4.184*H95+$AB95*0.1094,3))</f>
        <v>37.196</v>
      </c>
      <c r="AJ95" s="85" t="str">
        <f aca="false">IF(IF(ISBLANK(I95),1,(TRIM(I95)="")),"",ROUND(4.184*I95+$AB95*0.1094,3))</f>
        <v/>
      </c>
      <c r="AK95" s="101" t="n">
        <f aca="false">IF(IF(ISBLANK(J95),1,(TRIM(J95)="")),"",ROUND(4.184*J95+$AB95*0.1094,3))</f>
        <v>36.861</v>
      </c>
      <c r="AL95" s="85" t="str">
        <f aca="false">IF(IF(ISBLANK(K95),1,(TRIM(K95)="")),"",ROUND(4.184*K95+$AB95*0.1094,3))</f>
        <v/>
      </c>
      <c r="AM95" s="101" t="n">
        <f aca="false">IF(IF(ISBLANK(L95),1,(TRIM(L95)="")),"",ROUND(4.184*L95+$AB95*0.1094,3))</f>
        <v>36.526</v>
      </c>
      <c r="AN95" s="85" t="n">
        <f aca="false">IF(IF(ISBLANK(M95),1,(TRIM(M95)="")),"",ROUND(4.184*M95+$AB95*0.1094,3))</f>
        <v>36.526</v>
      </c>
      <c r="AP95" s="31" t="s">
        <v>121</v>
      </c>
      <c r="AQ95" s="85" t="str">
        <f aca="false">IF(IF(ISBLANK(C95),1,(TRIM(C95)="")),"",ROUND(C95+($AB95*0.1094/4.184),3))</f>
        <v/>
      </c>
      <c r="AR95" s="101" t="str">
        <f aca="false">IF(IF(ISBLANK(D95),1,(TRIM(D95)="")),"",ROUND(D95+($AB95*0.1094/4.184),3))</f>
        <v/>
      </c>
      <c r="AS95" s="85" t="str">
        <f aca="false">IF(IF(ISBLANK(E95),1,(TRIM(E95)="")),"",ROUND(E95+($AB95*0.1094/4.184),3))</f>
        <v/>
      </c>
      <c r="AT95" s="101" t="n">
        <f aca="false">IF(IF(ISBLANK(F95),1,(TRIM(F95)="")),"",ROUND(F95+($AB95*0.1094/4.184),3))</f>
        <v>10</v>
      </c>
      <c r="AU95" s="85" t="n">
        <f aca="false">IF(IF(ISBLANK(G95),1,(TRIM(G95)="")),"",ROUND(G95+($AB95*0.1094/4.184),3))</f>
        <v>8.89</v>
      </c>
      <c r="AV95" s="101" t="n">
        <f aca="false">IF(IF(ISBLANK(H95),1,(TRIM(H95)="")),"",ROUND(H95+($AB95*0.1094/4.184),3))</f>
        <v>8.89</v>
      </c>
      <c r="AW95" s="85" t="str">
        <f aca="false">IF(IF(ISBLANK(I95),1,(TRIM(I95)="")),"",ROUND(I95+($AB95*0.1094/4.184),3))</f>
        <v/>
      </c>
      <c r="AX95" s="101" t="n">
        <f aca="false">IF(IF(ISBLANK(J95),1,(TRIM(J95)="")),"",ROUND(J95+($AB95*0.1094/4.184),3))</f>
        <v>8.81</v>
      </c>
      <c r="AY95" s="85" t="str">
        <f aca="false">IF(IF(ISBLANK(K95),1,(TRIM(K95)="")),"",ROUND(K95+($AB95*0.1094/4.184),3))</f>
        <v/>
      </c>
      <c r="AZ95" s="101" t="n">
        <f aca="false">IF(IF(ISBLANK(L95),1,(TRIM(L95)="")),"",ROUND(L95+($AB95*0.1094/4.184),3))</f>
        <v>8.73</v>
      </c>
      <c r="BA95" s="85" t="n">
        <f aca="false">IF(IF(ISBLANK(M95),1,(TRIM(M95)="")),"",ROUND(M95+($AB95*0.1094/4.184),3))</f>
        <v>8.73</v>
      </c>
    </row>
    <row r="96" customFormat="false" ht="12.75" hidden="false" customHeight="false" outlineLevel="0" collapsed="false">
      <c r="B96" s="38" t="s">
        <v>122</v>
      </c>
      <c r="C96" s="62" t="n">
        <v>7.6</v>
      </c>
      <c r="D96" s="63" t="n">
        <v>7.6</v>
      </c>
      <c r="E96" s="64" t="s">
        <v>356</v>
      </c>
      <c r="F96" s="63" t="n">
        <v>7.6</v>
      </c>
      <c r="G96" s="64" t="s">
        <v>428</v>
      </c>
      <c r="H96" s="63" t="n">
        <v>7.53</v>
      </c>
      <c r="I96" s="62"/>
      <c r="J96" s="102" t="n">
        <v>7.53</v>
      </c>
      <c r="K96" s="62"/>
      <c r="L96" s="65" t="s">
        <v>429</v>
      </c>
      <c r="M96" s="62" t="n">
        <v>7.542</v>
      </c>
      <c r="O96" s="38" t="s">
        <v>122</v>
      </c>
      <c r="P96" s="85" t="n">
        <f aca="false">IF(IF(ISBLANK(C96),1,(TRIM(C96)="")),"",ROUND(4.184*C96,3))</f>
        <v>31.798</v>
      </c>
      <c r="Q96" s="101" t="n">
        <f aca="false">IF(IF(ISBLANK(D96),1,(TRIM(D96)="")),"",ROUND(4.184*D96,3))</f>
        <v>31.798</v>
      </c>
      <c r="R96" s="85" t="n">
        <f aca="false">IF(IF(ISBLANK(E96),1,(TRIM(E96)="")),"",ROUND(4.184*E96,3))</f>
        <v>31.798</v>
      </c>
      <c r="S96" s="101" t="n">
        <f aca="false">IF(IF(ISBLANK(F96),1,(TRIM(F96)="")),"",ROUND(4.184*F96,3))</f>
        <v>31.798</v>
      </c>
      <c r="T96" s="85" t="n">
        <f aca="false">IF(IF(ISBLANK(G96),1,(TRIM(G96)="")),"",ROUND(4.184*G96,3))</f>
        <v>31.798</v>
      </c>
      <c r="U96" s="101" t="n">
        <f aca="false">IF(IF(ISBLANK(H96),1,(TRIM(H96)="")),"",ROUND(4.184*H96,3))</f>
        <v>31.506</v>
      </c>
      <c r="V96" s="85" t="str">
        <f aca="false">IF(IF(ISBLANK(I96),1,(TRIM(I96)="")),"",ROUND(4.184*I96,3))</f>
        <v/>
      </c>
      <c r="W96" s="101" t="n">
        <f aca="false">IF(IF(ISBLANK(J96),1,(TRIM(J96)="")),"",ROUND(4.184*J96,3))</f>
        <v>31.506</v>
      </c>
      <c r="X96" s="85" t="str">
        <f aca="false">IF(IF(ISBLANK(K96),1,(TRIM(K96)="")),"",ROUND(4.184*K96,3))</f>
        <v/>
      </c>
      <c r="Y96" s="101" t="n">
        <f aca="false">IF(IF(ISBLANK(L96),1,(TRIM(L96)="")),"",ROUND(4.184*L96,3))</f>
        <v>31.506</v>
      </c>
      <c r="Z96" s="85" t="n">
        <f aca="false">IF(IF(ISBLANK(M96),1,(TRIM(M96)="")),"",ROUND(4.184*M96,3))</f>
        <v>31.556</v>
      </c>
      <c r="AB96" s="34"/>
      <c r="AC96" s="38" t="s">
        <v>122</v>
      </c>
      <c r="AD96" s="85" t="n">
        <f aca="false">IF(IF(ISBLANK(C96),1,(TRIM(C96)="")),"",ROUND(4.184*C96+$AB96*0.1094,3))</f>
        <v>31.798</v>
      </c>
      <c r="AE96" s="101" t="n">
        <f aca="false">IF(IF(ISBLANK(D96),1,(TRIM(D96)="")),"",ROUND(4.184*D96+$AB96*0.1094,3))</f>
        <v>31.798</v>
      </c>
      <c r="AF96" s="85" t="n">
        <f aca="false">IF(IF(ISBLANK(E96),1,(TRIM(E96)="")),"",ROUND(4.184*E96+$AB96*0.1094,3))</f>
        <v>31.798</v>
      </c>
      <c r="AG96" s="101" t="n">
        <f aca="false">IF(IF(ISBLANK(F96),1,(TRIM(F96)="")),"",ROUND(4.184*F96+$AB96*0.1094,3))</f>
        <v>31.798</v>
      </c>
      <c r="AH96" s="85" t="n">
        <f aca="false">IF(IF(ISBLANK(G96),1,(TRIM(G96)="")),"",ROUND(4.184*G96+$AB96*0.1094,3))</f>
        <v>31.798</v>
      </c>
      <c r="AI96" s="101" t="n">
        <f aca="false">IF(IF(ISBLANK(H96),1,(TRIM(H96)="")),"",ROUND(4.184*H96+$AB96*0.1094,3))</f>
        <v>31.506</v>
      </c>
      <c r="AJ96" s="85" t="str">
        <f aca="false">IF(IF(ISBLANK(I96),1,(TRIM(I96)="")),"",ROUND(4.184*I96+$AB96*0.1094,3))</f>
        <v/>
      </c>
      <c r="AK96" s="101" t="n">
        <f aca="false">IF(IF(ISBLANK(J96),1,(TRIM(J96)="")),"",ROUND(4.184*J96+$AB96*0.1094,3))</f>
        <v>31.506</v>
      </c>
      <c r="AL96" s="85" t="str">
        <f aca="false">IF(IF(ISBLANK(K96),1,(TRIM(K96)="")),"",ROUND(4.184*K96+$AB96*0.1094,3))</f>
        <v/>
      </c>
      <c r="AM96" s="101" t="n">
        <f aca="false">IF(IF(ISBLANK(L96),1,(TRIM(L96)="")),"",ROUND(4.184*L96+$AB96*0.1094,3))</f>
        <v>31.506</v>
      </c>
      <c r="AN96" s="85" t="n">
        <f aca="false">IF(IF(ISBLANK(M96),1,(TRIM(M96)="")),"",ROUND(4.184*M96+$AB96*0.1094,3))</f>
        <v>31.556</v>
      </c>
      <c r="AP96" s="38" t="s">
        <v>122</v>
      </c>
      <c r="AQ96" s="85" t="n">
        <f aca="false">IF(IF(ISBLANK(C96),1,(TRIM(C96)="")),"",ROUND(C96+($AB96*0.1094/4.184),3))</f>
        <v>7.6</v>
      </c>
      <c r="AR96" s="101" t="n">
        <f aca="false">IF(IF(ISBLANK(D96),1,(TRIM(D96)="")),"",ROUND(D96+($AB96*0.1094/4.184),3))</f>
        <v>7.6</v>
      </c>
      <c r="AS96" s="85" t="n">
        <f aca="false">IF(IF(ISBLANK(E96),1,(TRIM(E96)="")),"",ROUND(E96+($AB96*0.1094/4.184),3))</f>
        <v>7.6</v>
      </c>
      <c r="AT96" s="101" t="n">
        <f aca="false">IF(IF(ISBLANK(F96),1,(TRIM(F96)="")),"",ROUND(F96+($AB96*0.1094/4.184),3))</f>
        <v>7.6</v>
      </c>
      <c r="AU96" s="85" t="n">
        <f aca="false">IF(IF(ISBLANK(G96),1,(TRIM(G96)="")),"",ROUND(G96+($AB96*0.1094/4.184),3))</f>
        <v>7.6</v>
      </c>
      <c r="AV96" s="101" t="n">
        <f aca="false">IF(IF(ISBLANK(H96),1,(TRIM(H96)="")),"",ROUND(H96+($AB96*0.1094/4.184),3))</f>
        <v>7.53</v>
      </c>
      <c r="AW96" s="85" t="str">
        <f aca="false">IF(IF(ISBLANK(I96),1,(TRIM(I96)="")),"",ROUND(I96+($AB96*0.1094/4.184),3))</f>
        <v/>
      </c>
      <c r="AX96" s="101" t="n">
        <f aca="false">IF(IF(ISBLANK(J96),1,(TRIM(J96)="")),"",ROUND(J96+($AB96*0.1094/4.184),3))</f>
        <v>7.53</v>
      </c>
      <c r="AY96" s="85" t="str">
        <f aca="false">IF(IF(ISBLANK(K96),1,(TRIM(K96)="")),"",ROUND(K96+($AB96*0.1094/4.184),3))</f>
        <v/>
      </c>
      <c r="AZ96" s="101" t="n">
        <f aca="false">IF(IF(ISBLANK(L96),1,(TRIM(L96)="")),"",ROUND(L96+($AB96*0.1094/4.184),3))</f>
        <v>7.53</v>
      </c>
      <c r="BA96" s="85" t="n">
        <f aca="false">IF(IF(ISBLANK(M96),1,(TRIM(M96)="")),"",ROUND(M96+($AB96*0.1094/4.184),3))</f>
        <v>7.542</v>
      </c>
    </row>
    <row r="97" customFormat="false" ht="12.75" hidden="false" customHeight="false" outlineLevel="0" collapsed="false">
      <c r="B97" s="31" t="s">
        <v>123</v>
      </c>
      <c r="C97" s="62"/>
      <c r="D97" s="63" t="n">
        <v>41.81</v>
      </c>
      <c r="E97" s="64" t="s">
        <v>430</v>
      </c>
      <c r="F97" s="65" t="s">
        <v>430</v>
      </c>
      <c r="G97" s="64" t="s">
        <v>430</v>
      </c>
      <c r="H97" s="65" t="s">
        <v>430</v>
      </c>
      <c r="I97" s="62"/>
      <c r="J97" s="102" t="n">
        <v>42.09</v>
      </c>
      <c r="K97" s="62"/>
      <c r="L97" s="65" t="s">
        <v>431</v>
      </c>
      <c r="M97" s="62"/>
      <c r="O97" s="31" t="s">
        <v>123</v>
      </c>
      <c r="P97" s="85" t="str">
        <f aca="false">IF(IF(ISBLANK(C97),1,(TRIM(C97)="")),"",ROUND(4.184*C97,3))</f>
        <v/>
      </c>
      <c r="Q97" s="101" t="n">
        <f aca="false">IF(IF(ISBLANK(D97),1,(TRIM(D97)="")),"",ROUND(4.184*D97,3))</f>
        <v>174.933</v>
      </c>
      <c r="R97" s="85" t="n">
        <f aca="false">IF(IF(ISBLANK(E97),1,(TRIM(E97)="")),"",ROUND(4.184*E97,3))</f>
        <v>176.146</v>
      </c>
      <c r="S97" s="101" t="n">
        <f aca="false">IF(IF(ISBLANK(F97),1,(TRIM(F97)="")),"",ROUND(4.184*F97,3))</f>
        <v>176.146</v>
      </c>
      <c r="T97" s="85" t="n">
        <f aca="false">IF(IF(ISBLANK(G97),1,(TRIM(G97)="")),"",ROUND(4.184*G97,3))</f>
        <v>176.146</v>
      </c>
      <c r="U97" s="101" t="n">
        <f aca="false">IF(IF(ISBLANK(H97),1,(TRIM(H97)="")),"",ROUND(4.184*H97,3))</f>
        <v>176.146</v>
      </c>
      <c r="V97" s="85" t="str">
        <f aca="false">IF(IF(ISBLANK(I97),1,(TRIM(I97)="")),"",ROUND(4.184*I97,3))</f>
        <v/>
      </c>
      <c r="W97" s="101" t="n">
        <f aca="false">IF(IF(ISBLANK(J97),1,(TRIM(J97)="")),"",ROUND(4.184*J97,3))</f>
        <v>176.105</v>
      </c>
      <c r="X97" s="85" t="str">
        <f aca="false">IF(IF(ISBLANK(K97),1,(TRIM(K97)="")),"",ROUND(4.184*K97,3))</f>
        <v/>
      </c>
      <c r="Y97" s="101" t="n">
        <f aca="false">IF(IF(ISBLANK(L97),1,(TRIM(L97)="")),"",ROUND(4.184*L97,3))</f>
        <v>176.121</v>
      </c>
      <c r="Z97" s="85" t="str">
        <f aca="false">IF(IF(ISBLANK(M97),1,(TRIM(M97)="")),"",ROUND(4.184*M97,3))</f>
        <v/>
      </c>
      <c r="AB97" s="34" t="n">
        <v>1</v>
      </c>
      <c r="AC97" s="31" t="s">
        <v>123</v>
      </c>
      <c r="AD97" s="85" t="str">
        <f aca="false">IF(IF(ISBLANK(C97),1,(TRIM(C97)="")),"",ROUND(4.184*C97+$AB97*0.1094,3))</f>
        <v/>
      </c>
      <c r="AE97" s="101" t="n">
        <f aca="false">IF(IF(ISBLANK(D97),1,(TRIM(D97)="")),"",ROUND(4.184*D97+$AB97*0.1094,3))</f>
        <v>175.042</v>
      </c>
      <c r="AF97" s="85" t="n">
        <f aca="false">IF(IF(ISBLANK(E97),1,(TRIM(E97)="")),"",ROUND(4.184*E97+$AB97*0.1094,3))</f>
        <v>176.256</v>
      </c>
      <c r="AG97" s="101" t="n">
        <f aca="false">IF(IF(ISBLANK(F97),1,(TRIM(F97)="")),"",ROUND(4.184*F97+$AB97*0.1094,3))</f>
        <v>176.256</v>
      </c>
      <c r="AH97" s="85" t="n">
        <f aca="false">IF(IF(ISBLANK(G97),1,(TRIM(G97)="")),"",ROUND(4.184*G97+$AB97*0.1094,3))</f>
        <v>176.256</v>
      </c>
      <c r="AI97" s="101" t="n">
        <f aca="false">IF(IF(ISBLANK(H97),1,(TRIM(H97)="")),"",ROUND(4.184*H97+$AB97*0.1094,3))</f>
        <v>176.256</v>
      </c>
      <c r="AJ97" s="85" t="str">
        <f aca="false">IF(IF(ISBLANK(I97),1,(TRIM(I97)="")),"",ROUND(4.184*I97+$AB97*0.1094,3))</f>
        <v/>
      </c>
      <c r="AK97" s="101" t="n">
        <f aca="false">IF(IF(ISBLANK(J97),1,(TRIM(J97)="")),"",ROUND(4.184*J97+$AB97*0.1094,3))</f>
        <v>176.214</v>
      </c>
      <c r="AL97" s="85" t="str">
        <f aca="false">IF(IF(ISBLANK(K97),1,(TRIM(K97)="")),"",ROUND(4.184*K97+$AB97*0.1094,3))</f>
        <v/>
      </c>
      <c r="AM97" s="101" t="n">
        <f aca="false">IF(IF(ISBLANK(L97),1,(TRIM(L97)="")),"",ROUND(4.184*L97+$AB97*0.1094,3))</f>
        <v>176.231</v>
      </c>
      <c r="AN97" s="85" t="str">
        <f aca="false">IF(IF(ISBLANK(M97),1,(TRIM(M97)="")),"",ROUND(4.184*M97+$AB97*0.1094,3))</f>
        <v/>
      </c>
      <c r="AP97" s="31" t="s">
        <v>123</v>
      </c>
      <c r="AQ97" s="85" t="str">
        <f aca="false">IF(IF(ISBLANK(C97),1,(TRIM(C97)="")),"",ROUND(C97+($AB97*0.1094/4.184),3))</f>
        <v/>
      </c>
      <c r="AR97" s="101" t="n">
        <f aca="false">IF(IF(ISBLANK(D97),1,(TRIM(D97)="")),"",ROUND(D97+($AB97*0.1094/4.184),3))</f>
        <v>41.836</v>
      </c>
      <c r="AS97" s="85" t="n">
        <f aca="false">IF(IF(ISBLANK(E97),1,(TRIM(E97)="")),"",ROUND(E97+($AB97*0.1094/4.184),3))</f>
        <v>42.126</v>
      </c>
      <c r="AT97" s="101" t="n">
        <f aca="false">IF(IF(ISBLANK(F97),1,(TRIM(F97)="")),"",ROUND(F97+($AB97*0.1094/4.184),3))</f>
        <v>42.126</v>
      </c>
      <c r="AU97" s="85" t="n">
        <f aca="false">IF(IF(ISBLANK(G97),1,(TRIM(G97)="")),"",ROUND(G97+($AB97*0.1094/4.184),3))</f>
        <v>42.126</v>
      </c>
      <c r="AV97" s="101" t="n">
        <f aca="false">IF(IF(ISBLANK(H97),1,(TRIM(H97)="")),"",ROUND(H97+($AB97*0.1094/4.184),3))</f>
        <v>42.126</v>
      </c>
      <c r="AW97" s="85" t="str">
        <f aca="false">IF(IF(ISBLANK(I97),1,(TRIM(I97)="")),"",ROUND(I97+($AB97*0.1094/4.184),3))</f>
        <v/>
      </c>
      <c r="AX97" s="101" t="n">
        <f aca="false">IF(IF(ISBLANK(J97),1,(TRIM(J97)="")),"",ROUND(J97+($AB97*0.1094/4.184),3))</f>
        <v>42.116</v>
      </c>
      <c r="AY97" s="85" t="str">
        <f aca="false">IF(IF(ISBLANK(K97),1,(TRIM(K97)="")),"",ROUND(K97+($AB97*0.1094/4.184),3))</f>
        <v/>
      </c>
      <c r="AZ97" s="101" t="n">
        <f aca="false">IF(IF(ISBLANK(L97),1,(TRIM(L97)="")),"",ROUND(L97+($AB97*0.1094/4.184),3))</f>
        <v>42.12</v>
      </c>
      <c r="BA97" s="85" t="str">
        <f aca="false">IF(IF(ISBLANK(M97),1,(TRIM(M97)="")),"",ROUND(M97+($AB97*0.1094/4.184),3))</f>
        <v/>
      </c>
    </row>
    <row r="98" customFormat="false" ht="12.75" hidden="false" customHeight="false" outlineLevel="0" collapsed="false">
      <c r="B98" s="38" t="s">
        <v>124</v>
      </c>
      <c r="C98" s="62" t="n">
        <v>6.9</v>
      </c>
      <c r="D98" s="63" t="n">
        <v>6.9</v>
      </c>
      <c r="E98" s="64" t="s">
        <v>432</v>
      </c>
      <c r="F98" s="63" t="n">
        <v>6.9</v>
      </c>
      <c r="G98" s="64" t="s">
        <v>433</v>
      </c>
      <c r="H98" s="63" t="n">
        <v>6.82</v>
      </c>
      <c r="I98" s="62"/>
      <c r="J98" s="102" t="n">
        <v>6.82</v>
      </c>
      <c r="K98" s="62"/>
      <c r="L98" s="65" t="s">
        <v>434</v>
      </c>
      <c r="M98" s="62" t="n">
        <v>6.839</v>
      </c>
      <c r="O98" s="38" t="s">
        <v>124</v>
      </c>
      <c r="P98" s="85" t="n">
        <f aca="false">IF(IF(ISBLANK(C98),1,(TRIM(C98)="")),"",ROUND(4.184*C98,3))</f>
        <v>28.87</v>
      </c>
      <c r="Q98" s="101" t="n">
        <f aca="false">IF(IF(ISBLANK(D98),1,(TRIM(D98)="")),"",ROUND(4.184*D98,3))</f>
        <v>28.87</v>
      </c>
      <c r="R98" s="85" t="n">
        <f aca="false">IF(IF(ISBLANK(E98),1,(TRIM(E98)="")),"",ROUND(4.184*E98,3))</f>
        <v>28.87</v>
      </c>
      <c r="S98" s="101" t="n">
        <f aca="false">IF(IF(ISBLANK(F98),1,(TRIM(F98)="")),"",ROUND(4.184*F98,3))</f>
        <v>28.87</v>
      </c>
      <c r="T98" s="85" t="n">
        <f aca="false">IF(IF(ISBLANK(G98),1,(TRIM(G98)="")),"",ROUND(4.184*G98,3))</f>
        <v>28.87</v>
      </c>
      <c r="U98" s="101" t="n">
        <f aca="false">IF(IF(ISBLANK(H98),1,(TRIM(H98)="")),"",ROUND(4.184*H98,3))</f>
        <v>28.535</v>
      </c>
      <c r="V98" s="85" t="str">
        <f aca="false">IF(IF(ISBLANK(I98),1,(TRIM(I98)="")),"",ROUND(4.184*I98,3))</f>
        <v/>
      </c>
      <c r="W98" s="101" t="n">
        <f aca="false">IF(IF(ISBLANK(J98),1,(TRIM(J98)="")),"",ROUND(4.184*J98,3))</f>
        <v>28.535</v>
      </c>
      <c r="X98" s="85" t="str">
        <f aca="false">IF(IF(ISBLANK(K98),1,(TRIM(K98)="")),"",ROUND(4.184*K98,3))</f>
        <v/>
      </c>
      <c r="Y98" s="101" t="n">
        <f aca="false">IF(IF(ISBLANK(L98),1,(TRIM(L98)="")),"",ROUND(4.184*L98,3))</f>
        <v>28.535</v>
      </c>
      <c r="Z98" s="85" t="n">
        <f aca="false">IF(IF(ISBLANK(M98),1,(TRIM(M98)="")),"",ROUND(4.184*M98,3))</f>
        <v>28.614</v>
      </c>
      <c r="AB98" s="34"/>
      <c r="AC98" s="38" t="s">
        <v>124</v>
      </c>
      <c r="AD98" s="85" t="n">
        <f aca="false">IF(IF(ISBLANK(C98),1,(TRIM(C98)="")),"",ROUND(4.184*C98+$AB98*0.1094,3))</f>
        <v>28.87</v>
      </c>
      <c r="AE98" s="101" t="n">
        <f aca="false">IF(IF(ISBLANK(D98),1,(TRIM(D98)="")),"",ROUND(4.184*D98+$AB98*0.1094,3))</f>
        <v>28.87</v>
      </c>
      <c r="AF98" s="85" t="n">
        <f aca="false">IF(IF(ISBLANK(E98),1,(TRIM(E98)="")),"",ROUND(4.184*E98+$AB98*0.1094,3))</f>
        <v>28.87</v>
      </c>
      <c r="AG98" s="101" t="n">
        <f aca="false">IF(IF(ISBLANK(F98),1,(TRIM(F98)="")),"",ROUND(4.184*F98+$AB98*0.1094,3))</f>
        <v>28.87</v>
      </c>
      <c r="AH98" s="85" t="n">
        <f aca="false">IF(IF(ISBLANK(G98),1,(TRIM(G98)="")),"",ROUND(4.184*G98+$AB98*0.1094,3))</f>
        <v>28.87</v>
      </c>
      <c r="AI98" s="101" t="n">
        <f aca="false">IF(IF(ISBLANK(H98),1,(TRIM(H98)="")),"",ROUND(4.184*H98+$AB98*0.1094,3))</f>
        <v>28.535</v>
      </c>
      <c r="AJ98" s="85" t="str">
        <f aca="false">IF(IF(ISBLANK(I98),1,(TRIM(I98)="")),"",ROUND(4.184*I98+$AB98*0.1094,3))</f>
        <v/>
      </c>
      <c r="AK98" s="101" t="n">
        <f aca="false">IF(IF(ISBLANK(J98),1,(TRIM(J98)="")),"",ROUND(4.184*J98+$AB98*0.1094,3))</f>
        <v>28.535</v>
      </c>
      <c r="AL98" s="85" t="str">
        <f aca="false">IF(IF(ISBLANK(K98),1,(TRIM(K98)="")),"",ROUND(4.184*K98+$AB98*0.1094,3))</f>
        <v/>
      </c>
      <c r="AM98" s="101" t="n">
        <f aca="false">IF(IF(ISBLANK(L98),1,(TRIM(L98)="")),"",ROUND(4.184*L98+$AB98*0.1094,3))</f>
        <v>28.535</v>
      </c>
      <c r="AN98" s="85" t="n">
        <f aca="false">IF(IF(ISBLANK(M98),1,(TRIM(M98)="")),"",ROUND(4.184*M98+$AB98*0.1094,3))</f>
        <v>28.614</v>
      </c>
      <c r="AP98" s="38" t="s">
        <v>124</v>
      </c>
      <c r="AQ98" s="85" t="n">
        <f aca="false">IF(IF(ISBLANK(C98),1,(TRIM(C98)="")),"",ROUND(C98+($AB98*0.1094/4.184),3))</f>
        <v>6.9</v>
      </c>
      <c r="AR98" s="101" t="n">
        <f aca="false">IF(IF(ISBLANK(D98),1,(TRIM(D98)="")),"",ROUND(D98+($AB98*0.1094/4.184),3))</f>
        <v>6.9</v>
      </c>
      <c r="AS98" s="85" t="n">
        <f aca="false">IF(IF(ISBLANK(E98),1,(TRIM(E98)="")),"",ROUND(E98+($AB98*0.1094/4.184),3))</f>
        <v>6.9</v>
      </c>
      <c r="AT98" s="101" t="n">
        <f aca="false">IF(IF(ISBLANK(F98),1,(TRIM(F98)="")),"",ROUND(F98+($AB98*0.1094/4.184),3))</f>
        <v>6.9</v>
      </c>
      <c r="AU98" s="85" t="n">
        <f aca="false">IF(IF(ISBLANK(G98),1,(TRIM(G98)="")),"",ROUND(G98+($AB98*0.1094/4.184),3))</f>
        <v>6.9</v>
      </c>
      <c r="AV98" s="101" t="n">
        <f aca="false">IF(IF(ISBLANK(H98),1,(TRIM(H98)="")),"",ROUND(H98+($AB98*0.1094/4.184),3))</f>
        <v>6.82</v>
      </c>
      <c r="AW98" s="85" t="str">
        <f aca="false">IF(IF(ISBLANK(I98),1,(TRIM(I98)="")),"",ROUND(I98+($AB98*0.1094/4.184),3))</f>
        <v/>
      </c>
      <c r="AX98" s="101" t="n">
        <f aca="false">IF(IF(ISBLANK(J98),1,(TRIM(J98)="")),"",ROUND(J98+($AB98*0.1094/4.184),3))</f>
        <v>6.82</v>
      </c>
      <c r="AY98" s="85" t="str">
        <f aca="false">IF(IF(ISBLANK(K98),1,(TRIM(K98)="")),"",ROUND(K98+($AB98*0.1094/4.184),3))</f>
        <v/>
      </c>
      <c r="AZ98" s="101" t="n">
        <f aca="false">IF(IF(ISBLANK(L98),1,(TRIM(L98)="")),"",ROUND(L98+($AB98*0.1094/4.184),3))</f>
        <v>6.82</v>
      </c>
      <c r="BA98" s="85" t="n">
        <f aca="false">IF(IF(ISBLANK(M98),1,(TRIM(M98)="")),"",ROUND(M98+($AB98*0.1094/4.184),3))</f>
        <v>6.839</v>
      </c>
    </row>
    <row r="99" customFormat="false" ht="12.75" hidden="false" customHeight="false" outlineLevel="0" collapsed="false">
      <c r="B99" s="38" t="s">
        <v>125</v>
      </c>
      <c r="C99" s="62" t="n">
        <v>7.6</v>
      </c>
      <c r="D99" s="63" t="n">
        <v>7.6</v>
      </c>
      <c r="E99" s="64" t="s">
        <v>356</v>
      </c>
      <c r="F99" s="63" t="n">
        <v>7.62</v>
      </c>
      <c r="G99" s="64" t="s">
        <v>435</v>
      </c>
      <c r="H99" s="63" t="n">
        <v>7.62</v>
      </c>
      <c r="I99" s="64" t="s">
        <v>428</v>
      </c>
      <c r="J99" s="103" t="s">
        <v>428</v>
      </c>
      <c r="K99" s="62" t="n">
        <v>7.631</v>
      </c>
      <c r="L99" s="65" t="s">
        <v>428</v>
      </c>
      <c r="M99" s="62" t="n">
        <v>7.661</v>
      </c>
      <c r="O99" s="38" t="s">
        <v>125</v>
      </c>
      <c r="P99" s="85" t="n">
        <f aca="false">IF(IF(ISBLANK(C99),1,(TRIM(C99)="")),"",ROUND(4.184*C99,3))</f>
        <v>31.798</v>
      </c>
      <c r="Q99" s="101" t="n">
        <f aca="false">IF(IF(ISBLANK(D99),1,(TRIM(D99)="")),"",ROUND(4.184*D99,3))</f>
        <v>31.798</v>
      </c>
      <c r="R99" s="85" t="n">
        <f aca="false">IF(IF(ISBLANK(E99),1,(TRIM(E99)="")),"",ROUND(4.184*E99,3))</f>
        <v>31.798</v>
      </c>
      <c r="S99" s="101" t="n">
        <f aca="false">IF(IF(ISBLANK(F99),1,(TRIM(F99)="")),"",ROUND(4.184*F99,3))</f>
        <v>31.882</v>
      </c>
      <c r="T99" s="85" t="n">
        <f aca="false">IF(IF(ISBLANK(G99),1,(TRIM(G99)="")),"",ROUND(4.184*G99,3))</f>
        <v>31.882</v>
      </c>
      <c r="U99" s="101" t="n">
        <f aca="false">IF(IF(ISBLANK(H99),1,(TRIM(H99)="")),"",ROUND(4.184*H99,3))</f>
        <v>31.882</v>
      </c>
      <c r="V99" s="85" t="n">
        <f aca="false">IF(IF(ISBLANK(I99),1,(TRIM(I99)="")),"",ROUND(4.184*I99,3))</f>
        <v>31.798</v>
      </c>
      <c r="W99" s="101" t="n">
        <f aca="false">IF(IF(ISBLANK(J99),1,(TRIM(J99)="")),"",ROUND(4.184*J99,3))</f>
        <v>31.798</v>
      </c>
      <c r="X99" s="85" t="n">
        <f aca="false">IF(IF(ISBLANK(K99),1,(TRIM(K99)="")),"",ROUND(4.184*K99,3))</f>
        <v>31.928</v>
      </c>
      <c r="Y99" s="101" t="n">
        <f aca="false">IF(IF(ISBLANK(L99),1,(TRIM(L99)="")),"",ROUND(4.184*L99,3))</f>
        <v>31.798</v>
      </c>
      <c r="Z99" s="85" t="n">
        <f aca="false">IF(IF(ISBLANK(M99),1,(TRIM(M99)="")),"",ROUND(4.184*M99,3))</f>
        <v>32.054</v>
      </c>
      <c r="AB99" s="34"/>
      <c r="AC99" s="38" t="s">
        <v>125</v>
      </c>
      <c r="AD99" s="85" t="n">
        <f aca="false">IF(IF(ISBLANK(C99),1,(TRIM(C99)="")),"",ROUND(4.184*C99+$AB99*0.1094,3))</f>
        <v>31.798</v>
      </c>
      <c r="AE99" s="101" t="n">
        <f aca="false">IF(IF(ISBLANK(D99),1,(TRIM(D99)="")),"",ROUND(4.184*D99+$AB99*0.1094,3))</f>
        <v>31.798</v>
      </c>
      <c r="AF99" s="85" t="n">
        <f aca="false">IF(IF(ISBLANK(E99),1,(TRIM(E99)="")),"",ROUND(4.184*E99+$AB99*0.1094,3))</f>
        <v>31.798</v>
      </c>
      <c r="AG99" s="101" t="n">
        <f aca="false">IF(IF(ISBLANK(F99),1,(TRIM(F99)="")),"",ROUND(4.184*F99+$AB99*0.1094,3))</f>
        <v>31.882</v>
      </c>
      <c r="AH99" s="85" t="n">
        <f aca="false">IF(IF(ISBLANK(G99),1,(TRIM(G99)="")),"",ROUND(4.184*G99+$AB99*0.1094,3))</f>
        <v>31.882</v>
      </c>
      <c r="AI99" s="101" t="n">
        <f aca="false">IF(IF(ISBLANK(H99),1,(TRIM(H99)="")),"",ROUND(4.184*H99+$AB99*0.1094,3))</f>
        <v>31.882</v>
      </c>
      <c r="AJ99" s="85" t="n">
        <f aca="false">IF(IF(ISBLANK(I99),1,(TRIM(I99)="")),"",ROUND(4.184*I99+$AB99*0.1094,3))</f>
        <v>31.798</v>
      </c>
      <c r="AK99" s="101" t="n">
        <f aca="false">IF(IF(ISBLANK(J99),1,(TRIM(J99)="")),"",ROUND(4.184*J99+$AB99*0.1094,3))</f>
        <v>31.798</v>
      </c>
      <c r="AL99" s="85" t="n">
        <f aca="false">IF(IF(ISBLANK(K99),1,(TRIM(K99)="")),"",ROUND(4.184*K99+$AB99*0.1094,3))</f>
        <v>31.928</v>
      </c>
      <c r="AM99" s="101" t="n">
        <f aca="false">IF(IF(ISBLANK(L99),1,(TRIM(L99)="")),"",ROUND(4.184*L99+$AB99*0.1094,3))</f>
        <v>31.798</v>
      </c>
      <c r="AN99" s="85" t="n">
        <f aca="false">IF(IF(ISBLANK(M99),1,(TRIM(M99)="")),"",ROUND(4.184*M99+$AB99*0.1094,3))</f>
        <v>32.054</v>
      </c>
      <c r="AP99" s="38" t="s">
        <v>125</v>
      </c>
      <c r="AQ99" s="85" t="n">
        <f aca="false">IF(IF(ISBLANK(C99),1,(TRIM(C99)="")),"",ROUND(C99+($AB99*0.1094/4.184),3))</f>
        <v>7.6</v>
      </c>
      <c r="AR99" s="101" t="n">
        <f aca="false">IF(IF(ISBLANK(D99),1,(TRIM(D99)="")),"",ROUND(D99+($AB99*0.1094/4.184),3))</f>
        <v>7.6</v>
      </c>
      <c r="AS99" s="85" t="n">
        <f aca="false">IF(IF(ISBLANK(E99),1,(TRIM(E99)="")),"",ROUND(E99+($AB99*0.1094/4.184),3))</f>
        <v>7.6</v>
      </c>
      <c r="AT99" s="101" t="n">
        <f aca="false">IF(IF(ISBLANK(F99),1,(TRIM(F99)="")),"",ROUND(F99+($AB99*0.1094/4.184),3))</f>
        <v>7.62</v>
      </c>
      <c r="AU99" s="85" t="n">
        <f aca="false">IF(IF(ISBLANK(G99),1,(TRIM(G99)="")),"",ROUND(G99+($AB99*0.1094/4.184),3))</f>
        <v>7.62</v>
      </c>
      <c r="AV99" s="101" t="n">
        <f aca="false">IF(IF(ISBLANK(H99),1,(TRIM(H99)="")),"",ROUND(H99+($AB99*0.1094/4.184),3))</f>
        <v>7.62</v>
      </c>
      <c r="AW99" s="85" t="n">
        <f aca="false">IF(IF(ISBLANK(I99),1,(TRIM(I99)="")),"",ROUND(I99+($AB99*0.1094/4.184),3))</f>
        <v>7.6</v>
      </c>
      <c r="AX99" s="101" t="n">
        <f aca="false">IF(IF(ISBLANK(J99),1,(TRIM(J99)="")),"",ROUND(J99+($AB99*0.1094/4.184),3))</f>
        <v>7.6</v>
      </c>
      <c r="AY99" s="85" t="n">
        <f aca="false">IF(IF(ISBLANK(K99),1,(TRIM(K99)="")),"",ROUND(K99+($AB99*0.1094/4.184),3))</f>
        <v>7.631</v>
      </c>
      <c r="AZ99" s="101" t="n">
        <f aca="false">IF(IF(ISBLANK(L99),1,(TRIM(L99)="")),"",ROUND(L99+($AB99*0.1094/4.184),3))</f>
        <v>7.6</v>
      </c>
      <c r="BA99" s="85" t="n">
        <f aca="false">IF(IF(ISBLANK(M99),1,(TRIM(M99)="")),"",ROUND(M99+($AB99*0.1094/4.184),3))</f>
        <v>7.661</v>
      </c>
    </row>
    <row r="100" customFormat="false" ht="12.75" hidden="false" customHeight="false" outlineLevel="0" collapsed="false">
      <c r="B100" s="31" t="s">
        <v>126</v>
      </c>
      <c r="C100" s="62"/>
      <c r="D100" s="63"/>
      <c r="E100" s="64" t="s">
        <v>436</v>
      </c>
      <c r="F100" s="63" t="n">
        <v>10.5</v>
      </c>
      <c r="G100" s="64" t="s">
        <v>437</v>
      </c>
      <c r="H100" s="63" t="n">
        <v>10.92</v>
      </c>
      <c r="I100" s="62" t="n">
        <v>10.92</v>
      </c>
      <c r="J100" s="102" t="n">
        <v>10.92</v>
      </c>
      <c r="K100" s="62"/>
      <c r="L100" s="65" t="s">
        <v>438</v>
      </c>
      <c r="M100" s="64" t="s">
        <v>439</v>
      </c>
      <c r="O100" s="31" t="s">
        <v>126</v>
      </c>
      <c r="P100" s="85" t="str">
        <f aca="false">IF(IF(ISBLANK(C100),1,(TRIM(C100)="")),"",ROUND(4.184*C100,3))</f>
        <v/>
      </c>
      <c r="Q100" s="101" t="str">
        <f aca="false">IF(IF(ISBLANK(D100),1,(TRIM(D100)="")),"",ROUND(4.184*D100,3))</f>
        <v/>
      </c>
      <c r="R100" s="85" t="n">
        <f aca="false">IF(IF(ISBLANK(E100),1,(TRIM(E100)="")),"",ROUND(4.184*E100,3))</f>
        <v>43.932</v>
      </c>
      <c r="S100" s="101" t="n">
        <f aca="false">IF(IF(ISBLANK(F100),1,(TRIM(F100)="")),"",ROUND(4.184*F100,3))</f>
        <v>43.932</v>
      </c>
      <c r="T100" s="85" t="n">
        <f aca="false">IF(IF(ISBLANK(G100),1,(TRIM(G100)="")),"",ROUND(4.184*G100,3))</f>
        <v>45.689</v>
      </c>
      <c r="U100" s="101" t="n">
        <f aca="false">IF(IF(ISBLANK(H100),1,(TRIM(H100)="")),"",ROUND(4.184*H100,3))</f>
        <v>45.689</v>
      </c>
      <c r="V100" s="85" t="n">
        <f aca="false">IF(IF(ISBLANK(I100),1,(TRIM(I100)="")),"",ROUND(4.184*I100,3))</f>
        <v>45.689</v>
      </c>
      <c r="W100" s="101" t="n">
        <f aca="false">IF(IF(ISBLANK(J100),1,(TRIM(J100)="")),"",ROUND(4.184*J100,3))</f>
        <v>45.689</v>
      </c>
      <c r="X100" s="85" t="str">
        <f aca="false">IF(IF(ISBLANK(K100),1,(TRIM(K100)="")),"",ROUND(4.184*K100,3))</f>
        <v/>
      </c>
      <c r="Y100" s="101" t="n">
        <f aca="false">IF(IF(ISBLANK(L100),1,(TRIM(L100)="")),"",ROUND(4.184*L100,3))</f>
        <v>45.522</v>
      </c>
      <c r="Z100" s="85" t="n">
        <f aca="false">IF(IF(ISBLANK(M100),1,(TRIM(M100)="")),"",ROUND(4.184*M100,3))</f>
        <v>45.522</v>
      </c>
      <c r="AB100" s="34"/>
      <c r="AC100" s="31" t="s">
        <v>126</v>
      </c>
      <c r="AD100" s="85" t="str">
        <f aca="false">IF(IF(ISBLANK(C100),1,(TRIM(C100)="")),"",ROUND(4.184*C100+$AB100*0.1094,3))</f>
        <v/>
      </c>
      <c r="AE100" s="101" t="str">
        <f aca="false">IF(IF(ISBLANK(D100),1,(TRIM(D100)="")),"",ROUND(4.184*D100+$AB100*0.1094,3))</f>
        <v/>
      </c>
      <c r="AF100" s="85" t="n">
        <f aca="false">IF(IF(ISBLANK(E100),1,(TRIM(E100)="")),"",ROUND(4.184*E100+$AB100*0.1094,3))</f>
        <v>43.932</v>
      </c>
      <c r="AG100" s="101" t="n">
        <f aca="false">IF(IF(ISBLANK(F100),1,(TRIM(F100)="")),"",ROUND(4.184*F100+$AB100*0.1094,3))</f>
        <v>43.932</v>
      </c>
      <c r="AH100" s="85" t="n">
        <f aca="false">IF(IF(ISBLANK(G100),1,(TRIM(G100)="")),"",ROUND(4.184*G100+$AB100*0.1094,3))</f>
        <v>45.689</v>
      </c>
      <c r="AI100" s="101" t="n">
        <f aca="false">IF(IF(ISBLANK(H100),1,(TRIM(H100)="")),"",ROUND(4.184*H100+$AB100*0.1094,3))</f>
        <v>45.689</v>
      </c>
      <c r="AJ100" s="85" t="n">
        <f aca="false">IF(IF(ISBLANK(I100),1,(TRIM(I100)="")),"",ROUND(4.184*I100+$AB100*0.1094,3))</f>
        <v>45.689</v>
      </c>
      <c r="AK100" s="101" t="n">
        <f aca="false">IF(IF(ISBLANK(J100),1,(TRIM(J100)="")),"",ROUND(4.184*J100+$AB100*0.1094,3))</f>
        <v>45.689</v>
      </c>
      <c r="AL100" s="85" t="str">
        <f aca="false">IF(IF(ISBLANK(K100),1,(TRIM(K100)="")),"",ROUND(4.184*K100+$AB100*0.1094,3))</f>
        <v/>
      </c>
      <c r="AM100" s="101" t="n">
        <f aca="false">IF(IF(ISBLANK(L100),1,(TRIM(L100)="")),"",ROUND(4.184*L100+$AB100*0.1094,3))</f>
        <v>45.522</v>
      </c>
      <c r="AN100" s="85" t="n">
        <f aca="false">IF(IF(ISBLANK(M100),1,(TRIM(M100)="")),"",ROUND(4.184*M100+$AB100*0.1094,3))</f>
        <v>45.522</v>
      </c>
      <c r="AP100" s="31" t="s">
        <v>126</v>
      </c>
      <c r="AQ100" s="85" t="str">
        <f aca="false">IF(IF(ISBLANK(C100),1,(TRIM(C100)="")),"",ROUND(C100+($AB100*0.1094/4.184),3))</f>
        <v/>
      </c>
      <c r="AR100" s="101" t="str">
        <f aca="false">IF(IF(ISBLANK(D100),1,(TRIM(D100)="")),"",ROUND(D100+($AB100*0.1094/4.184),3))</f>
        <v/>
      </c>
      <c r="AS100" s="85" t="n">
        <f aca="false">IF(IF(ISBLANK(E100),1,(TRIM(E100)="")),"",ROUND(E100+($AB100*0.1094/4.184),3))</f>
        <v>10.5</v>
      </c>
      <c r="AT100" s="101" t="n">
        <f aca="false">IF(IF(ISBLANK(F100),1,(TRIM(F100)="")),"",ROUND(F100+($AB100*0.1094/4.184),3))</f>
        <v>10.5</v>
      </c>
      <c r="AU100" s="85" t="n">
        <f aca="false">IF(IF(ISBLANK(G100),1,(TRIM(G100)="")),"",ROUND(G100+($AB100*0.1094/4.184),3))</f>
        <v>10.92</v>
      </c>
      <c r="AV100" s="101" t="n">
        <f aca="false">IF(IF(ISBLANK(H100),1,(TRIM(H100)="")),"",ROUND(H100+($AB100*0.1094/4.184),3))</f>
        <v>10.92</v>
      </c>
      <c r="AW100" s="85" t="n">
        <f aca="false">IF(IF(ISBLANK(I100),1,(TRIM(I100)="")),"",ROUND(I100+($AB100*0.1094/4.184),3))</f>
        <v>10.92</v>
      </c>
      <c r="AX100" s="101" t="n">
        <f aca="false">IF(IF(ISBLANK(J100),1,(TRIM(J100)="")),"",ROUND(J100+($AB100*0.1094/4.184),3))</f>
        <v>10.92</v>
      </c>
      <c r="AY100" s="85" t="str">
        <f aca="false">IF(IF(ISBLANK(K100),1,(TRIM(K100)="")),"",ROUND(K100+($AB100*0.1094/4.184),3))</f>
        <v/>
      </c>
      <c r="AZ100" s="101" t="n">
        <f aca="false">IF(IF(ISBLANK(L100),1,(TRIM(L100)="")),"",ROUND(L100+($AB100*0.1094/4.184),3))</f>
        <v>10.88</v>
      </c>
      <c r="BA100" s="85" t="n">
        <f aca="false">IF(IF(ISBLANK(M100),1,(TRIM(M100)="")),"",ROUND(M100+($AB100*0.1094/4.184),3))</f>
        <v>10.88</v>
      </c>
    </row>
    <row r="101" customFormat="false" ht="12.75" hidden="false" customHeight="false" outlineLevel="0" collapsed="false">
      <c r="B101" s="31" t="s">
        <v>127</v>
      </c>
      <c r="C101" s="62"/>
      <c r="D101" s="63"/>
      <c r="E101" s="64"/>
      <c r="F101" s="63"/>
      <c r="G101" s="64" t="s">
        <v>440</v>
      </c>
      <c r="H101" s="65" t="s">
        <v>378</v>
      </c>
      <c r="I101" s="62"/>
      <c r="J101" s="102" t="n">
        <v>8.28</v>
      </c>
      <c r="K101" s="62"/>
      <c r="L101" s="65" t="s">
        <v>441</v>
      </c>
      <c r="M101" s="64" t="s">
        <v>442</v>
      </c>
      <c r="O101" s="31" t="s">
        <v>127</v>
      </c>
      <c r="P101" s="85" t="str">
        <f aca="false">IF(IF(ISBLANK(C101),1,(TRIM(C101)="")),"",ROUND(4.184*C101,3))</f>
        <v/>
      </c>
      <c r="Q101" s="101" t="str">
        <f aca="false">IF(IF(ISBLANK(D101),1,(TRIM(D101)="")),"",ROUND(4.184*D101,3))</f>
        <v/>
      </c>
      <c r="R101" s="85" t="str">
        <f aca="false">IF(IF(ISBLANK(E101),1,(TRIM(E101)="")),"",ROUND(4.184*E101,3))</f>
        <v/>
      </c>
      <c r="S101" s="101" t="str">
        <f aca="false">IF(IF(ISBLANK(F101),1,(TRIM(F101)="")),"",ROUND(4.184*F101,3))</f>
        <v/>
      </c>
      <c r="T101" s="85" t="n">
        <f aca="false">IF(IF(ISBLANK(G101),1,(TRIM(G101)="")),"",ROUND(4.184*G101,3))</f>
        <v>37.656</v>
      </c>
      <c r="U101" s="101" t="n">
        <f aca="false">IF(IF(ISBLANK(H101),1,(TRIM(H101)="")),"",ROUND(4.184*H101,3))</f>
        <v>37.656</v>
      </c>
      <c r="V101" s="85" t="str">
        <f aca="false">IF(IF(ISBLANK(I101),1,(TRIM(I101)="")),"",ROUND(4.184*I101,3))</f>
        <v/>
      </c>
      <c r="W101" s="101" t="n">
        <f aca="false">IF(IF(ISBLANK(J101),1,(TRIM(J101)="")),"",ROUND(4.184*J101,3))</f>
        <v>34.644</v>
      </c>
      <c r="X101" s="85" t="str">
        <f aca="false">IF(IF(ISBLANK(K101),1,(TRIM(K101)="")),"",ROUND(4.184*K101,3))</f>
        <v/>
      </c>
      <c r="Y101" s="101" t="n">
        <f aca="false">IF(IF(ISBLANK(L101),1,(TRIM(L101)="")),"",ROUND(4.184*L101,3))</f>
        <v>34.644</v>
      </c>
      <c r="Z101" s="85" t="n">
        <f aca="false">IF(IF(ISBLANK(M101),1,(TRIM(M101)="")),"",ROUND(4.184*M101,3))</f>
        <v>34.644</v>
      </c>
      <c r="AB101" s="34"/>
      <c r="AC101" s="31" t="s">
        <v>127</v>
      </c>
      <c r="AD101" s="85" t="str">
        <f aca="false">IF(IF(ISBLANK(C101),1,(TRIM(C101)="")),"",ROUND(4.184*C101+$AB101*0.1094,3))</f>
        <v/>
      </c>
      <c r="AE101" s="101" t="str">
        <f aca="false">IF(IF(ISBLANK(D101),1,(TRIM(D101)="")),"",ROUND(4.184*D101+$AB101*0.1094,3))</f>
        <v/>
      </c>
      <c r="AF101" s="85" t="str">
        <f aca="false">IF(IF(ISBLANK(E101),1,(TRIM(E101)="")),"",ROUND(4.184*E101+$AB101*0.1094,3))</f>
        <v/>
      </c>
      <c r="AG101" s="101" t="str">
        <f aca="false">IF(IF(ISBLANK(F101),1,(TRIM(F101)="")),"",ROUND(4.184*F101+$AB101*0.1094,3))</f>
        <v/>
      </c>
      <c r="AH101" s="85" t="n">
        <f aca="false">IF(IF(ISBLANK(G101),1,(TRIM(G101)="")),"",ROUND(4.184*G101+$AB101*0.1094,3))</f>
        <v>37.656</v>
      </c>
      <c r="AI101" s="101" t="n">
        <f aca="false">IF(IF(ISBLANK(H101),1,(TRIM(H101)="")),"",ROUND(4.184*H101+$AB101*0.1094,3))</f>
        <v>37.656</v>
      </c>
      <c r="AJ101" s="85" t="str">
        <f aca="false">IF(IF(ISBLANK(I101),1,(TRIM(I101)="")),"",ROUND(4.184*I101+$AB101*0.1094,3))</f>
        <v/>
      </c>
      <c r="AK101" s="101" t="n">
        <f aca="false">IF(IF(ISBLANK(J101),1,(TRIM(J101)="")),"",ROUND(4.184*J101+$AB101*0.1094,3))</f>
        <v>34.644</v>
      </c>
      <c r="AL101" s="85" t="str">
        <f aca="false">IF(IF(ISBLANK(K101),1,(TRIM(K101)="")),"",ROUND(4.184*K101+$AB101*0.1094,3))</f>
        <v/>
      </c>
      <c r="AM101" s="101" t="n">
        <f aca="false">IF(IF(ISBLANK(L101),1,(TRIM(L101)="")),"",ROUND(4.184*L101+$AB101*0.1094,3))</f>
        <v>34.644</v>
      </c>
      <c r="AN101" s="85" t="n">
        <f aca="false">IF(IF(ISBLANK(M101),1,(TRIM(M101)="")),"",ROUND(4.184*M101+$AB101*0.1094,3))</f>
        <v>34.644</v>
      </c>
      <c r="AP101" s="31" t="s">
        <v>127</v>
      </c>
      <c r="AQ101" s="85" t="str">
        <f aca="false">IF(IF(ISBLANK(C101),1,(TRIM(C101)="")),"",ROUND(C101+($AB101*0.1094/4.184),3))</f>
        <v/>
      </c>
      <c r="AR101" s="101" t="str">
        <f aca="false">IF(IF(ISBLANK(D101),1,(TRIM(D101)="")),"",ROUND(D101+($AB101*0.1094/4.184),3))</f>
        <v/>
      </c>
      <c r="AS101" s="85" t="str">
        <f aca="false">IF(IF(ISBLANK(E101),1,(TRIM(E101)="")),"",ROUND(E101+($AB101*0.1094/4.184),3))</f>
        <v/>
      </c>
      <c r="AT101" s="101" t="str">
        <f aca="false">IF(IF(ISBLANK(F101),1,(TRIM(F101)="")),"",ROUND(F101+($AB101*0.1094/4.184),3))</f>
        <v/>
      </c>
      <c r="AU101" s="85" t="n">
        <f aca="false">IF(IF(ISBLANK(G101),1,(TRIM(G101)="")),"",ROUND(G101+($AB101*0.1094/4.184),3))</f>
        <v>9</v>
      </c>
      <c r="AV101" s="101" t="n">
        <f aca="false">IF(IF(ISBLANK(H101),1,(TRIM(H101)="")),"",ROUND(H101+($AB101*0.1094/4.184),3))</f>
        <v>9</v>
      </c>
      <c r="AW101" s="85" t="str">
        <f aca="false">IF(IF(ISBLANK(I101),1,(TRIM(I101)="")),"",ROUND(I101+($AB101*0.1094/4.184),3))</f>
        <v/>
      </c>
      <c r="AX101" s="101" t="n">
        <f aca="false">IF(IF(ISBLANK(J101),1,(TRIM(J101)="")),"",ROUND(J101+($AB101*0.1094/4.184),3))</f>
        <v>8.28</v>
      </c>
      <c r="AY101" s="85" t="str">
        <f aca="false">IF(IF(ISBLANK(K101),1,(TRIM(K101)="")),"",ROUND(K101+($AB101*0.1094/4.184),3))</f>
        <v/>
      </c>
      <c r="AZ101" s="101" t="n">
        <f aca="false">IF(IF(ISBLANK(L101),1,(TRIM(L101)="")),"",ROUND(L101+($AB101*0.1094/4.184),3))</f>
        <v>8.28</v>
      </c>
      <c r="BA101" s="85" t="n">
        <f aca="false">IF(IF(ISBLANK(M101),1,(TRIM(M101)="")),"",ROUND(M101+($AB101*0.1094/4.184),3))</f>
        <v>8.28</v>
      </c>
    </row>
    <row r="102" customFormat="false" ht="12.75" hidden="false" customHeight="false" outlineLevel="0" collapsed="false">
      <c r="B102" s="38" t="s">
        <v>128</v>
      </c>
      <c r="C102" s="62"/>
      <c r="D102" s="63"/>
      <c r="E102" s="64"/>
      <c r="F102" s="65" t="s">
        <v>184</v>
      </c>
      <c r="G102" s="64" t="s">
        <v>443</v>
      </c>
      <c r="H102" s="63" t="n">
        <v>10.14</v>
      </c>
      <c r="I102" s="62" t="n">
        <v>10.144</v>
      </c>
      <c r="J102" s="102" t="n">
        <v>10.144</v>
      </c>
      <c r="K102" s="62"/>
      <c r="L102" s="65" t="s">
        <v>444</v>
      </c>
      <c r="M102" s="62" t="n">
        <v>10.144</v>
      </c>
      <c r="O102" s="38" t="s">
        <v>128</v>
      </c>
      <c r="P102" s="85" t="str">
        <f aca="false">IF(IF(ISBLANK(C102),1,(TRIM(C102)="")),"",ROUND(4.184*C102,3))</f>
        <v/>
      </c>
      <c r="Q102" s="101" t="str">
        <f aca="false">IF(IF(ISBLANK(D102),1,(TRIM(D102)="")),"",ROUND(4.184*D102,3))</f>
        <v/>
      </c>
      <c r="R102" s="85" t="str">
        <f aca="false">IF(IF(ISBLANK(E102),1,(TRIM(E102)="")),"",ROUND(4.184*E102,3))</f>
        <v/>
      </c>
      <c r="S102" s="101" t="n">
        <f aca="false">IF(IF(ISBLANK(F102),1,(TRIM(F102)="")),"",ROUND(4.184*F102,3))</f>
        <v>41.84</v>
      </c>
      <c r="T102" s="85" t="n">
        <f aca="false">IF(IF(ISBLANK(G102),1,(TRIM(G102)="")),"",ROUND(4.184*G102,3))</f>
        <v>42.468</v>
      </c>
      <c r="U102" s="101" t="n">
        <f aca="false">IF(IF(ISBLANK(H102),1,(TRIM(H102)="")),"",ROUND(4.184*H102,3))</f>
        <v>42.426</v>
      </c>
      <c r="V102" s="85" t="n">
        <f aca="false">IF(IF(ISBLANK(I102),1,(TRIM(I102)="")),"",ROUND(4.184*I102,3))</f>
        <v>42.442</v>
      </c>
      <c r="W102" s="101" t="n">
        <f aca="false">IF(IF(ISBLANK(J102),1,(TRIM(J102)="")),"",ROUND(4.184*J102,3))</f>
        <v>42.442</v>
      </c>
      <c r="X102" s="85" t="str">
        <f aca="false">IF(IF(ISBLANK(K102),1,(TRIM(K102)="")),"",ROUND(4.184*K102,3))</f>
        <v/>
      </c>
      <c r="Y102" s="101" t="n">
        <f aca="false">IF(IF(ISBLANK(L102),1,(TRIM(L102)="")),"",ROUND(4.184*L102,3))</f>
        <v>41.966</v>
      </c>
      <c r="Z102" s="85" t="n">
        <f aca="false">IF(IF(ISBLANK(M102),1,(TRIM(M102)="")),"",ROUND(4.184*M102,3))</f>
        <v>42.442</v>
      </c>
      <c r="AB102" s="34"/>
      <c r="AC102" s="38" t="s">
        <v>128</v>
      </c>
      <c r="AD102" s="85" t="str">
        <f aca="false">IF(IF(ISBLANK(C102),1,(TRIM(C102)="")),"",ROUND(4.184*C102+$AB102*0.1094,3))</f>
        <v/>
      </c>
      <c r="AE102" s="101" t="str">
        <f aca="false">IF(IF(ISBLANK(D102),1,(TRIM(D102)="")),"",ROUND(4.184*D102+$AB102*0.1094,3))</f>
        <v/>
      </c>
      <c r="AF102" s="85" t="str">
        <f aca="false">IF(IF(ISBLANK(E102),1,(TRIM(E102)="")),"",ROUND(4.184*E102+$AB102*0.1094,3))</f>
        <v/>
      </c>
      <c r="AG102" s="101" t="n">
        <f aca="false">IF(IF(ISBLANK(F102),1,(TRIM(F102)="")),"",ROUND(4.184*F102+$AB102*0.1094,3))</f>
        <v>41.84</v>
      </c>
      <c r="AH102" s="85" t="n">
        <f aca="false">IF(IF(ISBLANK(G102),1,(TRIM(G102)="")),"",ROUND(4.184*G102+$AB102*0.1094,3))</f>
        <v>42.468</v>
      </c>
      <c r="AI102" s="101" t="n">
        <f aca="false">IF(IF(ISBLANK(H102),1,(TRIM(H102)="")),"",ROUND(4.184*H102+$AB102*0.1094,3))</f>
        <v>42.426</v>
      </c>
      <c r="AJ102" s="85" t="n">
        <f aca="false">IF(IF(ISBLANK(I102),1,(TRIM(I102)="")),"",ROUND(4.184*I102+$AB102*0.1094,3))</f>
        <v>42.442</v>
      </c>
      <c r="AK102" s="101" t="n">
        <f aca="false">IF(IF(ISBLANK(J102),1,(TRIM(J102)="")),"",ROUND(4.184*J102+$AB102*0.1094,3))</f>
        <v>42.442</v>
      </c>
      <c r="AL102" s="85" t="str">
        <f aca="false">IF(IF(ISBLANK(K102),1,(TRIM(K102)="")),"",ROUND(4.184*K102+$AB102*0.1094,3))</f>
        <v/>
      </c>
      <c r="AM102" s="101" t="n">
        <f aca="false">IF(IF(ISBLANK(L102),1,(TRIM(L102)="")),"",ROUND(4.184*L102+$AB102*0.1094,3))</f>
        <v>41.966</v>
      </c>
      <c r="AN102" s="85" t="n">
        <f aca="false">IF(IF(ISBLANK(M102),1,(TRIM(M102)="")),"",ROUND(4.184*M102+$AB102*0.1094,3))</f>
        <v>42.442</v>
      </c>
      <c r="AP102" s="38" t="s">
        <v>128</v>
      </c>
      <c r="AQ102" s="85" t="str">
        <f aca="false">IF(IF(ISBLANK(C102),1,(TRIM(C102)="")),"",ROUND(C102+($AB102*0.1094/4.184),3))</f>
        <v/>
      </c>
      <c r="AR102" s="101" t="str">
        <f aca="false">IF(IF(ISBLANK(D102),1,(TRIM(D102)="")),"",ROUND(D102+($AB102*0.1094/4.184),3))</f>
        <v/>
      </c>
      <c r="AS102" s="85" t="str">
        <f aca="false">IF(IF(ISBLANK(E102),1,(TRIM(E102)="")),"",ROUND(E102+($AB102*0.1094/4.184),3))</f>
        <v/>
      </c>
      <c r="AT102" s="101" t="n">
        <f aca="false">IF(IF(ISBLANK(F102),1,(TRIM(F102)="")),"",ROUND(F102+($AB102*0.1094/4.184),3))</f>
        <v>10</v>
      </c>
      <c r="AU102" s="85" t="n">
        <f aca="false">IF(IF(ISBLANK(G102),1,(TRIM(G102)="")),"",ROUND(G102+($AB102*0.1094/4.184),3))</f>
        <v>10.15</v>
      </c>
      <c r="AV102" s="101" t="n">
        <f aca="false">IF(IF(ISBLANK(H102),1,(TRIM(H102)="")),"",ROUND(H102+($AB102*0.1094/4.184),3))</f>
        <v>10.14</v>
      </c>
      <c r="AW102" s="85" t="n">
        <f aca="false">IF(IF(ISBLANK(I102),1,(TRIM(I102)="")),"",ROUND(I102+($AB102*0.1094/4.184),3))</f>
        <v>10.144</v>
      </c>
      <c r="AX102" s="101" t="n">
        <f aca="false">IF(IF(ISBLANK(J102),1,(TRIM(J102)="")),"",ROUND(J102+($AB102*0.1094/4.184),3))</f>
        <v>10.144</v>
      </c>
      <c r="AY102" s="85" t="str">
        <f aca="false">IF(IF(ISBLANK(K102),1,(TRIM(K102)="")),"",ROUND(K102+($AB102*0.1094/4.184),3))</f>
        <v/>
      </c>
      <c r="AZ102" s="101" t="n">
        <f aca="false">IF(IF(ISBLANK(L102),1,(TRIM(L102)="")),"",ROUND(L102+($AB102*0.1094/4.184),3))</f>
        <v>10.03</v>
      </c>
      <c r="BA102" s="85" t="n">
        <f aca="false">IF(IF(ISBLANK(M102),1,(TRIM(M102)="")),"",ROUND(M102+($AB102*0.1094/4.184),3))</f>
        <v>10.144</v>
      </c>
    </row>
    <row r="103" customFormat="false" ht="12.75" hidden="false" customHeight="false" outlineLevel="0" collapsed="false">
      <c r="B103" s="31" t="s">
        <v>129</v>
      </c>
      <c r="C103" s="62" t="n">
        <v>4.7</v>
      </c>
      <c r="D103" s="63" t="n">
        <v>4.7</v>
      </c>
      <c r="E103" s="64" t="s">
        <v>445</v>
      </c>
      <c r="F103" s="63" t="n">
        <v>4.47</v>
      </c>
      <c r="G103" s="64" t="s">
        <v>446</v>
      </c>
      <c r="H103" s="63" t="n">
        <v>4.51</v>
      </c>
      <c r="I103" s="64" t="s">
        <v>445</v>
      </c>
      <c r="J103" s="103" t="s">
        <v>445</v>
      </c>
      <c r="K103" s="62" t="n">
        <v>4.498</v>
      </c>
      <c r="L103" s="65" t="s">
        <v>445</v>
      </c>
      <c r="M103" s="64" t="s">
        <v>447</v>
      </c>
      <c r="O103" s="31" t="s">
        <v>129</v>
      </c>
      <c r="P103" s="85" t="n">
        <f aca="false">IF(IF(ISBLANK(C103),1,(TRIM(C103)="")),"",ROUND(4.184*C103,3))</f>
        <v>19.665</v>
      </c>
      <c r="Q103" s="101" t="n">
        <f aca="false">IF(IF(ISBLANK(D103),1,(TRIM(D103)="")),"",ROUND(4.184*D103,3))</f>
        <v>19.665</v>
      </c>
      <c r="R103" s="85" t="n">
        <f aca="false">IF(IF(ISBLANK(E103),1,(TRIM(E103)="")),"",ROUND(4.184*E103,3))</f>
        <v>18.828</v>
      </c>
      <c r="S103" s="101" t="n">
        <f aca="false">IF(IF(ISBLANK(F103),1,(TRIM(F103)="")),"",ROUND(4.184*F103,3))</f>
        <v>18.702</v>
      </c>
      <c r="T103" s="85" t="n">
        <f aca="false">IF(IF(ISBLANK(G103),1,(TRIM(G103)="")),"",ROUND(4.184*G103,3))</f>
        <v>18.954</v>
      </c>
      <c r="U103" s="101" t="n">
        <f aca="false">IF(IF(ISBLANK(H103),1,(TRIM(H103)="")),"",ROUND(4.184*H103,3))</f>
        <v>18.87</v>
      </c>
      <c r="V103" s="85" t="n">
        <f aca="false">IF(IF(ISBLANK(I103),1,(TRIM(I103)="")),"",ROUND(4.184*I103,3))</f>
        <v>18.828</v>
      </c>
      <c r="W103" s="101" t="n">
        <f aca="false">IF(IF(ISBLANK(J103),1,(TRIM(J103)="")),"",ROUND(4.184*J103,3))</f>
        <v>18.828</v>
      </c>
      <c r="X103" s="85" t="n">
        <f aca="false">IF(IF(ISBLANK(K103),1,(TRIM(K103)="")),"",ROUND(4.184*K103,3))</f>
        <v>18.82</v>
      </c>
      <c r="Y103" s="101" t="n">
        <f aca="false">IF(IF(ISBLANK(L103),1,(TRIM(L103)="")),"",ROUND(4.184*L103,3))</f>
        <v>18.828</v>
      </c>
      <c r="Z103" s="85" t="n">
        <f aca="false">IF(IF(ISBLANK(M103),1,(TRIM(M103)="")),"",ROUND(4.184*M103,3))</f>
        <v>18.828</v>
      </c>
      <c r="AB103" s="34"/>
      <c r="AC103" s="31" t="s">
        <v>129</v>
      </c>
      <c r="AD103" s="85" t="n">
        <f aca="false">IF(IF(ISBLANK(C103),1,(TRIM(C103)="")),"",ROUND(4.184*C103+$AB103*0.1094,3))</f>
        <v>19.665</v>
      </c>
      <c r="AE103" s="101" t="n">
        <f aca="false">IF(IF(ISBLANK(D103),1,(TRIM(D103)="")),"",ROUND(4.184*D103+$AB103*0.1094,3))</f>
        <v>19.665</v>
      </c>
      <c r="AF103" s="85" t="n">
        <f aca="false">IF(IF(ISBLANK(E103),1,(TRIM(E103)="")),"",ROUND(4.184*E103+$AB103*0.1094,3))</f>
        <v>18.828</v>
      </c>
      <c r="AG103" s="101" t="n">
        <f aca="false">IF(IF(ISBLANK(F103),1,(TRIM(F103)="")),"",ROUND(4.184*F103+$AB103*0.1094,3))</f>
        <v>18.702</v>
      </c>
      <c r="AH103" s="85" t="n">
        <f aca="false">IF(IF(ISBLANK(G103),1,(TRIM(G103)="")),"",ROUND(4.184*G103+$AB103*0.1094,3))</f>
        <v>18.954</v>
      </c>
      <c r="AI103" s="101" t="n">
        <f aca="false">IF(IF(ISBLANK(H103),1,(TRIM(H103)="")),"",ROUND(4.184*H103+$AB103*0.1094,3))</f>
        <v>18.87</v>
      </c>
      <c r="AJ103" s="85" t="n">
        <f aca="false">IF(IF(ISBLANK(I103),1,(TRIM(I103)="")),"",ROUND(4.184*I103+$AB103*0.1094,3))</f>
        <v>18.828</v>
      </c>
      <c r="AK103" s="101" t="n">
        <f aca="false">IF(IF(ISBLANK(J103),1,(TRIM(J103)="")),"",ROUND(4.184*J103+$AB103*0.1094,3))</f>
        <v>18.828</v>
      </c>
      <c r="AL103" s="85" t="n">
        <f aca="false">IF(IF(ISBLANK(K103),1,(TRIM(K103)="")),"",ROUND(4.184*K103+$AB103*0.1094,3))</f>
        <v>18.82</v>
      </c>
      <c r="AM103" s="101" t="n">
        <f aca="false">IF(IF(ISBLANK(L103),1,(TRIM(L103)="")),"",ROUND(4.184*L103+$AB103*0.1094,3))</f>
        <v>18.828</v>
      </c>
      <c r="AN103" s="85" t="n">
        <f aca="false">IF(IF(ISBLANK(M103),1,(TRIM(M103)="")),"",ROUND(4.184*M103+$AB103*0.1094,3))</f>
        <v>18.828</v>
      </c>
      <c r="AP103" s="31" t="s">
        <v>129</v>
      </c>
      <c r="AQ103" s="85" t="n">
        <f aca="false">IF(IF(ISBLANK(C103),1,(TRIM(C103)="")),"",ROUND(C103+($AB103*0.1094/4.184),3))</f>
        <v>4.7</v>
      </c>
      <c r="AR103" s="101" t="n">
        <f aca="false">IF(IF(ISBLANK(D103),1,(TRIM(D103)="")),"",ROUND(D103+($AB103*0.1094/4.184),3))</f>
        <v>4.7</v>
      </c>
      <c r="AS103" s="85" t="n">
        <f aca="false">IF(IF(ISBLANK(E103),1,(TRIM(E103)="")),"",ROUND(E103+($AB103*0.1094/4.184),3))</f>
        <v>4.5</v>
      </c>
      <c r="AT103" s="101" t="n">
        <f aca="false">IF(IF(ISBLANK(F103),1,(TRIM(F103)="")),"",ROUND(F103+($AB103*0.1094/4.184),3))</f>
        <v>4.47</v>
      </c>
      <c r="AU103" s="85" t="n">
        <f aca="false">IF(IF(ISBLANK(G103),1,(TRIM(G103)="")),"",ROUND(G103+($AB103*0.1094/4.184),3))</f>
        <v>4.53</v>
      </c>
      <c r="AV103" s="101" t="n">
        <f aca="false">IF(IF(ISBLANK(H103),1,(TRIM(H103)="")),"",ROUND(H103+($AB103*0.1094/4.184),3))</f>
        <v>4.51</v>
      </c>
      <c r="AW103" s="85" t="n">
        <f aca="false">IF(IF(ISBLANK(I103),1,(TRIM(I103)="")),"",ROUND(I103+($AB103*0.1094/4.184),3))</f>
        <v>4.5</v>
      </c>
      <c r="AX103" s="101" t="n">
        <f aca="false">IF(IF(ISBLANK(J103),1,(TRIM(J103)="")),"",ROUND(J103+($AB103*0.1094/4.184),3))</f>
        <v>4.5</v>
      </c>
      <c r="AY103" s="85" t="n">
        <f aca="false">IF(IF(ISBLANK(K103),1,(TRIM(K103)="")),"",ROUND(K103+($AB103*0.1094/4.184),3))</f>
        <v>4.498</v>
      </c>
      <c r="AZ103" s="101" t="n">
        <f aca="false">IF(IF(ISBLANK(L103),1,(TRIM(L103)="")),"",ROUND(L103+($AB103*0.1094/4.184),3))</f>
        <v>4.5</v>
      </c>
      <c r="BA103" s="85" t="n">
        <f aca="false">IF(IF(ISBLANK(M103),1,(TRIM(M103)="")),"",ROUND(M103+($AB103*0.1094/4.184),3))</f>
        <v>4.5</v>
      </c>
    </row>
    <row r="104" customFormat="false" ht="12.75" hidden="false" customHeight="false" outlineLevel="0" collapsed="false">
      <c r="B104" s="31" t="s">
        <v>130</v>
      </c>
      <c r="C104" s="62"/>
      <c r="D104" s="63"/>
      <c r="E104" s="64"/>
      <c r="F104" s="63"/>
      <c r="G104" s="64" t="s">
        <v>448</v>
      </c>
      <c r="H104" s="63" t="n">
        <v>16.3</v>
      </c>
      <c r="I104" s="62"/>
      <c r="J104" s="102" t="n">
        <v>16.63</v>
      </c>
      <c r="K104" s="62"/>
      <c r="L104" s="65" t="s">
        <v>449</v>
      </c>
      <c r="M104" s="64" t="s">
        <v>450</v>
      </c>
      <c r="O104" s="31" t="s">
        <v>130</v>
      </c>
      <c r="P104" s="85" t="str">
        <f aca="false">IF(IF(ISBLANK(C104),1,(TRIM(C104)="")),"",ROUND(4.184*C104,3))</f>
        <v/>
      </c>
      <c r="Q104" s="101" t="str">
        <f aca="false">IF(IF(ISBLANK(D104),1,(TRIM(D104)="")),"",ROUND(4.184*D104,3))</f>
        <v/>
      </c>
      <c r="R104" s="85" t="str">
        <f aca="false">IF(IF(ISBLANK(E104),1,(TRIM(E104)="")),"",ROUND(4.184*E104,3))</f>
        <v/>
      </c>
      <c r="S104" s="101" t="str">
        <f aca="false">IF(IF(ISBLANK(F104),1,(TRIM(F104)="")),"",ROUND(4.184*F104,3))</f>
        <v/>
      </c>
      <c r="T104" s="85" t="n">
        <f aca="false">IF(IF(ISBLANK(G104),1,(TRIM(G104)="")),"",ROUND(4.184*G104,3))</f>
        <v>68.116</v>
      </c>
      <c r="U104" s="101" t="n">
        <f aca="false">IF(IF(ISBLANK(H104),1,(TRIM(H104)="")),"",ROUND(4.184*H104,3))</f>
        <v>68.199</v>
      </c>
      <c r="V104" s="85" t="str">
        <f aca="false">IF(IF(ISBLANK(I104),1,(TRIM(I104)="")),"",ROUND(4.184*I104,3))</f>
        <v/>
      </c>
      <c r="W104" s="101" t="n">
        <f aca="false">IF(IF(ISBLANK(J104),1,(TRIM(J104)="")),"",ROUND(4.184*J104,3))</f>
        <v>69.58</v>
      </c>
      <c r="X104" s="85" t="str">
        <f aca="false">IF(IF(ISBLANK(K104),1,(TRIM(K104)="")),"",ROUND(4.184*K104,3))</f>
        <v/>
      </c>
      <c r="Y104" s="101" t="n">
        <f aca="false">IF(IF(ISBLANK(L104),1,(TRIM(L104)="")),"",ROUND(4.184*L104,3))</f>
        <v>69.496</v>
      </c>
      <c r="Z104" s="85" t="n">
        <f aca="false">IF(IF(ISBLANK(M104),1,(TRIM(M104)="")),"",ROUND(4.184*M104,3))</f>
        <v>69.58</v>
      </c>
      <c r="AB104" s="34"/>
      <c r="AC104" s="31" t="s">
        <v>130</v>
      </c>
      <c r="AD104" s="85" t="str">
        <f aca="false">IF(IF(ISBLANK(C104),1,(TRIM(C104)="")),"",ROUND(4.184*C104+$AB104*0.1094,3))</f>
        <v/>
      </c>
      <c r="AE104" s="101" t="str">
        <f aca="false">IF(IF(ISBLANK(D104),1,(TRIM(D104)="")),"",ROUND(4.184*D104+$AB104*0.1094,3))</f>
        <v/>
      </c>
      <c r="AF104" s="85" t="str">
        <f aca="false">IF(IF(ISBLANK(E104),1,(TRIM(E104)="")),"",ROUND(4.184*E104+$AB104*0.1094,3))</f>
        <v/>
      </c>
      <c r="AG104" s="101" t="str">
        <f aca="false">IF(IF(ISBLANK(F104),1,(TRIM(F104)="")),"",ROUND(4.184*F104+$AB104*0.1094,3))</f>
        <v/>
      </c>
      <c r="AH104" s="85" t="n">
        <f aca="false">IF(IF(ISBLANK(G104),1,(TRIM(G104)="")),"",ROUND(4.184*G104+$AB104*0.1094,3))</f>
        <v>68.116</v>
      </c>
      <c r="AI104" s="101" t="n">
        <f aca="false">IF(IF(ISBLANK(H104),1,(TRIM(H104)="")),"",ROUND(4.184*H104+$AB104*0.1094,3))</f>
        <v>68.199</v>
      </c>
      <c r="AJ104" s="85" t="str">
        <f aca="false">IF(IF(ISBLANK(I104),1,(TRIM(I104)="")),"",ROUND(4.184*I104+$AB104*0.1094,3))</f>
        <v/>
      </c>
      <c r="AK104" s="101" t="n">
        <f aca="false">IF(IF(ISBLANK(J104),1,(TRIM(J104)="")),"",ROUND(4.184*J104+$AB104*0.1094,3))</f>
        <v>69.58</v>
      </c>
      <c r="AL104" s="85" t="str">
        <f aca="false">IF(IF(ISBLANK(K104),1,(TRIM(K104)="")),"",ROUND(4.184*K104+$AB104*0.1094,3))</f>
        <v/>
      </c>
      <c r="AM104" s="101" t="n">
        <f aca="false">IF(IF(ISBLANK(L104),1,(TRIM(L104)="")),"",ROUND(4.184*L104+$AB104*0.1094,3))</f>
        <v>69.496</v>
      </c>
      <c r="AN104" s="85" t="n">
        <f aca="false">IF(IF(ISBLANK(M104),1,(TRIM(M104)="")),"",ROUND(4.184*M104+$AB104*0.1094,3))</f>
        <v>69.58</v>
      </c>
      <c r="AP104" s="31" t="s">
        <v>130</v>
      </c>
      <c r="AQ104" s="85" t="str">
        <f aca="false">IF(IF(ISBLANK(C104),1,(TRIM(C104)="")),"",ROUND(C104+($AB104*0.1094/4.184),3))</f>
        <v/>
      </c>
      <c r="AR104" s="101" t="str">
        <f aca="false">IF(IF(ISBLANK(D104),1,(TRIM(D104)="")),"",ROUND(D104+($AB104*0.1094/4.184),3))</f>
        <v/>
      </c>
      <c r="AS104" s="85" t="str">
        <f aca="false">IF(IF(ISBLANK(E104),1,(TRIM(E104)="")),"",ROUND(E104+($AB104*0.1094/4.184),3))</f>
        <v/>
      </c>
      <c r="AT104" s="101" t="str">
        <f aca="false">IF(IF(ISBLANK(F104),1,(TRIM(F104)="")),"",ROUND(F104+($AB104*0.1094/4.184),3))</f>
        <v/>
      </c>
      <c r="AU104" s="85" t="n">
        <f aca="false">IF(IF(ISBLANK(G104),1,(TRIM(G104)="")),"",ROUND(G104+($AB104*0.1094/4.184),3))</f>
        <v>16.28</v>
      </c>
      <c r="AV104" s="101" t="n">
        <f aca="false">IF(IF(ISBLANK(H104),1,(TRIM(H104)="")),"",ROUND(H104+($AB104*0.1094/4.184),3))</f>
        <v>16.3</v>
      </c>
      <c r="AW104" s="85" t="str">
        <f aca="false">IF(IF(ISBLANK(I104),1,(TRIM(I104)="")),"",ROUND(I104+($AB104*0.1094/4.184),3))</f>
        <v/>
      </c>
      <c r="AX104" s="101" t="n">
        <f aca="false">IF(IF(ISBLANK(J104),1,(TRIM(J104)="")),"",ROUND(J104+($AB104*0.1094/4.184),3))</f>
        <v>16.63</v>
      </c>
      <c r="AY104" s="85" t="str">
        <f aca="false">IF(IF(ISBLANK(K104),1,(TRIM(K104)="")),"",ROUND(K104+($AB104*0.1094/4.184),3))</f>
        <v/>
      </c>
      <c r="AZ104" s="101" t="n">
        <f aca="false">IF(IF(ISBLANK(L104),1,(TRIM(L104)="")),"",ROUND(L104+($AB104*0.1094/4.184),3))</f>
        <v>16.61</v>
      </c>
      <c r="BA104" s="85" t="n">
        <f aca="false">IF(IF(ISBLANK(M104),1,(TRIM(M104)="")),"",ROUND(M104+($AB104*0.1094/4.184),3))</f>
        <v>16.63</v>
      </c>
    </row>
    <row r="105" customFormat="false" ht="12.75" hidden="false" customHeight="false" outlineLevel="0" collapsed="false">
      <c r="B105" s="31" t="s">
        <v>131</v>
      </c>
      <c r="C105" s="62" t="n">
        <v>11.5</v>
      </c>
      <c r="D105" s="63" t="n">
        <v>11.17</v>
      </c>
      <c r="E105" s="64" t="s">
        <v>271</v>
      </c>
      <c r="F105" s="63" t="n">
        <v>12.3</v>
      </c>
      <c r="G105" s="64" t="s">
        <v>451</v>
      </c>
      <c r="H105" s="63" t="n">
        <v>12.29</v>
      </c>
      <c r="I105" s="62" t="n">
        <v>12.32</v>
      </c>
      <c r="J105" s="102" t="n">
        <v>12.32</v>
      </c>
      <c r="K105" s="62"/>
      <c r="L105" s="65" t="s">
        <v>452</v>
      </c>
      <c r="M105" s="62" t="n">
        <v>12.236</v>
      </c>
      <c r="O105" s="31" t="s">
        <v>131</v>
      </c>
      <c r="P105" s="85" t="n">
        <f aca="false">IF(IF(ISBLANK(C105),1,(TRIM(C105)="")),"",ROUND(4.184*C105,3))</f>
        <v>48.116</v>
      </c>
      <c r="Q105" s="101" t="n">
        <f aca="false">IF(IF(ISBLANK(D105),1,(TRIM(D105)="")),"",ROUND(4.184*D105,3))</f>
        <v>46.735</v>
      </c>
      <c r="R105" s="85" t="n">
        <f aca="false">IF(IF(ISBLANK(E105),1,(TRIM(E105)="")),"",ROUND(4.184*E105,3))</f>
        <v>51.463</v>
      </c>
      <c r="S105" s="101" t="n">
        <f aca="false">IF(IF(ISBLANK(F105),1,(TRIM(F105)="")),"",ROUND(4.184*F105,3))</f>
        <v>51.463</v>
      </c>
      <c r="T105" s="85" t="n">
        <f aca="false">IF(IF(ISBLANK(G105),1,(TRIM(G105)="")),"",ROUND(4.184*G105,3))</f>
        <v>51.421</v>
      </c>
      <c r="U105" s="101" t="n">
        <f aca="false">IF(IF(ISBLANK(H105),1,(TRIM(H105)="")),"",ROUND(4.184*H105,3))</f>
        <v>51.421</v>
      </c>
      <c r="V105" s="85" t="n">
        <f aca="false">IF(IF(ISBLANK(I105),1,(TRIM(I105)="")),"",ROUND(4.184*I105,3))</f>
        <v>51.547</v>
      </c>
      <c r="W105" s="101" t="n">
        <f aca="false">IF(IF(ISBLANK(J105),1,(TRIM(J105)="")),"",ROUND(4.184*J105,3))</f>
        <v>51.547</v>
      </c>
      <c r="X105" s="85" t="str">
        <f aca="false">IF(IF(ISBLANK(K105),1,(TRIM(K105)="")),"",ROUND(4.184*K105,3))</f>
        <v/>
      </c>
      <c r="Y105" s="101" t="n">
        <f aca="false">IF(IF(ISBLANK(L105),1,(TRIM(L105)="")),"",ROUND(4.184*L105,3))</f>
        <v>51.195</v>
      </c>
      <c r="Z105" s="85" t="n">
        <f aca="false">IF(IF(ISBLANK(M105),1,(TRIM(M105)="")),"",ROUND(4.184*M105,3))</f>
        <v>51.195</v>
      </c>
      <c r="AB105" s="34"/>
      <c r="AC105" s="31" t="s">
        <v>131</v>
      </c>
      <c r="AD105" s="85" t="n">
        <f aca="false">IF(IF(ISBLANK(C105),1,(TRIM(C105)="")),"",ROUND(4.184*C105+$AB105*0.1094,3))</f>
        <v>48.116</v>
      </c>
      <c r="AE105" s="101" t="n">
        <f aca="false">IF(IF(ISBLANK(D105),1,(TRIM(D105)="")),"",ROUND(4.184*D105+$AB105*0.1094,3))</f>
        <v>46.735</v>
      </c>
      <c r="AF105" s="85" t="n">
        <f aca="false">IF(IF(ISBLANK(E105),1,(TRIM(E105)="")),"",ROUND(4.184*E105+$AB105*0.1094,3))</f>
        <v>51.463</v>
      </c>
      <c r="AG105" s="101" t="n">
        <f aca="false">IF(IF(ISBLANK(F105),1,(TRIM(F105)="")),"",ROUND(4.184*F105+$AB105*0.1094,3))</f>
        <v>51.463</v>
      </c>
      <c r="AH105" s="85" t="n">
        <f aca="false">IF(IF(ISBLANK(G105),1,(TRIM(G105)="")),"",ROUND(4.184*G105+$AB105*0.1094,3))</f>
        <v>51.421</v>
      </c>
      <c r="AI105" s="101" t="n">
        <f aca="false">IF(IF(ISBLANK(H105),1,(TRIM(H105)="")),"",ROUND(4.184*H105+$AB105*0.1094,3))</f>
        <v>51.421</v>
      </c>
      <c r="AJ105" s="85" t="n">
        <f aca="false">IF(IF(ISBLANK(I105),1,(TRIM(I105)="")),"",ROUND(4.184*I105+$AB105*0.1094,3))</f>
        <v>51.547</v>
      </c>
      <c r="AK105" s="101" t="n">
        <f aca="false">IF(IF(ISBLANK(J105),1,(TRIM(J105)="")),"",ROUND(4.184*J105+$AB105*0.1094,3))</f>
        <v>51.547</v>
      </c>
      <c r="AL105" s="85" t="str">
        <f aca="false">IF(IF(ISBLANK(K105),1,(TRIM(K105)="")),"",ROUND(4.184*K105+$AB105*0.1094,3))</f>
        <v/>
      </c>
      <c r="AM105" s="101" t="n">
        <f aca="false">IF(IF(ISBLANK(L105),1,(TRIM(L105)="")),"",ROUND(4.184*L105+$AB105*0.1094,3))</f>
        <v>51.195</v>
      </c>
      <c r="AN105" s="85" t="n">
        <f aca="false">IF(IF(ISBLANK(M105),1,(TRIM(M105)="")),"",ROUND(4.184*M105+$AB105*0.1094,3))</f>
        <v>51.195</v>
      </c>
      <c r="AP105" s="31" t="s">
        <v>131</v>
      </c>
      <c r="AQ105" s="85" t="n">
        <f aca="false">IF(IF(ISBLANK(C105),1,(TRIM(C105)="")),"",ROUND(C105+($AB105*0.1094/4.184),3))</f>
        <v>11.5</v>
      </c>
      <c r="AR105" s="101" t="n">
        <f aca="false">IF(IF(ISBLANK(D105),1,(TRIM(D105)="")),"",ROUND(D105+($AB105*0.1094/4.184),3))</f>
        <v>11.17</v>
      </c>
      <c r="AS105" s="85" t="n">
        <f aca="false">IF(IF(ISBLANK(E105),1,(TRIM(E105)="")),"",ROUND(E105+($AB105*0.1094/4.184),3))</f>
        <v>12.3</v>
      </c>
      <c r="AT105" s="101" t="n">
        <f aca="false">IF(IF(ISBLANK(F105),1,(TRIM(F105)="")),"",ROUND(F105+($AB105*0.1094/4.184),3))</f>
        <v>12.3</v>
      </c>
      <c r="AU105" s="85" t="n">
        <f aca="false">IF(IF(ISBLANK(G105),1,(TRIM(G105)="")),"",ROUND(G105+($AB105*0.1094/4.184),3))</f>
        <v>12.29</v>
      </c>
      <c r="AV105" s="101" t="n">
        <f aca="false">IF(IF(ISBLANK(H105),1,(TRIM(H105)="")),"",ROUND(H105+($AB105*0.1094/4.184),3))</f>
        <v>12.29</v>
      </c>
      <c r="AW105" s="85" t="n">
        <f aca="false">IF(IF(ISBLANK(I105),1,(TRIM(I105)="")),"",ROUND(I105+($AB105*0.1094/4.184),3))</f>
        <v>12.32</v>
      </c>
      <c r="AX105" s="101" t="n">
        <f aca="false">IF(IF(ISBLANK(J105),1,(TRIM(J105)="")),"",ROUND(J105+($AB105*0.1094/4.184),3))</f>
        <v>12.32</v>
      </c>
      <c r="AY105" s="85" t="str">
        <f aca="false">IF(IF(ISBLANK(K105),1,(TRIM(K105)="")),"",ROUND(K105+($AB105*0.1094/4.184),3))</f>
        <v/>
      </c>
      <c r="AZ105" s="101" t="n">
        <f aca="false">IF(IF(ISBLANK(L105),1,(TRIM(L105)="")),"",ROUND(L105+($AB105*0.1094/4.184),3))</f>
        <v>12.236</v>
      </c>
      <c r="BA105" s="85" t="n">
        <f aca="false">IF(IF(ISBLANK(M105),1,(TRIM(M105)="")),"",ROUND(M105+($AB105*0.1094/4.184),3))</f>
        <v>12.236</v>
      </c>
    </row>
    <row r="106" customFormat="false" ht="12.75" hidden="false" customHeight="false" outlineLevel="0" collapsed="false">
      <c r="B106" s="38" t="s">
        <v>132</v>
      </c>
      <c r="C106" s="62"/>
      <c r="D106" s="63"/>
      <c r="E106" s="64"/>
      <c r="F106" s="65" t="s">
        <v>453</v>
      </c>
      <c r="G106" s="64" t="s">
        <v>454</v>
      </c>
      <c r="H106" s="63" t="n">
        <v>12.5</v>
      </c>
      <c r="I106" s="62" t="n">
        <v>12.5</v>
      </c>
      <c r="J106" s="102" t="n">
        <v>12.5</v>
      </c>
      <c r="K106" s="62"/>
      <c r="L106" s="65" t="s">
        <v>455</v>
      </c>
      <c r="M106" s="64" t="s">
        <v>456</v>
      </c>
      <c r="O106" s="38" t="s">
        <v>132</v>
      </c>
      <c r="P106" s="85" t="str">
        <f aca="false">IF(IF(ISBLANK(C106),1,(TRIM(C106)="")),"",ROUND(4.184*C106,3))</f>
        <v/>
      </c>
      <c r="Q106" s="101" t="str">
        <f aca="false">IF(IF(ISBLANK(D106),1,(TRIM(D106)="")),"",ROUND(4.184*D106,3))</f>
        <v/>
      </c>
      <c r="R106" s="85" t="str">
        <f aca="false">IF(IF(ISBLANK(E106),1,(TRIM(E106)="")),"",ROUND(4.184*E106,3))</f>
        <v/>
      </c>
      <c r="S106" s="101" t="n">
        <f aca="false">IF(IF(ISBLANK(F106),1,(TRIM(F106)="")),"",ROUND(4.184*F106,3))</f>
        <v>54.392</v>
      </c>
      <c r="T106" s="85" t="n">
        <f aca="false">IF(IF(ISBLANK(G106),1,(TRIM(G106)="")),"",ROUND(4.184*G106,3))</f>
        <v>52.3</v>
      </c>
      <c r="U106" s="101" t="n">
        <f aca="false">IF(IF(ISBLANK(H106),1,(TRIM(H106)="")),"",ROUND(4.184*H106,3))</f>
        <v>52.3</v>
      </c>
      <c r="V106" s="85" t="n">
        <f aca="false">IF(IF(ISBLANK(I106),1,(TRIM(I106)="")),"",ROUND(4.184*I106,3))</f>
        <v>52.3</v>
      </c>
      <c r="W106" s="101" t="n">
        <f aca="false">IF(IF(ISBLANK(J106),1,(TRIM(J106)="")),"",ROUND(4.184*J106,3))</f>
        <v>52.3</v>
      </c>
      <c r="X106" s="85" t="str">
        <f aca="false">IF(IF(ISBLANK(K106),1,(TRIM(K106)="")),"",ROUND(4.184*K106,3))</f>
        <v/>
      </c>
      <c r="Y106" s="101" t="n">
        <f aca="false">IF(IF(ISBLANK(L106),1,(TRIM(L106)="")),"",ROUND(4.184*L106,3))</f>
        <v>52.3</v>
      </c>
      <c r="Z106" s="85" t="n">
        <f aca="false">IF(IF(ISBLANK(M106),1,(TRIM(M106)="")),"",ROUND(4.184*M106,3))</f>
        <v>52.3</v>
      </c>
      <c r="AB106" s="34"/>
      <c r="AC106" s="38" t="s">
        <v>132</v>
      </c>
      <c r="AD106" s="85" t="str">
        <f aca="false">IF(IF(ISBLANK(C106),1,(TRIM(C106)="")),"",ROUND(4.184*C106+$AB106*0.1094,3))</f>
        <v/>
      </c>
      <c r="AE106" s="101" t="str">
        <f aca="false">IF(IF(ISBLANK(D106),1,(TRIM(D106)="")),"",ROUND(4.184*D106+$AB106*0.1094,3))</f>
        <v/>
      </c>
      <c r="AF106" s="85" t="str">
        <f aca="false">IF(IF(ISBLANK(E106),1,(TRIM(E106)="")),"",ROUND(4.184*E106+$AB106*0.1094,3))</f>
        <v/>
      </c>
      <c r="AG106" s="101" t="n">
        <f aca="false">IF(IF(ISBLANK(F106),1,(TRIM(F106)="")),"",ROUND(4.184*F106+$AB106*0.1094,3))</f>
        <v>54.392</v>
      </c>
      <c r="AH106" s="85" t="n">
        <f aca="false">IF(IF(ISBLANK(G106),1,(TRIM(G106)="")),"",ROUND(4.184*G106+$AB106*0.1094,3))</f>
        <v>52.3</v>
      </c>
      <c r="AI106" s="101" t="n">
        <f aca="false">IF(IF(ISBLANK(H106),1,(TRIM(H106)="")),"",ROUND(4.184*H106+$AB106*0.1094,3))</f>
        <v>52.3</v>
      </c>
      <c r="AJ106" s="85" t="n">
        <f aca="false">IF(IF(ISBLANK(I106),1,(TRIM(I106)="")),"",ROUND(4.184*I106+$AB106*0.1094,3))</f>
        <v>52.3</v>
      </c>
      <c r="AK106" s="101" t="n">
        <f aca="false">IF(IF(ISBLANK(J106),1,(TRIM(J106)="")),"",ROUND(4.184*J106+$AB106*0.1094,3))</f>
        <v>52.3</v>
      </c>
      <c r="AL106" s="85" t="str">
        <f aca="false">IF(IF(ISBLANK(K106),1,(TRIM(K106)="")),"",ROUND(4.184*K106+$AB106*0.1094,3))</f>
        <v/>
      </c>
      <c r="AM106" s="101" t="n">
        <f aca="false">IF(IF(ISBLANK(L106),1,(TRIM(L106)="")),"",ROUND(4.184*L106+$AB106*0.1094,3))</f>
        <v>52.3</v>
      </c>
      <c r="AN106" s="85" t="n">
        <f aca="false">IF(IF(ISBLANK(M106),1,(TRIM(M106)="")),"",ROUND(4.184*M106+$AB106*0.1094,3))</f>
        <v>52.3</v>
      </c>
      <c r="AP106" s="38" t="s">
        <v>132</v>
      </c>
      <c r="AQ106" s="85" t="str">
        <f aca="false">IF(IF(ISBLANK(C106),1,(TRIM(C106)="")),"",ROUND(C106+($AB106*0.1094/4.184),3))</f>
        <v/>
      </c>
      <c r="AR106" s="101" t="str">
        <f aca="false">IF(IF(ISBLANK(D106),1,(TRIM(D106)="")),"",ROUND(D106+($AB106*0.1094/4.184),3))</f>
        <v/>
      </c>
      <c r="AS106" s="85" t="str">
        <f aca="false">IF(IF(ISBLANK(E106),1,(TRIM(E106)="")),"",ROUND(E106+($AB106*0.1094/4.184),3))</f>
        <v/>
      </c>
      <c r="AT106" s="101" t="n">
        <f aca="false">IF(IF(ISBLANK(F106),1,(TRIM(F106)="")),"",ROUND(F106+($AB106*0.1094/4.184),3))</f>
        <v>13</v>
      </c>
      <c r="AU106" s="85" t="n">
        <f aca="false">IF(IF(ISBLANK(G106),1,(TRIM(G106)="")),"",ROUND(G106+($AB106*0.1094/4.184),3))</f>
        <v>12.5</v>
      </c>
      <c r="AV106" s="101" t="n">
        <f aca="false">IF(IF(ISBLANK(H106),1,(TRIM(H106)="")),"",ROUND(H106+($AB106*0.1094/4.184),3))</f>
        <v>12.5</v>
      </c>
      <c r="AW106" s="85" t="n">
        <f aca="false">IF(IF(ISBLANK(I106),1,(TRIM(I106)="")),"",ROUND(I106+($AB106*0.1094/4.184),3))</f>
        <v>12.5</v>
      </c>
      <c r="AX106" s="101" t="n">
        <f aca="false">IF(IF(ISBLANK(J106),1,(TRIM(J106)="")),"",ROUND(J106+($AB106*0.1094/4.184),3))</f>
        <v>12.5</v>
      </c>
      <c r="AY106" s="85" t="str">
        <f aca="false">IF(IF(ISBLANK(K106),1,(TRIM(K106)="")),"",ROUND(K106+($AB106*0.1094/4.184),3))</f>
        <v/>
      </c>
      <c r="AZ106" s="101" t="n">
        <f aca="false">IF(IF(ISBLANK(L106),1,(TRIM(L106)="")),"",ROUND(L106+($AB106*0.1094/4.184),3))</f>
        <v>12.5</v>
      </c>
      <c r="BA106" s="85" t="n">
        <f aca="false">IF(IF(ISBLANK(M106),1,(TRIM(M106)="")),"",ROUND(M106+($AB106*0.1094/4.184),3))</f>
        <v>12.5</v>
      </c>
    </row>
    <row r="107" customFormat="false" ht="12.75" hidden="false" customHeight="false" outlineLevel="0" collapsed="false">
      <c r="B107" s="31" t="s">
        <v>133</v>
      </c>
      <c r="C107" s="62"/>
      <c r="D107" s="63"/>
      <c r="E107" s="64" t="s">
        <v>457</v>
      </c>
      <c r="F107" s="63" t="n">
        <v>9.9</v>
      </c>
      <c r="G107" s="64" t="s">
        <v>268</v>
      </c>
      <c r="H107" s="63" t="n">
        <v>9.92</v>
      </c>
      <c r="I107" s="62"/>
      <c r="J107" s="102" t="n">
        <v>9.92</v>
      </c>
      <c r="K107" s="62"/>
      <c r="L107" s="65" t="s">
        <v>458</v>
      </c>
      <c r="M107" s="64" t="s">
        <v>459</v>
      </c>
      <c r="O107" s="31" t="s">
        <v>133</v>
      </c>
      <c r="P107" s="85" t="str">
        <f aca="false">IF(IF(ISBLANK(C107),1,(TRIM(C107)="")),"",ROUND(4.184*C107,3))</f>
        <v/>
      </c>
      <c r="Q107" s="101" t="str">
        <f aca="false">IF(IF(ISBLANK(D107),1,(TRIM(D107)="")),"",ROUND(4.184*D107,3))</f>
        <v/>
      </c>
      <c r="R107" s="85" t="n">
        <f aca="false">IF(IF(ISBLANK(E107),1,(TRIM(E107)="")),"",ROUND(4.184*E107,3))</f>
        <v>39.33</v>
      </c>
      <c r="S107" s="101" t="n">
        <f aca="false">IF(IF(ISBLANK(F107),1,(TRIM(F107)="")),"",ROUND(4.184*F107,3))</f>
        <v>41.422</v>
      </c>
      <c r="T107" s="85" t="n">
        <f aca="false">IF(IF(ISBLANK(G107),1,(TRIM(G107)="")),"",ROUND(4.184*G107,3))</f>
        <v>41.422</v>
      </c>
      <c r="U107" s="101" t="n">
        <f aca="false">IF(IF(ISBLANK(H107),1,(TRIM(H107)="")),"",ROUND(4.184*H107,3))</f>
        <v>41.505</v>
      </c>
      <c r="V107" s="85" t="str">
        <f aca="false">IF(IF(ISBLANK(I107),1,(TRIM(I107)="")),"",ROUND(4.184*I107,3))</f>
        <v/>
      </c>
      <c r="W107" s="101" t="n">
        <f aca="false">IF(IF(ISBLANK(J107),1,(TRIM(J107)="")),"",ROUND(4.184*J107,3))</f>
        <v>41.505</v>
      </c>
      <c r="X107" s="85" t="str">
        <f aca="false">IF(IF(ISBLANK(K107),1,(TRIM(K107)="")),"",ROUND(4.184*K107,3))</f>
        <v/>
      </c>
      <c r="Y107" s="101" t="n">
        <f aca="false">IF(IF(ISBLANK(L107),1,(TRIM(L107)="")),"",ROUND(4.184*L107,3))</f>
        <v>41.505</v>
      </c>
      <c r="Z107" s="85" t="n">
        <f aca="false">IF(IF(ISBLANK(M107),1,(TRIM(M107)="")),"",ROUND(4.184*M107,3))</f>
        <v>41.505</v>
      </c>
      <c r="AB107" s="34"/>
      <c r="AC107" s="31" t="s">
        <v>133</v>
      </c>
      <c r="AD107" s="85" t="str">
        <f aca="false">IF(IF(ISBLANK(C107),1,(TRIM(C107)="")),"",ROUND(4.184*C107+$AB107*0.1094,3))</f>
        <v/>
      </c>
      <c r="AE107" s="101" t="str">
        <f aca="false">IF(IF(ISBLANK(D107),1,(TRIM(D107)="")),"",ROUND(4.184*D107+$AB107*0.1094,3))</f>
        <v/>
      </c>
      <c r="AF107" s="85" t="n">
        <f aca="false">IF(IF(ISBLANK(E107),1,(TRIM(E107)="")),"",ROUND(4.184*E107+$AB107*0.1094,3))</f>
        <v>39.33</v>
      </c>
      <c r="AG107" s="101" t="n">
        <f aca="false">IF(IF(ISBLANK(F107),1,(TRIM(F107)="")),"",ROUND(4.184*F107+$AB107*0.1094,3))</f>
        <v>41.422</v>
      </c>
      <c r="AH107" s="85" t="n">
        <f aca="false">IF(IF(ISBLANK(G107),1,(TRIM(G107)="")),"",ROUND(4.184*G107+$AB107*0.1094,3))</f>
        <v>41.422</v>
      </c>
      <c r="AI107" s="101" t="n">
        <f aca="false">IF(IF(ISBLANK(H107),1,(TRIM(H107)="")),"",ROUND(4.184*H107+$AB107*0.1094,3))</f>
        <v>41.505</v>
      </c>
      <c r="AJ107" s="85" t="str">
        <f aca="false">IF(IF(ISBLANK(I107),1,(TRIM(I107)="")),"",ROUND(4.184*I107+$AB107*0.1094,3))</f>
        <v/>
      </c>
      <c r="AK107" s="101" t="n">
        <f aca="false">IF(IF(ISBLANK(J107),1,(TRIM(J107)="")),"",ROUND(4.184*J107+$AB107*0.1094,3))</f>
        <v>41.505</v>
      </c>
      <c r="AL107" s="85" t="str">
        <f aca="false">IF(IF(ISBLANK(K107),1,(TRIM(K107)="")),"",ROUND(4.184*K107+$AB107*0.1094,3))</f>
        <v/>
      </c>
      <c r="AM107" s="101" t="n">
        <f aca="false">IF(IF(ISBLANK(L107),1,(TRIM(L107)="")),"",ROUND(4.184*L107+$AB107*0.1094,3))</f>
        <v>41.505</v>
      </c>
      <c r="AN107" s="85" t="n">
        <f aca="false">IF(IF(ISBLANK(M107),1,(TRIM(M107)="")),"",ROUND(4.184*M107+$AB107*0.1094,3))</f>
        <v>41.505</v>
      </c>
      <c r="AP107" s="31" t="s">
        <v>133</v>
      </c>
      <c r="AQ107" s="85" t="str">
        <f aca="false">IF(IF(ISBLANK(C107),1,(TRIM(C107)="")),"",ROUND(C107+($AB107*0.1094/4.184),3))</f>
        <v/>
      </c>
      <c r="AR107" s="101" t="str">
        <f aca="false">IF(IF(ISBLANK(D107),1,(TRIM(D107)="")),"",ROUND(D107+($AB107*0.1094/4.184),3))</f>
        <v/>
      </c>
      <c r="AS107" s="85" t="n">
        <f aca="false">IF(IF(ISBLANK(E107),1,(TRIM(E107)="")),"",ROUND(E107+($AB107*0.1094/4.184),3))</f>
        <v>9.4</v>
      </c>
      <c r="AT107" s="101" t="n">
        <f aca="false">IF(IF(ISBLANK(F107),1,(TRIM(F107)="")),"",ROUND(F107+($AB107*0.1094/4.184),3))</f>
        <v>9.9</v>
      </c>
      <c r="AU107" s="85" t="n">
        <f aca="false">IF(IF(ISBLANK(G107),1,(TRIM(G107)="")),"",ROUND(G107+($AB107*0.1094/4.184),3))</f>
        <v>9.9</v>
      </c>
      <c r="AV107" s="101" t="n">
        <f aca="false">IF(IF(ISBLANK(H107),1,(TRIM(H107)="")),"",ROUND(H107+($AB107*0.1094/4.184),3))</f>
        <v>9.92</v>
      </c>
      <c r="AW107" s="85" t="str">
        <f aca="false">IF(IF(ISBLANK(I107),1,(TRIM(I107)="")),"",ROUND(I107+($AB107*0.1094/4.184),3))</f>
        <v/>
      </c>
      <c r="AX107" s="101" t="n">
        <f aca="false">IF(IF(ISBLANK(J107),1,(TRIM(J107)="")),"",ROUND(J107+($AB107*0.1094/4.184),3))</f>
        <v>9.92</v>
      </c>
      <c r="AY107" s="85" t="str">
        <f aca="false">IF(IF(ISBLANK(K107),1,(TRIM(K107)="")),"",ROUND(K107+($AB107*0.1094/4.184),3))</f>
        <v/>
      </c>
      <c r="AZ107" s="101" t="n">
        <f aca="false">IF(IF(ISBLANK(L107),1,(TRIM(L107)="")),"",ROUND(L107+($AB107*0.1094/4.184),3))</f>
        <v>9.92</v>
      </c>
      <c r="BA107" s="85" t="n">
        <f aca="false">IF(IF(ISBLANK(M107),1,(TRIM(M107)="")),"",ROUND(M107+($AB107*0.1094/4.184),3))</f>
        <v>9.92</v>
      </c>
    </row>
    <row r="108" customFormat="false" ht="12.75" hidden="false" customHeight="false" outlineLevel="0" collapsed="false">
      <c r="B108" s="31" t="s">
        <v>134</v>
      </c>
      <c r="C108" s="62"/>
      <c r="D108" s="63"/>
      <c r="E108" s="64"/>
      <c r="F108" s="63"/>
      <c r="G108" s="64" t="s">
        <v>460</v>
      </c>
      <c r="H108" s="63" t="n">
        <v>17.5</v>
      </c>
      <c r="I108" s="62"/>
      <c r="J108" s="103" t="s">
        <v>380</v>
      </c>
      <c r="K108" s="62"/>
      <c r="L108" s="65" t="s">
        <v>461</v>
      </c>
      <c r="M108" s="64" t="s">
        <v>462</v>
      </c>
      <c r="O108" s="31" t="s">
        <v>134</v>
      </c>
      <c r="P108" s="85" t="str">
        <f aca="false">IF(IF(ISBLANK(C108),1,(TRIM(C108)="")),"",ROUND(4.184*C108,3))</f>
        <v/>
      </c>
      <c r="Q108" s="101" t="str">
        <f aca="false">IF(IF(ISBLANK(D108),1,(TRIM(D108)="")),"",ROUND(4.184*D108,3))</f>
        <v/>
      </c>
      <c r="R108" s="85" t="str">
        <f aca="false">IF(IF(ISBLANK(E108),1,(TRIM(E108)="")),"",ROUND(4.184*E108,3))</f>
        <v/>
      </c>
      <c r="S108" s="101" t="str">
        <f aca="false">IF(IF(ISBLANK(F108),1,(TRIM(F108)="")),"",ROUND(4.184*F108,3))</f>
        <v/>
      </c>
      <c r="T108" s="85" t="n">
        <f aca="false">IF(IF(ISBLANK(G108),1,(TRIM(G108)="")),"",ROUND(4.184*G108,3))</f>
        <v>73.053</v>
      </c>
      <c r="U108" s="101" t="n">
        <f aca="false">IF(IF(ISBLANK(H108),1,(TRIM(H108)="")),"",ROUND(4.184*H108,3))</f>
        <v>73.22</v>
      </c>
      <c r="V108" s="85" t="str">
        <f aca="false">IF(IF(ISBLANK(I108),1,(TRIM(I108)="")),"",ROUND(4.184*I108,3))</f>
        <v/>
      </c>
      <c r="W108" s="101" t="n">
        <f aca="false">IF(IF(ISBLANK(J108),1,(TRIM(J108)="")),"",ROUND(4.184*J108,3))</f>
        <v>73.22</v>
      </c>
      <c r="X108" s="85" t="str">
        <f aca="false">IF(IF(ISBLANK(K108),1,(TRIM(K108)="")),"",ROUND(4.184*K108,3))</f>
        <v/>
      </c>
      <c r="Y108" s="101" t="n">
        <f aca="false">IF(IF(ISBLANK(L108),1,(TRIM(L108)="")),"",ROUND(4.184*L108,3))</f>
        <v>73.304</v>
      </c>
      <c r="Z108" s="85" t="n">
        <f aca="false">IF(IF(ISBLANK(M108),1,(TRIM(M108)="")),"",ROUND(4.184*M108,3))</f>
        <v>73.304</v>
      </c>
      <c r="AB108" s="34"/>
      <c r="AC108" s="31" t="s">
        <v>134</v>
      </c>
      <c r="AD108" s="85" t="str">
        <f aca="false">IF(IF(ISBLANK(C108),1,(TRIM(C108)="")),"",ROUND(4.184*C108+$AB108*0.1094,3))</f>
        <v/>
      </c>
      <c r="AE108" s="101" t="str">
        <f aca="false">IF(IF(ISBLANK(D108),1,(TRIM(D108)="")),"",ROUND(4.184*D108+$AB108*0.1094,3))</f>
        <v/>
      </c>
      <c r="AF108" s="85" t="str">
        <f aca="false">IF(IF(ISBLANK(E108),1,(TRIM(E108)="")),"",ROUND(4.184*E108+$AB108*0.1094,3))</f>
        <v/>
      </c>
      <c r="AG108" s="101" t="str">
        <f aca="false">IF(IF(ISBLANK(F108),1,(TRIM(F108)="")),"",ROUND(4.184*F108+$AB108*0.1094,3))</f>
        <v/>
      </c>
      <c r="AH108" s="85" t="n">
        <f aca="false">IF(IF(ISBLANK(G108),1,(TRIM(G108)="")),"",ROUND(4.184*G108+$AB108*0.1094,3))</f>
        <v>73.053</v>
      </c>
      <c r="AI108" s="101" t="n">
        <f aca="false">IF(IF(ISBLANK(H108),1,(TRIM(H108)="")),"",ROUND(4.184*H108+$AB108*0.1094,3))</f>
        <v>73.22</v>
      </c>
      <c r="AJ108" s="85" t="str">
        <f aca="false">IF(IF(ISBLANK(I108),1,(TRIM(I108)="")),"",ROUND(4.184*I108+$AB108*0.1094,3))</f>
        <v/>
      </c>
      <c r="AK108" s="101" t="n">
        <f aca="false">IF(IF(ISBLANK(J108),1,(TRIM(J108)="")),"",ROUND(4.184*J108+$AB108*0.1094,3))</f>
        <v>73.22</v>
      </c>
      <c r="AL108" s="85" t="str">
        <f aca="false">IF(IF(ISBLANK(K108),1,(TRIM(K108)="")),"",ROUND(4.184*K108+$AB108*0.1094,3))</f>
        <v/>
      </c>
      <c r="AM108" s="101" t="n">
        <f aca="false">IF(IF(ISBLANK(L108),1,(TRIM(L108)="")),"",ROUND(4.184*L108+$AB108*0.1094,3))</f>
        <v>73.304</v>
      </c>
      <c r="AN108" s="85" t="n">
        <f aca="false">IF(IF(ISBLANK(M108),1,(TRIM(M108)="")),"",ROUND(4.184*M108+$AB108*0.1094,3))</f>
        <v>73.304</v>
      </c>
      <c r="AP108" s="31" t="s">
        <v>134</v>
      </c>
      <c r="AQ108" s="85" t="str">
        <f aca="false">IF(IF(ISBLANK(C108),1,(TRIM(C108)="")),"",ROUND(C108+($AB108*0.1094/4.184),3))</f>
        <v/>
      </c>
      <c r="AR108" s="101" t="str">
        <f aca="false">IF(IF(ISBLANK(D108),1,(TRIM(D108)="")),"",ROUND(D108+($AB108*0.1094/4.184),3))</f>
        <v/>
      </c>
      <c r="AS108" s="85" t="str">
        <f aca="false">IF(IF(ISBLANK(E108),1,(TRIM(E108)="")),"",ROUND(E108+($AB108*0.1094/4.184),3))</f>
        <v/>
      </c>
      <c r="AT108" s="101" t="str">
        <f aca="false">IF(IF(ISBLANK(F108),1,(TRIM(F108)="")),"",ROUND(F108+($AB108*0.1094/4.184),3))</f>
        <v/>
      </c>
      <c r="AU108" s="85" t="n">
        <f aca="false">IF(IF(ISBLANK(G108),1,(TRIM(G108)="")),"",ROUND(G108+($AB108*0.1094/4.184),3))</f>
        <v>17.46</v>
      </c>
      <c r="AV108" s="101" t="n">
        <f aca="false">IF(IF(ISBLANK(H108),1,(TRIM(H108)="")),"",ROUND(H108+($AB108*0.1094/4.184),3))</f>
        <v>17.5</v>
      </c>
      <c r="AW108" s="85" t="str">
        <f aca="false">IF(IF(ISBLANK(I108),1,(TRIM(I108)="")),"",ROUND(I108+($AB108*0.1094/4.184),3))</f>
        <v/>
      </c>
      <c r="AX108" s="101" t="n">
        <f aca="false">IF(IF(ISBLANK(J108),1,(TRIM(J108)="")),"",ROUND(J108+($AB108*0.1094/4.184),3))</f>
        <v>17.5</v>
      </c>
      <c r="AY108" s="85" t="str">
        <f aca="false">IF(IF(ISBLANK(K108),1,(TRIM(K108)="")),"",ROUND(K108+($AB108*0.1094/4.184),3))</f>
        <v/>
      </c>
      <c r="AZ108" s="101" t="n">
        <f aca="false">IF(IF(ISBLANK(L108),1,(TRIM(L108)="")),"",ROUND(L108+($AB108*0.1094/4.184),3))</f>
        <v>17.52</v>
      </c>
      <c r="BA108" s="85" t="n">
        <f aca="false">IF(IF(ISBLANK(M108),1,(TRIM(M108)="")),"",ROUND(M108+($AB108*0.1094/4.184),3))</f>
        <v>17.52</v>
      </c>
    </row>
    <row r="109" customFormat="false" ht="12.75" hidden="false" customHeight="false" outlineLevel="0" collapsed="false">
      <c r="B109" s="31" t="s">
        <v>135</v>
      </c>
      <c r="C109" s="64"/>
      <c r="D109" s="63"/>
      <c r="E109" s="64"/>
      <c r="F109" s="65" t="s">
        <v>463</v>
      </c>
      <c r="G109" s="64" t="s">
        <v>464</v>
      </c>
      <c r="H109" s="65" t="s">
        <v>175</v>
      </c>
      <c r="I109" s="62"/>
      <c r="J109" s="102"/>
      <c r="K109" s="62"/>
      <c r="L109" s="65" t="s">
        <v>175</v>
      </c>
      <c r="M109" s="62"/>
      <c r="O109" s="31" t="s">
        <v>135</v>
      </c>
      <c r="P109" s="85" t="str">
        <f aca="false">IF(IF(ISBLANK(C109),1,(TRIM(C109)="")),"",ROUND(4.184*C109,3))</f>
        <v/>
      </c>
      <c r="Q109" s="101" t="str">
        <f aca="false">IF(IF(ISBLANK(D109),1,(TRIM(D109)="")),"",ROUND(4.184*D109,3))</f>
        <v/>
      </c>
      <c r="R109" s="85" t="str">
        <f aca="false">IF(IF(ISBLANK(E109),1,(TRIM(E109)="")),"",ROUND(4.184*E109,3))</f>
        <v/>
      </c>
      <c r="S109" s="101" t="n">
        <f aca="false">IF(IF(ISBLANK(F109),1,(TRIM(F109)="")),"",ROUND(4.184*F109,3))</f>
        <v>37.656</v>
      </c>
      <c r="T109" s="85" t="n">
        <f aca="false">IF(IF(ISBLANK(G109),1,(TRIM(G109)="")),"",ROUND(4.184*G109,3))</f>
        <v>33.472</v>
      </c>
      <c r="U109" s="101" t="n">
        <f aca="false">IF(IF(ISBLANK(H109),1,(TRIM(H109)="")),"",ROUND(4.184*H109,3))</f>
        <v>33.472</v>
      </c>
      <c r="V109" s="85" t="str">
        <f aca="false">IF(IF(ISBLANK(I109),1,(TRIM(I109)="")),"",ROUND(4.184*I109,3))</f>
        <v/>
      </c>
      <c r="W109" s="101" t="str">
        <f aca="false">IF(IF(ISBLANK(J109),1,(TRIM(J109)="")),"",ROUND(4.184*J109,3))</f>
        <v/>
      </c>
      <c r="X109" s="85" t="str">
        <f aca="false">IF(IF(ISBLANK(K109),1,(TRIM(K109)="")),"",ROUND(4.184*K109,3))</f>
        <v/>
      </c>
      <c r="Y109" s="101" t="n">
        <f aca="false">IF(IF(ISBLANK(L109),1,(TRIM(L109)="")),"",ROUND(4.184*L109,3))</f>
        <v>33.472</v>
      </c>
      <c r="Z109" s="85" t="str">
        <f aca="false">IF(IF(ISBLANK(M109),1,(TRIM(M109)="")),"",ROUND(4.184*M109,3))</f>
        <v/>
      </c>
      <c r="AB109" s="34"/>
      <c r="AC109" s="31" t="s">
        <v>135</v>
      </c>
      <c r="AD109" s="85" t="str">
        <f aca="false">IF(IF(ISBLANK(C109),1,(TRIM(C109)="")),"",ROUND(4.184*C109+$AB109*0.1094,3))</f>
        <v/>
      </c>
      <c r="AE109" s="101" t="str">
        <f aca="false">IF(IF(ISBLANK(D109),1,(TRIM(D109)="")),"",ROUND(4.184*D109+$AB109*0.1094,3))</f>
        <v/>
      </c>
      <c r="AF109" s="85" t="str">
        <f aca="false">IF(IF(ISBLANK(E109),1,(TRIM(E109)="")),"",ROUND(4.184*E109+$AB109*0.1094,3))</f>
        <v/>
      </c>
      <c r="AG109" s="101" t="n">
        <f aca="false">IF(IF(ISBLANK(F109),1,(TRIM(F109)="")),"",ROUND(4.184*F109+$AB109*0.1094,3))</f>
        <v>37.656</v>
      </c>
      <c r="AH109" s="85" t="n">
        <f aca="false">IF(IF(ISBLANK(G109),1,(TRIM(G109)="")),"",ROUND(4.184*G109+$AB109*0.1094,3))</f>
        <v>33.472</v>
      </c>
      <c r="AI109" s="101" t="n">
        <f aca="false">IF(IF(ISBLANK(H109),1,(TRIM(H109)="")),"",ROUND(4.184*H109+$AB109*0.1094,3))</f>
        <v>33.472</v>
      </c>
      <c r="AJ109" s="85" t="str">
        <f aca="false">IF(IF(ISBLANK(I109),1,(TRIM(I109)="")),"",ROUND(4.184*I109+$AB109*0.1094,3))</f>
        <v/>
      </c>
      <c r="AK109" s="101" t="str">
        <f aca="false">IF(IF(ISBLANK(J109),1,(TRIM(J109)="")),"",ROUND(4.184*J109+$AB109*0.1094,3))</f>
        <v/>
      </c>
      <c r="AL109" s="85" t="str">
        <f aca="false">IF(IF(ISBLANK(K109),1,(TRIM(K109)="")),"",ROUND(4.184*K109+$AB109*0.1094,3))</f>
        <v/>
      </c>
      <c r="AM109" s="101" t="n">
        <f aca="false">IF(IF(ISBLANK(L109),1,(TRIM(L109)="")),"",ROUND(4.184*L109+$AB109*0.1094,3))</f>
        <v>33.472</v>
      </c>
      <c r="AN109" s="85" t="str">
        <f aca="false">IF(IF(ISBLANK(M109),1,(TRIM(M109)="")),"",ROUND(4.184*M109+$AB109*0.1094,3))</f>
        <v/>
      </c>
      <c r="AP109" s="31" t="s">
        <v>135</v>
      </c>
      <c r="AQ109" s="85" t="str">
        <f aca="false">IF(IF(ISBLANK(C109),1,(TRIM(C109)="")),"",ROUND(C109+($AB109*0.1094/4.184),3))</f>
        <v/>
      </c>
      <c r="AR109" s="101" t="str">
        <f aca="false">IF(IF(ISBLANK(D109),1,(TRIM(D109)="")),"",ROUND(D109+($AB109*0.1094/4.184),3))</f>
        <v/>
      </c>
      <c r="AS109" s="85" t="str">
        <f aca="false">IF(IF(ISBLANK(E109),1,(TRIM(E109)="")),"",ROUND(E109+($AB109*0.1094/4.184),3))</f>
        <v/>
      </c>
      <c r="AT109" s="101" t="n">
        <f aca="false">IF(IF(ISBLANK(F109),1,(TRIM(F109)="")),"",ROUND(F109+($AB109*0.1094/4.184),3))</f>
        <v>9</v>
      </c>
      <c r="AU109" s="85" t="n">
        <f aca="false">IF(IF(ISBLANK(G109),1,(TRIM(G109)="")),"",ROUND(G109+($AB109*0.1094/4.184),3))</f>
        <v>8</v>
      </c>
      <c r="AV109" s="101" t="n">
        <f aca="false">IF(IF(ISBLANK(H109),1,(TRIM(H109)="")),"",ROUND(H109+($AB109*0.1094/4.184),3))</f>
        <v>8</v>
      </c>
      <c r="AW109" s="85" t="str">
        <f aca="false">IF(IF(ISBLANK(I109),1,(TRIM(I109)="")),"",ROUND(I109+($AB109*0.1094/4.184),3))</f>
        <v/>
      </c>
      <c r="AX109" s="101" t="str">
        <f aca="false">IF(IF(ISBLANK(J109),1,(TRIM(J109)="")),"",ROUND(J109+($AB109*0.1094/4.184),3))</f>
        <v/>
      </c>
      <c r="AY109" s="85" t="str">
        <f aca="false">IF(IF(ISBLANK(K109),1,(TRIM(K109)="")),"",ROUND(K109+($AB109*0.1094/4.184),3))</f>
        <v/>
      </c>
      <c r="AZ109" s="101" t="n">
        <f aca="false">IF(IF(ISBLANK(L109),1,(TRIM(L109)="")),"",ROUND(L109+($AB109*0.1094/4.184),3))</f>
        <v>8</v>
      </c>
      <c r="BA109" s="85" t="str">
        <f aca="false">IF(IF(ISBLANK(M109),1,(TRIM(M109)="")),"",ROUND(M109+($AB109*0.1094/4.184),3))</f>
        <v/>
      </c>
    </row>
    <row r="110" customFormat="false" ht="12.75" hidden="false" customHeight="false" outlineLevel="0" collapsed="false">
      <c r="B110" s="38" t="s">
        <v>136</v>
      </c>
      <c r="C110" s="62"/>
      <c r="D110" s="63"/>
      <c r="E110" s="64"/>
      <c r="F110" s="63" t="n">
        <v>11.88</v>
      </c>
      <c r="G110" s="64" t="s">
        <v>465</v>
      </c>
      <c r="H110" s="63" t="n">
        <v>11.88</v>
      </c>
      <c r="I110" s="62" t="n">
        <v>11.88</v>
      </c>
      <c r="J110" s="102" t="n">
        <v>11.88</v>
      </c>
      <c r="K110" s="62"/>
      <c r="L110" s="65" t="s">
        <v>466</v>
      </c>
      <c r="M110" s="64" t="s">
        <v>467</v>
      </c>
      <c r="O110" s="38" t="s">
        <v>136</v>
      </c>
      <c r="P110" s="85" t="str">
        <f aca="false">IF(IF(ISBLANK(C110),1,(TRIM(C110)="")),"",ROUND(4.184*C110,3))</f>
        <v/>
      </c>
      <c r="Q110" s="101" t="str">
        <f aca="false">IF(IF(ISBLANK(D110),1,(TRIM(D110)="")),"",ROUND(4.184*D110,3))</f>
        <v/>
      </c>
      <c r="R110" s="85" t="str">
        <f aca="false">IF(IF(ISBLANK(E110),1,(TRIM(E110)="")),"",ROUND(4.184*E110,3))</f>
        <v/>
      </c>
      <c r="S110" s="101" t="n">
        <f aca="false">IF(IF(ISBLANK(F110),1,(TRIM(F110)="")),"",ROUND(4.184*F110,3))</f>
        <v>49.706</v>
      </c>
      <c r="T110" s="85" t="n">
        <f aca="false">IF(IF(ISBLANK(G110),1,(TRIM(G110)="")),"",ROUND(4.184*G110,3))</f>
        <v>49.706</v>
      </c>
      <c r="U110" s="101" t="n">
        <f aca="false">IF(IF(ISBLANK(H110),1,(TRIM(H110)="")),"",ROUND(4.184*H110,3))</f>
        <v>49.706</v>
      </c>
      <c r="V110" s="85" t="n">
        <f aca="false">IF(IF(ISBLANK(I110),1,(TRIM(I110)="")),"",ROUND(4.184*I110,3))</f>
        <v>49.706</v>
      </c>
      <c r="W110" s="101" t="n">
        <f aca="false">IF(IF(ISBLANK(J110),1,(TRIM(J110)="")),"",ROUND(4.184*J110,3))</f>
        <v>49.706</v>
      </c>
      <c r="X110" s="85" t="str">
        <f aca="false">IF(IF(ISBLANK(K110),1,(TRIM(K110)="")),"",ROUND(4.184*K110,3))</f>
        <v/>
      </c>
      <c r="Y110" s="101" t="n">
        <f aca="false">IF(IF(ISBLANK(L110),1,(TRIM(L110)="")),"",ROUND(4.184*L110,3))</f>
        <v>49.497</v>
      </c>
      <c r="Z110" s="85" t="n">
        <f aca="false">IF(IF(ISBLANK(M110),1,(TRIM(M110)="")),"",ROUND(4.184*M110,3))</f>
        <v>49.706</v>
      </c>
      <c r="AB110" s="34"/>
      <c r="AC110" s="38" t="s">
        <v>136</v>
      </c>
      <c r="AD110" s="85" t="str">
        <f aca="false">IF(IF(ISBLANK(C110),1,(TRIM(C110)="")),"",ROUND(4.184*C110+$AB110*0.1094,3))</f>
        <v/>
      </c>
      <c r="AE110" s="101" t="str">
        <f aca="false">IF(IF(ISBLANK(D110),1,(TRIM(D110)="")),"",ROUND(4.184*D110+$AB110*0.1094,3))</f>
        <v/>
      </c>
      <c r="AF110" s="85" t="str">
        <f aca="false">IF(IF(ISBLANK(E110),1,(TRIM(E110)="")),"",ROUND(4.184*E110+$AB110*0.1094,3))</f>
        <v/>
      </c>
      <c r="AG110" s="101" t="n">
        <f aca="false">IF(IF(ISBLANK(F110),1,(TRIM(F110)="")),"",ROUND(4.184*F110+$AB110*0.1094,3))</f>
        <v>49.706</v>
      </c>
      <c r="AH110" s="85" t="n">
        <f aca="false">IF(IF(ISBLANK(G110),1,(TRIM(G110)="")),"",ROUND(4.184*G110+$AB110*0.1094,3))</f>
        <v>49.706</v>
      </c>
      <c r="AI110" s="101" t="n">
        <f aca="false">IF(IF(ISBLANK(H110),1,(TRIM(H110)="")),"",ROUND(4.184*H110+$AB110*0.1094,3))</f>
        <v>49.706</v>
      </c>
      <c r="AJ110" s="85" t="n">
        <f aca="false">IF(IF(ISBLANK(I110),1,(TRIM(I110)="")),"",ROUND(4.184*I110+$AB110*0.1094,3))</f>
        <v>49.706</v>
      </c>
      <c r="AK110" s="101" t="n">
        <f aca="false">IF(IF(ISBLANK(J110),1,(TRIM(J110)="")),"",ROUND(4.184*J110+$AB110*0.1094,3))</f>
        <v>49.706</v>
      </c>
      <c r="AL110" s="85" t="str">
        <f aca="false">IF(IF(ISBLANK(K110),1,(TRIM(K110)="")),"",ROUND(4.184*K110+$AB110*0.1094,3))</f>
        <v/>
      </c>
      <c r="AM110" s="101" t="n">
        <f aca="false">IF(IF(ISBLANK(L110),1,(TRIM(L110)="")),"",ROUND(4.184*L110+$AB110*0.1094,3))</f>
        <v>49.497</v>
      </c>
      <c r="AN110" s="85" t="n">
        <f aca="false">IF(IF(ISBLANK(M110),1,(TRIM(M110)="")),"",ROUND(4.184*M110+$AB110*0.1094,3))</f>
        <v>49.706</v>
      </c>
      <c r="AP110" s="38" t="s">
        <v>136</v>
      </c>
      <c r="AQ110" s="85" t="str">
        <f aca="false">IF(IF(ISBLANK(C110),1,(TRIM(C110)="")),"",ROUND(C110+($AB110*0.1094/4.184),3))</f>
        <v/>
      </c>
      <c r="AR110" s="101" t="str">
        <f aca="false">IF(IF(ISBLANK(D110),1,(TRIM(D110)="")),"",ROUND(D110+($AB110*0.1094/4.184),3))</f>
        <v/>
      </c>
      <c r="AS110" s="85" t="str">
        <f aca="false">IF(IF(ISBLANK(E110),1,(TRIM(E110)="")),"",ROUND(E110+($AB110*0.1094/4.184),3))</f>
        <v/>
      </c>
      <c r="AT110" s="101" t="n">
        <f aca="false">IF(IF(ISBLANK(F110),1,(TRIM(F110)="")),"",ROUND(F110+($AB110*0.1094/4.184),3))</f>
        <v>11.88</v>
      </c>
      <c r="AU110" s="85" t="n">
        <f aca="false">IF(IF(ISBLANK(G110),1,(TRIM(G110)="")),"",ROUND(G110+($AB110*0.1094/4.184),3))</f>
        <v>11.88</v>
      </c>
      <c r="AV110" s="101" t="n">
        <f aca="false">IF(IF(ISBLANK(H110),1,(TRIM(H110)="")),"",ROUND(H110+($AB110*0.1094/4.184),3))</f>
        <v>11.88</v>
      </c>
      <c r="AW110" s="85" t="n">
        <f aca="false">IF(IF(ISBLANK(I110),1,(TRIM(I110)="")),"",ROUND(I110+($AB110*0.1094/4.184),3))</f>
        <v>11.88</v>
      </c>
      <c r="AX110" s="101" t="n">
        <f aca="false">IF(IF(ISBLANK(J110),1,(TRIM(J110)="")),"",ROUND(J110+($AB110*0.1094/4.184),3))</f>
        <v>11.88</v>
      </c>
      <c r="AY110" s="85" t="str">
        <f aca="false">IF(IF(ISBLANK(K110),1,(TRIM(K110)="")),"",ROUND(K110+($AB110*0.1094/4.184),3))</f>
        <v/>
      </c>
      <c r="AZ110" s="101" t="n">
        <f aca="false">IF(IF(ISBLANK(L110),1,(TRIM(L110)="")),"",ROUND(L110+($AB110*0.1094/4.184),3))</f>
        <v>11.83</v>
      </c>
      <c r="BA110" s="85" t="n">
        <f aca="false">IF(IF(ISBLANK(M110),1,(TRIM(M110)="")),"",ROUND(M110+($AB110*0.1094/4.184),3))</f>
        <v>11.88</v>
      </c>
    </row>
    <row r="111" customFormat="false" ht="12.75" hidden="false" customHeight="false" outlineLevel="0" collapsed="false">
      <c r="B111" s="38" t="s">
        <v>137</v>
      </c>
      <c r="C111" s="62" t="n">
        <v>13.6</v>
      </c>
      <c r="D111" s="63" t="n">
        <v>13.6</v>
      </c>
      <c r="E111" s="64" t="s">
        <v>354</v>
      </c>
      <c r="F111" s="63" t="n">
        <v>13.6</v>
      </c>
      <c r="G111" s="64" t="s">
        <v>468</v>
      </c>
      <c r="H111" s="63" t="n">
        <v>12.8</v>
      </c>
      <c r="I111" s="62" t="n">
        <v>12.76</v>
      </c>
      <c r="J111" s="102" t="n">
        <v>12.76</v>
      </c>
      <c r="K111" s="62"/>
      <c r="L111" s="65" t="s">
        <v>468</v>
      </c>
      <c r="M111" s="64" t="s">
        <v>469</v>
      </c>
      <c r="O111" s="38" t="s">
        <v>137</v>
      </c>
      <c r="P111" s="85" t="n">
        <f aca="false">IF(IF(ISBLANK(C111),1,(TRIM(C111)="")),"",ROUND(4.184*C111,3))</f>
        <v>56.902</v>
      </c>
      <c r="Q111" s="101" t="n">
        <f aca="false">IF(IF(ISBLANK(D111),1,(TRIM(D111)="")),"",ROUND(4.184*D111,3))</f>
        <v>56.902</v>
      </c>
      <c r="R111" s="85" t="n">
        <f aca="false">IF(IF(ISBLANK(E111),1,(TRIM(E111)="")),"",ROUND(4.184*E111,3))</f>
        <v>56.902</v>
      </c>
      <c r="S111" s="101" t="n">
        <f aca="false">IF(IF(ISBLANK(F111),1,(TRIM(F111)="")),"",ROUND(4.184*F111,3))</f>
        <v>56.902</v>
      </c>
      <c r="T111" s="85" t="n">
        <f aca="false">IF(IF(ISBLANK(G111),1,(TRIM(G111)="")),"",ROUND(4.184*G111,3))</f>
        <v>53.388</v>
      </c>
      <c r="U111" s="101" t="n">
        <f aca="false">IF(IF(ISBLANK(H111),1,(TRIM(H111)="")),"",ROUND(4.184*H111,3))</f>
        <v>53.555</v>
      </c>
      <c r="V111" s="85" t="n">
        <f aca="false">IF(IF(ISBLANK(I111),1,(TRIM(I111)="")),"",ROUND(4.184*I111,3))</f>
        <v>53.388</v>
      </c>
      <c r="W111" s="101" t="n">
        <f aca="false">IF(IF(ISBLANK(J111),1,(TRIM(J111)="")),"",ROUND(4.184*J111,3))</f>
        <v>53.388</v>
      </c>
      <c r="X111" s="85" t="str">
        <f aca="false">IF(IF(ISBLANK(K111),1,(TRIM(K111)="")),"",ROUND(4.184*K111,3))</f>
        <v/>
      </c>
      <c r="Y111" s="101" t="n">
        <f aca="false">IF(IF(ISBLANK(L111),1,(TRIM(L111)="")),"",ROUND(4.184*L111,3))</f>
        <v>53.388</v>
      </c>
      <c r="Z111" s="85" t="n">
        <f aca="false">IF(IF(ISBLANK(M111),1,(TRIM(M111)="")),"",ROUND(4.184*M111,3))</f>
        <v>53.388</v>
      </c>
      <c r="AB111" s="34"/>
      <c r="AC111" s="38" t="s">
        <v>137</v>
      </c>
      <c r="AD111" s="85" t="n">
        <f aca="false">IF(IF(ISBLANK(C111),1,(TRIM(C111)="")),"",ROUND(4.184*C111+$AB111*0.1094,3))</f>
        <v>56.902</v>
      </c>
      <c r="AE111" s="101" t="n">
        <f aca="false">IF(IF(ISBLANK(D111),1,(TRIM(D111)="")),"",ROUND(4.184*D111+$AB111*0.1094,3))</f>
        <v>56.902</v>
      </c>
      <c r="AF111" s="85" t="n">
        <f aca="false">IF(IF(ISBLANK(E111),1,(TRIM(E111)="")),"",ROUND(4.184*E111+$AB111*0.1094,3))</f>
        <v>56.902</v>
      </c>
      <c r="AG111" s="101" t="n">
        <f aca="false">IF(IF(ISBLANK(F111),1,(TRIM(F111)="")),"",ROUND(4.184*F111+$AB111*0.1094,3))</f>
        <v>56.902</v>
      </c>
      <c r="AH111" s="85" t="n">
        <f aca="false">IF(IF(ISBLANK(G111),1,(TRIM(G111)="")),"",ROUND(4.184*G111+$AB111*0.1094,3))</f>
        <v>53.388</v>
      </c>
      <c r="AI111" s="101" t="n">
        <f aca="false">IF(IF(ISBLANK(H111),1,(TRIM(H111)="")),"",ROUND(4.184*H111+$AB111*0.1094,3))</f>
        <v>53.555</v>
      </c>
      <c r="AJ111" s="85" t="n">
        <f aca="false">IF(IF(ISBLANK(I111),1,(TRIM(I111)="")),"",ROUND(4.184*I111+$AB111*0.1094,3))</f>
        <v>53.388</v>
      </c>
      <c r="AK111" s="101" t="n">
        <f aca="false">IF(IF(ISBLANK(J111),1,(TRIM(J111)="")),"",ROUND(4.184*J111+$AB111*0.1094,3))</f>
        <v>53.388</v>
      </c>
      <c r="AL111" s="85" t="str">
        <f aca="false">IF(IF(ISBLANK(K111),1,(TRIM(K111)="")),"",ROUND(4.184*K111+$AB111*0.1094,3))</f>
        <v/>
      </c>
      <c r="AM111" s="101" t="n">
        <f aca="false">IF(IF(ISBLANK(L111),1,(TRIM(L111)="")),"",ROUND(4.184*L111+$AB111*0.1094,3))</f>
        <v>53.388</v>
      </c>
      <c r="AN111" s="85" t="n">
        <f aca="false">IF(IF(ISBLANK(M111),1,(TRIM(M111)="")),"",ROUND(4.184*M111+$AB111*0.1094,3))</f>
        <v>53.388</v>
      </c>
      <c r="AP111" s="38" t="s">
        <v>137</v>
      </c>
      <c r="AQ111" s="85" t="n">
        <f aca="false">IF(IF(ISBLANK(C111),1,(TRIM(C111)="")),"",ROUND(C111+($AB111*0.1094/4.184),3))</f>
        <v>13.6</v>
      </c>
      <c r="AR111" s="101" t="n">
        <f aca="false">IF(IF(ISBLANK(D111),1,(TRIM(D111)="")),"",ROUND(D111+($AB111*0.1094/4.184),3))</f>
        <v>13.6</v>
      </c>
      <c r="AS111" s="85" t="n">
        <f aca="false">IF(IF(ISBLANK(E111),1,(TRIM(E111)="")),"",ROUND(E111+($AB111*0.1094/4.184),3))</f>
        <v>13.6</v>
      </c>
      <c r="AT111" s="101" t="n">
        <f aca="false">IF(IF(ISBLANK(F111),1,(TRIM(F111)="")),"",ROUND(F111+($AB111*0.1094/4.184),3))</f>
        <v>13.6</v>
      </c>
      <c r="AU111" s="85" t="n">
        <f aca="false">IF(IF(ISBLANK(G111),1,(TRIM(G111)="")),"",ROUND(G111+($AB111*0.1094/4.184),3))</f>
        <v>12.76</v>
      </c>
      <c r="AV111" s="101" t="n">
        <f aca="false">IF(IF(ISBLANK(H111),1,(TRIM(H111)="")),"",ROUND(H111+($AB111*0.1094/4.184),3))</f>
        <v>12.8</v>
      </c>
      <c r="AW111" s="85" t="n">
        <f aca="false">IF(IF(ISBLANK(I111),1,(TRIM(I111)="")),"",ROUND(I111+($AB111*0.1094/4.184),3))</f>
        <v>12.76</v>
      </c>
      <c r="AX111" s="101" t="n">
        <f aca="false">IF(IF(ISBLANK(J111),1,(TRIM(J111)="")),"",ROUND(J111+($AB111*0.1094/4.184),3))</f>
        <v>12.76</v>
      </c>
      <c r="AY111" s="85" t="str">
        <f aca="false">IF(IF(ISBLANK(K111),1,(TRIM(K111)="")),"",ROUND(K111+($AB111*0.1094/4.184),3))</f>
        <v/>
      </c>
      <c r="AZ111" s="101" t="n">
        <f aca="false">IF(IF(ISBLANK(L111),1,(TRIM(L111)="")),"",ROUND(L111+($AB111*0.1094/4.184),3))</f>
        <v>12.76</v>
      </c>
      <c r="BA111" s="85" t="n">
        <f aca="false">IF(IF(ISBLANK(M111),1,(TRIM(M111)="")),"",ROUND(M111+($AB111*0.1094/4.184),3))</f>
        <v>12.76</v>
      </c>
    </row>
    <row r="112" customFormat="false" ht="12.75" hidden="false" customHeight="false" outlineLevel="0" collapsed="false">
      <c r="B112" s="31" t="s">
        <v>138</v>
      </c>
      <c r="C112" s="62" t="n">
        <v>6.6</v>
      </c>
      <c r="D112" s="63" t="n">
        <v>6.6</v>
      </c>
      <c r="E112" s="64" t="s">
        <v>470</v>
      </c>
      <c r="F112" s="63" t="n">
        <v>7.24</v>
      </c>
      <c r="G112" s="64" t="s">
        <v>471</v>
      </c>
      <c r="H112" s="65" t="s">
        <v>472</v>
      </c>
      <c r="I112" s="62" t="n">
        <v>7.32</v>
      </c>
      <c r="J112" s="102" t="n">
        <v>7.32</v>
      </c>
      <c r="K112" s="62" t="n">
        <v>7.325</v>
      </c>
      <c r="L112" s="65" t="s">
        <v>473</v>
      </c>
      <c r="M112" s="64" t="s">
        <v>474</v>
      </c>
      <c r="O112" s="31" t="s">
        <v>138</v>
      </c>
      <c r="P112" s="85" t="n">
        <f aca="false">IF(IF(ISBLANK(C112),1,(TRIM(C112)="")),"",ROUND(4.184*C112,3))</f>
        <v>27.614</v>
      </c>
      <c r="Q112" s="101" t="n">
        <f aca="false">IF(IF(ISBLANK(D112),1,(TRIM(D112)="")),"",ROUND(4.184*D112,3))</f>
        <v>27.614</v>
      </c>
      <c r="R112" s="85" t="n">
        <f aca="false">IF(IF(ISBLANK(E112),1,(TRIM(E112)="")),"",ROUND(4.184*E112,3))</f>
        <v>27.614</v>
      </c>
      <c r="S112" s="101" t="n">
        <f aca="false">IF(IF(ISBLANK(F112),1,(TRIM(F112)="")),"",ROUND(4.184*F112,3))</f>
        <v>30.292</v>
      </c>
      <c r="T112" s="85" t="n">
        <f aca="false">IF(IF(ISBLANK(G112),1,(TRIM(G112)="")),"",ROUND(4.184*G112,3))</f>
        <v>30.669</v>
      </c>
      <c r="U112" s="101" t="n">
        <f aca="false">IF(IF(ISBLANK(H112),1,(TRIM(H112)="")),"",ROUND(4.184*H112,3))</f>
        <v>30.543</v>
      </c>
      <c r="V112" s="85" t="n">
        <f aca="false">IF(IF(ISBLANK(I112),1,(TRIM(I112)="")),"",ROUND(4.184*I112,3))</f>
        <v>30.627</v>
      </c>
      <c r="W112" s="101" t="n">
        <f aca="false">IF(IF(ISBLANK(J112),1,(TRIM(J112)="")),"",ROUND(4.184*J112,3))</f>
        <v>30.627</v>
      </c>
      <c r="X112" s="85" t="n">
        <f aca="false">IF(IF(ISBLANK(K112),1,(TRIM(K112)="")),"",ROUND(4.184*K112,3))</f>
        <v>30.648</v>
      </c>
      <c r="Y112" s="101" t="n">
        <f aca="false">IF(IF(ISBLANK(L112),1,(TRIM(L112)="")),"",ROUND(4.184*L112,3))</f>
        <v>30.627</v>
      </c>
      <c r="Z112" s="85" t="n">
        <f aca="false">IF(IF(ISBLANK(M112),1,(TRIM(M112)="")),"",ROUND(4.184*M112,3))</f>
        <v>30.627</v>
      </c>
      <c r="AB112" s="34"/>
      <c r="AC112" s="31" t="s">
        <v>138</v>
      </c>
      <c r="AD112" s="85" t="n">
        <f aca="false">IF(IF(ISBLANK(C112),1,(TRIM(C112)="")),"",ROUND(4.184*C112+$AB112*0.1094,3))</f>
        <v>27.614</v>
      </c>
      <c r="AE112" s="101" t="n">
        <f aca="false">IF(IF(ISBLANK(D112),1,(TRIM(D112)="")),"",ROUND(4.184*D112+$AB112*0.1094,3))</f>
        <v>27.614</v>
      </c>
      <c r="AF112" s="85" t="n">
        <f aca="false">IF(IF(ISBLANK(E112),1,(TRIM(E112)="")),"",ROUND(4.184*E112+$AB112*0.1094,3))</f>
        <v>27.614</v>
      </c>
      <c r="AG112" s="101" t="n">
        <f aca="false">IF(IF(ISBLANK(F112),1,(TRIM(F112)="")),"",ROUND(4.184*F112+$AB112*0.1094,3))</f>
        <v>30.292</v>
      </c>
      <c r="AH112" s="85" t="n">
        <f aca="false">IF(IF(ISBLANK(G112),1,(TRIM(G112)="")),"",ROUND(4.184*G112+$AB112*0.1094,3))</f>
        <v>30.669</v>
      </c>
      <c r="AI112" s="101" t="n">
        <f aca="false">IF(IF(ISBLANK(H112),1,(TRIM(H112)="")),"",ROUND(4.184*H112+$AB112*0.1094,3))</f>
        <v>30.543</v>
      </c>
      <c r="AJ112" s="85" t="n">
        <f aca="false">IF(IF(ISBLANK(I112),1,(TRIM(I112)="")),"",ROUND(4.184*I112+$AB112*0.1094,3))</f>
        <v>30.627</v>
      </c>
      <c r="AK112" s="101" t="n">
        <f aca="false">IF(IF(ISBLANK(J112),1,(TRIM(J112)="")),"",ROUND(4.184*J112+$AB112*0.1094,3))</f>
        <v>30.627</v>
      </c>
      <c r="AL112" s="85" t="n">
        <f aca="false">IF(IF(ISBLANK(K112),1,(TRIM(K112)="")),"",ROUND(4.184*K112+$AB112*0.1094,3))</f>
        <v>30.648</v>
      </c>
      <c r="AM112" s="101" t="n">
        <f aca="false">IF(IF(ISBLANK(L112),1,(TRIM(L112)="")),"",ROUND(4.184*L112+$AB112*0.1094,3))</f>
        <v>30.627</v>
      </c>
      <c r="AN112" s="85" t="n">
        <f aca="false">IF(IF(ISBLANK(M112),1,(TRIM(M112)="")),"",ROUND(4.184*M112+$AB112*0.1094,3))</f>
        <v>30.627</v>
      </c>
      <c r="AP112" s="31" t="s">
        <v>138</v>
      </c>
      <c r="AQ112" s="85" t="n">
        <f aca="false">IF(IF(ISBLANK(C112),1,(TRIM(C112)="")),"",ROUND(C112+($AB112*0.1094/4.184),3))</f>
        <v>6.6</v>
      </c>
      <c r="AR112" s="101" t="n">
        <f aca="false">IF(IF(ISBLANK(D112),1,(TRIM(D112)="")),"",ROUND(D112+($AB112*0.1094/4.184),3))</f>
        <v>6.6</v>
      </c>
      <c r="AS112" s="85" t="n">
        <f aca="false">IF(IF(ISBLANK(E112),1,(TRIM(E112)="")),"",ROUND(E112+($AB112*0.1094/4.184),3))</f>
        <v>6.6</v>
      </c>
      <c r="AT112" s="101" t="n">
        <f aca="false">IF(IF(ISBLANK(F112),1,(TRIM(F112)="")),"",ROUND(F112+($AB112*0.1094/4.184),3))</f>
        <v>7.24</v>
      </c>
      <c r="AU112" s="85" t="n">
        <f aca="false">IF(IF(ISBLANK(G112),1,(TRIM(G112)="")),"",ROUND(G112+($AB112*0.1094/4.184),3))</f>
        <v>7.33</v>
      </c>
      <c r="AV112" s="101" t="n">
        <f aca="false">IF(IF(ISBLANK(H112),1,(TRIM(H112)="")),"",ROUND(H112+($AB112*0.1094/4.184),3))</f>
        <v>7.3</v>
      </c>
      <c r="AW112" s="85" t="n">
        <f aca="false">IF(IF(ISBLANK(I112),1,(TRIM(I112)="")),"",ROUND(I112+($AB112*0.1094/4.184),3))</f>
        <v>7.32</v>
      </c>
      <c r="AX112" s="101" t="n">
        <f aca="false">IF(IF(ISBLANK(J112),1,(TRIM(J112)="")),"",ROUND(J112+($AB112*0.1094/4.184),3))</f>
        <v>7.32</v>
      </c>
      <c r="AY112" s="85" t="n">
        <f aca="false">IF(IF(ISBLANK(K112),1,(TRIM(K112)="")),"",ROUND(K112+($AB112*0.1094/4.184),3))</f>
        <v>7.325</v>
      </c>
      <c r="AZ112" s="101" t="n">
        <f aca="false">IF(IF(ISBLANK(L112),1,(TRIM(L112)="")),"",ROUND(L112+($AB112*0.1094/4.184),3))</f>
        <v>7.32</v>
      </c>
      <c r="BA112" s="85" t="n">
        <f aca="false">IF(IF(ISBLANK(M112),1,(TRIM(M112)="")),"",ROUND(M112+($AB112*0.1094/4.184),3))</f>
        <v>7.32</v>
      </c>
    </row>
    <row r="113" customFormat="false" ht="12.75" hidden="false" customHeight="false" outlineLevel="0" collapsed="false">
      <c r="B113" s="31" t="s">
        <v>139</v>
      </c>
      <c r="C113" s="62" t="n">
        <v>14.6</v>
      </c>
      <c r="D113" s="63" t="n">
        <v>14.6</v>
      </c>
      <c r="E113" s="64" t="s">
        <v>475</v>
      </c>
      <c r="F113" s="63" t="n">
        <v>15.4</v>
      </c>
      <c r="G113" s="64" t="s">
        <v>476</v>
      </c>
      <c r="H113" s="63" t="n">
        <v>15.35</v>
      </c>
      <c r="I113" s="62"/>
      <c r="J113" s="102" t="n">
        <v>15.34</v>
      </c>
      <c r="K113" s="62"/>
      <c r="L113" s="65" t="s">
        <v>477</v>
      </c>
      <c r="M113" s="64" t="s">
        <v>478</v>
      </c>
      <c r="O113" s="31" t="s">
        <v>139</v>
      </c>
      <c r="P113" s="85" t="n">
        <f aca="false">IF(IF(ISBLANK(C113),1,(TRIM(C113)="")),"",ROUND(4.184*C113,3))</f>
        <v>61.086</v>
      </c>
      <c r="Q113" s="101" t="n">
        <f aca="false">IF(IF(ISBLANK(D113),1,(TRIM(D113)="")),"",ROUND(4.184*D113,3))</f>
        <v>61.086</v>
      </c>
      <c r="R113" s="85" t="n">
        <f aca="false">IF(IF(ISBLANK(E113),1,(TRIM(E113)="")),"",ROUND(4.184*E113,3))</f>
        <v>64.852</v>
      </c>
      <c r="S113" s="101" t="n">
        <f aca="false">IF(IF(ISBLANK(F113),1,(TRIM(F113)="")),"",ROUND(4.184*F113,3))</f>
        <v>64.434</v>
      </c>
      <c r="T113" s="85" t="n">
        <f aca="false">IF(IF(ISBLANK(G113),1,(TRIM(G113)="")),"",ROUND(4.184*G113,3))</f>
        <v>64.224</v>
      </c>
      <c r="U113" s="101" t="n">
        <f aca="false">IF(IF(ISBLANK(H113),1,(TRIM(H113)="")),"",ROUND(4.184*H113,3))</f>
        <v>64.224</v>
      </c>
      <c r="V113" s="85" t="str">
        <f aca="false">IF(IF(ISBLANK(I113),1,(TRIM(I113)="")),"",ROUND(4.184*I113,3))</f>
        <v/>
      </c>
      <c r="W113" s="101" t="n">
        <f aca="false">IF(IF(ISBLANK(J113),1,(TRIM(J113)="")),"",ROUND(4.184*J113,3))</f>
        <v>64.183</v>
      </c>
      <c r="X113" s="85" t="str">
        <f aca="false">IF(IF(ISBLANK(K113),1,(TRIM(K113)="")),"",ROUND(4.184*K113,3))</f>
        <v/>
      </c>
      <c r="Y113" s="101" t="n">
        <f aca="false">IF(IF(ISBLANK(L113),1,(TRIM(L113)="")),"",ROUND(4.184*L113,3))</f>
        <v>64.183</v>
      </c>
      <c r="Z113" s="85" t="n">
        <f aca="false">IF(IF(ISBLANK(M113),1,(TRIM(M113)="")),"",ROUND(4.184*M113,3))</f>
        <v>64.183</v>
      </c>
      <c r="AB113" s="34"/>
      <c r="AC113" s="31" t="s">
        <v>139</v>
      </c>
      <c r="AD113" s="85" t="n">
        <f aca="false">IF(IF(ISBLANK(C113),1,(TRIM(C113)="")),"",ROUND(4.184*C113+$AB113*0.1094,3))</f>
        <v>61.086</v>
      </c>
      <c r="AE113" s="101" t="n">
        <f aca="false">IF(IF(ISBLANK(D113),1,(TRIM(D113)="")),"",ROUND(4.184*D113+$AB113*0.1094,3))</f>
        <v>61.086</v>
      </c>
      <c r="AF113" s="85" t="n">
        <f aca="false">IF(IF(ISBLANK(E113),1,(TRIM(E113)="")),"",ROUND(4.184*E113+$AB113*0.1094,3))</f>
        <v>64.852</v>
      </c>
      <c r="AG113" s="101" t="n">
        <f aca="false">IF(IF(ISBLANK(F113),1,(TRIM(F113)="")),"",ROUND(4.184*F113+$AB113*0.1094,3))</f>
        <v>64.434</v>
      </c>
      <c r="AH113" s="85" t="n">
        <f aca="false">IF(IF(ISBLANK(G113),1,(TRIM(G113)="")),"",ROUND(4.184*G113+$AB113*0.1094,3))</f>
        <v>64.224</v>
      </c>
      <c r="AI113" s="101" t="n">
        <f aca="false">IF(IF(ISBLANK(H113),1,(TRIM(H113)="")),"",ROUND(4.184*H113+$AB113*0.1094,3))</f>
        <v>64.224</v>
      </c>
      <c r="AJ113" s="85" t="str">
        <f aca="false">IF(IF(ISBLANK(I113),1,(TRIM(I113)="")),"",ROUND(4.184*I113+$AB113*0.1094,3))</f>
        <v/>
      </c>
      <c r="AK113" s="101" t="n">
        <f aca="false">IF(IF(ISBLANK(J113),1,(TRIM(J113)="")),"",ROUND(4.184*J113+$AB113*0.1094,3))</f>
        <v>64.183</v>
      </c>
      <c r="AL113" s="85" t="str">
        <f aca="false">IF(IF(ISBLANK(K113),1,(TRIM(K113)="")),"",ROUND(4.184*K113+$AB113*0.1094,3))</f>
        <v/>
      </c>
      <c r="AM113" s="101" t="n">
        <f aca="false">IF(IF(ISBLANK(L113),1,(TRIM(L113)="")),"",ROUND(4.184*L113+$AB113*0.1094,3))</f>
        <v>64.183</v>
      </c>
      <c r="AN113" s="85" t="n">
        <f aca="false">IF(IF(ISBLANK(M113),1,(TRIM(M113)="")),"",ROUND(4.184*M113+$AB113*0.1094,3))</f>
        <v>64.183</v>
      </c>
      <c r="AP113" s="31" t="s">
        <v>139</v>
      </c>
      <c r="AQ113" s="85" t="n">
        <f aca="false">IF(IF(ISBLANK(C113),1,(TRIM(C113)="")),"",ROUND(C113+($AB113*0.1094/4.184),3))</f>
        <v>14.6</v>
      </c>
      <c r="AR113" s="101" t="n">
        <f aca="false">IF(IF(ISBLANK(D113),1,(TRIM(D113)="")),"",ROUND(D113+($AB113*0.1094/4.184),3))</f>
        <v>14.6</v>
      </c>
      <c r="AS113" s="85" t="n">
        <f aca="false">IF(IF(ISBLANK(E113),1,(TRIM(E113)="")),"",ROUND(E113+($AB113*0.1094/4.184),3))</f>
        <v>15.5</v>
      </c>
      <c r="AT113" s="101" t="n">
        <f aca="false">IF(IF(ISBLANK(F113),1,(TRIM(F113)="")),"",ROUND(F113+($AB113*0.1094/4.184),3))</f>
        <v>15.4</v>
      </c>
      <c r="AU113" s="85" t="n">
        <f aca="false">IF(IF(ISBLANK(G113),1,(TRIM(G113)="")),"",ROUND(G113+($AB113*0.1094/4.184),3))</f>
        <v>15.35</v>
      </c>
      <c r="AV113" s="101" t="n">
        <f aca="false">IF(IF(ISBLANK(H113),1,(TRIM(H113)="")),"",ROUND(H113+($AB113*0.1094/4.184),3))</f>
        <v>15.35</v>
      </c>
      <c r="AW113" s="85" t="str">
        <f aca="false">IF(IF(ISBLANK(I113),1,(TRIM(I113)="")),"",ROUND(I113+($AB113*0.1094/4.184),3))</f>
        <v/>
      </c>
      <c r="AX113" s="101" t="n">
        <f aca="false">IF(IF(ISBLANK(J113),1,(TRIM(J113)="")),"",ROUND(J113+($AB113*0.1094/4.184),3))</f>
        <v>15.34</v>
      </c>
      <c r="AY113" s="85" t="str">
        <f aca="false">IF(IF(ISBLANK(K113),1,(TRIM(K113)="")),"",ROUND(K113+($AB113*0.1094/4.184),3))</f>
        <v/>
      </c>
      <c r="AZ113" s="101" t="n">
        <f aca="false">IF(IF(ISBLANK(L113),1,(TRIM(L113)="")),"",ROUND(L113+($AB113*0.1094/4.184),3))</f>
        <v>15.34</v>
      </c>
      <c r="BA113" s="85" t="n">
        <f aca="false">IF(IF(ISBLANK(M113),1,(TRIM(M113)="")),"",ROUND(M113+($AB113*0.1094/4.184),3))</f>
        <v>15.34</v>
      </c>
    </row>
    <row r="114" customFormat="false" ht="12.75" hidden="false" customHeight="false" outlineLevel="0" collapsed="false">
      <c r="B114" s="31" t="s">
        <v>140</v>
      </c>
      <c r="C114" s="62"/>
      <c r="D114" s="63"/>
      <c r="E114" s="64"/>
      <c r="F114" s="63"/>
      <c r="G114" s="64" t="s">
        <v>479</v>
      </c>
      <c r="H114" s="63" t="n">
        <v>17.1</v>
      </c>
      <c r="I114" s="62"/>
      <c r="J114" s="102" t="n">
        <v>17.69</v>
      </c>
      <c r="K114" s="62"/>
      <c r="L114" s="65" t="s">
        <v>480</v>
      </c>
      <c r="M114" s="64" t="s">
        <v>481</v>
      </c>
      <c r="O114" s="31" t="s">
        <v>140</v>
      </c>
      <c r="P114" s="85" t="str">
        <f aca="false">IF(IF(ISBLANK(C114),1,(TRIM(C114)="")),"",ROUND(4.184*C114,3))</f>
        <v/>
      </c>
      <c r="Q114" s="101" t="str">
        <f aca="false">IF(IF(ISBLANK(D114),1,(TRIM(D114)="")),"",ROUND(4.184*D114,3))</f>
        <v/>
      </c>
      <c r="R114" s="85" t="str">
        <f aca="false">IF(IF(ISBLANK(E114),1,(TRIM(E114)="")),"",ROUND(4.184*E114,3))</f>
        <v/>
      </c>
      <c r="S114" s="101" t="str">
        <f aca="false">IF(IF(ISBLANK(F114),1,(TRIM(F114)="")),"",ROUND(4.184*F114,3))</f>
        <v/>
      </c>
      <c r="T114" s="85" t="n">
        <f aca="false">IF(IF(ISBLANK(G114),1,(TRIM(G114)="")),"",ROUND(4.184*G114,3))</f>
        <v>71.379</v>
      </c>
      <c r="U114" s="101" t="n">
        <f aca="false">IF(IF(ISBLANK(H114),1,(TRIM(H114)="")),"",ROUND(4.184*H114,3))</f>
        <v>71.546</v>
      </c>
      <c r="V114" s="85" t="str">
        <f aca="false">IF(IF(ISBLANK(I114),1,(TRIM(I114)="")),"",ROUND(4.184*I114,3))</f>
        <v/>
      </c>
      <c r="W114" s="101" t="n">
        <f aca="false">IF(IF(ISBLANK(J114),1,(TRIM(J114)="")),"",ROUND(4.184*J114,3))</f>
        <v>74.015</v>
      </c>
      <c r="X114" s="85" t="str">
        <f aca="false">IF(IF(ISBLANK(K114),1,(TRIM(K114)="")),"",ROUND(4.184*K114,3))</f>
        <v/>
      </c>
      <c r="Y114" s="101" t="n">
        <f aca="false">IF(IF(ISBLANK(L114),1,(TRIM(L114)="")),"",ROUND(4.184*L114,3))</f>
        <v>74.015</v>
      </c>
      <c r="Z114" s="85" t="n">
        <f aca="false">IF(IF(ISBLANK(M114),1,(TRIM(M114)="")),"",ROUND(4.184*M114,3))</f>
        <v>74.015</v>
      </c>
      <c r="AB114" s="34"/>
      <c r="AC114" s="31" t="s">
        <v>140</v>
      </c>
      <c r="AD114" s="85" t="str">
        <f aca="false">IF(IF(ISBLANK(C114),1,(TRIM(C114)="")),"",ROUND(4.184*C114+$AB114*0.1094,3))</f>
        <v/>
      </c>
      <c r="AE114" s="101" t="str">
        <f aca="false">IF(IF(ISBLANK(D114),1,(TRIM(D114)="")),"",ROUND(4.184*D114+$AB114*0.1094,3))</f>
        <v/>
      </c>
      <c r="AF114" s="85" t="str">
        <f aca="false">IF(IF(ISBLANK(E114),1,(TRIM(E114)="")),"",ROUND(4.184*E114+$AB114*0.1094,3))</f>
        <v/>
      </c>
      <c r="AG114" s="101" t="str">
        <f aca="false">IF(IF(ISBLANK(F114),1,(TRIM(F114)="")),"",ROUND(4.184*F114+$AB114*0.1094,3))</f>
        <v/>
      </c>
      <c r="AH114" s="85" t="n">
        <f aca="false">IF(IF(ISBLANK(G114),1,(TRIM(G114)="")),"",ROUND(4.184*G114+$AB114*0.1094,3))</f>
        <v>71.379</v>
      </c>
      <c r="AI114" s="101" t="n">
        <f aca="false">IF(IF(ISBLANK(H114),1,(TRIM(H114)="")),"",ROUND(4.184*H114+$AB114*0.1094,3))</f>
        <v>71.546</v>
      </c>
      <c r="AJ114" s="85" t="str">
        <f aca="false">IF(IF(ISBLANK(I114),1,(TRIM(I114)="")),"",ROUND(4.184*I114+$AB114*0.1094,3))</f>
        <v/>
      </c>
      <c r="AK114" s="101" t="n">
        <f aca="false">IF(IF(ISBLANK(J114),1,(TRIM(J114)="")),"",ROUND(4.184*J114+$AB114*0.1094,3))</f>
        <v>74.015</v>
      </c>
      <c r="AL114" s="85" t="str">
        <f aca="false">IF(IF(ISBLANK(K114),1,(TRIM(K114)="")),"",ROUND(4.184*K114+$AB114*0.1094,3))</f>
        <v/>
      </c>
      <c r="AM114" s="101" t="n">
        <f aca="false">IF(IF(ISBLANK(L114),1,(TRIM(L114)="")),"",ROUND(4.184*L114+$AB114*0.1094,3))</f>
        <v>74.015</v>
      </c>
      <c r="AN114" s="85" t="n">
        <f aca="false">IF(IF(ISBLANK(M114),1,(TRIM(M114)="")),"",ROUND(4.184*M114+$AB114*0.1094,3))</f>
        <v>74.015</v>
      </c>
      <c r="AP114" s="31" t="s">
        <v>140</v>
      </c>
      <c r="AQ114" s="85" t="str">
        <f aca="false">IF(IF(ISBLANK(C114),1,(TRIM(C114)="")),"",ROUND(C114+($AB114*0.1094/4.184),3))</f>
        <v/>
      </c>
      <c r="AR114" s="101" t="str">
        <f aca="false">IF(IF(ISBLANK(D114),1,(TRIM(D114)="")),"",ROUND(D114+($AB114*0.1094/4.184),3))</f>
        <v/>
      </c>
      <c r="AS114" s="85" t="str">
        <f aca="false">IF(IF(ISBLANK(E114),1,(TRIM(E114)="")),"",ROUND(E114+($AB114*0.1094/4.184),3))</f>
        <v/>
      </c>
      <c r="AT114" s="101" t="str">
        <f aca="false">IF(IF(ISBLANK(F114),1,(TRIM(F114)="")),"",ROUND(F114+($AB114*0.1094/4.184),3))</f>
        <v/>
      </c>
      <c r="AU114" s="85" t="n">
        <f aca="false">IF(IF(ISBLANK(G114),1,(TRIM(G114)="")),"",ROUND(G114+($AB114*0.1094/4.184),3))</f>
        <v>17.06</v>
      </c>
      <c r="AV114" s="101" t="n">
        <f aca="false">IF(IF(ISBLANK(H114),1,(TRIM(H114)="")),"",ROUND(H114+($AB114*0.1094/4.184),3))</f>
        <v>17.1</v>
      </c>
      <c r="AW114" s="85" t="str">
        <f aca="false">IF(IF(ISBLANK(I114),1,(TRIM(I114)="")),"",ROUND(I114+($AB114*0.1094/4.184),3))</f>
        <v/>
      </c>
      <c r="AX114" s="101" t="n">
        <f aca="false">IF(IF(ISBLANK(J114),1,(TRIM(J114)="")),"",ROUND(J114+($AB114*0.1094/4.184),3))</f>
        <v>17.69</v>
      </c>
      <c r="AY114" s="85" t="str">
        <f aca="false">IF(IF(ISBLANK(K114),1,(TRIM(K114)="")),"",ROUND(K114+($AB114*0.1094/4.184),3))</f>
        <v/>
      </c>
      <c r="AZ114" s="101" t="n">
        <f aca="false">IF(IF(ISBLANK(L114),1,(TRIM(L114)="")),"",ROUND(L114+($AB114*0.1094/4.184),3))</f>
        <v>17.69</v>
      </c>
      <c r="BA114" s="85" t="n">
        <f aca="false">IF(IF(ISBLANK(M114),1,(TRIM(M114)="")),"",ROUND(M114+($AB114*0.1094/4.184),3))</f>
        <v>17.69</v>
      </c>
    </row>
    <row r="115" customFormat="false" ht="12.75" hidden="false" customHeight="false" outlineLevel="0" collapsed="false">
      <c r="B115" s="31" t="s">
        <v>141</v>
      </c>
      <c r="C115" s="62" t="n">
        <v>11.1</v>
      </c>
      <c r="D115" s="63" t="n">
        <v>11.1</v>
      </c>
      <c r="E115" s="64" t="s">
        <v>482</v>
      </c>
      <c r="F115" s="63" t="n">
        <v>12.03</v>
      </c>
      <c r="G115" s="64" t="s">
        <v>483</v>
      </c>
      <c r="H115" s="63" t="n">
        <v>12.03</v>
      </c>
      <c r="I115" s="64" t="s">
        <v>484</v>
      </c>
      <c r="J115" s="103" t="s">
        <v>484</v>
      </c>
      <c r="K115" s="62"/>
      <c r="L115" s="65" t="s">
        <v>485</v>
      </c>
      <c r="M115" s="64" t="s">
        <v>486</v>
      </c>
      <c r="O115" s="31" t="s">
        <v>141</v>
      </c>
      <c r="P115" s="85" t="n">
        <f aca="false">IF(IF(ISBLANK(C115),1,(TRIM(C115)="")),"",ROUND(4.184*C115,3))</f>
        <v>46.442</v>
      </c>
      <c r="Q115" s="101" t="n">
        <f aca="false">IF(IF(ISBLANK(D115),1,(TRIM(D115)="")),"",ROUND(4.184*D115,3))</f>
        <v>46.442</v>
      </c>
      <c r="R115" s="85" t="n">
        <f aca="false">IF(IF(ISBLANK(E115),1,(TRIM(E115)="")),"",ROUND(4.184*E115,3))</f>
        <v>46.442</v>
      </c>
      <c r="S115" s="101" t="n">
        <f aca="false">IF(IF(ISBLANK(F115),1,(TRIM(F115)="")),"",ROUND(4.184*F115,3))</f>
        <v>50.334</v>
      </c>
      <c r="T115" s="85" t="n">
        <f aca="false">IF(IF(ISBLANK(G115),1,(TRIM(G115)="")),"",ROUND(4.184*G115,3))</f>
        <v>50.334</v>
      </c>
      <c r="U115" s="101" t="n">
        <f aca="false">IF(IF(ISBLANK(H115),1,(TRIM(H115)="")),"",ROUND(4.184*H115,3))</f>
        <v>50.334</v>
      </c>
      <c r="V115" s="85" t="n">
        <f aca="false">IF(IF(ISBLANK(I115),1,(TRIM(I115)="")),"",ROUND(4.184*I115,3))</f>
        <v>50.208</v>
      </c>
      <c r="W115" s="101" t="n">
        <f aca="false">IF(IF(ISBLANK(J115),1,(TRIM(J115)="")),"",ROUND(4.184*J115,3))</f>
        <v>50.208</v>
      </c>
      <c r="X115" s="85" t="str">
        <f aca="false">IF(IF(ISBLANK(K115),1,(TRIM(K115)="")),"",ROUND(4.184*K115,3))</f>
        <v/>
      </c>
      <c r="Y115" s="101" t="n">
        <f aca="false">IF(IF(ISBLANK(L115),1,(TRIM(L115)="")),"",ROUND(4.184*L115,3))</f>
        <v>50.292</v>
      </c>
      <c r="Z115" s="85" t="n">
        <f aca="false">IF(IF(ISBLANK(M115),1,(TRIM(M115)="")),"",ROUND(4.184*M115,3))</f>
        <v>50.208</v>
      </c>
      <c r="AB115" s="34"/>
      <c r="AC115" s="31" t="s">
        <v>141</v>
      </c>
      <c r="AD115" s="85" t="n">
        <f aca="false">IF(IF(ISBLANK(C115),1,(TRIM(C115)="")),"",ROUND(4.184*C115+$AB115*0.1094,3))</f>
        <v>46.442</v>
      </c>
      <c r="AE115" s="101" t="n">
        <f aca="false">IF(IF(ISBLANK(D115),1,(TRIM(D115)="")),"",ROUND(4.184*D115+$AB115*0.1094,3))</f>
        <v>46.442</v>
      </c>
      <c r="AF115" s="85" t="n">
        <f aca="false">IF(IF(ISBLANK(E115),1,(TRIM(E115)="")),"",ROUND(4.184*E115+$AB115*0.1094,3))</f>
        <v>46.442</v>
      </c>
      <c r="AG115" s="101" t="n">
        <f aca="false">IF(IF(ISBLANK(F115),1,(TRIM(F115)="")),"",ROUND(4.184*F115+$AB115*0.1094,3))</f>
        <v>50.334</v>
      </c>
      <c r="AH115" s="85" t="n">
        <f aca="false">IF(IF(ISBLANK(G115),1,(TRIM(G115)="")),"",ROUND(4.184*G115+$AB115*0.1094,3))</f>
        <v>50.334</v>
      </c>
      <c r="AI115" s="101" t="n">
        <f aca="false">IF(IF(ISBLANK(H115),1,(TRIM(H115)="")),"",ROUND(4.184*H115+$AB115*0.1094,3))</f>
        <v>50.334</v>
      </c>
      <c r="AJ115" s="85" t="n">
        <f aca="false">IF(IF(ISBLANK(I115),1,(TRIM(I115)="")),"",ROUND(4.184*I115+$AB115*0.1094,3))</f>
        <v>50.208</v>
      </c>
      <c r="AK115" s="101" t="n">
        <f aca="false">IF(IF(ISBLANK(J115),1,(TRIM(J115)="")),"",ROUND(4.184*J115+$AB115*0.1094,3))</f>
        <v>50.208</v>
      </c>
      <c r="AL115" s="85" t="str">
        <f aca="false">IF(IF(ISBLANK(K115),1,(TRIM(K115)="")),"",ROUND(4.184*K115+$AB115*0.1094,3))</f>
        <v/>
      </c>
      <c r="AM115" s="101" t="n">
        <f aca="false">IF(IF(ISBLANK(L115),1,(TRIM(L115)="")),"",ROUND(4.184*L115+$AB115*0.1094,3))</f>
        <v>50.292</v>
      </c>
      <c r="AN115" s="85" t="n">
        <f aca="false">IF(IF(ISBLANK(M115),1,(TRIM(M115)="")),"",ROUND(4.184*M115+$AB115*0.1094,3))</f>
        <v>50.208</v>
      </c>
      <c r="AP115" s="31" t="s">
        <v>141</v>
      </c>
      <c r="AQ115" s="85" t="n">
        <f aca="false">IF(IF(ISBLANK(C115),1,(TRIM(C115)="")),"",ROUND(C115+($AB115*0.1094/4.184),3))</f>
        <v>11.1</v>
      </c>
      <c r="AR115" s="101" t="n">
        <f aca="false">IF(IF(ISBLANK(D115),1,(TRIM(D115)="")),"",ROUND(D115+($AB115*0.1094/4.184),3))</f>
        <v>11.1</v>
      </c>
      <c r="AS115" s="85" t="n">
        <f aca="false">IF(IF(ISBLANK(E115),1,(TRIM(E115)="")),"",ROUND(E115+($AB115*0.1094/4.184),3))</f>
        <v>11.1</v>
      </c>
      <c r="AT115" s="101" t="n">
        <f aca="false">IF(IF(ISBLANK(F115),1,(TRIM(F115)="")),"",ROUND(F115+($AB115*0.1094/4.184),3))</f>
        <v>12.03</v>
      </c>
      <c r="AU115" s="85" t="n">
        <f aca="false">IF(IF(ISBLANK(G115),1,(TRIM(G115)="")),"",ROUND(G115+($AB115*0.1094/4.184),3))</f>
        <v>12.03</v>
      </c>
      <c r="AV115" s="101" t="n">
        <f aca="false">IF(IF(ISBLANK(H115),1,(TRIM(H115)="")),"",ROUND(H115+($AB115*0.1094/4.184),3))</f>
        <v>12.03</v>
      </c>
      <c r="AW115" s="85" t="n">
        <f aca="false">IF(IF(ISBLANK(I115),1,(TRIM(I115)="")),"",ROUND(I115+($AB115*0.1094/4.184),3))</f>
        <v>12</v>
      </c>
      <c r="AX115" s="101" t="n">
        <f aca="false">IF(IF(ISBLANK(J115),1,(TRIM(J115)="")),"",ROUND(J115+($AB115*0.1094/4.184),3))</f>
        <v>12</v>
      </c>
      <c r="AY115" s="85" t="str">
        <f aca="false">IF(IF(ISBLANK(K115),1,(TRIM(K115)="")),"",ROUND(K115+($AB115*0.1094/4.184),3))</f>
        <v/>
      </c>
      <c r="AZ115" s="101" t="n">
        <f aca="false">IF(IF(ISBLANK(L115),1,(TRIM(L115)="")),"",ROUND(L115+($AB115*0.1094/4.184),3))</f>
        <v>12.02</v>
      </c>
      <c r="BA115" s="85" t="n">
        <f aca="false">IF(IF(ISBLANK(M115),1,(TRIM(M115)="")),"",ROUND(M115+($AB115*0.1094/4.184),3))</f>
        <v>12</v>
      </c>
    </row>
    <row r="116" customFormat="false" ht="12.75" hidden="false" customHeight="false" outlineLevel="0" collapsed="false">
      <c r="B116" s="31" t="s">
        <v>142</v>
      </c>
      <c r="C116" s="62"/>
      <c r="D116" s="63"/>
      <c r="E116" s="64" t="s">
        <v>308</v>
      </c>
      <c r="F116" s="63" t="n">
        <v>7.05</v>
      </c>
      <c r="G116" s="64" t="s">
        <v>487</v>
      </c>
      <c r="H116" s="63" t="n">
        <v>7.02</v>
      </c>
      <c r="I116" s="62" t="n">
        <v>6.91</v>
      </c>
      <c r="J116" s="102" t="n">
        <v>6.91</v>
      </c>
      <c r="K116" s="62"/>
      <c r="L116" s="65" t="s">
        <v>488</v>
      </c>
      <c r="M116" s="62" t="n">
        <v>6.915</v>
      </c>
      <c r="O116" s="31" t="s">
        <v>142</v>
      </c>
      <c r="P116" s="85" t="str">
        <f aca="false">IF(IF(ISBLANK(C116),1,(TRIM(C116)="")),"",ROUND(4.184*C116,3))</f>
        <v/>
      </c>
      <c r="Q116" s="101" t="str">
        <f aca="false">IF(IF(ISBLANK(D116),1,(TRIM(D116)="")),"",ROUND(4.184*D116,3))</f>
        <v/>
      </c>
      <c r="R116" s="85" t="n">
        <f aca="false">IF(IF(ISBLANK(E116),1,(TRIM(E116)="")),"",ROUND(4.184*E116,3))</f>
        <v>27.196</v>
      </c>
      <c r="S116" s="101" t="n">
        <f aca="false">IF(IF(ISBLANK(F116),1,(TRIM(F116)="")),"",ROUND(4.184*F116,3))</f>
        <v>29.497</v>
      </c>
      <c r="T116" s="85" t="n">
        <f aca="false">IF(IF(ISBLANK(G116),1,(TRIM(G116)="")),"",ROUND(4.184*G116,3))</f>
        <v>29.33</v>
      </c>
      <c r="U116" s="101" t="n">
        <f aca="false">IF(IF(ISBLANK(H116),1,(TRIM(H116)="")),"",ROUND(4.184*H116,3))</f>
        <v>29.372</v>
      </c>
      <c r="V116" s="85" t="n">
        <f aca="false">IF(IF(ISBLANK(I116),1,(TRIM(I116)="")),"",ROUND(4.184*I116,3))</f>
        <v>28.911</v>
      </c>
      <c r="W116" s="101" t="n">
        <f aca="false">IF(IF(ISBLANK(J116),1,(TRIM(J116)="")),"",ROUND(4.184*J116,3))</f>
        <v>28.911</v>
      </c>
      <c r="X116" s="85" t="str">
        <f aca="false">IF(IF(ISBLANK(K116),1,(TRIM(K116)="")),"",ROUND(4.184*K116,3))</f>
        <v/>
      </c>
      <c r="Y116" s="101" t="n">
        <f aca="false">IF(IF(ISBLANK(L116),1,(TRIM(L116)="")),"",ROUND(4.184*L116,3))</f>
        <v>28.911</v>
      </c>
      <c r="Z116" s="85" t="n">
        <f aca="false">IF(IF(ISBLANK(M116),1,(TRIM(M116)="")),"",ROUND(4.184*M116,3))</f>
        <v>28.932</v>
      </c>
      <c r="AB116" s="34"/>
      <c r="AC116" s="31" t="s">
        <v>142</v>
      </c>
      <c r="AD116" s="85" t="str">
        <f aca="false">IF(IF(ISBLANK(C116),1,(TRIM(C116)="")),"",ROUND(4.184*C116+$AB116*0.1094,3))</f>
        <v/>
      </c>
      <c r="AE116" s="101" t="str">
        <f aca="false">IF(IF(ISBLANK(D116),1,(TRIM(D116)="")),"",ROUND(4.184*D116+$AB116*0.1094,3))</f>
        <v/>
      </c>
      <c r="AF116" s="85" t="n">
        <f aca="false">IF(IF(ISBLANK(E116),1,(TRIM(E116)="")),"",ROUND(4.184*E116+$AB116*0.1094,3))</f>
        <v>27.196</v>
      </c>
      <c r="AG116" s="101" t="n">
        <f aca="false">IF(IF(ISBLANK(F116),1,(TRIM(F116)="")),"",ROUND(4.184*F116+$AB116*0.1094,3))</f>
        <v>29.497</v>
      </c>
      <c r="AH116" s="85" t="n">
        <f aca="false">IF(IF(ISBLANK(G116),1,(TRIM(G116)="")),"",ROUND(4.184*G116+$AB116*0.1094,3))</f>
        <v>29.33</v>
      </c>
      <c r="AI116" s="101" t="n">
        <f aca="false">IF(IF(ISBLANK(H116),1,(TRIM(H116)="")),"",ROUND(4.184*H116+$AB116*0.1094,3))</f>
        <v>29.372</v>
      </c>
      <c r="AJ116" s="85" t="n">
        <f aca="false">IF(IF(ISBLANK(I116),1,(TRIM(I116)="")),"",ROUND(4.184*I116+$AB116*0.1094,3))</f>
        <v>28.911</v>
      </c>
      <c r="AK116" s="101" t="n">
        <f aca="false">IF(IF(ISBLANK(J116),1,(TRIM(J116)="")),"",ROUND(4.184*J116+$AB116*0.1094,3))</f>
        <v>28.911</v>
      </c>
      <c r="AL116" s="85" t="str">
        <f aca="false">IF(IF(ISBLANK(K116),1,(TRIM(K116)="")),"",ROUND(4.184*K116+$AB116*0.1094,3))</f>
        <v/>
      </c>
      <c r="AM116" s="101" t="n">
        <f aca="false">IF(IF(ISBLANK(L116),1,(TRIM(L116)="")),"",ROUND(4.184*L116+$AB116*0.1094,3))</f>
        <v>28.911</v>
      </c>
      <c r="AN116" s="85" t="n">
        <f aca="false">IF(IF(ISBLANK(M116),1,(TRIM(M116)="")),"",ROUND(4.184*M116+$AB116*0.1094,3))</f>
        <v>28.932</v>
      </c>
      <c r="AP116" s="31" t="s">
        <v>142</v>
      </c>
      <c r="AQ116" s="85" t="str">
        <f aca="false">IF(IF(ISBLANK(C116),1,(TRIM(C116)="")),"",ROUND(C116+($AB116*0.1094/4.184),3))</f>
        <v/>
      </c>
      <c r="AR116" s="101" t="str">
        <f aca="false">IF(IF(ISBLANK(D116),1,(TRIM(D116)="")),"",ROUND(D116+($AB116*0.1094/4.184),3))</f>
        <v/>
      </c>
      <c r="AS116" s="85" t="n">
        <f aca="false">IF(IF(ISBLANK(E116),1,(TRIM(E116)="")),"",ROUND(E116+($AB116*0.1094/4.184),3))</f>
        <v>6.5</v>
      </c>
      <c r="AT116" s="101" t="n">
        <f aca="false">IF(IF(ISBLANK(F116),1,(TRIM(F116)="")),"",ROUND(F116+($AB116*0.1094/4.184),3))</f>
        <v>7.05</v>
      </c>
      <c r="AU116" s="85" t="n">
        <f aca="false">IF(IF(ISBLANK(G116),1,(TRIM(G116)="")),"",ROUND(G116+($AB116*0.1094/4.184),3))</f>
        <v>7.01</v>
      </c>
      <c r="AV116" s="101" t="n">
        <f aca="false">IF(IF(ISBLANK(H116),1,(TRIM(H116)="")),"",ROUND(H116+($AB116*0.1094/4.184),3))</f>
        <v>7.02</v>
      </c>
      <c r="AW116" s="85" t="n">
        <f aca="false">IF(IF(ISBLANK(I116),1,(TRIM(I116)="")),"",ROUND(I116+($AB116*0.1094/4.184),3))</f>
        <v>6.91</v>
      </c>
      <c r="AX116" s="101" t="n">
        <f aca="false">IF(IF(ISBLANK(J116),1,(TRIM(J116)="")),"",ROUND(J116+($AB116*0.1094/4.184),3))</f>
        <v>6.91</v>
      </c>
      <c r="AY116" s="85" t="str">
        <f aca="false">IF(IF(ISBLANK(K116),1,(TRIM(K116)="")),"",ROUND(K116+($AB116*0.1094/4.184),3))</f>
        <v/>
      </c>
      <c r="AZ116" s="101" t="n">
        <f aca="false">IF(IF(ISBLANK(L116),1,(TRIM(L116)="")),"",ROUND(L116+($AB116*0.1094/4.184),3))</f>
        <v>6.91</v>
      </c>
      <c r="BA116" s="85" t="n">
        <f aca="false">IF(IF(ISBLANK(M116),1,(TRIM(M116)="")),"",ROUND(M116+($AB116*0.1094/4.184),3))</f>
        <v>6.915</v>
      </c>
    </row>
    <row r="117" customFormat="false" ht="12.75" hidden="false" customHeight="false" outlineLevel="0" collapsed="false">
      <c r="A117" s="87"/>
      <c r="B117" s="31" t="s">
        <v>143</v>
      </c>
      <c r="C117" s="62" t="n">
        <v>8.4</v>
      </c>
      <c r="D117" s="63" t="n">
        <v>8.4</v>
      </c>
      <c r="E117" s="64" t="s">
        <v>175</v>
      </c>
      <c r="F117" s="65" t="s">
        <v>175</v>
      </c>
      <c r="G117" s="64" t="s">
        <v>489</v>
      </c>
      <c r="H117" s="65" t="s">
        <v>394</v>
      </c>
      <c r="I117" s="64" t="s">
        <v>394</v>
      </c>
      <c r="J117" s="103" t="s">
        <v>394</v>
      </c>
      <c r="K117" s="62" t="n">
        <v>7.806</v>
      </c>
      <c r="L117" s="65" t="s">
        <v>394</v>
      </c>
      <c r="M117" s="64" t="s">
        <v>395</v>
      </c>
      <c r="N117" s="87"/>
      <c r="O117" s="31" t="s">
        <v>143</v>
      </c>
      <c r="P117" s="85" t="n">
        <f aca="false">IF(IF(ISBLANK(C117),1,(TRIM(C117)="")),"",ROUND(4.184*C117,3))</f>
        <v>35.146</v>
      </c>
      <c r="Q117" s="101" t="n">
        <f aca="false">IF(IF(ISBLANK(D117),1,(TRIM(D117)="")),"",ROUND(4.184*D117,3))</f>
        <v>35.146</v>
      </c>
      <c r="R117" s="85" t="n">
        <f aca="false">IF(IF(ISBLANK(E117),1,(TRIM(E117)="")),"",ROUND(4.184*E117,3))</f>
        <v>33.472</v>
      </c>
      <c r="S117" s="101" t="n">
        <f aca="false">IF(IF(ISBLANK(F117),1,(TRIM(F117)="")),"",ROUND(4.184*F117,3))</f>
        <v>33.472</v>
      </c>
      <c r="T117" s="85" t="n">
        <f aca="false">IF(IF(ISBLANK(G117),1,(TRIM(G117)="")),"",ROUND(4.184*G117,3))</f>
        <v>33.639</v>
      </c>
      <c r="U117" s="101" t="n">
        <f aca="false">IF(IF(ISBLANK(H117),1,(TRIM(H117)="")),"",ROUND(4.184*H117,3))</f>
        <v>32.635</v>
      </c>
      <c r="V117" s="85" t="n">
        <f aca="false">IF(IF(ISBLANK(I117),1,(TRIM(I117)="")),"",ROUND(4.184*I117,3))</f>
        <v>32.635</v>
      </c>
      <c r="W117" s="101" t="n">
        <f aca="false">IF(IF(ISBLANK(J117),1,(TRIM(J117)="")),"",ROUND(4.184*J117,3))</f>
        <v>32.635</v>
      </c>
      <c r="X117" s="85" t="n">
        <f aca="false">IF(IF(ISBLANK(K117),1,(TRIM(K117)="")),"",ROUND(4.184*K117,3))</f>
        <v>32.66</v>
      </c>
      <c r="Y117" s="101" t="n">
        <f aca="false">IF(IF(ISBLANK(L117),1,(TRIM(L117)="")),"",ROUND(4.184*L117,3))</f>
        <v>32.635</v>
      </c>
      <c r="Z117" s="85" t="n">
        <f aca="false">IF(IF(ISBLANK(M117),1,(TRIM(M117)="")),"",ROUND(4.184*M117,3))</f>
        <v>32.635</v>
      </c>
      <c r="AB117" s="34"/>
      <c r="AC117" s="31" t="s">
        <v>143</v>
      </c>
      <c r="AD117" s="85" t="n">
        <f aca="false">IF(IF(ISBLANK(C117),1,(TRIM(C117)="")),"",ROUND(4.184*C117+$AB117*0.1094,3))</f>
        <v>35.146</v>
      </c>
      <c r="AE117" s="101" t="n">
        <f aca="false">IF(IF(ISBLANK(D117),1,(TRIM(D117)="")),"",ROUND(4.184*D117+$AB117*0.1094,3))</f>
        <v>35.146</v>
      </c>
      <c r="AF117" s="85" t="n">
        <f aca="false">IF(IF(ISBLANK(E117),1,(TRIM(E117)="")),"",ROUND(4.184*E117+$AB117*0.1094,3))</f>
        <v>33.472</v>
      </c>
      <c r="AG117" s="101" t="n">
        <f aca="false">IF(IF(ISBLANK(F117),1,(TRIM(F117)="")),"",ROUND(4.184*F117+$AB117*0.1094,3))</f>
        <v>33.472</v>
      </c>
      <c r="AH117" s="85" t="n">
        <f aca="false">IF(IF(ISBLANK(G117),1,(TRIM(G117)="")),"",ROUND(4.184*G117+$AB117*0.1094,3))</f>
        <v>33.639</v>
      </c>
      <c r="AI117" s="101" t="n">
        <f aca="false">IF(IF(ISBLANK(H117),1,(TRIM(H117)="")),"",ROUND(4.184*H117+$AB117*0.1094,3))</f>
        <v>32.635</v>
      </c>
      <c r="AJ117" s="85" t="n">
        <f aca="false">IF(IF(ISBLANK(I117),1,(TRIM(I117)="")),"",ROUND(4.184*I117+$AB117*0.1094,3))</f>
        <v>32.635</v>
      </c>
      <c r="AK117" s="101" t="n">
        <f aca="false">IF(IF(ISBLANK(J117),1,(TRIM(J117)="")),"",ROUND(4.184*J117+$AB117*0.1094,3))</f>
        <v>32.635</v>
      </c>
      <c r="AL117" s="85" t="n">
        <f aca="false">IF(IF(ISBLANK(K117),1,(TRIM(K117)="")),"",ROUND(4.184*K117+$AB117*0.1094,3))</f>
        <v>32.66</v>
      </c>
      <c r="AM117" s="101" t="n">
        <f aca="false">IF(IF(ISBLANK(L117),1,(TRIM(L117)="")),"",ROUND(4.184*L117+$AB117*0.1094,3))</f>
        <v>32.635</v>
      </c>
      <c r="AN117" s="85" t="n">
        <f aca="false">IF(IF(ISBLANK(M117),1,(TRIM(M117)="")),"",ROUND(4.184*M117+$AB117*0.1094,3))</f>
        <v>32.635</v>
      </c>
      <c r="AP117" s="31" t="s">
        <v>143</v>
      </c>
      <c r="AQ117" s="85" t="n">
        <f aca="false">IF(IF(ISBLANK(C117),1,(TRIM(C117)="")),"",ROUND(C117+($AB117*0.1094/4.184),3))</f>
        <v>8.4</v>
      </c>
      <c r="AR117" s="101" t="n">
        <f aca="false">IF(IF(ISBLANK(D117),1,(TRIM(D117)="")),"",ROUND(D117+($AB117*0.1094/4.184),3))</f>
        <v>8.4</v>
      </c>
      <c r="AS117" s="85" t="n">
        <f aca="false">IF(IF(ISBLANK(E117),1,(TRIM(E117)="")),"",ROUND(E117+($AB117*0.1094/4.184),3))</f>
        <v>8</v>
      </c>
      <c r="AT117" s="101" t="n">
        <f aca="false">IF(IF(ISBLANK(F117),1,(TRIM(F117)="")),"",ROUND(F117+($AB117*0.1094/4.184),3))</f>
        <v>8</v>
      </c>
      <c r="AU117" s="85" t="n">
        <f aca="false">IF(IF(ISBLANK(G117),1,(TRIM(G117)="")),"",ROUND(G117+($AB117*0.1094/4.184),3))</f>
        <v>8.04</v>
      </c>
      <c r="AV117" s="101" t="n">
        <f aca="false">IF(IF(ISBLANK(H117),1,(TRIM(H117)="")),"",ROUND(H117+($AB117*0.1094/4.184),3))</f>
        <v>7.8</v>
      </c>
      <c r="AW117" s="85" t="n">
        <f aca="false">IF(IF(ISBLANK(I117),1,(TRIM(I117)="")),"",ROUND(I117+($AB117*0.1094/4.184),3))</f>
        <v>7.8</v>
      </c>
      <c r="AX117" s="101" t="n">
        <f aca="false">IF(IF(ISBLANK(J117),1,(TRIM(J117)="")),"",ROUND(J117+($AB117*0.1094/4.184),3))</f>
        <v>7.8</v>
      </c>
      <c r="AY117" s="85" t="n">
        <f aca="false">IF(IF(ISBLANK(K117),1,(TRIM(K117)="")),"",ROUND(K117+($AB117*0.1094/4.184),3))</f>
        <v>7.806</v>
      </c>
      <c r="AZ117" s="101" t="n">
        <f aca="false">IF(IF(ISBLANK(L117),1,(TRIM(L117)="")),"",ROUND(L117+($AB117*0.1094/4.184),3))</f>
        <v>7.8</v>
      </c>
      <c r="BA117" s="85" t="n">
        <f aca="false">IF(IF(ISBLANK(M117),1,(TRIM(M117)="")),"",ROUND(M117+($AB117*0.1094/4.184),3))</f>
        <v>7.8</v>
      </c>
    </row>
    <row r="118" customFormat="false" ht="12.75" hidden="false" customHeight="false" outlineLevel="0" collapsed="false">
      <c r="B118" s="31" t="s">
        <v>144</v>
      </c>
      <c r="C118" s="62"/>
      <c r="D118" s="63" t="n">
        <v>40.23</v>
      </c>
      <c r="E118" s="64" t="s">
        <v>490</v>
      </c>
      <c r="F118" s="63" t="n">
        <v>40.53</v>
      </c>
      <c r="G118" s="64" t="s">
        <v>491</v>
      </c>
      <c r="H118" s="63" t="n">
        <v>40.53</v>
      </c>
      <c r="I118" s="62"/>
      <c r="J118" s="103" t="s">
        <v>492</v>
      </c>
      <c r="K118" s="62"/>
      <c r="L118" s="65" t="s">
        <v>493</v>
      </c>
      <c r="M118" s="64" t="s">
        <v>494</v>
      </c>
      <c r="O118" s="31" t="s">
        <v>144</v>
      </c>
      <c r="P118" s="85" t="str">
        <f aca="false">IF(IF(ISBLANK(C118),1,(TRIM(C118)="")),"",ROUND(4.184*C118,3))</f>
        <v/>
      </c>
      <c r="Q118" s="101" t="n">
        <f aca="false">IF(IF(ISBLANK(D118),1,(TRIM(D118)="")),"",ROUND(4.184*D118,3))</f>
        <v>168.322</v>
      </c>
      <c r="R118" s="85" t="n">
        <f aca="false">IF(IF(ISBLANK(E118),1,(TRIM(E118)="")),"",ROUND(4.184*E118,3))</f>
        <v>169.494</v>
      </c>
      <c r="S118" s="101" t="n">
        <f aca="false">IF(IF(ISBLANK(F118),1,(TRIM(F118)="")),"",ROUND(4.184*F118,3))</f>
        <v>169.578</v>
      </c>
      <c r="T118" s="85" t="n">
        <f aca="false">IF(IF(ISBLANK(G118),1,(TRIM(G118)="")),"",ROUND(4.184*G118,3))</f>
        <v>169.578</v>
      </c>
      <c r="U118" s="101" t="n">
        <f aca="false">IF(IF(ISBLANK(H118),1,(TRIM(H118)="")),"",ROUND(4.184*H118,3))</f>
        <v>169.578</v>
      </c>
      <c r="V118" s="85" t="str">
        <f aca="false">IF(IF(ISBLANK(I118),1,(TRIM(I118)="")),"",ROUND(4.184*I118,3))</f>
        <v/>
      </c>
      <c r="W118" s="101" t="n">
        <f aca="false">IF(IF(ISBLANK(J118),1,(TRIM(J118)="")),"",ROUND(4.184*J118,3))</f>
        <v>169.573</v>
      </c>
      <c r="X118" s="85" t="str">
        <f aca="false">IF(IF(ISBLANK(K118),1,(TRIM(K118)="")),"",ROUND(4.184*K118,3))</f>
        <v/>
      </c>
      <c r="Y118" s="101" t="n">
        <f aca="false">IF(IF(ISBLANK(L118),1,(TRIM(L118)="")),"",ROUND(4.184*L118,3))</f>
        <v>169.531</v>
      </c>
      <c r="Z118" s="85" t="n">
        <f aca="false">IF(IF(ISBLANK(M118),1,(TRIM(M118)="")),"",ROUND(4.184*M118,3))</f>
        <v>169.578</v>
      </c>
      <c r="AB118" s="34" t="n">
        <v>1</v>
      </c>
      <c r="AC118" s="31" t="s">
        <v>144</v>
      </c>
      <c r="AD118" s="85" t="str">
        <f aca="false">IF(IF(ISBLANK(C118),1,(TRIM(C118)="")),"",ROUND(4.184*C118+$AB118*0.1094,3))</f>
        <v/>
      </c>
      <c r="AE118" s="101" t="n">
        <f aca="false">IF(IF(ISBLANK(D118),1,(TRIM(D118)="")),"",ROUND(4.184*D118+$AB118*0.1094,3))</f>
        <v>168.432</v>
      </c>
      <c r="AF118" s="85" t="n">
        <f aca="false">IF(IF(ISBLANK(E118),1,(TRIM(E118)="")),"",ROUND(4.184*E118+$AB118*0.1094,3))</f>
        <v>169.603</v>
      </c>
      <c r="AG118" s="101" t="n">
        <f aca="false">IF(IF(ISBLANK(F118),1,(TRIM(F118)="")),"",ROUND(4.184*F118+$AB118*0.1094,3))</f>
        <v>169.687</v>
      </c>
      <c r="AH118" s="85" t="n">
        <f aca="false">IF(IF(ISBLANK(G118),1,(TRIM(G118)="")),"",ROUND(4.184*G118+$AB118*0.1094,3))</f>
        <v>169.687</v>
      </c>
      <c r="AI118" s="101" t="n">
        <f aca="false">IF(IF(ISBLANK(H118),1,(TRIM(H118)="")),"",ROUND(4.184*H118+$AB118*0.1094,3))</f>
        <v>169.687</v>
      </c>
      <c r="AJ118" s="85" t="str">
        <f aca="false">IF(IF(ISBLANK(I118),1,(TRIM(I118)="")),"",ROUND(4.184*I118+$AB118*0.1094,3))</f>
        <v/>
      </c>
      <c r="AK118" s="101" t="n">
        <f aca="false">IF(IF(ISBLANK(J118),1,(TRIM(J118)="")),"",ROUND(4.184*J118+$AB118*0.1094,3))</f>
        <v>169.683</v>
      </c>
      <c r="AL118" s="85" t="str">
        <f aca="false">IF(IF(ISBLANK(K118),1,(TRIM(K118)="")),"",ROUND(4.184*K118+$AB118*0.1094,3))</f>
        <v/>
      </c>
      <c r="AM118" s="101" t="n">
        <f aca="false">IF(IF(ISBLANK(L118),1,(TRIM(L118)="")),"",ROUND(4.184*L118+$AB118*0.1094,3))</f>
        <v>169.641</v>
      </c>
      <c r="AN118" s="85" t="n">
        <f aca="false">IF(IF(ISBLANK(M118),1,(TRIM(M118)="")),"",ROUND(4.184*M118+$AB118*0.1094,3))</f>
        <v>169.687</v>
      </c>
      <c r="AP118" s="31" t="s">
        <v>144</v>
      </c>
      <c r="AQ118" s="85" t="str">
        <f aca="false">IF(IF(ISBLANK(C118),1,(TRIM(C118)="")),"",ROUND(C118+($AB118*0.1094/4.184),3))</f>
        <v/>
      </c>
      <c r="AR118" s="101" t="n">
        <f aca="false">IF(IF(ISBLANK(D118),1,(TRIM(D118)="")),"",ROUND(D118+($AB118*0.1094/4.184),3))</f>
        <v>40.256</v>
      </c>
      <c r="AS118" s="85" t="n">
        <f aca="false">IF(IF(ISBLANK(E118),1,(TRIM(E118)="")),"",ROUND(E118+($AB118*0.1094/4.184),3))</f>
        <v>40.536</v>
      </c>
      <c r="AT118" s="101" t="n">
        <f aca="false">IF(IF(ISBLANK(F118),1,(TRIM(F118)="")),"",ROUND(F118+($AB118*0.1094/4.184),3))</f>
        <v>40.556</v>
      </c>
      <c r="AU118" s="85" t="n">
        <f aca="false">IF(IF(ISBLANK(G118),1,(TRIM(G118)="")),"",ROUND(G118+($AB118*0.1094/4.184),3))</f>
        <v>40.556</v>
      </c>
      <c r="AV118" s="101" t="n">
        <f aca="false">IF(IF(ISBLANK(H118),1,(TRIM(H118)="")),"",ROUND(H118+($AB118*0.1094/4.184),3))</f>
        <v>40.556</v>
      </c>
      <c r="AW118" s="85" t="str">
        <f aca="false">IF(IF(ISBLANK(I118),1,(TRIM(I118)="")),"",ROUND(I118+($AB118*0.1094/4.184),3))</f>
        <v/>
      </c>
      <c r="AX118" s="101" t="n">
        <f aca="false">IF(IF(ISBLANK(J118),1,(TRIM(J118)="")),"",ROUND(J118+($AB118*0.1094/4.184),3))</f>
        <v>40.555</v>
      </c>
      <c r="AY118" s="85" t="str">
        <f aca="false">IF(IF(ISBLANK(K118),1,(TRIM(K118)="")),"",ROUND(K118+($AB118*0.1094/4.184),3))</f>
        <v/>
      </c>
      <c r="AZ118" s="101" t="n">
        <f aca="false">IF(IF(ISBLANK(L118),1,(TRIM(L118)="")),"",ROUND(L118+($AB118*0.1094/4.184),3))</f>
        <v>40.545</v>
      </c>
      <c r="BA118" s="85" t="n">
        <f aca="false">IF(IF(ISBLANK(M118),1,(TRIM(M118)="")),"",ROUND(M118+($AB118*0.1094/4.184),3))</f>
        <v>40.556</v>
      </c>
    </row>
    <row r="119" customFormat="false" ht="12.75" hidden="false" customHeight="false" outlineLevel="0" collapsed="false">
      <c r="B119" s="31" t="s">
        <v>145</v>
      </c>
      <c r="C119" s="62"/>
      <c r="D119" s="63"/>
      <c r="E119" s="64"/>
      <c r="F119" s="63"/>
      <c r="G119" s="64" t="s">
        <v>495</v>
      </c>
      <c r="H119" s="65" t="s">
        <v>169</v>
      </c>
      <c r="I119" s="62"/>
      <c r="J119" s="102" t="n">
        <v>10.62</v>
      </c>
      <c r="K119" s="62"/>
      <c r="L119" s="65" t="s">
        <v>496</v>
      </c>
      <c r="M119" s="64" t="s">
        <v>497</v>
      </c>
      <c r="O119" s="31" t="s">
        <v>145</v>
      </c>
      <c r="P119" s="85" t="str">
        <f aca="false">IF(IF(ISBLANK(C119),1,(TRIM(C119)="")),"",ROUND(4.184*C119,3))</f>
        <v/>
      </c>
      <c r="Q119" s="101" t="str">
        <f aca="false">IF(IF(ISBLANK(D119),1,(TRIM(D119)="")),"",ROUND(4.184*D119,3))</f>
        <v/>
      </c>
      <c r="R119" s="85" t="str">
        <f aca="false">IF(IF(ISBLANK(E119),1,(TRIM(E119)="")),"",ROUND(4.184*E119,3))</f>
        <v/>
      </c>
      <c r="S119" s="101" t="str">
        <f aca="false">IF(IF(ISBLANK(F119),1,(TRIM(F119)="")),"",ROUND(4.184*F119,3))</f>
        <v/>
      </c>
      <c r="T119" s="85" t="n">
        <f aca="false">IF(IF(ISBLANK(G119),1,(TRIM(G119)="")),"",ROUND(4.184*G119,3))</f>
        <v>46.024</v>
      </c>
      <c r="U119" s="101" t="n">
        <f aca="false">IF(IF(ISBLANK(H119),1,(TRIM(H119)="")),"",ROUND(4.184*H119,3))</f>
        <v>46.024</v>
      </c>
      <c r="V119" s="85" t="str">
        <f aca="false">IF(IF(ISBLANK(I119),1,(TRIM(I119)="")),"",ROUND(4.184*I119,3))</f>
        <v/>
      </c>
      <c r="W119" s="101" t="n">
        <f aca="false">IF(IF(ISBLANK(J119),1,(TRIM(J119)="")),"",ROUND(4.184*J119,3))</f>
        <v>44.434</v>
      </c>
      <c r="X119" s="85" t="str">
        <f aca="false">IF(IF(ISBLANK(K119),1,(TRIM(K119)="")),"",ROUND(4.184*K119,3))</f>
        <v/>
      </c>
      <c r="Y119" s="101" t="n">
        <f aca="false">IF(IF(ISBLANK(L119),1,(TRIM(L119)="")),"",ROUND(4.184*L119,3))</f>
        <v>44.434</v>
      </c>
      <c r="Z119" s="85" t="n">
        <f aca="false">IF(IF(ISBLANK(M119),1,(TRIM(M119)="")),"",ROUND(4.184*M119,3))</f>
        <v>44.434</v>
      </c>
      <c r="AB119" s="34"/>
      <c r="AC119" s="31" t="s">
        <v>145</v>
      </c>
      <c r="AD119" s="85" t="str">
        <f aca="false">IF(IF(ISBLANK(C119),1,(TRIM(C119)="")),"",ROUND(4.184*C119+$AB119*0.1094,3))</f>
        <v/>
      </c>
      <c r="AE119" s="101" t="str">
        <f aca="false">IF(IF(ISBLANK(D119),1,(TRIM(D119)="")),"",ROUND(4.184*D119+$AB119*0.1094,3))</f>
        <v/>
      </c>
      <c r="AF119" s="85" t="str">
        <f aca="false">IF(IF(ISBLANK(E119),1,(TRIM(E119)="")),"",ROUND(4.184*E119+$AB119*0.1094,3))</f>
        <v/>
      </c>
      <c r="AG119" s="101" t="str">
        <f aca="false">IF(IF(ISBLANK(F119),1,(TRIM(F119)="")),"",ROUND(4.184*F119+$AB119*0.1094,3))</f>
        <v/>
      </c>
      <c r="AH119" s="85" t="n">
        <f aca="false">IF(IF(ISBLANK(G119),1,(TRIM(G119)="")),"",ROUND(4.184*G119+$AB119*0.1094,3))</f>
        <v>46.024</v>
      </c>
      <c r="AI119" s="101" t="n">
        <f aca="false">IF(IF(ISBLANK(H119),1,(TRIM(H119)="")),"",ROUND(4.184*H119+$AB119*0.1094,3))</f>
        <v>46.024</v>
      </c>
      <c r="AJ119" s="85" t="str">
        <f aca="false">IF(IF(ISBLANK(I119),1,(TRIM(I119)="")),"",ROUND(4.184*I119+$AB119*0.1094,3))</f>
        <v/>
      </c>
      <c r="AK119" s="101" t="n">
        <f aca="false">IF(IF(ISBLANK(J119),1,(TRIM(J119)="")),"",ROUND(4.184*J119+$AB119*0.1094,3))</f>
        <v>44.434</v>
      </c>
      <c r="AL119" s="85" t="str">
        <f aca="false">IF(IF(ISBLANK(K119),1,(TRIM(K119)="")),"",ROUND(4.184*K119+$AB119*0.1094,3))</f>
        <v/>
      </c>
      <c r="AM119" s="101" t="n">
        <f aca="false">IF(IF(ISBLANK(L119),1,(TRIM(L119)="")),"",ROUND(4.184*L119+$AB119*0.1094,3))</f>
        <v>44.434</v>
      </c>
      <c r="AN119" s="85" t="n">
        <f aca="false">IF(IF(ISBLANK(M119),1,(TRIM(M119)="")),"",ROUND(4.184*M119+$AB119*0.1094,3))</f>
        <v>44.434</v>
      </c>
      <c r="AP119" s="31" t="s">
        <v>145</v>
      </c>
      <c r="AQ119" s="85" t="str">
        <f aca="false">IF(IF(ISBLANK(C119),1,(TRIM(C119)="")),"",ROUND(C119+($AB119*0.1094/4.184),3))</f>
        <v/>
      </c>
      <c r="AR119" s="101" t="str">
        <f aca="false">IF(IF(ISBLANK(D119),1,(TRIM(D119)="")),"",ROUND(D119+($AB119*0.1094/4.184),3))</f>
        <v/>
      </c>
      <c r="AS119" s="85" t="str">
        <f aca="false">IF(IF(ISBLANK(E119),1,(TRIM(E119)="")),"",ROUND(E119+($AB119*0.1094/4.184),3))</f>
        <v/>
      </c>
      <c r="AT119" s="101" t="str">
        <f aca="false">IF(IF(ISBLANK(F119),1,(TRIM(F119)="")),"",ROUND(F119+($AB119*0.1094/4.184),3))</f>
        <v/>
      </c>
      <c r="AU119" s="85" t="n">
        <f aca="false">IF(IF(ISBLANK(G119),1,(TRIM(G119)="")),"",ROUND(G119+($AB119*0.1094/4.184),3))</f>
        <v>11</v>
      </c>
      <c r="AV119" s="101" t="n">
        <f aca="false">IF(IF(ISBLANK(H119),1,(TRIM(H119)="")),"",ROUND(H119+($AB119*0.1094/4.184),3))</f>
        <v>11</v>
      </c>
      <c r="AW119" s="85" t="str">
        <f aca="false">IF(IF(ISBLANK(I119),1,(TRIM(I119)="")),"",ROUND(I119+($AB119*0.1094/4.184),3))</f>
        <v/>
      </c>
      <c r="AX119" s="101" t="n">
        <f aca="false">IF(IF(ISBLANK(J119),1,(TRIM(J119)="")),"",ROUND(J119+($AB119*0.1094/4.184),3))</f>
        <v>10.62</v>
      </c>
      <c r="AY119" s="85" t="str">
        <f aca="false">IF(IF(ISBLANK(K119),1,(TRIM(K119)="")),"",ROUND(K119+($AB119*0.1094/4.184),3))</f>
        <v/>
      </c>
      <c r="AZ119" s="101" t="n">
        <f aca="false">IF(IF(ISBLANK(L119),1,(TRIM(L119)="")),"",ROUND(L119+($AB119*0.1094/4.184),3))</f>
        <v>10.62</v>
      </c>
      <c r="BA119" s="85" t="n">
        <f aca="false">IF(IF(ISBLANK(M119),1,(TRIM(M119)="")),"",ROUND(M119+($AB119*0.1094/4.184),3))</f>
        <v>10.62</v>
      </c>
    </row>
    <row r="120" customFormat="false" ht="12.75" hidden="false" customHeight="false" outlineLevel="0" collapsed="false">
      <c r="B120" s="31" t="s">
        <v>146</v>
      </c>
      <c r="C120" s="64"/>
      <c r="D120" s="63"/>
      <c r="E120" s="64"/>
      <c r="F120" s="63"/>
      <c r="G120" s="64" t="s">
        <v>228</v>
      </c>
      <c r="H120" s="65" t="s">
        <v>229</v>
      </c>
      <c r="I120" s="62"/>
      <c r="J120" s="102" t="n">
        <v>14.31</v>
      </c>
      <c r="K120" s="62"/>
      <c r="L120" s="65" t="s">
        <v>498</v>
      </c>
      <c r="M120" s="64" t="s">
        <v>499</v>
      </c>
      <c r="O120" s="31" t="s">
        <v>146</v>
      </c>
      <c r="P120" s="85" t="str">
        <f aca="false">IF(IF(ISBLANK(C120),1,(TRIM(C120)="")),"",ROUND(4.184*C120,3))</f>
        <v/>
      </c>
      <c r="Q120" s="101" t="str">
        <f aca="false">IF(IF(ISBLANK(D120),1,(TRIM(D120)="")),"",ROUND(4.184*D120,3))</f>
        <v/>
      </c>
      <c r="R120" s="85" t="str">
        <f aca="false">IF(IF(ISBLANK(E120),1,(TRIM(E120)="")),"",ROUND(4.184*E120,3))</f>
        <v/>
      </c>
      <c r="S120" s="101" t="str">
        <f aca="false">IF(IF(ISBLANK(F120),1,(TRIM(F120)="")),"",ROUND(4.184*F120,3))</f>
        <v/>
      </c>
      <c r="T120" s="85" t="n">
        <f aca="false">IF(IF(ISBLANK(G120),1,(TRIM(G120)="")),"",ROUND(4.184*G120,3))</f>
        <v>62.76</v>
      </c>
      <c r="U120" s="101" t="n">
        <f aca="false">IF(IF(ISBLANK(H120),1,(TRIM(H120)="")),"",ROUND(4.184*H120,3))</f>
        <v>62.76</v>
      </c>
      <c r="V120" s="85" t="str">
        <f aca="false">IF(IF(ISBLANK(I120),1,(TRIM(I120)="")),"",ROUND(4.184*I120,3))</f>
        <v/>
      </c>
      <c r="W120" s="101" t="n">
        <f aca="false">IF(IF(ISBLANK(J120),1,(TRIM(J120)="")),"",ROUND(4.184*J120,3))</f>
        <v>59.873</v>
      </c>
      <c r="X120" s="85" t="str">
        <f aca="false">IF(IF(ISBLANK(K120),1,(TRIM(K120)="")),"",ROUND(4.184*K120,3))</f>
        <v/>
      </c>
      <c r="Y120" s="101" t="n">
        <f aca="false">IF(IF(ISBLANK(L120),1,(TRIM(L120)="")),"",ROUND(4.184*L120,3))</f>
        <v>59.831</v>
      </c>
      <c r="Z120" s="85" t="n">
        <f aca="false">IF(IF(ISBLANK(M120),1,(TRIM(M120)="")),"",ROUND(4.184*M120,3))</f>
        <v>59.831</v>
      </c>
      <c r="AB120" s="34"/>
      <c r="AC120" s="31" t="s">
        <v>146</v>
      </c>
      <c r="AD120" s="85" t="str">
        <f aca="false">IF(IF(ISBLANK(C120),1,(TRIM(C120)="")),"",ROUND(4.184*C120+$AB120*0.1094,3))</f>
        <v/>
      </c>
      <c r="AE120" s="101" t="str">
        <f aca="false">IF(IF(ISBLANK(D120),1,(TRIM(D120)="")),"",ROUND(4.184*D120+$AB120*0.1094,3))</f>
        <v/>
      </c>
      <c r="AF120" s="85" t="str">
        <f aca="false">IF(IF(ISBLANK(E120),1,(TRIM(E120)="")),"",ROUND(4.184*E120+$AB120*0.1094,3))</f>
        <v/>
      </c>
      <c r="AG120" s="101" t="str">
        <f aca="false">IF(IF(ISBLANK(F120),1,(TRIM(F120)="")),"",ROUND(4.184*F120+$AB120*0.1094,3))</f>
        <v/>
      </c>
      <c r="AH120" s="85" t="n">
        <f aca="false">IF(IF(ISBLANK(G120),1,(TRIM(G120)="")),"",ROUND(4.184*G120+$AB120*0.1094,3))</f>
        <v>62.76</v>
      </c>
      <c r="AI120" s="101" t="n">
        <f aca="false">IF(IF(ISBLANK(H120),1,(TRIM(H120)="")),"",ROUND(4.184*H120+$AB120*0.1094,3))</f>
        <v>62.76</v>
      </c>
      <c r="AJ120" s="85" t="str">
        <f aca="false">IF(IF(ISBLANK(I120),1,(TRIM(I120)="")),"",ROUND(4.184*I120+$AB120*0.1094,3))</f>
        <v/>
      </c>
      <c r="AK120" s="101" t="n">
        <f aca="false">IF(IF(ISBLANK(J120),1,(TRIM(J120)="")),"",ROUND(4.184*J120+$AB120*0.1094,3))</f>
        <v>59.873</v>
      </c>
      <c r="AL120" s="85" t="str">
        <f aca="false">IF(IF(ISBLANK(K120),1,(TRIM(K120)="")),"",ROUND(4.184*K120+$AB120*0.1094,3))</f>
        <v/>
      </c>
      <c r="AM120" s="101" t="n">
        <f aca="false">IF(IF(ISBLANK(L120),1,(TRIM(L120)="")),"",ROUND(4.184*L120+$AB120*0.1094,3))</f>
        <v>59.831</v>
      </c>
      <c r="AN120" s="85" t="n">
        <f aca="false">IF(IF(ISBLANK(M120),1,(TRIM(M120)="")),"",ROUND(4.184*M120+$AB120*0.1094,3))</f>
        <v>59.831</v>
      </c>
      <c r="AP120" s="31" t="s">
        <v>146</v>
      </c>
      <c r="AQ120" s="85" t="str">
        <f aca="false">IF(IF(ISBLANK(C120),1,(TRIM(C120)="")),"",ROUND(C120+($AB120*0.1094/4.184),3))</f>
        <v/>
      </c>
      <c r="AR120" s="101" t="str">
        <f aca="false">IF(IF(ISBLANK(D120),1,(TRIM(D120)="")),"",ROUND(D120+($AB120*0.1094/4.184),3))</f>
        <v/>
      </c>
      <c r="AS120" s="85" t="str">
        <f aca="false">IF(IF(ISBLANK(E120),1,(TRIM(E120)="")),"",ROUND(E120+($AB120*0.1094/4.184),3))</f>
        <v/>
      </c>
      <c r="AT120" s="101" t="str">
        <f aca="false">IF(IF(ISBLANK(F120),1,(TRIM(F120)="")),"",ROUND(F120+($AB120*0.1094/4.184),3))</f>
        <v/>
      </c>
      <c r="AU120" s="85" t="n">
        <f aca="false">IF(IF(ISBLANK(G120),1,(TRIM(G120)="")),"",ROUND(G120+($AB120*0.1094/4.184),3))</f>
        <v>15</v>
      </c>
      <c r="AV120" s="101" t="n">
        <f aca="false">IF(IF(ISBLANK(H120),1,(TRIM(H120)="")),"",ROUND(H120+($AB120*0.1094/4.184),3))</f>
        <v>15</v>
      </c>
      <c r="AW120" s="85" t="str">
        <f aca="false">IF(IF(ISBLANK(I120),1,(TRIM(I120)="")),"",ROUND(I120+($AB120*0.1094/4.184),3))</f>
        <v/>
      </c>
      <c r="AX120" s="101" t="n">
        <f aca="false">IF(IF(ISBLANK(J120),1,(TRIM(J120)="")),"",ROUND(J120+($AB120*0.1094/4.184),3))</f>
        <v>14.31</v>
      </c>
      <c r="AY120" s="85" t="str">
        <f aca="false">IF(IF(ISBLANK(K120),1,(TRIM(K120)="")),"",ROUND(K120+($AB120*0.1094/4.184),3))</f>
        <v/>
      </c>
      <c r="AZ120" s="101" t="n">
        <f aca="false">IF(IF(ISBLANK(L120),1,(TRIM(L120)="")),"",ROUND(L120+($AB120*0.1094/4.184),3))</f>
        <v>14.3</v>
      </c>
      <c r="BA120" s="85" t="n">
        <f aca="false">IF(IF(ISBLANK(M120),1,(TRIM(M120)="")),"",ROUND(M120+($AB120*0.1094/4.184),3))</f>
        <v>14.3</v>
      </c>
    </row>
    <row r="121" customFormat="false" ht="12.75" hidden="false" customHeight="false" outlineLevel="0" collapsed="false">
      <c r="B121" s="31" t="s">
        <v>147</v>
      </c>
      <c r="C121" s="62" t="n">
        <v>9.8</v>
      </c>
      <c r="D121" s="63" t="n">
        <v>9.83</v>
      </c>
      <c r="E121" s="64" t="s">
        <v>267</v>
      </c>
      <c r="F121" s="63" t="n">
        <v>9.95</v>
      </c>
      <c r="G121" s="64" t="s">
        <v>267</v>
      </c>
      <c r="H121" s="63" t="n">
        <v>9.95</v>
      </c>
      <c r="I121" s="62" t="n">
        <v>9.95</v>
      </c>
      <c r="J121" s="102" t="n">
        <v>9.95</v>
      </c>
      <c r="K121" s="62"/>
      <c r="L121" s="65" t="s">
        <v>267</v>
      </c>
      <c r="M121" s="64" t="s">
        <v>418</v>
      </c>
      <c r="O121" s="31" t="s">
        <v>147</v>
      </c>
      <c r="P121" s="85" t="n">
        <f aca="false">IF(IF(ISBLANK(C121),1,(TRIM(C121)="")),"",ROUND(4.184*C121,3))</f>
        <v>41.003</v>
      </c>
      <c r="Q121" s="101" t="n">
        <f aca="false">IF(IF(ISBLANK(D121),1,(TRIM(D121)="")),"",ROUND(4.184*D121,3))</f>
        <v>41.129</v>
      </c>
      <c r="R121" s="85" t="n">
        <f aca="false">IF(IF(ISBLANK(E121),1,(TRIM(E121)="")),"",ROUND(4.184*E121,3))</f>
        <v>41.631</v>
      </c>
      <c r="S121" s="101" t="n">
        <f aca="false">IF(IF(ISBLANK(F121),1,(TRIM(F121)="")),"",ROUND(4.184*F121,3))</f>
        <v>41.631</v>
      </c>
      <c r="T121" s="85" t="n">
        <f aca="false">IF(IF(ISBLANK(G121),1,(TRIM(G121)="")),"",ROUND(4.184*G121,3))</f>
        <v>41.631</v>
      </c>
      <c r="U121" s="101" t="n">
        <f aca="false">IF(IF(ISBLANK(H121),1,(TRIM(H121)="")),"",ROUND(4.184*H121,3))</f>
        <v>41.631</v>
      </c>
      <c r="V121" s="85" t="n">
        <f aca="false">IF(IF(ISBLANK(I121),1,(TRIM(I121)="")),"",ROUND(4.184*I121,3))</f>
        <v>41.631</v>
      </c>
      <c r="W121" s="101" t="n">
        <f aca="false">IF(IF(ISBLANK(J121),1,(TRIM(J121)="")),"",ROUND(4.184*J121,3))</f>
        <v>41.631</v>
      </c>
      <c r="X121" s="85" t="str">
        <f aca="false">IF(IF(ISBLANK(K121),1,(TRIM(K121)="")),"",ROUND(4.184*K121,3))</f>
        <v/>
      </c>
      <c r="Y121" s="101" t="n">
        <f aca="false">IF(IF(ISBLANK(L121),1,(TRIM(L121)="")),"",ROUND(4.184*L121,3))</f>
        <v>41.631</v>
      </c>
      <c r="Z121" s="85" t="n">
        <f aca="false">IF(IF(ISBLANK(M121),1,(TRIM(M121)="")),"",ROUND(4.184*M121,3))</f>
        <v>41.631</v>
      </c>
      <c r="AB121" s="34"/>
      <c r="AC121" s="31" t="s">
        <v>147</v>
      </c>
      <c r="AD121" s="85" t="n">
        <f aca="false">IF(IF(ISBLANK(C121),1,(TRIM(C121)="")),"",ROUND(4.184*C121+$AB121*0.1094,3))</f>
        <v>41.003</v>
      </c>
      <c r="AE121" s="101" t="n">
        <f aca="false">IF(IF(ISBLANK(D121),1,(TRIM(D121)="")),"",ROUND(4.184*D121+$AB121*0.1094,3))</f>
        <v>41.129</v>
      </c>
      <c r="AF121" s="85" t="n">
        <f aca="false">IF(IF(ISBLANK(E121),1,(TRIM(E121)="")),"",ROUND(4.184*E121+$AB121*0.1094,3))</f>
        <v>41.631</v>
      </c>
      <c r="AG121" s="101" t="n">
        <f aca="false">IF(IF(ISBLANK(F121),1,(TRIM(F121)="")),"",ROUND(4.184*F121+$AB121*0.1094,3))</f>
        <v>41.631</v>
      </c>
      <c r="AH121" s="85" t="n">
        <f aca="false">IF(IF(ISBLANK(G121),1,(TRIM(G121)="")),"",ROUND(4.184*G121+$AB121*0.1094,3))</f>
        <v>41.631</v>
      </c>
      <c r="AI121" s="101" t="n">
        <f aca="false">IF(IF(ISBLANK(H121),1,(TRIM(H121)="")),"",ROUND(4.184*H121+$AB121*0.1094,3))</f>
        <v>41.631</v>
      </c>
      <c r="AJ121" s="85" t="n">
        <f aca="false">IF(IF(ISBLANK(I121),1,(TRIM(I121)="")),"",ROUND(4.184*I121+$AB121*0.1094,3))</f>
        <v>41.631</v>
      </c>
      <c r="AK121" s="101" t="n">
        <f aca="false">IF(IF(ISBLANK(J121),1,(TRIM(J121)="")),"",ROUND(4.184*J121+$AB121*0.1094,3))</f>
        <v>41.631</v>
      </c>
      <c r="AL121" s="85" t="str">
        <f aca="false">IF(IF(ISBLANK(K121),1,(TRIM(K121)="")),"",ROUND(4.184*K121+$AB121*0.1094,3))</f>
        <v/>
      </c>
      <c r="AM121" s="101" t="n">
        <f aca="false">IF(IF(ISBLANK(L121),1,(TRIM(L121)="")),"",ROUND(4.184*L121+$AB121*0.1094,3))</f>
        <v>41.631</v>
      </c>
      <c r="AN121" s="85" t="n">
        <f aca="false">IF(IF(ISBLANK(M121),1,(TRIM(M121)="")),"",ROUND(4.184*M121+$AB121*0.1094,3))</f>
        <v>41.631</v>
      </c>
      <c r="AP121" s="31" t="s">
        <v>147</v>
      </c>
      <c r="AQ121" s="85" t="n">
        <f aca="false">IF(IF(ISBLANK(C121),1,(TRIM(C121)="")),"",ROUND(C121+($AB121*0.1094/4.184),3))</f>
        <v>9.8</v>
      </c>
      <c r="AR121" s="101" t="n">
        <f aca="false">IF(IF(ISBLANK(D121),1,(TRIM(D121)="")),"",ROUND(D121+($AB121*0.1094/4.184),3))</f>
        <v>9.83</v>
      </c>
      <c r="AS121" s="85" t="n">
        <f aca="false">IF(IF(ISBLANK(E121),1,(TRIM(E121)="")),"",ROUND(E121+($AB121*0.1094/4.184),3))</f>
        <v>9.95</v>
      </c>
      <c r="AT121" s="101" t="n">
        <f aca="false">IF(IF(ISBLANK(F121),1,(TRIM(F121)="")),"",ROUND(F121+($AB121*0.1094/4.184),3))</f>
        <v>9.95</v>
      </c>
      <c r="AU121" s="85" t="n">
        <f aca="false">IF(IF(ISBLANK(G121),1,(TRIM(G121)="")),"",ROUND(G121+($AB121*0.1094/4.184),3))</f>
        <v>9.95</v>
      </c>
      <c r="AV121" s="101" t="n">
        <f aca="false">IF(IF(ISBLANK(H121),1,(TRIM(H121)="")),"",ROUND(H121+($AB121*0.1094/4.184),3))</f>
        <v>9.95</v>
      </c>
      <c r="AW121" s="85" t="n">
        <f aca="false">IF(IF(ISBLANK(I121),1,(TRIM(I121)="")),"",ROUND(I121+($AB121*0.1094/4.184),3))</f>
        <v>9.95</v>
      </c>
      <c r="AX121" s="101" t="n">
        <f aca="false">IF(IF(ISBLANK(J121),1,(TRIM(J121)="")),"",ROUND(J121+($AB121*0.1094/4.184),3))</f>
        <v>9.95</v>
      </c>
      <c r="AY121" s="85" t="str">
        <f aca="false">IF(IF(ISBLANK(K121),1,(TRIM(K121)="")),"",ROUND(K121+($AB121*0.1094/4.184),3))</f>
        <v/>
      </c>
      <c r="AZ121" s="101" t="n">
        <f aca="false">IF(IF(ISBLANK(L121),1,(TRIM(L121)="")),"",ROUND(L121+($AB121*0.1094/4.184),3))</f>
        <v>9.95</v>
      </c>
      <c r="BA121" s="85" t="n">
        <f aca="false">IF(IF(ISBLANK(M121),1,(TRIM(M121)="")),"",ROUND(M121+($AB121*0.1094/4.184),3))</f>
        <v>9.95</v>
      </c>
    </row>
    <row r="122" customFormat="false" ht="13.5" hidden="false" customHeight="false" outlineLevel="0" collapsed="false">
      <c r="B122" s="39" t="s">
        <v>148</v>
      </c>
      <c r="C122" s="67" t="n">
        <v>9.5</v>
      </c>
      <c r="D122" s="68" t="n">
        <v>9.5</v>
      </c>
      <c r="E122" s="92" t="s">
        <v>500</v>
      </c>
      <c r="F122" s="68" t="n">
        <v>9.18</v>
      </c>
      <c r="G122" s="92" t="s">
        <v>501</v>
      </c>
      <c r="H122" s="68" t="n">
        <v>9.32</v>
      </c>
      <c r="I122" s="67" t="n">
        <v>9.31</v>
      </c>
      <c r="J122" s="104" t="n">
        <v>9.32</v>
      </c>
      <c r="K122" s="67" t="n">
        <v>9.314</v>
      </c>
      <c r="L122" s="105" t="s">
        <v>502</v>
      </c>
      <c r="M122" s="92" t="s">
        <v>503</v>
      </c>
      <c r="O122" s="39" t="s">
        <v>148</v>
      </c>
      <c r="P122" s="85" t="n">
        <f aca="false">IF(IF(ISBLANK(C122),1,(TRIM(C122)="")),"",ROUND(4.184*C122,3))</f>
        <v>39.748</v>
      </c>
      <c r="Q122" s="101" t="n">
        <f aca="false">IF(IF(ISBLANK(D122),1,(TRIM(D122)="")),"",ROUND(4.184*D122,3))</f>
        <v>39.748</v>
      </c>
      <c r="R122" s="85" t="n">
        <f aca="false">IF(IF(ISBLANK(E122),1,(TRIM(E122)="")),"",ROUND(4.184*E122,3))</f>
        <v>39.748</v>
      </c>
      <c r="S122" s="101" t="n">
        <f aca="false">IF(IF(ISBLANK(F122),1,(TRIM(F122)="")),"",ROUND(4.184*F122,3))</f>
        <v>38.409</v>
      </c>
      <c r="T122" s="85" t="n">
        <f aca="false">IF(IF(ISBLANK(G122),1,(TRIM(G122)="")),"",ROUND(4.184*G122,3))</f>
        <v>38.869</v>
      </c>
      <c r="U122" s="101" t="n">
        <f aca="false">IF(IF(ISBLANK(H122),1,(TRIM(H122)="")),"",ROUND(4.184*H122,3))</f>
        <v>38.995</v>
      </c>
      <c r="V122" s="85" t="n">
        <f aca="false">IF(IF(ISBLANK(I122),1,(TRIM(I122)="")),"",ROUND(4.184*I122,3))</f>
        <v>38.953</v>
      </c>
      <c r="W122" s="101" t="n">
        <f aca="false">IF(IF(ISBLANK(J122),1,(TRIM(J122)="")),"",ROUND(4.184*J122,3))</f>
        <v>38.995</v>
      </c>
      <c r="X122" s="85" t="n">
        <f aca="false">IF(IF(ISBLANK(K122),1,(TRIM(K122)="")),"",ROUND(4.184*K122,3))</f>
        <v>38.97</v>
      </c>
      <c r="Y122" s="101" t="n">
        <f aca="false">IF(IF(ISBLANK(L122),1,(TRIM(L122)="")),"",ROUND(4.184*L122,3))</f>
        <v>38.995</v>
      </c>
      <c r="Z122" s="85" t="n">
        <f aca="false">IF(IF(ISBLANK(M122),1,(TRIM(M122)="")),"",ROUND(4.184*M122,3))</f>
        <v>38.995</v>
      </c>
      <c r="AB122" s="42"/>
      <c r="AC122" s="39" t="s">
        <v>148</v>
      </c>
      <c r="AD122" s="85" t="n">
        <f aca="false">IF(IF(ISBLANK(C122),1,(TRIM(C122)="")),"",ROUND(4.184*C122+$AB122*0.1094,3))</f>
        <v>39.748</v>
      </c>
      <c r="AE122" s="101" t="n">
        <f aca="false">IF(IF(ISBLANK(D122),1,(TRIM(D122)="")),"",ROUND(4.184*D122+$AB122*0.1094,3))</f>
        <v>39.748</v>
      </c>
      <c r="AF122" s="85" t="n">
        <f aca="false">IF(IF(ISBLANK(E122),1,(TRIM(E122)="")),"",ROUND(4.184*E122+$AB122*0.1094,3))</f>
        <v>39.748</v>
      </c>
      <c r="AG122" s="101" t="n">
        <f aca="false">IF(IF(ISBLANK(F122),1,(TRIM(F122)="")),"",ROUND(4.184*F122+$AB122*0.1094,3))</f>
        <v>38.409</v>
      </c>
      <c r="AH122" s="85" t="n">
        <f aca="false">IF(IF(ISBLANK(G122),1,(TRIM(G122)="")),"",ROUND(4.184*G122+$AB122*0.1094,3))</f>
        <v>38.869</v>
      </c>
      <c r="AI122" s="101" t="n">
        <f aca="false">IF(IF(ISBLANK(H122),1,(TRIM(H122)="")),"",ROUND(4.184*H122+$AB122*0.1094,3))</f>
        <v>38.995</v>
      </c>
      <c r="AJ122" s="85" t="n">
        <f aca="false">IF(IF(ISBLANK(I122),1,(TRIM(I122)="")),"",ROUND(4.184*I122+$AB122*0.1094,3))</f>
        <v>38.953</v>
      </c>
      <c r="AK122" s="101" t="n">
        <f aca="false">IF(IF(ISBLANK(J122),1,(TRIM(J122)="")),"",ROUND(4.184*J122+$AB122*0.1094,3))</f>
        <v>38.995</v>
      </c>
      <c r="AL122" s="85" t="n">
        <f aca="false">IF(IF(ISBLANK(K122),1,(TRIM(K122)="")),"",ROUND(4.184*K122+$AB122*0.1094,3))</f>
        <v>38.97</v>
      </c>
      <c r="AM122" s="101" t="n">
        <f aca="false">IF(IF(ISBLANK(L122),1,(TRIM(L122)="")),"",ROUND(4.184*L122+$AB122*0.1094,3))</f>
        <v>38.995</v>
      </c>
      <c r="AN122" s="85" t="n">
        <f aca="false">IF(IF(ISBLANK(M122),1,(TRIM(M122)="")),"",ROUND(4.184*M122+$AB122*0.1094,3))</f>
        <v>38.995</v>
      </c>
      <c r="AP122" s="39" t="s">
        <v>148</v>
      </c>
      <c r="AQ122" s="85" t="n">
        <f aca="false">IF(IF(ISBLANK(C122),1,(TRIM(C122)="")),"",ROUND(C122+($AB122*0.1094/4.184),3))</f>
        <v>9.5</v>
      </c>
      <c r="AR122" s="101" t="n">
        <f aca="false">IF(IF(ISBLANK(D122),1,(TRIM(D122)="")),"",ROUND(D122+($AB122*0.1094/4.184),3))</f>
        <v>9.5</v>
      </c>
      <c r="AS122" s="85" t="n">
        <f aca="false">IF(IF(ISBLANK(E122),1,(TRIM(E122)="")),"",ROUND(E122+($AB122*0.1094/4.184),3))</f>
        <v>9.5</v>
      </c>
      <c r="AT122" s="101" t="n">
        <f aca="false">IF(IF(ISBLANK(F122),1,(TRIM(F122)="")),"",ROUND(F122+($AB122*0.1094/4.184),3))</f>
        <v>9.18</v>
      </c>
      <c r="AU122" s="85" t="n">
        <f aca="false">IF(IF(ISBLANK(G122),1,(TRIM(G122)="")),"",ROUND(G122+($AB122*0.1094/4.184),3))</f>
        <v>9.29</v>
      </c>
      <c r="AV122" s="101" t="n">
        <f aca="false">IF(IF(ISBLANK(H122),1,(TRIM(H122)="")),"",ROUND(H122+($AB122*0.1094/4.184),3))</f>
        <v>9.32</v>
      </c>
      <c r="AW122" s="85" t="n">
        <f aca="false">IF(IF(ISBLANK(I122),1,(TRIM(I122)="")),"",ROUND(I122+($AB122*0.1094/4.184),3))</f>
        <v>9.31</v>
      </c>
      <c r="AX122" s="101" t="n">
        <f aca="false">IF(IF(ISBLANK(J122),1,(TRIM(J122)="")),"",ROUND(J122+($AB122*0.1094/4.184),3))</f>
        <v>9.32</v>
      </c>
      <c r="AY122" s="85" t="n">
        <f aca="false">IF(IF(ISBLANK(K122),1,(TRIM(K122)="")),"",ROUND(K122+($AB122*0.1094/4.184),3))</f>
        <v>9.314</v>
      </c>
      <c r="AZ122" s="101" t="n">
        <f aca="false">IF(IF(ISBLANK(L122),1,(TRIM(L122)="")),"",ROUND(L122+($AB122*0.1094/4.184),3))</f>
        <v>9.32</v>
      </c>
      <c r="BA122" s="85" t="n">
        <f aca="false">IF(IF(ISBLANK(M122),1,(TRIM(M122)="")),"",ROUND(M122+($AB122*0.1094/4.184),3))</f>
        <v>9.32</v>
      </c>
    </row>
    <row r="123" customFormat="false" ht="13.5" hidden="false" customHeight="false" outlineLevel="0" collapsed="false">
      <c r="B123" s="72" t="s">
        <v>185</v>
      </c>
      <c r="C123" s="70" t="n">
        <f aca="false">COUNTA(C20:C122)</f>
        <v>46</v>
      </c>
      <c r="D123" s="70" t="n">
        <f aca="false">COUNTA(D20:D122)</f>
        <v>50</v>
      </c>
      <c r="E123" s="70" t="n">
        <f aca="false">COUNTA(E20:E122)</f>
        <v>62</v>
      </c>
      <c r="F123" s="106" t="n">
        <f aca="false">COUNTA(F20:F122)</f>
        <v>73</v>
      </c>
      <c r="G123" s="70" t="n">
        <f aca="false">COUNTA(G20:G122)</f>
        <v>92</v>
      </c>
      <c r="H123" s="106" t="n">
        <f aca="false">COUNTA(H20:H122)</f>
        <v>92</v>
      </c>
      <c r="I123" s="70" t="n">
        <f aca="false">COUNTA(I20:I122)</f>
        <v>50</v>
      </c>
      <c r="J123" s="106" t="n">
        <f aca="false">COUNTA(J20:J122)</f>
        <v>88</v>
      </c>
      <c r="K123" s="70" t="n">
        <f aca="false">COUNTA(K20:K122)</f>
        <v>29</v>
      </c>
      <c r="L123" s="70" t="n">
        <f aca="false">COUNTA(L20:L122)</f>
        <v>85</v>
      </c>
      <c r="M123" s="107" t="n">
        <f aca="false">COUNTA(M20:M122)</f>
        <v>88</v>
      </c>
      <c r="O123" s="72" t="s">
        <v>185</v>
      </c>
      <c r="P123" s="70" t="n">
        <f aca="false">COUNT(P20:P122)</f>
        <v>46</v>
      </c>
      <c r="Q123" s="70" t="n">
        <f aca="false">COUNT(Q20:Q122)</f>
        <v>50</v>
      </c>
      <c r="R123" s="70" t="n">
        <f aca="false">COUNT(R20:R122)</f>
        <v>62</v>
      </c>
      <c r="S123" s="70" t="n">
        <f aca="false">COUNT(S20:S122)</f>
        <v>73</v>
      </c>
      <c r="T123" s="70" t="n">
        <f aca="false">COUNT(T20:T122)</f>
        <v>92</v>
      </c>
      <c r="U123" s="70" t="n">
        <f aca="false">COUNT(U20:U122)</f>
        <v>92</v>
      </c>
      <c r="V123" s="70" t="n">
        <f aca="false">COUNT(V20:V122)</f>
        <v>50</v>
      </c>
      <c r="W123" s="70" t="n">
        <f aca="false">COUNT(W20:W122)</f>
        <v>88</v>
      </c>
      <c r="X123" s="70" t="n">
        <f aca="false">COUNT(X20:X122)</f>
        <v>29</v>
      </c>
      <c r="Y123" s="70" t="n">
        <f aca="false">COUNT(Y20:Y122)</f>
        <v>85</v>
      </c>
      <c r="Z123" s="70" t="n">
        <f aca="false">COUNT(Z20:Z122)</f>
        <v>88</v>
      </c>
      <c r="AC123" s="72" t="s">
        <v>185</v>
      </c>
      <c r="AD123" s="70" t="n">
        <f aca="false">COUNT(AD20:AD122)</f>
        <v>46</v>
      </c>
      <c r="AE123" s="70" t="n">
        <f aca="false">COUNT(AE20:AE122)</f>
        <v>50</v>
      </c>
      <c r="AF123" s="70" t="n">
        <f aca="false">COUNT(AF20:AF122)</f>
        <v>62</v>
      </c>
      <c r="AG123" s="70" t="n">
        <f aca="false">COUNT(AG20:AG122)</f>
        <v>73</v>
      </c>
      <c r="AH123" s="70" t="n">
        <f aca="false">COUNT(AH20:AH122)</f>
        <v>92</v>
      </c>
      <c r="AI123" s="70" t="n">
        <f aca="false">COUNT(AI20:AI122)</f>
        <v>92</v>
      </c>
      <c r="AJ123" s="70" t="n">
        <f aca="false">COUNT(AJ20:AJ122)</f>
        <v>50</v>
      </c>
      <c r="AK123" s="70" t="n">
        <f aca="false">COUNT(AK20:AK122)</f>
        <v>88</v>
      </c>
      <c r="AL123" s="70" t="n">
        <f aca="false">COUNT(AL20:AL122)</f>
        <v>29</v>
      </c>
      <c r="AM123" s="70" t="n">
        <f aca="false">COUNT(AM20:AM122)</f>
        <v>85</v>
      </c>
      <c r="AN123" s="70" t="n">
        <f aca="false">COUNT(AN20:AN122)</f>
        <v>88</v>
      </c>
      <c r="AP123" s="72" t="s">
        <v>185</v>
      </c>
      <c r="AQ123" s="70" t="n">
        <f aca="false">COUNT(AQ20:AQ122)</f>
        <v>46</v>
      </c>
      <c r="AR123" s="70" t="n">
        <f aca="false">COUNT(AR20:AR122)</f>
        <v>50</v>
      </c>
      <c r="AS123" s="70" t="n">
        <f aca="false">COUNT(AS20:AS122)</f>
        <v>62</v>
      </c>
      <c r="AT123" s="70" t="n">
        <f aca="false">COUNT(AT20:AT122)</f>
        <v>73</v>
      </c>
      <c r="AU123" s="70" t="n">
        <f aca="false">COUNT(AU20:AU122)</f>
        <v>92</v>
      </c>
      <c r="AV123" s="70" t="n">
        <f aca="false">COUNT(AV20:AV122)</f>
        <v>92</v>
      </c>
      <c r="AW123" s="70" t="n">
        <f aca="false">COUNT(AW20:AW122)</f>
        <v>50</v>
      </c>
      <c r="AX123" s="70" t="n">
        <f aca="false">COUNT(AX20:AX122)</f>
        <v>88</v>
      </c>
      <c r="AY123" s="70" t="n">
        <f aca="false">COUNT(AY20:AY122)</f>
        <v>29</v>
      </c>
      <c r="AZ123" s="70" t="n">
        <f aca="false">COUNT(AZ20:AZ122)</f>
        <v>85</v>
      </c>
      <c r="BA123" s="70" t="n">
        <f aca="false">COUNT(BA20:BA122)</f>
        <v>88</v>
      </c>
    </row>
    <row r="124" customFormat="false" ht="12.75" hidden="false" customHeight="false" outlineLevel="0" collapsed="false">
      <c r="C124" s="73"/>
      <c r="P124" s="73"/>
      <c r="AD124" s="73"/>
      <c r="AQ124" s="73"/>
    </row>
    <row r="126" customFormat="false" ht="13.5" hidden="false" customHeight="false" outlineLevel="0" collapsed="false"/>
    <row r="127" customFormat="false" ht="13.5" hidden="false" customHeight="false" outlineLevel="0" collapsed="false">
      <c r="B127" s="48" t="s">
        <v>160</v>
      </c>
      <c r="C127" s="48" t="s">
        <v>161</v>
      </c>
      <c r="D127" s="48" t="s">
        <v>161</v>
      </c>
      <c r="E127" s="48" t="s">
        <v>207</v>
      </c>
      <c r="F127" s="95" t="s">
        <v>208</v>
      </c>
      <c r="G127" s="95" t="s">
        <v>209</v>
      </c>
      <c r="H127" s="48" t="s">
        <v>210</v>
      </c>
      <c r="I127" s="48" t="s">
        <v>211</v>
      </c>
      <c r="J127" s="48" t="s">
        <v>212</v>
      </c>
      <c r="K127" s="95" t="s">
        <v>213</v>
      </c>
      <c r="L127" s="48" t="s">
        <v>161</v>
      </c>
      <c r="M127" s="48" t="s">
        <v>214</v>
      </c>
      <c r="O127" s="48" t="s">
        <v>160</v>
      </c>
      <c r="P127" s="48" t="s">
        <v>161</v>
      </c>
      <c r="Q127" s="48" t="s">
        <v>161</v>
      </c>
      <c r="R127" s="48" t="s">
        <v>207</v>
      </c>
      <c r="S127" s="95" t="s">
        <v>208</v>
      </c>
      <c r="T127" s="95" t="s">
        <v>209</v>
      </c>
      <c r="U127" s="48" t="s">
        <v>210</v>
      </c>
      <c r="V127" s="48" t="s">
        <v>211</v>
      </c>
      <c r="W127" s="48" t="s">
        <v>212</v>
      </c>
      <c r="X127" s="95" t="s">
        <v>213</v>
      </c>
      <c r="Y127" s="48" t="s">
        <v>161</v>
      </c>
      <c r="Z127" s="48" t="s">
        <v>214</v>
      </c>
      <c r="AC127" s="48" t="s">
        <v>160</v>
      </c>
      <c r="AD127" s="48" t="s">
        <v>161</v>
      </c>
      <c r="AE127" s="48" t="s">
        <v>161</v>
      </c>
      <c r="AF127" s="48" t="s">
        <v>207</v>
      </c>
      <c r="AG127" s="95" t="s">
        <v>208</v>
      </c>
      <c r="AH127" s="95" t="s">
        <v>209</v>
      </c>
      <c r="AI127" s="48" t="s">
        <v>210</v>
      </c>
      <c r="AJ127" s="48" t="s">
        <v>211</v>
      </c>
      <c r="AK127" s="48" t="s">
        <v>212</v>
      </c>
      <c r="AL127" s="95" t="s">
        <v>213</v>
      </c>
      <c r="AM127" s="48" t="s">
        <v>161</v>
      </c>
      <c r="AN127" s="48" t="s">
        <v>214</v>
      </c>
      <c r="AP127" s="48" t="s">
        <v>160</v>
      </c>
      <c r="AQ127" s="48" t="s">
        <v>161</v>
      </c>
      <c r="AR127" s="48" t="s">
        <v>161</v>
      </c>
      <c r="AS127" s="48" t="s">
        <v>207</v>
      </c>
      <c r="AT127" s="95" t="s">
        <v>208</v>
      </c>
      <c r="AU127" s="48" t="s">
        <v>209</v>
      </c>
      <c r="AV127" s="48" t="s">
        <v>210</v>
      </c>
      <c r="AW127" s="48" t="s">
        <v>211</v>
      </c>
      <c r="AX127" s="48" t="s">
        <v>212</v>
      </c>
      <c r="AY127" s="95" t="s">
        <v>213</v>
      </c>
      <c r="AZ127" s="48" t="s">
        <v>161</v>
      </c>
      <c r="BA127" s="48" t="s">
        <v>214</v>
      </c>
    </row>
    <row r="128" customFormat="false" ht="12.75" hidden="false" customHeight="false" outlineLevel="0" collapsed="false">
      <c r="B128" s="11"/>
      <c r="C128" s="50" t="s">
        <v>162</v>
      </c>
      <c r="D128" s="51" t="s">
        <v>163</v>
      </c>
      <c r="E128" s="50"/>
      <c r="F128" s="51" t="s">
        <v>215</v>
      </c>
      <c r="G128" s="51" t="s">
        <v>216</v>
      </c>
      <c r="H128" s="51" t="s">
        <v>217</v>
      </c>
      <c r="I128" s="51" t="s">
        <v>218</v>
      </c>
      <c r="J128" s="96" t="s">
        <v>219</v>
      </c>
      <c r="K128" s="51" t="s">
        <v>216</v>
      </c>
      <c r="L128" s="51" t="s">
        <v>220</v>
      </c>
      <c r="M128" s="51"/>
      <c r="O128" s="11"/>
      <c r="P128" s="50" t="s">
        <v>162</v>
      </c>
      <c r="Q128" s="51" t="s">
        <v>163</v>
      </c>
      <c r="R128" s="50"/>
      <c r="S128" s="51" t="s">
        <v>215</v>
      </c>
      <c r="T128" s="51" t="s">
        <v>216</v>
      </c>
      <c r="U128" s="51" t="s">
        <v>217</v>
      </c>
      <c r="V128" s="51" t="s">
        <v>218</v>
      </c>
      <c r="W128" s="96" t="s">
        <v>219</v>
      </c>
      <c r="X128" s="51" t="s">
        <v>216</v>
      </c>
      <c r="Y128" s="51" t="s">
        <v>220</v>
      </c>
      <c r="Z128" s="51"/>
      <c r="AB128" s="14"/>
      <c r="AC128" s="11"/>
      <c r="AD128" s="50" t="s">
        <v>162</v>
      </c>
      <c r="AE128" s="51" t="s">
        <v>163</v>
      </c>
      <c r="AF128" s="50"/>
      <c r="AG128" s="51" t="s">
        <v>215</v>
      </c>
      <c r="AH128" s="51" t="s">
        <v>216</v>
      </c>
      <c r="AI128" s="51" t="s">
        <v>217</v>
      </c>
      <c r="AJ128" s="51" t="s">
        <v>218</v>
      </c>
      <c r="AK128" s="96" t="s">
        <v>219</v>
      </c>
      <c r="AL128" s="51" t="s">
        <v>216</v>
      </c>
      <c r="AM128" s="51" t="s">
        <v>220</v>
      </c>
      <c r="AN128" s="51"/>
      <c r="AP128" s="11"/>
      <c r="AQ128" s="50" t="s">
        <v>162</v>
      </c>
      <c r="AR128" s="51" t="s">
        <v>163</v>
      </c>
      <c r="AS128" s="50"/>
      <c r="AT128" s="51" t="s">
        <v>215</v>
      </c>
      <c r="AU128" s="51" t="s">
        <v>216</v>
      </c>
      <c r="AV128" s="51" t="s">
        <v>217</v>
      </c>
      <c r="AW128" s="51" t="s">
        <v>218</v>
      </c>
      <c r="AX128" s="96" t="s">
        <v>219</v>
      </c>
      <c r="AY128" s="51" t="s">
        <v>216</v>
      </c>
      <c r="AZ128" s="51" t="s">
        <v>220</v>
      </c>
      <c r="BA128" s="51"/>
    </row>
    <row r="129" customFormat="false" ht="12.75" hidden="false" customHeight="false" outlineLevel="0" collapsed="false">
      <c r="B129" s="16" t="s">
        <v>20</v>
      </c>
      <c r="C129" s="53" t="s">
        <v>164</v>
      </c>
      <c r="D129" s="54" t="s">
        <v>165</v>
      </c>
      <c r="E129" s="53" t="s">
        <v>217</v>
      </c>
      <c r="F129" s="54" t="s">
        <v>165</v>
      </c>
      <c r="G129" s="54" t="s">
        <v>221</v>
      </c>
      <c r="H129" s="54" t="s">
        <v>222</v>
      </c>
      <c r="I129" s="54" t="s">
        <v>223</v>
      </c>
      <c r="J129" s="52" t="s">
        <v>224</v>
      </c>
      <c r="K129" s="54" t="s">
        <v>225</v>
      </c>
      <c r="L129" s="54" t="s">
        <v>165</v>
      </c>
      <c r="M129" s="54" t="s">
        <v>226</v>
      </c>
      <c r="O129" s="16" t="s">
        <v>20</v>
      </c>
      <c r="P129" s="53" t="s">
        <v>164</v>
      </c>
      <c r="Q129" s="54" t="s">
        <v>165</v>
      </c>
      <c r="R129" s="53" t="s">
        <v>217</v>
      </c>
      <c r="S129" s="54" t="s">
        <v>165</v>
      </c>
      <c r="T129" s="54" t="s">
        <v>221</v>
      </c>
      <c r="U129" s="54" t="s">
        <v>222</v>
      </c>
      <c r="V129" s="54" t="s">
        <v>223</v>
      </c>
      <c r="W129" s="52" t="s">
        <v>224</v>
      </c>
      <c r="X129" s="54" t="s">
        <v>225</v>
      </c>
      <c r="Y129" s="54" t="s">
        <v>165</v>
      </c>
      <c r="Z129" s="54" t="s">
        <v>226</v>
      </c>
      <c r="AB129" s="19"/>
      <c r="AC129" s="16" t="s">
        <v>20</v>
      </c>
      <c r="AD129" s="53" t="s">
        <v>164</v>
      </c>
      <c r="AE129" s="54" t="s">
        <v>165</v>
      </c>
      <c r="AF129" s="53" t="s">
        <v>217</v>
      </c>
      <c r="AG129" s="54" t="s">
        <v>165</v>
      </c>
      <c r="AH129" s="54" t="s">
        <v>221</v>
      </c>
      <c r="AI129" s="54" t="s">
        <v>222</v>
      </c>
      <c r="AJ129" s="54" t="s">
        <v>223</v>
      </c>
      <c r="AK129" s="52" t="s">
        <v>224</v>
      </c>
      <c r="AL129" s="54" t="s">
        <v>225</v>
      </c>
      <c r="AM129" s="54" t="s">
        <v>165</v>
      </c>
      <c r="AN129" s="54" t="s">
        <v>226</v>
      </c>
      <c r="AP129" s="16" t="s">
        <v>20</v>
      </c>
      <c r="AQ129" s="53" t="s">
        <v>164</v>
      </c>
      <c r="AR129" s="54" t="s">
        <v>165</v>
      </c>
      <c r="AS129" s="53" t="s">
        <v>217</v>
      </c>
      <c r="AT129" s="54" t="s">
        <v>165</v>
      </c>
      <c r="AU129" s="54" t="s">
        <v>221</v>
      </c>
      <c r="AV129" s="54" t="s">
        <v>222</v>
      </c>
      <c r="AW129" s="54" t="s">
        <v>223</v>
      </c>
      <c r="AX129" s="52" t="s">
        <v>224</v>
      </c>
      <c r="AY129" s="54" t="s">
        <v>225</v>
      </c>
      <c r="AZ129" s="54" t="s">
        <v>165</v>
      </c>
      <c r="BA129" s="54" t="s">
        <v>226</v>
      </c>
    </row>
    <row r="130" customFormat="false" ht="12.75" hidden="false" customHeight="false" outlineLevel="0" collapsed="false">
      <c r="B130" s="16" t="s">
        <v>17</v>
      </c>
      <c r="C130" s="53" t="n">
        <v>1917</v>
      </c>
      <c r="D130" s="54" t="n">
        <v>1922</v>
      </c>
      <c r="E130" s="53" t="n">
        <v>1932</v>
      </c>
      <c r="F130" s="54" t="n">
        <v>1952</v>
      </c>
      <c r="G130" s="54" t="n">
        <v>1956</v>
      </c>
      <c r="H130" s="54" t="n">
        <v>1961</v>
      </c>
      <c r="I130" s="54" t="n">
        <v>1968</v>
      </c>
      <c r="J130" s="52" t="s">
        <v>227</v>
      </c>
      <c r="K130" s="54" t="n">
        <v>1971</v>
      </c>
      <c r="L130" s="54" t="n">
        <v>1973</v>
      </c>
      <c r="M130" s="54" t="n">
        <v>1982</v>
      </c>
      <c r="O130" s="16" t="s">
        <v>17</v>
      </c>
      <c r="P130" s="53" t="n">
        <v>1917</v>
      </c>
      <c r="Q130" s="54" t="n">
        <v>1922</v>
      </c>
      <c r="R130" s="53" t="n">
        <v>1932</v>
      </c>
      <c r="S130" s="54" t="n">
        <v>1952</v>
      </c>
      <c r="T130" s="54" t="n">
        <v>1956</v>
      </c>
      <c r="U130" s="54" t="n">
        <v>1961</v>
      </c>
      <c r="V130" s="54" t="n">
        <v>1968</v>
      </c>
      <c r="W130" s="52" t="s">
        <v>227</v>
      </c>
      <c r="X130" s="54" t="n">
        <v>1971</v>
      </c>
      <c r="Y130" s="54" t="n">
        <v>1973</v>
      </c>
      <c r="Z130" s="54" t="n">
        <v>1982</v>
      </c>
      <c r="AB130" s="19" t="s">
        <v>24</v>
      </c>
      <c r="AC130" s="16" t="s">
        <v>17</v>
      </c>
      <c r="AD130" s="53" t="n">
        <v>1917</v>
      </c>
      <c r="AE130" s="54" t="n">
        <v>1922</v>
      </c>
      <c r="AF130" s="53" t="n">
        <v>1932</v>
      </c>
      <c r="AG130" s="54" t="n">
        <v>1952</v>
      </c>
      <c r="AH130" s="54" t="n">
        <v>1956</v>
      </c>
      <c r="AI130" s="54" t="n">
        <v>1961</v>
      </c>
      <c r="AJ130" s="54" t="n">
        <v>1968</v>
      </c>
      <c r="AK130" s="52" t="s">
        <v>227</v>
      </c>
      <c r="AL130" s="54" t="n">
        <v>1971</v>
      </c>
      <c r="AM130" s="54" t="n">
        <v>1973</v>
      </c>
      <c r="AN130" s="54" t="n">
        <v>1982</v>
      </c>
      <c r="AP130" s="16" t="s">
        <v>17</v>
      </c>
      <c r="AQ130" s="53" t="n">
        <v>1917</v>
      </c>
      <c r="AR130" s="54" t="n">
        <v>1922</v>
      </c>
      <c r="AS130" s="53" t="n">
        <v>1932</v>
      </c>
      <c r="AT130" s="54" t="n">
        <v>1952</v>
      </c>
      <c r="AU130" s="54" t="n">
        <v>1956</v>
      </c>
      <c r="AV130" s="54" t="n">
        <v>1961</v>
      </c>
      <c r="AW130" s="54" t="n">
        <v>1968</v>
      </c>
      <c r="AX130" s="52" t="s">
        <v>227</v>
      </c>
      <c r="AY130" s="54" t="n">
        <v>1971</v>
      </c>
      <c r="AZ130" s="54" t="n">
        <v>1973</v>
      </c>
      <c r="BA130" s="54" t="n">
        <v>1982</v>
      </c>
    </row>
    <row r="131" customFormat="false" ht="15" hidden="false" customHeight="false" outlineLevel="0" collapsed="false">
      <c r="B131" s="21" t="s">
        <v>29</v>
      </c>
      <c r="C131" s="55" t="s">
        <v>166</v>
      </c>
      <c r="D131" s="55" t="s">
        <v>166</v>
      </c>
      <c r="E131" s="55" t="s">
        <v>166</v>
      </c>
      <c r="F131" s="55" t="s">
        <v>166</v>
      </c>
      <c r="G131" s="55" t="s">
        <v>166</v>
      </c>
      <c r="H131" s="55" t="s">
        <v>166</v>
      </c>
      <c r="I131" s="55" t="s">
        <v>166</v>
      </c>
      <c r="J131" s="55" t="s">
        <v>166</v>
      </c>
      <c r="K131" s="55" t="s">
        <v>166</v>
      </c>
      <c r="L131" s="55" t="s">
        <v>166</v>
      </c>
      <c r="M131" s="55" t="s">
        <v>166</v>
      </c>
      <c r="O131" s="21" t="s">
        <v>29</v>
      </c>
      <c r="P131" s="55" t="s">
        <v>167</v>
      </c>
      <c r="Q131" s="55" t="s">
        <v>167</v>
      </c>
      <c r="R131" s="55" t="s">
        <v>167</v>
      </c>
      <c r="S131" s="55" t="s">
        <v>167</v>
      </c>
      <c r="T131" s="55" t="s">
        <v>167</v>
      </c>
      <c r="U131" s="55" t="s">
        <v>167</v>
      </c>
      <c r="V131" s="55" t="s">
        <v>167</v>
      </c>
      <c r="W131" s="55" t="s">
        <v>167</v>
      </c>
      <c r="X131" s="55" t="s">
        <v>167</v>
      </c>
      <c r="Y131" s="55" t="s">
        <v>167</v>
      </c>
      <c r="Z131" s="55" t="s">
        <v>167</v>
      </c>
      <c r="AB131" s="24" t="s">
        <v>28</v>
      </c>
      <c r="AC131" s="21" t="s">
        <v>29</v>
      </c>
      <c r="AD131" s="55" t="s">
        <v>167</v>
      </c>
      <c r="AE131" s="55" t="s">
        <v>167</v>
      </c>
      <c r="AF131" s="55" t="s">
        <v>167</v>
      </c>
      <c r="AG131" s="55" t="s">
        <v>167</v>
      </c>
      <c r="AH131" s="55" t="s">
        <v>167</v>
      </c>
      <c r="AI131" s="55" t="s">
        <v>167</v>
      </c>
      <c r="AJ131" s="55" t="s">
        <v>167</v>
      </c>
      <c r="AK131" s="55" t="s">
        <v>167</v>
      </c>
      <c r="AL131" s="55" t="s">
        <v>167</v>
      </c>
      <c r="AM131" s="55" t="s">
        <v>167</v>
      </c>
      <c r="AN131" s="55" t="s">
        <v>167</v>
      </c>
      <c r="AP131" s="21" t="s">
        <v>29</v>
      </c>
      <c r="AQ131" s="55" t="s">
        <v>166</v>
      </c>
      <c r="AR131" s="55" t="s">
        <v>166</v>
      </c>
      <c r="AS131" s="55" t="s">
        <v>166</v>
      </c>
      <c r="AT131" s="55" t="s">
        <v>166</v>
      </c>
      <c r="AU131" s="55" t="s">
        <v>166</v>
      </c>
      <c r="AV131" s="55" t="s">
        <v>166</v>
      </c>
      <c r="AW131" s="55" t="s">
        <v>166</v>
      </c>
      <c r="AX131" s="55" t="s">
        <v>166</v>
      </c>
      <c r="AY131" s="55" t="s">
        <v>166</v>
      </c>
      <c r="AZ131" s="55" t="s">
        <v>166</v>
      </c>
      <c r="BA131" s="55" t="s">
        <v>166</v>
      </c>
    </row>
    <row r="132" customFormat="false" ht="12.75" hidden="false" customHeight="false" outlineLevel="0" collapsed="false">
      <c r="B132" s="74" t="s">
        <v>187</v>
      </c>
      <c r="C132" s="62"/>
      <c r="D132" s="63"/>
      <c r="E132" s="64"/>
      <c r="F132" s="63" t="n">
        <v>10.6</v>
      </c>
      <c r="G132" s="62" t="n">
        <v>9.8</v>
      </c>
      <c r="H132" s="65" t="s">
        <v>398</v>
      </c>
      <c r="I132" s="64"/>
      <c r="J132" s="102" t="n">
        <v>9.82</v>
      </c>
      <c r="K132" s="62" t="n">
        <v>9.818</v>
      </c>
      <c r="L132" s="65" t="s">
        <v>401</v>
      </c>
      <c r="M132" s="64" t="s">
        <v>402</v>
      </c>
      <c r="O132" s="74" t="s">
        <v>187</v>
      </c>
      <c r="P132" s="108" t="str">
        <f aca="false">IF(IF(ISBLANK(C132),1,(TRIM(C132)="")),"",ROUND(4.184*C132,3))</f>
        <v/>
      </c>
      <c r="Q132" s="109" t="str">
        <f aca="false">IF(IF(ISBLANK(D132),1,(TRIM(D132)="")),"",ROUND(4.184*D132,3))</f>
        <v/>
      </c>
      <c r="R132" s="108" t="str">
        <f aca="false">IF(IF(ISBLANK(E132),1,(TRIM(E132)="")),"",ROUND(4.184*E132,3))</f>
        <v/>
      </c>
      <c r="S132" s="109" t="n">
        <f aca="false">IF(IF(ISBLANK(F132),1,(TRIM(F132)="")),"",ROUND(4.184*F132,3))</f>
        <v>44.35</v>
      </c>
      <c r="T132" s="108" t="n">
        <f aca="false">IF(IF(ISBLANK(G132),1,(TRIM(G132)="")),"",ROUND(4.184*G132,3))</f>
        <v>41.003</v>
      </c>
      <c r="U132" s="109" t="n">
        <f aca="false">IF(IF(ISBLANK(H132),1,(TRIM(H132)="")),"",ROUND(4.184*H132,3))</f>
        <v>41.003</v>
      </c>
      <c r="V132" s="108" t="str">
        <f aca="false">IF(IF(ISBLANK(I132),1,(TRIM(I132)="")),"",ROUND(4.184*I132,3))</f>
        <v/>
      </c>
      <c r="W132" s="109" t="n">
        <f aca="false">IF(IF(ISBLANK(J132),1,(TRIM(J132)="")),"",ROUND(4.184*J132,3))</f>
        <v>41.087</v>
      </c>
      <c r="X132" s="108" t="n">
        <f aca="false">IF(IF(ISBLANK(K132),1,(TRIM(K132)="")),"",ROUND(4.184*K132,3))</f>
        <v>41.079</v>
      </c>
      <c r="Y132" s="109" t="n">
        <f aca="false">IF(IF(ISBLANK(L132),1,(TRIM(L132)="")),"",ROUND(4.184*L132,3))</f>
        <v>41.003</v>
      </c>
      <c r="Z132" s="108" t="n">
        <f aca="false">IF(IF(ISBLANK(M132),1,(TRIM(M132)="")),"",ROUND(4.184*M132,3))</f>
        <v>41.087</v>
      </c>
      <c r="AB132" s="34"/>
      <c r="AC132" s="74" t="s">
        <v>187</v>
      </c>
      <c r="AD132" s="108" t="str">
        <f aca="false">IF(IF(ISBLANK(C132),1,(TRIM(C132)="")),"",ROUND(4.184*C132+$AB132*0.1094,3))</f>
        <v/>
      </c>
      <c r="AE132" s="109" t="str">
        <f aca="false">IF(IF(ISBLANK(D132),1,(TRIM(D132)="")),"",ROUND(4.184*D132+$AB132*0.1094,3))</f>
        <v/>
      </c>
      <c r="AF132" s="108" t="str">
        <f aca="false">IF(IF(ISBLANK(E132),1,(TRIM(E132)="")),"",ROUND(4.184*E132+$AB132*0.1094,3))</f>
        <v/>
      </c>
      <c r="AG132" s="109" t="n">
        <f aca="false">IF(IF(ISBLANK(F132),1,(TRIM(F132)="")),"",ROUND(4.184*F132+$AB132*0.1094,3))</f>
        <v>44.35</v>
      </c>
      <c r="AH132" s="108" t="n">
        <f aca="false">IF(IF(ISBLANK(G132),1,(TRIM(G132)="")),"",ROUND(4.184*G132+$AB132*0.1094,3))</f>
        <v>41.003</v>
      </c>
      <c r="AI132" s="109" t="n">
        <f aca="false">IF(IF(ISBLANK(H132),1,(TRIM(H132)="")),"",ROUND(4.184*H132+$AB132*0.1094,3))</f>
        <v>41.003</v>
      </c>
      <c r="AJ132" s="108" t="str">
        <f aca="false">IF(IF(ISBLANK(I132),1,(TRIM(I132)="")),"",ROUND(4.184*I132+$AB132*0.1094,3))</f>
        <v/>
      </c>
      <c r="AK132" s="109" t="n">
        <f aca="false">IF(IF(ISBLANK(J132),1,(TRIM(J132)="")),"",ROUND(4.184*J132+$AB132*0.1094,3))</f>
        <v>41.087</v>
      </c>
      <c r="AL132" s="108" t="n">
        <f aca="false">IF(IF(ISBLANK(K132),1,(TRIM(K132)="")),"",ROUND(4.184*K132+$AB132*0.1094,3))</f>
        <v>41.079</v>
      </c>
      <c r="AM132" s="109" t="n">
        <f aca="false">IF(IF(ISBLANK(L132),1,(TRIM(L132)="")),"",ROUND(4.184*L132+$AB132*0.1094,3))</f>
        <v>41.003</v>
      </c>
      <c r="AN132" s="108" t="n">
        <f aca="false">IF(IF(ISBLANK(M132),1,(TRIM(M132)="")),"",ROUND(4.184*M132+$AB132*0.1094,3))</f>
        <v>41.087</v>
      </c>
      <c r="AP132" s="74" t="s">
        <v>187</v>
      </c>
      <c r="AQ132" s="108" t="str">
        <f aca="false">IF(IF(ISBLANK(C132),1,(TRIM(C132)="")),"",ROUND(C132+($AB132*0.1094/4.184),3))</f>
        <v/>
      </c>
      <c r="AR132" s="109" t="str">
        <f aca="false">IF(IF(ISBLANK(D132),1,(TRIM(D132)="")),"",ROUND(D132+($AB132*0.1094/4.184),3))</f>
        <v/>
      </c>
      <c r="AS132" s="108" t="str">
        <f aca="false">IF(IF(ISBLANK(E132),1,(TRIM(E132)="")),"",ROUND(E132+($AB132*0.1094/4.184),3))</f>
        <v/>
      </c>
      <c r="AT132" s="109" t="n">
        <f aca="false">IF(IF(ISBLANK(F132),1,(TRIM(F132)="")),"",ROUND(F132+($AB132*0.1094/4.184),3))</f>
        <v>10.6</v>
      </c>
      <c r="AU132" s="108" t="n">
        <f aca="false">IF(IF(ISBLANK(G132),1,(TRIM(G132)="")),"",ROUND(G132+($AB132*0.1094/4.184),3))</f>
        <v>9.8</v>
      </c>
      <c r="AV132" s="109" t="n">
        <f aca="false">IF(IF(ISBLANK(H132),1,(TRIM(H132)="")),"",ROUND(H132+($AB132*0.1094/4.184),3))</f>
        <v>9.8</v>
      </c>
      <c r="AW132" s="108" t="str">
        <f aca="false">IF(IF(ISBLANK(I132),1,(TRIM(I132)="")),"",ROUND(I132+($AB132*0.1094/4.184),3))</f>
        <v/>
      </c>
      <c r="AX132" s="109" t="n">
        <f aca="false">IF(IF(ISBLANK(J132),1,(TRIM(J132)="")),"",ROUND(J132+($AB132*0.1094/4.184),3))</f>
        <v>9.82</v>
      </c>
      <c r="AY132" s="108" t="n">
        <f aca="false">IF(IF(ISBLANK(K132),1,(TRIM(K132)="")),"",ROUND(K132+($AB132*0.1094/4.184),3))</f>
        <v>9.818</v>
      </c>
      <c r="AZ132" s="109" t="n">
        <f aca="false">IF(IF(ISBLANK(L132),1,(TRIM(L132)="")),"",ROUND(L132+($AB132*0.1094/4.184),3))</f>
        <v>9.8</v>
      </c>
      <c r="BA132" s="108" t="n">
        <f aca="false">IF(IF(ISBLANK(M132),1,(TRIM(M132)="")),"",ROUND(M132+($AB132*0.1094/4.184),3))</f>
        <v>9.82</v>
      </c>
    </row>
    <row r="133" customFormat="false" ht="13.5" hidden="false" customHeight="false" outlineLevel="0" collapsed="false">
      <c r="B133" s="39" t="s">
        <v>188</v>
      </c>
      <c r="C133" s="62"/>
      <c r="D133" s="63"/>
      <c r="E133" s="64"/>
      <c r="F133" s="63"/>
      <c r="G133" s="62" t="n">
        <v>5.46</v>
      </c>
      <c r="H133" s="63" t="n">
        <v>5.46</v>
      </c>
      <c r="I133" s="64" t="n">
        <v>5.45</v>
      </c>
      <c r="J133" s="102" t="n">
        <v>5.45</v>
      </c>
      <c r="K133" s="64" t="s">
        <v>400</v>
      </c>
      <c r="L133" s="110" t="s">
        <v>504</v>
      </c>
      <c r="M133" s="92" t="s">
        <v>504</v>
      </c>
      <c r="O133" s="39" t="s">
        <v>188</v>
      </c>
      <c r="P133" s="108" t="str">
        <f aca="false">IF(IF(ISBLANK(C133),1,(TRIM(C133)="")),"",ROUND(4.184*C133,3))</f>
        <v/>
      </c>
      <c r="Q133" s="109" t="str">
        <f aca="false">IF(IF(ISBLANK(D133),1,(TRIM(D133)="")),"",ROUND(4.184*D133,3))</f>
        <v/>
      </c>
      <c r="R133" s="108" t="str">
        <f aca="false">IF(IF(ISBLANK(E133),1,(TRIM(E133)="")),"",ROUND(4.184*E133,3))</f>
        <v/>
      </c>
      <c r="S133" s="109" t="str">
        <f aca="false">IF(IF(ISBLANK(F133),1,(TRIM(F133)="")),"",ROUND(4.184*F133,3))</f>
        <v/>
      </c>
      <c r="T133" s="108" t="n">
        <f aca="false">IF(IF(ISBLANK(G133),1,(TRIM(G133)="")),"",ROUND(4.184*G133,3))</f>
        <v>22.845</v>
      </c>
      <c r="U133" s="109" t="n">
        <f aca="false">IF(IF(ISBLANK(H133),1,(TRIM(H133)="")),"",ROUND(4.184*H133,3))</f>
        <v>22.845</v>
      </c>
      <c r="V133" s="108" t="n">
        <f aca="false">IF(IF(ISBLANK(I133),1,(TRIM(I133)="")),"",ROUND(4.184*I133,3))</f>
        <v>22.803</v>
      </c>
      <c r="W133" s="109" t="n">
        <f aca="false">IF(IF(ISBLANK(J133),1,(TRIM(J133)="")),"",ROUND(4.184*J133,3))</f>
        <v>22.803</v>
      </c>
      <c r="X133" s="108" t="n">
        <f aca="false">IF(IF(ISBLANK(K133),1,(TRIM(K133)="")),"",ROUND(4.184*K133,3))</f>
        <v>22.803</v>
      </c>
      <c r="Y133" s="109" t="n">
        <f aca="false">IF(IF(ISBLANK(L133),1,(TRIM(L133)="")),"",ROUND(4.184*L133,3))</f>
        <v>22.845</v>
      </c>
      <c r="Z133" s="108" t="n">
        <f aca="false">IF(IF(ISBLANK(M133),1,(TRIM(M133)="")),"",ROUND(4.184*M133,3))</f>
        <v>22.845</v>
      </c>
      <c r="AB133" s="42"/>
      <c r="AC133" s="39" t="s">
        <v>188</v>
      </c>
      <c r="AD133" s="108" t="str">
        <f aca="false">IF(IF(ISBLANK(C133),1,(TRIM(C133)="")),"",ROUND(4.184*C133+$AB133*0.1094,3))</f>
        <v/>
      </c>
      <c r="AE133" s="109" t="str">
        <f aca="false">IF(IF(ISBLANK(D133),1,(TRIM(D133)="")),"",ROUND(4.184*D133+$AB133*0.1094,3))</f>
        <v/>
      </c>
      <c r="AF133" s="108" t="str">
        <f aca="false">IF(IF(ISBLANK(E133),1,(TRIM(E133)="")),"",ROUND(4.184*E133+$AB133*0.1094,3))</f>
        <v/>
      </c>
      <c r="AG133" s="109" t="str">
        <f aca="false">IF(IF(ISBLANK(F133),1,(TRIM(F133)="")),"",ROUND(4.184*F133+$AB133*0.1094,3))</f>
        <v/>
      </c>
      <c r="AH133" s="108" t="n">
        <f aca="false">IF(IF(ISBLANK(G133),1,(TRIM(G133)="")),"",ROUND(4.184*G133+$AB133*0.1094,3))</f>
        <v>22.845</v>
      </c>
      <c r="AI133" s="109" t="n">
        <f aca="false">IF(IF(ISBLANK(H133),1,(TRIM(H133)="")),"",ROUND(4.184*H133+$AB133*0.1094,3))</f>
        <v>22.845</v>
      </c>
      <c r="AJ133" s="108" t="n">
        <f aca="false">IF(IF(ISBLANK(I133),1,(TRIM(I133)="")),"",ROUND(4.184*I133+$AB133*0.1094,3))</f>
        <v>22.803</v>
      </c>
      <c r="AK133" s="109" t="n">
        <f aca="false">IF(IF(ISBLANK(J133),1,(TRIM(J133)="")),"",ROUND(4.184*J133+$AB133*0.1094,3))</f>
        <v>22.803</v>
      </c>
      <c r="AL133" s="108" t="n">
        <f aca="false">IF(IF(ISBLANK(K133),1,(TRIM(K133)="")),"",ROUND(4.184*K133+$AB133*0.1094,3))</f>
        <v>22.803</v>
      </c>
      <c r="AM133" s="109" t="n">
        <f aca="false">IF(IF(ISBLANK(L133),1,(TRIM(L133)="")),"",ROUND(4.184*L133+$AB133*0.1094,3))</f>
        <v>22.845</v>
      </c>
      <c r="AN133" s="108" t="n">
        <f aca="false">IF(IF(ISBLANK(M133),1,(TRIM(M133)="")),"",ROUND(4.184*M133+$AB133*0.1094,3))</f>
        <v>22.845</v>
      </c>
      <c r="AP133" s="39" t="s">
        <v>188</v>
      </c>
      <c r="AQ133" s="108" t="str">
        <f aca="false">IF(IF(ISBLANK(C133),1,(TRIM(C133)="")),"",ROUND(C133+($AB133*0.1094/4.184),3))</f>
        <v/>
      </c>
      <c r="AR133" s="109" t="str">
        <f aca="false">IF(IF(ISBLANK(D133),1,(TRIM(D133)="")),"",ROUND(D133+($AB133*0.1094/4.184),3))</f>
        <v/>
      </c>
      <c r="AS133" s="108" t="str">
        <f aca="false">IF(IF(ISBLANK(E133),1,(TRIM(E133)="")),"",ROUND(E133+($AB133*0.1094/4.184),3))</f>
        <v/>
      </c>
      <c r="AT133" s="109" t="str">
        <f aca="false">IF(IF(ISBLANK(F133),1,(TRIM(F133)="")),"",ROUND(F133+($AB133*0.1094/4.184),3))</f>
        <v/>
      </c>
      <c r="AU133" s="108" t="n">
        <f aca="false">IF(IF(ISBLANK(G133),1,(TRIM(G133)="")),"",ROUND(G133+($AB133*0.1094/4.184),3))</f>
        <v>5.46</v>
      </c>
      <c r="AV133" s="109" t="n">
        <f aca="false">IF(IF(ISBLANK(H133),1,(TRIM(H133)="")),"",ROUND(H133+($AB133*0.1094/4.184),3))</f>
        <v>5.46</v>
      </c>
      <c r="AW133" s="108" t="n">
        <f aca="false">IF(IF(ISBLANK(I133),1,(TRIM(I133)="")),"",ROUND(I133+($AB133*0.1094/4.184),3))</f>
        <v>5.45</v>
      </c>
      <c r="AX133" s="109" t="n">
        <f aca="false">IF(IF(ISBLANK(J133),1,(TRIM(J133)="")),"",ROUND(J133+($AB133*0.1094/4.184),3))</f>
        <v>5.45</v>
      </c>
      <c r="AY133" s="108" t="n">
        <f aca="false">IF(IF(ISBLANK(K133),1,(TRIM(K133)="")),"",ROUND(K133+($AB133*0.1094/4.184),3))</f>
        <v>5.45</v>
      </c>
      <c r="AZ133" s="109" t="n">
        <f aca="false">IF(IF(ISBLANK(L133),1,(TRIM(L133)="")),"",ROUND(L133+($AB133*0.1094/4.184),3))</f>
        <v>5.46</v>
      </c>
      <c r="BA133" s="108" t="n">
        <f aca="false">IF(IF(ISBLANK(M133),1,(TRIM(M133)="")),"",ROUND(M133+($AB133*0.1094/4.184),3))</f>
        <v>5.46</v>
      </c>
    </row>
    <row r="134" customFormat="false" ht="13.5" hidden="false" customHeight="false" outlineLevel="0" collapsed="false">
      <c r="B134" s="80" t="s">
        <v>16</v>
      </c>
      <c r="C134" s="81" t="s">
        <v>189</v>
      </c>
      <c r="D134" s="82" t="s">
        <v>189</v>
      </c>
      <c r="E134" s="82" t="s">
        <v>189</v>
      </c>
      <c r="F134" s="82" t="s">
        <v>505</v>
      </c>
      <c r="G134" s="82" t="s">
        <v>506</v>
      </c>
      <c r="H134" s="82" t="s">
        <v>189</v>
      </c>
      <c r="I134" s="82" t="s">
        <v>506</v>
      </c>
      <c r="J134" s="82" t="s">
        <v>505</v>
      </c>
      <c r="K134" s="111" t="s">
        <v>506</v>
      </c>
      <c r="L134" s="111" t="s">
        <v>189</v>
      </c>
      <c r="M134" s="111" t="s">
        <v>505</v>
      </c>
      <c r="O134" s="80" t="s">
        <v>16</v>
      </c>
      <c r="P134" s="81" t="s">
        <v>189</v>
      </c>
      <c r="Q134" s="82" t="s">
        <v>189</v>
      </c>
      <c r="R134" s="82" t="s">
        <v>189</v>
      </c>
      <c r="S134" s="82" t="s">
        <v>505</v>
      </c>
      <c r="T134" s="82" t="s">
        <v>506</v>
      </c>
      <c r="U134" s="82" t="s">
        <v>189</v>
      </c>
      <c r="V134" s="82" t="s">
        <v>506</v>
      </c>
      <c r="W134" s="82" t="s">
        <v>505</v>
      </c>
      <c r="X134" s="111" t="s">
        <v>506</v>
      </c>
      <c r="Y134" s="82" t="s">
        <v>189</v>
      </c>
      <c r="Z134" s="111" t="s">
        <v>505</v>
      </c>
      <c r="AC134" s="80" t="s">
        <v>16</v>
      </c>
      <c r="AD134" s="81" t="s">
        <v>189</v>
      </c>
      <c r="AE134" s="82" t="s">
        <v>189</v>
      </c>
      <c r="AF134" s="82" t="s">
        <v>189</v>
      </c>
      <c r="AG134" s="82" t="s">
        <v>505</v>
      </c>
      <c r="AH134" s="82" t="s">
        <v>506</v>
      </c>
      <c r="AI134" s="82" t="s">
        <v>189</v>
      </c>
      <c r="AJ134" s="82" t="s">
        <v>506</v>
      </c>
      <c r="AK134" s="82" t="s">
        <v>505</v>
      </c>
      <c r="AL134" s="111" t="s">
        <v>506</v>
      </c>
      <c r="AM134" s="82" t="s">
        <v>189</v>
      </c>
      <c r="AN134" s="111" t="s">
        <v>505</v>
      </c>
      <c r="AP134" s="80" t="s">
        <v>16</v>
      </c>
      <c r="AQ134" s="81" t="s">
        <v>189</v>
      </c>
      <c r="AR134" s="82" t="s">
        <v>189</v>
      </c>
      <c r="AS134" s="82" t="s">
        <v>189</v>
      </c>
      <c r="AT134" s="82" t="s">
        <v>505</v>
      </c>
      <c r="AU134" s="82" t="s">
        <v>506</v>
      </c>
      <c r="AV134" s="82" t="s">
        <v>189</v>
      </c>
      <c r="AW134" s="82" t="s">
        <v>506</v>
      </c>
      <c r="AX134" s="82" t="s">
        <v>505</v>
      </c>
      <c r="AY134" s="111" t="s">
        <v>506</v>
      </c>
      <c r="AZ134" s="82" t="s">
        <v>189</v>
      </c>
      <c r="BA134" s="111" t="s">
        <v>505</v>
      </c>
    </row>
    <row r="135" customFormat="false" ht="12.75" hidden="false" customHeight="false" outlineLevel="0" collapsed="false">
      <c r="B135" s="46"/>
      <c r="C135" s="83"/>
      <c r="D135" s="83"/>
      <c r="E135" s="83"/>
      <c r="F135" s="83"/>
      <c r="G135" s="83"/>
      <c r="H135" s="83"/>
      <c r="I135" s="83"/>
      <c r="J135" s="83"/>
      <c r="K135" s="83"/>
      <c r="L135" s="83"/>
      <c r="M135" s="83"/>
      <c r="O135" s="46"/>
      <c r="P135" s="83"/>
      <c r="Q135" s="83"/>
      <c r="R135" s="83"/>
      <c r="S135" s="83"/>
      <c r="T135" s="83"/>
      <c r="U135" s="83"/>
      <c r="V135" s="83"/>
      <c r="W135" s="83"/>
      <c r="X135" s="83"/>
      <c r="Y135" s="83"/>
      <c r="Z135" s="83"/>
      <c r="AC135" s="46"/>
      <c r="AD135" s="83"/>
      <c r="AE135" s="83"/>
      <c r="AF135" s="83"/>
      <c r="AG135" s="83"/>
      <c r="AH135" s="83"/>
      <c r="AI135" s="83"/>
      <c r="AJ135" s="83"/>
      <c r="AK135" s="83"/>
      <c r="AL135" s="83"/>
      <c r="AM135" s="83"/>
      <c r="AN135" s="83"/>
      <c r="AP135" s="46"/>
      <c r="AQ135" s="83"/>
      <c r="AR135" s="83"/>
      <c r="AS135" s="83"/>
      <c r="AT135" s="83"/>
      <c r="AU135" s="83"/>
      <c r="AV135" s="83"/>
      <c r="AW135" s="83"/>
      <c r="AX135" s="83"/>
      <c r="AY135" s="83"/>
      <c r="AZ135" s="83"/>
      <c r="BA135" s="83"/>
    </row>
    <row r="137" customFormat="false" ht="12.75" hidden="false" customHeight="false" outlineLevel="0" collapsed="false">
      <c r="B137" s="10" t="s">
        <v>507</v>
      </c>
    </row>
    <row r="138" customFormat="false" ht="12.75" hidden="false" customHeight="false" outlineLevel="0" collapsed="false">
      <c r="B138" s="112" t="s">
        <v>508</v>
      </c>
    </row>
    <row r="139" customFormat="false" ht="12.75" hidden="false" customHeight="false" outlineLevel="0" collapsed="false">
      <c r="B139" s="112"/>
    </row>
    <row r="140" customFormat="false" ht="12.75" hidden="false" customHeight="false" outlineLevel="0" collapsed="false">
      <c r="Q140" s="10"/>
      <c r="R140" s="10"/>
      <c r="S140" s="10"/>
      <c r="T140" s="10"/>
      <c r="U140" s="10"/>
    </row>
    <row r="141" customFormat="false" ht="13.5" hidden="false" customHeight="false" outlineLevel="0" collapsed="false">
      <c r="P141" s="10"/>
      <c r="Q141" s="10"/>
      <c r="R141" s="10"/>
      <c r="S141" s="10"/>
      <c r="T141" s="10"/>
      <c r="U141" s="10"/>
    </row>
    <row r="142" customFormat="false" ht="13.5" hidden="false" customHeight="false" outlineLevel="0" collapsed="false">
      <c r="B142" s="47" t="s">
        <v>509</v>
      </c>
      <c r="C142" s="106"/>
      <c r="D142" s="106"/>
      <c r="E142" s="107"/>
      <c r="G142" s="47" t="s">
        <v>510</v>
      </c>
      <c r="H142" s="106"/>
      <c r="I142" s="106"/>
      <c r="J142" s="107"/>
      <c r="P142" s="10"/>
      <c r="Q142" s="10"/>
      <c r="R142" s="10"/>
      <c r="S142" s="10"/>
      <c r="T142" s="10"/>
      <c r="U142" s="10"/>
    </row>
    <row r="143" customFormat="false" ht="14.25" hidden="false" customHeight="false" outlineLevel="0" collapsed="false">
      <c r="B143" s="11"/>
      <c r="C143" s="113" t="s">
        <v>511</v>
      </c>
      <c r="D143" s="113" t="s">
        <v>512</v>
      </c>
      <c r="E143" s="50" t="s">
        <v>513</v>
      </c>
      <c r="G143" s="11"/>
      <c r="H143" s="113" t="s">
        <v>511</v>
      </c>
      <c r="I143" s="113" t="s">
        <v>512</v>
      </c>
      <c r="J143" s="50" t="s">
        <v>513</v>
      </c>
      <c r="P143" s="10"/>
      <c r="Q143" s="10"/>
      <c r="R143" s="10"/>
      <c r="S143" s="10"/>
      <c r="T143" s="10"/>
      <c r="U143" s="10"/>
      <c r="AB143" s="90"/>
    </row>
    <row r="144" customFormat="false" ht="15" hidden="false" customHeight="false" outlineLevel="0" collapsed="false">
      <c r="B144" s="21" t="s">
        <v>26</v>
      </c>
      <c r="C144" s="55" t="s">
        <v>514</v>
      </c>
      <c r="D144" s="55" t="s">
        <v>514</v>
      </c>
      <c r="E144" s="55" t="s">
        <v>166</v>
      </c>
      <c r="G144" s="21" t="s">
        <v>26</v>
      </c>
      <c r="H144" s="55" t="s">
        <v>514</v>
      </c>
      <c r="I144" s="55" t="s">
        <v>514</v>
      </c>
      <c r="J144" s="55" t="s">
        <v>166</v>
      </c>
      <c r="P144" s="10"/>
      <c r="Q144" s="10"/>
      <c r="R144" s="10"/>
      <c r="S144" s="10"/>
      <c r="T144" s="10"/>
      <c r="U144" s="10"/>
    </row>
    <row r="145" customFormat="false" ht="12.75" hidden="false" customHeight="false" outlineLevel="0" collapsed="false">
      <c r="B145" s="74" t="s">
        <v>187</v>
      </c>
      <c r="C145" s="114" t="n">
        <v>0</v>
      </c>
      <c r="D145" s="115" t="n">
        <v>0</v>
      </c>
      <c r="E145" s="116" t="n">
        <v>10.6</v>
      </c>
      <c r="G145" s="74" t="s">
        <v>187</v>
      </c>
      <c r="H145" s="114" t="n">
        <v>0</v>
      </c>
      <c r="I145" s="115" t="n">
        <v>0</v>
      </c>
      <c r="J145" s="116" t="n">
        <v>9.82</v>
      </c>
    </row>
    <row r="146" customFormat="false" ht="13.5" hidden="false" customHeight="false" outlineLevel="0" collapsed="false">
      <c r="B146" s="39" t="s">
        <v>188</v>
      </c>
      <c r="C146" s="117"/>
      <c r="D146" s="104" t="n">
        <v>-4.4</v>
      </c>
      <c r="E146" s="92"/>
      <c r="G146" s="39" t="s">
        <v>188</v>
      </c>
      <c r="H146" s="117" t="n">
        <v>-2.9</v>
      </c>
      <c r="I146" s="104" t="n">
        <v>-4.2</v>
      </c>
      <c r="J146" s="92" t="n">
        <v>5.45</v>
      </c>
    </row>
    <row r="148" customFormat="false" ht="13.5" hidden="false" customHeight="false" outlineLevel="0" collapsed="false">
      <c r="T148" s="10"/>
      <c r="U148" s="10"/>
    </row>
    <row r="149" customFormat="false" ht="13.5" hidden="false" customHeight="false" outlineLevel="0" collapsed="false">
      <c r="B149" s="47" t="s">
        <v>515</v>
      </c>
      <c r="C149" s="106"/>
      <c r="D149" s="106"/>
      <c r="E149" s="107"/>
      <c r="G149" s="47" t="s">
        <v>516</v>
      </c>
      <c r="H149" s="106"/>
      <c r="I149" s="106"/>
      <c r="J149" s="107"/>
      <c r="Q149" s="10"/>
      <c r="R149" s="10"/>
      <c r="S149" s="10"/>
      <c r="T149" s="10"/>
      <c r="U149" s="10"/>
      <c r="AB149" s="90"/>
    </row>
    <row r="150" customFormat="false" ht="14.25" hidden="false" customHeight="false" outlineLevel="0" collapsed="false">
      <c r="B150" s="11"/>
      <c r="C150" s="113" t="s">
        <v>511</v>
      </c>
      <c r="D150" s="113" t="s">
        <v>512</v>
      </c>
      <c r="E150" s="50" t="s">
        <v>513</v>
      </c>
      <c r="G150" s="11"/>
      <c r="H150" s="113" t="s">
        <v>511</v>
      </c>
      <c r="I150" s="113" t="s">
        <v>512</v>
      </c>
      <c r="J150" s="50" t="s">
        <v>513</v>
      </c>
      <c r="Q150" s="10"/>
      <c r="R150" s="10"/>
      <c r="S150" s="10"/>
      <c r="T150" s="10"/>
      <c r="U150" s="10"/>
    </row>
    <row r="151" customFormat="false" ht="15" hidden="false" customHeight="false" outlineLevel="0" collapsed="false">
      <c r="B151" s="21" t="s">
        <v>26</v>
      </c>
      <c r="C151" s="55" t="s">
        <v>514</v>
      </c>
      <c r="D151" s="55" t="s">
        <v>514</v>
      </c>
      <c r="E151" s="55" t="s">
        <v>166</v>
      </c>
      <c r="G151" s="21" t="s">
        <v>26</v>
      </c>
      <c r="H151" s="55" t="s">
        <v>514</v>
      </c>
      <c r="I151" s="55" t="s">
        <v>514</v>
      </c>
      <c r="J151" s="55" t="s">
        <v>166</v>
      </c>
      <c r="Q151" s="10"/>
      <c r="R151" s="10"/>
      <c r="S151" s="10"/>
      <c r="T151" s="10"/>
      <c r="U151" s="10"/>
    </row>
    <row r="152" customFormat="false" ht="12.75" hidden="false" customHeight="false" outlineLevel="0" collapsed="false">
      <c r="B152" s="74" t="s">
        <v>187</v>
      </c>
      <c r="C152" s="114"/>
      <c r="D152" s="115"/>
      <c r="E152" s="116" t="n">
        <v>9.8</v>
      </c>
      <c r="G152" s="74" t="s">
        <v>187</v>
      </c>
      <c r="H152" s="114" t="n">
        <v>0</v>
      </c>
      <c r="I152" s="115" t="n">
        <v>0</v>
      </c>
      <c r="J152" s="116" t="s">
        <v>402</v>
      </c>
      <c r="P152" s="10"/>
      <c r="Q152" s="10"/>
      <c r="R152" s="10"/>
      <c r="S152" s="10"/>
      <c r="T152" s="10"/>
      <c r="U152" s="10"/>
    </row>
    <row r="153" customFormat="false" ht="13.5" hidden="false" customHeight="false" outlineLevel="0" collapsed="false">
      <c r="B153" s="39" t="s">
        <v>188</v>
      </c>
      <c r="C153" s="117"/>
      <c r="D153" s="104"/>
      <c r="E153" s="92" t="n">
        <v>5.46</v>
      </c>
      <c r="G153" s="39" t="s">
        <v>188</v>
      </c>
      <c r="H153" s="118" t="s">
        <v>517</v>
      </c>
      <c r="I153" s="119" t="s">
        <v>518</v>
      </c>
      <c r="J153" s="92" t="s">
        <v>504</v>
      </c>
      <c r="P153" s="10"/>
      <c r="Q153" s="10"/>
      <c r="R153" s="10"/>
      <c r="S153" s="10"/>
      <c r="T153" s="10"/>
      <c r="U153" s="10"/>
    </row>
    <row r="154" customFormat="false" ht="12.75" hidden="false" customHeight="false" outlineLevel="0" collapsed="false">
      <c r="P154" s="10"/>
      <c r="Q154" s="10"/>
      <c r="R154" s="10"/>
      <c r="S154" s="10"/>
      <c r="T154" s="10"/>
      <c r="U154" s="10"/>
    </row>
    <row r="155" customFormat="false" ht="13.5" hidden="false" customHeight="false" outlineLevel="0" collapsed="false">
      <c r="P155" s="10"/>
      <c r="Q155" s="10"/>
      <c r="R155" s="10"/>
      <c r="S155" s="10"/>
      <c r="T155" s="10"/>
      <c r="U155" s="10"/>
    </row>
    <row r="156" customFormat="false" ht="13.5" hidden="false" customHeight="false" outlineLevel="0" collapsed="false">
      <c r="B156" s="47" t="s">
        <v>519</v>
      </c>
      <c r="C156" s="106"/>
      <c r="D156" s="106"/>
      <c r="E156" s="107"/>
      <c r="G156" s="47" t="s">
        <v>520</v>
      </c>
      <c r="H156" s="106"/>
      <c r="I156" s="106"/>
      <c r="J156" s="107"/>
    </row>
    <row r="157" customFormat="false" ht="14.25" hidden="false" customHeight="false" outlineLevel="0" collapsed="false">
      <c r="B157" s="11"/>
      <c r="C157" s="113" t="s">
        <v>511</v>
      </c>
      <c r="D157" s="113" t="s">
        <v>512</v>
      </c>
      <c r="E157" s="50" t="s">
        <v>513</v>
      </c>
      <c r="G157" s="11"/>
      <c r="H157" s="113" t="s">
        <v>511</v>
      </c>
      <c r="I157" s="113" t="s">
        <v>512</v>
      </c>
      <c r="J157" s="50" t="s">
        <v>513</v>
      </c>
    </row>
    <row r="158" customFormat="false" ht="15" hidden="false" customHeight="false" outlineLevel="0" collapsed="false">
      <c r="B158" s="21" t="s">
        <v>26</v>
      </c>
      <c r="C158" s="55" t="s">
        <v>514</v>
      </c>
      <c r="D158" s="55" t="s">
        <v>514</v>
      </c>
      <c r="E158" s="55" t="s">
        <v>166</v>
      </c>
      <c r="G158" s="21" t="s">
        <v>26</v>
      </c>
      <c r="H158" s="55" t="s">
        <v>514</v>
      </c>
      <c r="I158" s="55" t="s">
        <v>514</v>
      </c>
      <c r="J158" s="55" t="s">
        <v>166</v>
      </c>
    </row>
    <row r="159" customFormat="false" ht="12.75" hidden="false" customHeight="false" outlineLevel="0" collapsed="false">
      <c r="B159" s="74" t="s">
        <v>187</v>
      </c>
      <c r="C159" s="114"/>
      <c r="D159" s="115"/>
      <c r="E159" s="116"/>
      <c r="G159" s="74" t="s">
        <v>187</v>
      </c>
      <c r="H159" s="114" t="n">
        <v>2.871</v>
      </c>
      <c r="I159" s="115" t="n">
        <v>4.173</v>
      </c>
      <c r="J159" s="116" t="n">
        <v>9.818</v>
      </c>
      <c r="T159" s="10"/>
      <c r="U159" s="10"/>
      <c r="AB159" s="90"/>
    </row>
    <row r="160" customFormat="false" ht="13.5" hidden="false" customHeight="false" outlineLevel="0" collapsed="false">
      <c r="B160" s="39" t="s">
        <v>188</v>
      </c>
      <c r="C160" s="117" t="n">
        <v>0</v>
      </c>
      <c r="D160" s="104" t="n">
        <v>0</v>
      </c>
      <c r="E160" s="92" t="n">
        <v>5.45</v>
      </c>
      <c r="G160" s="39" t="s">
        <v>188</v>
      </c>
      <c r="H160" s="118" t="s">
        <v>521</v>
      </c>
      <c r="I160" s="119" t="s">
        <v>521</v>
      </c>
      <c r="J160" s="92" t="s">
        <v>400</v>
      </c>
      <c r="Q160" s="10"/>
      <c r="R160" s="10"/>
      <c r="S160" s="10"/>
      <c r="T160" s="10"/>
      <c r="U160" s="10"/>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AG13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0" activeCellId="2" sqref="B16:B122 E16:F122 B10"/>
    </sheetView>
  </sheetViews>
  <sheetFormatPr defaultRowHeight="12.75" zeroHeight="false" outlineLevelRow="0" outlineLevelCol="0"/>
  <cols>
    <col collapsed="false" customWidth="true" hidden="false" outlineLevel="0" max="16" min="1" style="0" width="11.42"/>
    <col collapsed="false" customWidth="true" hidden="false" outlineLevel="0" max="17" min="17" style="44" width="11.42"/>
    <col collapsed="false" customWidth="true" hidden="false" outlineLevel="0" max="1025" min="18" style="0" width="11.42"/>
  </cols>
  <sheetData>
    <row r="1" customFormat="false" ht="12.75" hidden="false" customHeight="false" outlineLevel="0" collapsed="false">
      <c r="A1" s="9" t="str">
        <f aca="true">MID(CELL("filename",$A$1),   FIND("\[",CELL("filename",$A$1))+2,   FIND("]",CELL("filename",$A$1),FIND("\[",CELL("filename",$A$1))+2)-FIND("\[",CELL("filename",$A$1))-2)</f>
        <v>TDProperties_Rev0_v69.xlsx</v>
      </c>
    </row>
    <row r="2" customFormat="false" ht="12.75" hidden="false" customHeight="false" outlineLevel="0" collapsed="false">
      <c r="A2" s="0" t="str">
        <f aca="true">MID(CELL("filename",A1),FIND("]",CELL("filename",A1))+1,256)</f>
        <v>Elements CODATA</v>
      </c>
    </row>
    <row r="4" customFormat="false" ht="12.75" hidden="false" customHeight="false" outlineLevel="0" collapsed="false">
      <c r="A4" s="9" t="s">
        <v>522</v>
      </c>
    </row>
    <row r="5" customFormat="false" ht="12.75" hidden="false" customHeight="false" outlineLevel="0" collapsed="false">
      <c r="E5" s="10"/>
      <c r="AA5" s="10"/>
      <c r="AB5" s="10"/>
    </row>
    <row r="6" customFormat="false" ht="12.75" hidden="false" customHeight="false" outlineLevel="0" collapsed="false">
      <c r="A6" s="10" t="s">
        <v>150</v>
      </c>
      <c r="E6" s="10"/>
      <c r="G6" s="10"/>
      <c r="H6" s="10"/>
      <c r="X6" s="10"/>
      <c r="Y6" s="10"/>
      <c r="Z6" s="10"/>
      <c r="AA6" s="10"/>
      <c r="AB6" s="10"/>
    </row>
    <row r="7" customFormat="false" ht="12.75" hidden="false" customHeight="false" outlineLevel="0" collapsed="false">
      <c r="A7" s="10"/>
      <c r="E7" s="10"/>
      <c r="G7" s="10"/>
      <c r="H7" s="10"/>
      <c r="X7" s="10"/>
      <c r="Y7" s="10"/>
      <c r="Z7" s="10"/>
      <c r="AA7" s="10"/>
      <c r="AB7" s="10"/>
    </row>
    <row r="8" customFormat="false" ht="12.75" hidden="false" customHeight="false" outlineLevel="0" collapsed="false">
      <c r="A8" s="10" t="s">
        <v>523</v>
      </c>
      <c r="E8" s="10"/>
      <c r="G8" s="10"/>
      <c r="H8" s="10"/>
      <c r="X8" s="10"/>
      <c r="Y8" s="10"/>
      <c r="Z8" s="10"/>
      <c r="AA8" s="10"/>
      <c r="AB8" s="10"/>
    </row>
    <row r="9" customFormat="false" ht="12.75" hidden="false" customHeight="false" outlineLevel="0" collapsed="false">
      <c r="E9" s="10"/>
      <c r="G9" s="10"/>
      <c r="H9" s="10"/>
      <c r="W9" s="10"/>
      <c r="X9" s="10"/>
      <c r="Y9" s="10"/>
      <c r="Z9" s="10"/>
      <c r="AA9" s="10"/>
      <c r="AB9" s="10"/>
    </row>
    <row r="10" customFormat="false" ht="12.75" hidden="false" customHeight="false" outlineLevel="0" collapsed="false">
      <c r="E10" s="10"/>
      <c r="G10" s="10"/>
      <c r="H10" s="10"/>
      <c r="W10" s="10"/>
      <c r="X10" s="10"/>
      <c r="Y10" s="10"/>
      <c r="Z10" s="10"/>
      <c r="AA10" s="10"/>
      <c r="AB10" s="10"/>
    </row>
    <row r="11" customFormat="false" ht="12.75" hidden="false" customHeight="false" outlineLevel="0" collapsed="false">
      <c r="B11" s="9" t="s">
        <v>152</v>
      </c>
      <c r="E11" s="10"/>
      <c r="G11" s="10"/>
      <c r="H11" s="10"/>
      <c r="J11" s="9" t="s">
        <v>153</v>
      </c>
      <c r="S11" s="9" t="s">
        <v>153</v>
      </c>
      <c r="W11" s="10"/>
      <c r="X11" s="10"/>
      <c r="Y11" s="10"/>
      <c r="Z11" s="10"/>
      <c r="AA11" s="9" t="s">
        <v>153</v>
      </c>
      <c r="AB11" s="10"/>
    </row>
    <row r="12" customFormat="false" ht="12.75" hidden="false" customHeight="false" outlineLevel="0" collapsed="false">
      <c r="B12" s="9" t="s">
        <v>154</v>
      </c>
      <c r="E12" s="10"/>
      <c r="G12" s="10"/>
      <c r="H12" s="10"/>
      <c r="J12" s="46" t="s">
        <v>159</v>
      </c>
      <c r="S12" s="46" t="s">
        <v>157</v>
      </c>
      <c r="W12" s="10"/>
      <c r="X12" s="10"/>
      <c r="Y12" s="10"/>
      <c r="Z12" s="10"/>
      <c r="AA12" s="46" t="s">
        <v>158</v>
      </c>
      <c r="AB12" s="10"/>
    </row>
    <row r="13" customFormat="false" ht="12.75" hidden="false" customHeight="false" outlineLevel="0" collapsed="false">
      <c r="B13" s="9" t="s">
        <v>156</v>
      </c>
      <c r="C13" s="9"/>
      <c r="D13" s="9"/>
      <c r="E13" s="9"/>
      <c r="F13" s="9"/>
      <c r="G13" s="9"/>
      <c r="H13" s="9"/>
      <c r="I13" s="9"/>
      <c r="J13" s="9"/>
      <c r="K13" s="9"/>
      <c r="L13" s="9"/>
      <c r="M13" s="9"/>
      <c r="N13" s="9"/>
      <c r="O13" s="9"/>
      <c r="P13" s="9"/>
      <c r="S13" s="9"/>
      <c r="T13" s="9"/>
      <c r="U13" s="9"/>
      <c r="V13" s="9"/>
      <c r="W13" s="9"/>
      <c r="X13" s="9"/>
      <c r="Y13" s="9"/>
    </row>
    <row r="14" customFormat="false" ht="13.5" hidden="false" customHeight="false" outlineLevel="0" collapsed="false">
      <c r="A14" s="2"/>
      <c r="B14" s="2"/>
      <c r="C14" s="2"/>
      <c r="I14" s="9"/>
      <c r="J14" s="9"/>
      <c r="K14" s="9"/>
      <c r="L14" s="9"/>
      <c r="M14" s="9"/>
      <c r="N14" s="9"/>
      <c r="O14" s="9"/>
      <c r="P14" s="9"/>
      <c r="Q14" s="45"/>
      <c r="R14" s="10"/>
      <c r="S14" s="46"/>
      <c r="T14" s="9"/>
      <c r="Y14" s="9"/>
    </row>
    <row r="15" customFormat="false" ht="13.5" hidden="false" customHeight="false" outlineLevel="0" collapsed="false">
      <c r="B15" s="120" t="s">
        <v>160</v>
      </c>
      <c r="C15" s="121" t="s">
        <v>524</v>
      </c>
      <c r="D15" s="48" t="s">
        <v>525</v>
      </c>
      <c r="E15" s="48" t="s">
        <v>526</v>
      </c>
      <c r="F15" s="48" t="s">
        <v>527</v>
      </c>
      <c r="G15" s="48" t="s">
        <v>528</v>
      </c>
      <c r="H15" s="48" t="s">
        <v>529</v>
      </c>
      <c r="I15" s="49"/>
      <c r="J15" s="120" t="s">
        <v>160</v>
      </c>
      <c r="K15" s="121" t="s">
        <v>524</v>
      </c>
      <c r="L15" s="48" t="s">
        <v>525</v>
      </c>
      <c r="M15" s="48" t="s">
        <v>526</v>
      </c>
      <c r="N15" s="48" t="s">
        <v>527</v>
      </c>
      <c r="O15" s="48" t="s">
        <v>528</v>
      </c>
      <c r="P15" s="48" t="s">
        <v>529</v>
      </c>
      <c r="S15" s="120" t="s">
        <v>160</v>
      </c>
      <c r="T15" s="121" t="s">
        <v>524</v>
      </c>
      <c r="U15" s="48" t="s">
        <v>525</v>
      </c>
      <c r="V15" s="48" t="s">
        <v>526</v>
      </c>
      <c r="W15" s="48" t="s">
        <v>527</v>
      </c>
      <c r="X15" s="48" t="s">
        <v>528</v>
      </c>
      <c r="Y15" s="48" t="s">
        <v>529</v>
      </c>
      <c r="AA15" s="120" t="s">
        <v>160</v>
      </c>
      <c r="AB15" s="121" t="s">
        <v>524</v>
      </c>
      <c r="AC15" s="48" t="s">
        <v>525</v>
      </c>
      <c r="AD15" s="48" t="s">
        <v>526</v>
      </c>
      <c r="AE15" s="48" t="s">
        <v>527</v>
      </c>
      <c r="AF15" s="48" t="s">
        <v>528</v>
      </c>
      <c r="AG15" s="48" t="s">
        <v>529</v>
      </c>
    </row>
    <row r="16" customFormat="false" ht="12.75" hidden="false" customHeight="false" outlineLevel="0" collapsed="false">
      <c r="B16" s="11"/>
      <c r="C16" s="122"/>
      <c r="D16" s="123"/>
      <c r="E16" s="123"/>
      <c r="F16" s="123"/>
      <c r="G16" s="123"/>
      <c r="H16" s="51" t="s">
        <v>530</v>
      </c>
      <c r="I16" s="52"/>
      <c r="J16" s="11"/>
      <c r="K16" s="122"/>
      <c r="L16" s="123"/>
      <c r="M16" s="123"/>
      <c r="N16" s="123"/>
      <c r="O16" s="123"/>
      <c r="P16" s="51" t="s">
        <v>530</v>
      </c>
      <c r="R16" s="14"/>
      <c r="S16" s="11"/>
      <c r="T16" s="96"/>
      <c r="U16" s="123"/>
      <c r="V16" s="124"/>
      <c r="W16" s="123"/>
      <c r="X16" s="125"/>
      <c r="Y16" s="51" t="s">
        <v>530</v>
      </c>
      <c r="AA16" s="11"/>
      <c r="AB16" s="126"/>
      <c r="AC16" s="123"/>
      <c r="AD16" s="124"/>
      <c r="AE16" s="123"/>
      <c r="AF16" s="125"/>
      <c r="AG16" s="51" t="s">
        <v>530</v>
      </c>
    </row>
    <row r="17" customFormat="false" ht="12.75" hidden="false" customHeight="false" outlineLevel="0" collapsed="false">
      <c r="B17" s="16" t="s">
        <v>20</v>
      </c>
      <c r="C17" s="127" t="s">
        <v>531</v>
      </c>
      <c r="D17" s="54" t="s">
        <v>531</v>
      </c>
      <c r="E17" s="54" t="s">
        <v>531</v>
      </c>
      <c r="F17" s="54" t="s">
        <v>531</v>
      </c>
      <c r="G17" s="54" t="s">
        <v>531</v>
      </c>
      <c r="H17" s="54" t="s">
        <v>165</v>
      </c>
      <c r="I17" s="52"/>
      <c r="J17" s="16" t="s">
        <v>20</v>
      </c>
      <c r="K17" s="127" t="s">
        <v>531</v>
      </c>
      <c r="L17" s="54" t="s">
        <v>531</v>
      </c>
      <c r="M17" s="54" t="s">
        <v>531</v>
      </c>
      <c r="N17" s="54" t="s">
        <v>531</v>
      </c>
      <c r="O17" s="54" t="s">
        <v>531</v>
      </c>
      <c r="P17" s="54" t="s">
        <v>165</v>
      </c>
      <c r="R17" s="19"/>
      <c r="S17" s="16" t="s">
        <v>20</v>
      </c>
      <c r="T17" s="52" t="s">
        <v>531</v>
      </c>
      <c r="U17" s="54" t="s">
        <v>531</v>
      </c>
      <c r="V17" s="52" t="s">
        <v>531</v>
      </c>
      <c r="W17" s="54" t="s">
        <v>531</v>
      </c>
      <c r="X17" s="127" t="s">
        <v>531</v>
      </c>
      <c r="Y17" s="54" t="s">
        <v>165</v>
      </c>
      <c r="Z17" s="10"/>
      <c r="AA17" s="16" t="s">
        <v>20</v>
      </c>
      <c r="AB17" s="128" t="s">
        <v>531</v>
      </c>
      <c r="AC17" s="54" t="s">
        <v>531</v>
      </c>
      <c r="AD17" s="52" t="s">
        <v>531</v>
      </c>
      <c r="AE17" s="54" t="s">
        <v>531</v>
      </c>
      <c r="AF17" s="127" t="s">
        <v>531</v>
      </c>
      <c r="AG17" s="54" t="s">
        <v>165</v>
      </c>
    </row>
    <row r="18" customFormat="false" ht="12.75" hidden="false" customHeight="false" outlineLevel="0" collapsed="false">
      <c r="B18" s="16" t="s">
        <v>17</v>
      </c>
      <c r="C18" s="127" t="n">
        <v>1972</v>
      </c>
      <c r="D18" s="54" t="n">
        <v>1975</v>
      </c>
      <c r="E18" s="54" t="n">
        <v>1976</v>
      </c>
      <c r="F18" s="54" t="n">
        <v>1977</v>
      </c>
      <c r="G18" s="54" t="n">
        <v>1978</v>
      </c>
      <c r="H18" s="54" t="n">
        <v>1989</v>
      </c>
      <c r="I18" s="52"/>
      <c r="J18" s="16" t="s">
        <v>17</v>
      </c>
      <c r="K18" s="127" t="n">
        <v>1972</v>
      </c>
      <c r="L18" s="54" t="n">
        <v>1975</v>
      </c>
      <c r="M18" s="54" t="n">
        <v>1976</v>
      </c>
      <c r="N18" s="54" t="n">
        <v>1977</v>
      </c>
      <c r="O18" s="54" t="n">
        <v>1978</v>
      </c>
      <c r="P18" s="54" t="n">
        <v>1989</v>
      </c>
      <c r="R18" s="19" t="s">
        <v>24</v>
      </c>
      <c r="S18" s="16" t="s">
        <v>17</v>
      </c>
      <c r="T18" s="52" t="n">
        <v>1972</v>
      </c>
      <c r="U18" s="54" t="n">
        <v>1975</v>
      </c>
      <c r="V18" s="52" t="n">
        <v>1976</v>
      </c>
      <c r="W18" s="54" t="n">
        <v>1977</v>
      </c>
      <c r="X18" s="127" t="n">
        <v>1978</v>
      </c>
      <c r="Y18" s="54" t="n">
        <v>1989</v>
      </c>
      <c r="Z18" s="10"/>
      <c r="AA18" s="16" t="s">
        <v>17</v>
      </c>
      <c r="AB18" s="128" t="n">
        <v>1972</v>
      </c>
      <c r="AC18" s="54" t="n">
        <v>1975</v>
      </c>
      <c r="AD18" s="52" t="n">
        <v>1976</v>
      </c>
      <c r="AE18" s="54" t="n">
        <v>1977</v>
      </c>
      <c r="AF18" s="127" t="n">
        <v>1978</v>
      </c>
      <c r="AG18" s="54" t="n">
        <v>1989</v>
      </c>
    </row>
    <row r="19" customFormat="false" ht="15" hidden="false" customHeight="false" outlineLevel="0" collapsed="false">
      <c r="B19" s="21" t="s">
        <v>29</v>
      </c>
      <c r="C19" s="55" t="s">
        <v>167</v>
      </c>
      <c r="D19" s="55" t="s">
        <v>167</v>
      </c>
      <c r="E19" s="55" t="s">
        <v>167</v>
      </c>
      <c r="F19" s="55" t="s">
        <v>167</v>
      </c>
      <c r="G19" s="55" t="s">
        <v>167</v>
      </c>
      <c r="H19" s="55" t="s">
        <v>167</v>
      </c>
      <c r="I19" s="52"/>
      <c r="J19" s="21" t="s">
        <v>29</v>
      </c>
      <c r="K19" s="55" t="s">
        <v>166</v>
      </c>
      <c r="L19" s="55" t="s">
        <v>166</v>
      </c>
      <c r="M19" s="55" t="s">
        <v>166</v>
      </c>
      <c r="N19" s="55" t="s">
        <v>166</v>
      </c>
      <c r="O19" s="55" t="s">
        <v>166</v>
      </c>
      <c r="P19" s="55" t="s">
        <v>166</v>
      </c>
      <c r="R19" s="24" t="s">
        <v>28</v>
      </c>
      <c r="S19" s="21" t="s">
        <v>29</v>
      </c>
      <c r="T19" s="55" t="s">
        <v>167</v>
      </c>
      <c r="U19" s="55" t="s">
        <v>167</v>
      </c>
      <c r="V19" s="55" t="s">
        <v>167</v>
      </c>
      <c r="W19" s="55" t="s">
        <v>167</v>
      </c>
      <c r="X19" s="55" t="s">
        <v>167</v>
      </c>
      <c r="Y19" s="55" t="s">
        <v>167</v>
      </c>
      <c r="Z19" s="10"/>
      <c r="AA19" s="21" t="s">
        <v>29</v>
      </c>
      <c r="AB19" s="55" t="s">
        <v>166</v>
      </c>
      <c r="AC19" s="55" t="s">
        <v>166</v>
      </c>
      <c r="AD19" s="55" t="s">
        <v>166</v>
      </c>
      <c r="AE19" s="55" t="s">
        <v>166</v>
      </c>
      <c r="AF19" s="55" t="s">
        <v>166</v>
      </c>
      <c r="AG19" s="55" t="s">
        <v>166</v>
      </c>
    </row>
    <row r="20" customFormat="false" ht="12.75" hidden="false" customHeight="false" outlineLevel="0" collapsed="false">
      <c r="B20" s="26" t="s">
        <v>30</v>
      </c>
      <c r="C20" s="129"/>
      <c r="D20" s="100"/>
      <c r="E20" s="99"/>
      <c r="F20" s="100"/>
      <c r="G20" s="99"/>
      <c r="H20" s="57"/>
      <c r="I20" s="58"/>
      <c r="J20" s="26" t="s">
        <v>30</v>
      </c>
      <c r="K20" s="130" t="str">
        <f aca="false">IF(IF(ISBLANK(C20),1,(TRIM(C20)="")),"",ROUND(C20/4.184,3))</f>
        <v/>
      </c>
      <c r="L20" s="131" t="str">
        <f aca="false">IF(IF(ISBLANK(D20),1,(TRIM(D20)="")),"",ROUND(D20/4.184,3))</f>
        <v/>
      </c>
      <c r="M20" s="132" t="str">
        <f aca="false">IF(IF(ISBLANK(E20),1,(TRIM(E20)="")),"",ROUND(E20/4.184,3))</f>
        <v/>
      </c>
      <c r="N20" s="131" t="str">
        <f aca="false">IF(IF(ISBLANK(F20),1,(TRIM(F20)="")),"",ROUND(F20/4.184,3))</f>
        <v/>
      </c>
      <c r="O20" s="132" t="str">
        <f aca="false">IF(IF(ISBLANK(G20),1,(TRIM(G20)="")),"",ROUND(G20/4.184,3))</f>
        <v/>
      </c>
      <c r="P20" s="131" t="str">
        <f aca="false">IF(IF(ISBLANK(H20),1,(TRIM(H20)="")),"",ROUND(H20/4.184,3))</f>
        <v/>
      </c>
      <c r="Q20" s="133"/>
      <c r="R20" s="29"/>
      <c r="S20" s="26" t="s">
        <v>30</v>
      </c>
      <c r="T20" s="130" t="str">
        <f aca="false">IF(IF(ISBLANK(C20),1,(TRIM(C20)="")),"",ROUND(C20+$R20*0.1094,3))</f>
        <v/>
      </c>
      <c r="U20" s="131" t="str">
        <f aca="false">IF(IF(ISBLANK(D20),1,(TRIM(D20)="")),"",ROUND(D20+$R20*0.1094,3))</f>
        <v/>
      </c>
      <c r="V20" s="130" t="str">
        <f aca="false">IF(IF(ISBLANK(E20),1,(TRIM(E20)="")),"",ROUND(E20+$R20*0.1094,3))</f>
        <v/>
      </c>
      <c r="W20" s="131" t="str">
        <f aca="false">IF(IF(ISBLANK(F20),1,(TRIM(F20)="")),"",ROUND(F20+$R20*0.1094,3))</f>
        <v/>
      </c>
      <c r="X20" s="130" t="str">
        <f aca="false">IF(IF(ISBLANK(G20),1,(TRIM(G20)="")),"",ROUND(G20+$R20*0.1094,3))</f>
        <v/>
      </c>
      <c r="Y20" s="131" t="str">
        <f aca="false">IF(IF(ISBLANK(H20),1,(TRIM(H20)="")),"",ROUND(H20+$R20*0.1094,3))</f>
        <v/>
      </c>
      <c r="Z20" s="10"/>
      <c r="AA20" s="134" t="s">
        <v>30</v>
      </c>
      <c r="AB20" s="85" t="str">
        <f aca="false">IF(IF(ISBLANK(C20),1,(TRIM(C20)="")),"",ROUND((C20+$R20*0.1094)/4.184,3))</f>
        <v/>
      </c>
      <c r="AC20" s="135" t="str">
        <f aca="false">IF(IF(ISBLANK(D20),1,(TRIM(D20)="")),"",ROUND((D20+$R20*0.1094)/4.184,3))</f>
        <v/>
      </c>
      <c r="AD20" s="85" t="str">
        <f aca="false">IF(IF(ISBLANK(E20),1,(TRIM(E20)="")),"",ROUND((E20+$R20*0.1094)/4.184,3))</f>
        <v/>
      </c>
      <c r="AE20" s="135" t="str">
        <f aca="false">IF(IF(ISBLANK(F20),1,(TRIM(F20)="")),"",ROUND((F20+$R20*0.1094)/4.184,3))</f>
        <v/>
      </c>
      <c r="AF20" s="85" t="str">
        <f aca="false">IF(IF(ISBLANK(G20),1,(TRIM(G20)="")),"",ROUND((G20+$R20*0.1094)/4.184,3))</f>
        <v/>
      </c>
      <c r="AG20" s="101" t="str">
        <f aca="false">IF(IF(ISBLANK(H20),1,(TRIM(H20)="")),"",ROUND((H20+$R20*0.1094)/4.184,3))</f>
        <v/>
      </c>
    </row>
    <row r="21" customFormat="false" ht="12.75" hidden="false" customHeight="false" outlineLevel="0" collapsed="false">
      <c r="A21" s="87"/>
      <c r="B21" s="31" t="s">
        <v>31</v>
      </c>
      <c r="C21" s="136"/>
      <c r="D21" s="63" t="n">
        <v>42.55</v>
      </c>
      <c r="E21" s="62" t="n">
        <v>42.55</v>
      </c>
      <c r="F21" s="63" t="n">
        <v>42.55</v>
      </c>
      <c r="G21" s="62" t="n">
        <v>42.55</v>
      </c>
      <c r="H21" s="63" t="n">
        <v>42.55</v>
      </c>
      <c r="I21" s="58"/>
      <c r="J21" s="31" t="s">
        <v>31</v>
      </c>
      <c r="K21" s="130" t="str">
        <f aca="false">IF(IF(ISBLANK(C21),1,(TRIM(C21)="")),"",ROUND(C21/4.184,3))</f>
        <v/>
      </c>
      <c r="L21" s="137" t="n">
        <f aca="false">IF(IF(ISBLANK(D21),1,(TRIM(D21)="")),"",ROUND(D21/4.184,3))</f>
        <v>10.17</v>
      </c>
      <c r="M21" s="132" t="n">
        <f aca="false">IF(IF(ISBLANK(E21),1,(TRIM(E21)="")),"",ROUND(E21/4.184,3))</f>
        <v>10.17</v>
      </c>
      <c r="N21" s="137" t="n">
        <f aca="false">IF(IF(ISBLANK(F21),1,(TRIM(F21)="")),"",ROUND(F21/4.184,3))</f>
        <v>10.17</v>
      </c>
      <c r="O21" s="132" t="n">
        <f aca="false">IF(IF(ISBLANK(G21),1,(TRIM(G21)="")),"",ROUND(G21/4.184,3))</f>
        <v>10.17</v>
      </c>
      <c r="P21" s="137" t="n">
        <f aca="false">IF(IF(ISBLANK(H21),1,(TRIM(H21)="")),"",ROUND(H21/4.184,3))</f>
        <v>10.17</v>
      </c>
      <c r="R21" s="34"/>
      <c r="S21" s="31" t="s">
        <v>31</v>
      </c>
      <c r="T21" s="130" t="str">
        <f aca="false">IF(IF(ISBLANK(C21),1,(TRIM(C21)="")),"",ROUND(C21+$R21*0.1094,3))</f>
        <v/>
      </c>
      <c r="U21" s="101" t="n">
        <f aca="false">IF(IF(ISBLANK(D21),1,(TRIM(D21)="")),"",ROUND(D21+$R21*0.1094,3))</f>
        <v>42.55</v>
      </c>
      <c r="V21" s="130" t="n">
        <f aca="false">IF(IF(ISBLANK(E21),1,(TRIM(E21)="")),"",ROUND(E21+$R21*0.1094,3))</f>
        <v>42.55</v>
      </c>
      <c r="W21" s="101" t="n">
        <f aca="false">IF(IF(ISBLANK(F21),1,(TRIM(F21)="")),"",ROUND(F21+$R21*0.1094,3))</f>
        <v>42.55</v>
      </c>
      <c r="X21" s="130" t="n">
        <f aca="false">IF(IF(ISBLANK(G21),1,(TRIM(G21)="")),"",ROUND(G21+$R21*0.1094,3))</f>
        <v>42.55</v>
      </c>
      <c r="Y21" s="101" t="n">
        <f aca="false">IF(IF(ISBLANK(H21),1,(TRIM(H21)="")),"",ROUND(H21+$R21*0.1094,3))</f>
        <v>42.55</v>
      </c>
      <c r="Z21" s="10"/>
      <c r="AA21" s="138" t="s">
        <v>31</v>
      </c>
      <c r="AB21" s="93" t="str">
        <f aca="false">IF(IF(ISBLANK(C21),1,(TRIM(C21)="")),"",ROUND((C21+$R21*0.1094)/4.184,3))</f>
        <v/>
      </c>
      <c r="AC21" s="139" t="n">
        <f aca="false">IF(IF(ISBLANK(D21),1,(TRIM(D21)="")),"",ROUND((D21+$R21*0.1094)/4.184,3))</f>
        <v>10.17</v>
      </c>
      <c r="AD21" s="93" t="n">
        <f aca="false">IF(IF(ISBLANK(E21),1,(TRIM(E21)="")),"",ROUND((E21+$R21*0.1094)/4.184,3))</f>
        <v>10.17</v>
      </c>
      <c r="AE21" s="139" t="n">
        <f aca="false">IF(IF(ISBLANK(F21),1,(TRIM(F21)="")),"",ROUND((F21+$R21*0.1094)/4.184,3))</f>
        <v>10.17</v>
      </c>
      <c r="AF21" s="93" t="n">
        <f aca="false">IF(IF(ISBLANK(G21),1,(TRIM(G21)="")),"",ROUND((G21+$R21*0.1094)/4.184,3))</f>
        <v>10.17</v>
      </c>
      <c r="AG21" s="137" t="n">
        <f aca="false">IF(IF(ISBLANK(H21),1,(TRIM(H21)="")),"",ROUND((H21+$R21*0.1094)/4.184,3))</f>
        <v>10.17</v>
      </c>
    </row>
    <row r="22" customFormat="false" ht="12.75" hidden="false" customHeight="false" outlineLevel="0" collapsed="false">
      <c r="B22" s="31" t="s">
        <v>32</v>
      </c>
      <c r="C22" s="136"/>
      <c r="D22" s="63"/>
      <c r="E22" s="64" t="n">
        <v>28.35</v>
      </c>
      <c r="F22" s="65" t="n">
        <v>28.35</v>
      </c>
      <c r="G22" s="64" t="n">
        <v>28.35</v>
      </c>
      <c r="H22" s="65" t="s">
        <v>532</v>
      </c>
      <c r="I22" s="66"/>
      <c r="J22" s="31" t="s">
        <v>32</v>
      </c>
      <c r="K22" s="130" t="str">
        <f aca="false">IF(IF(ISBLANK(C22),1,(TRIM(C22)="")),"",ROUND(C22/4.184,3))</f>
        <v/>
      </c>
      <c r="L22" s="137" t="str">
        <f aca="false">IF(IF(ISBLANK(D22),1,(TRIM(D22)="")),"",ROUND(D22/4.184,3))</f>
        <v/>
      </c>
      <c r="M22" s="132" t="n">
        <f aca="false">IF(IF(ISBLANK(E22),1,(TRIM(E22)="")),"",ROUND(E22/4.184,3))</f>
        <v>6.776</v>
      </c>
      <c r="N22" s="137" t="n">
        <f aca="false">IF(IF(ISBLANK(F22),1,(TRIM(F22)="")),"",ROUND(F22/4.184,3))</f>
        <v>6.776</v>
      </c>
      <c r="O22" s="132" t="n">
        <f aca="false">IF(IF(ISBLANK(G22),1,(TRIM(G22)="")),"",ROUND(G22/4.184,3))</f>
        <v>6.776</v>
      </c>
      <c r="P22" s="137" t="n">
        <f aca="false">IF(IF(ISBLANK(H22),1,(TRIM(H22)="")),"",ROUND(H22/4.184,3))</f>
        <v>6.764</v>
      </c>
      <c r="Q22" s="45"/>
      <c r="R22" s="34"/>
      <c r="S22" s="31" t="s">
        <v>32</v>
      </c>
      <c r="T22" s="130" t="str">
        <f aca="false">IF(IF(ISBLANK(C22),1,(TRIM(C22)="")),"",ROUND(C22+$R22*0.1094,3))</f>
        <v/>
      </c>
      <c r="U22" s="101" t="str">
        <f aca="false">IF(IF(ISBLANK(D22),1,(TRIM(D22)="")),"",ROUND(D22+$R22*0.1094,3))</f>
        <v/>
      </c>
      <c r="V22" s="130" t="n">
        <f aca="false">IF(IF(ISBLANK(E22),1,(TRIM(E22)="")),"",ROUND(E22+$R22*0.1094,3))</f>
        <v>28.35</v>
      </c>
      <c r="W22" s="101" t="n">
        <f aca="false">IF(IF(ISBLANK(F22),1,(TRIM(F22)="")),"",ROUND(F22+$R22*0.1094,3))</f>
        <v>28.35</v>
      </c>
      <c r="X22" s="130" t="n">
        <f aca="false">IF(IF(ISBLANK(G22),1,(TRIM(G22)="")),"",ROUND(G22+$R22*0.1094,3))</f>
        <v>28.35</v>
      </c>
      <c r="Y22" s="101" t="n">
        <f aca="false">IF(IF(ISBLANK(H22),1,(TRIM(H22)="")),"",ROUND(H22+$R22*0.1094,3))</f>
        <v>28.3</v>
      </c>
      <c r="Z22" s="10"/>
      <c r="AA22" s="138" t="s">
        <v>32</v>
      </c>
      <c r="AB22" s="93" t="str">
        <f aca="false">IF(IF(ISBLANK(C22),1,(TRIM(C22)="")),"",ROUND((C22+$R22*0.1094)/4.184,3))</f>
        <v/>
      </c>
      <c r="AC22" s="139" t="str">
        <f aca="false">IF(IF(ISBLANK(D22),1,(TRIM(D22)="")),"",ROUND((D22+$R22*0.1094)/4.184,3))</f>
        <v/>
      </c>
      <c r="AD22" s="93" t="n">
        <f aca="false">IF(IF(ISBLANK(E22),1,(TRIM(E22)="")),"",ROUND((E22+$R22*0.1094)/4.184,3))</f>
        <v>6.776</v>
      </c>
      <c r="AE22" s="139" t="n">
        <f aca="false">IF(IF(ISBLANK(F22),1,(TRIM(F22)="")),"",ROUND((F22+$R22*0.1094)/4.184,3))</f>
        <v>6.776</v>
      </c>
      <c r="AF22" s="93" t="n">
        <f aca="false">IF(IF(ISBLANK(G22),1,(TRIM(G22)="")),"",ROUND((G22+$R22*0.1094)/4.184,3))</f>
        <v>6.776</v>
      </c>
      <c r="AG22" s="137" t="n">
        <f aca="false">IF(IF(ISBLANK(H22),1,(TRIM(H22)="")),"",ROUND((H22+$R22*0.1094)/4.184,3))</f>
        <v>6.764</v>
      </c>
    </row>
    <row r="23" customFormat="false" ht="12.75" hidden="false" customHeight="false" outlineLevel="0" collapsed="false">
      <c r="B23" s="31" t="s">
        <v>33</v>
      </c>
      <c r="C23" s="136"/>
      <c r="D23" s="63"/>
      <c r="E23" s="62"/>
      <c r="F23" s="63"/>
      <c r="G23" s="62"/>
      <c r="H23" s="63"/>
      <c r="I23" s="58"/>
      <c r="J23" s="31" t="s">
        <v>33</v>
      </c>
      <c r="K23" s="130" t="str">
        <f aca="false">IF(IF(ISBLANK(C23),1,(TRIM(C23)="")),"",ROUND(C23/4.184,3))</f>
        <v/>
      </c>
      <c r="L23" s="137" t="str">
        <f aca="false">IF(IF(ISBLANK(D23),1,(TRIM(D23)="")),"",ROUND(D23/4.184,3))</f>
        <v/>
      </c>
      <c r="M23" s="132" t="str">
        <f aca="false">IF(IF(ISBLANK(E23),1,(TRIM(E23)="")),"",ROUND(E23/4.184,3))</f>
        <v/>
      </c>
      <c r="N23" s="137" t="str">
        <f aca="false">IF(IF(ISBLANK(F23),1,(TRIM(F23)="")),"",ROUND(F23/4.184,3))</f>
        <v/>
      </c>
      <c r="O23" s="132" t="str">
        <f aca="false">IF(IF(ISBLANK(G23),1,(TRIM(G23)="")),"",ROUND(G23/4.184,3))</f>
        <v/>
      </c>
      <c r="P23" s="137" t="str">
        <f aca="false">IF(IF(ISBLANK(H23),1,(TRIM(H23)="")),"",ROUND(H23/4.184,3))</f>
        <v/>
      </c>
      <c r="Q23" s="45"/>
      <c r="R23" s="34"/>
      <c r="S23" s="31" t="s">
        <v>33</v>
      </c>
      <c r="T23" s="130" t="str">
        <f aca="false">IF(IF(ISBLANK(C23),1,(TRIM(C23)="")),"",ROUND(C23+$R23*0.1094,3))</f>
        <v/>
      </c>
      <c r="U23" s="101" t="str">
        <f aca="false">IF(IF(ISBLANK(D23),1,(TRIM(D23)="")),"",ROUND(D23+$R23*0.1094,3))</f>
        <v/>
      </c>
      <c r="V23" s="130" t="str">
        <f aca="false">IF(IF(ISBLANK(E23),1,(TRIM(E23)="")),"",ROUND(E23+$R23*0.1094,3))</f>
        <v/>
      </c>
      <c r="W23" s="101" t="str">
        <f aca="false">IF(IF(ISBLANK(F23),1,(TRIM(F23)="")),"",ROUND(F23+$R23*0.1094,3))</f>
        <v/>
      </c>
      <c r="X23" s="130" t="str">
        <f aca="false">IF(IF(ISBLANK(G23),1,(TRIM(G23)="")),"",ROUND(G23+$R23*0.1094,3))</f>
        <v/>
      </c>
      <c r="Y23" s="101" t="str">
        <f aca="false">IF(IF(ISBLANK(H23),1,(TRIM(H23)="")),"",ROUND(H23+$R23*0.1094,3))</f>
        <v/>
      </c>
      <c r="AA23" s="138" t="s">
        <v>33</v>
      </c>
      <c r="AB23" s="93" t="str">
        <f aca="false">IF(IF(ISBLANK(C23),1,(TRIM(C23)="")),"",ROUND((C23+$R23*0.1094)/4.184,3))</f>
        <v/>
      </c>
      <c r="AC23" s="139" t="str">
        <f aca="false">IF(IF(ISBLANK(D23),1,(TRIM(D23)="")),"",ROUND((D23+$R23*0.1094)/4.184,3))</f>
        <v/>
      </c>
      <c r="AD23" s="93" t="str">
        <f aca="false">IF(IF(ISBLANK(E23),1,(TRIM(E23)="")),"",ROUND((E23+$R23*0.1094)/4.184,3))</f>
        <v/>
      </c>
      <c r="AE23" s="139" t="str">
        <f aca="false">IF(IF(ISBLANK(F23),1,(TRIM(F23)="")),"",ROUND((F23+$R23*0.1094)/4.184,3))</f>
        <v/>
      </c>
      <c r="AF23" s="93" t="str">
        <f aca="false">IF(IF(ISBLANK(G23),1,(TRIM(G23)="")),"",ROUND((G23+$R23*0.1094)/4.184,3))</f>
        <v/>
      </c>
      <c r="AG23" s="137" t="str">
        <f aca="false">IF(IF(ISBLANK(H23),1,(TRIM(H23)="")),"",ROUND((H23+$R23*0.1094)/4.184,3))</f>
        <v/>
      </c>
    </row>
    <row r="24" customFormat="false" ht="12.75" hidden="false" customHeight="false" outlineLevel="0" collapsed="false">
      <c r="B24" s="31" t="s">
        <v>34</v>
      </c>
      <c r="C24" s="136" t="n">
        <v>154.732</v>
      </c>
      <c r="D24" s="63" t="n">
        <v>154.732</v>
      </c>
      <c r="E24" s="62" t="n">
        <v>154.732</v>
      </c>
      <c r="F24" s="63" t="n">
        <v>154.732</v>
      </c>
      <c r="G24" s="62" t="n">
        <v>154.732</v>
      </c>
      <c r="H24" s="65" t="s">
        <v>533</v>
      </c>
      <c r="I24" s="58"/>
      <c r="J24" s="31" t="s">
        <v>34</v>
      </c>
      <c r="K24" s="130" t="n">
        <f aca="false">IF(IF(ISBLANK(C24),1,(TRIM(C24)="")),"",ROUND(C24/4.184,3))</f>
        <v>36.982</v>
      </c>
      <c r="L24" s="137" t="n">
        <f aca="false">IF(IF(ISBLANK(D24),1,(TRIM(D24)="")),"",ROUND(D24/4.184,3))</f>
        <v>36.982</v>
      </c>
      <c r="M24" s="132" t="n">
        <f aca="false">IF(IF(ISBLANK(E24),1,(TRIM(E24)="")),"",ROUND(E24/4.184,3))</f>
        <v>36.982</v>
      </c>
      <c r="N24" s="137" t="n">
        <f aca="false">IF(IF(ISBLANK(F24),1,(TRIM(F24)="")),"",ROUND(F24/4.184,3))</f>
        <v>36.982</v>
      </c>
      <c r="O24" s="132" t="n">
        <f aca="false">IF(IF(ISBLANK(G24),1,(TRIM(G24)="")),"",ROUND(G24/4.184,3))</f>
        <v>36.982</v>
      </c>
      <c r="P24" s="137" t="n">
        <f aca="false">IF(IF(ISBLANK(H24),1,(TRIM(H24)="")),"",ROUND(H24/4.184,3))</f>
        <v>36.983</v>
      </c>
      <c r="Q24" s="45"/>
      <c r="R24" s="34" t="n">
        <v>1</v>
      </c>
      <c r="S24" s="31" t="s">
        <v>34</v>
      </c>
      <c r="T24" s="130" t="n">
        <f aca="false">IF(IF(ISBLANK(C24),1,(TRIM(C24)="")),"",ROUND(C24+$R24*0.1094,3))</f>
        <v>154.841</v>
      </c>
      <c r="U24" s="101" t="n">
        <f aca="false">IF(IF(ISBLANK(D24),1,(TRIM(D24)="")),"",ROUND(D24+$R24*0.1094,3))</f>
        <v>154.841</v>
      </c>
      <c r="V24" s="130" t="n">
        <f aca="false">IF(IF(ISBLANK(E24),1,(TRIM(E24)="")),"",ROUND(E24+$R24*0.1094,3))</f>
        <v>154.841</v>
      </c>
      <c r="W24" s="101" t="n">
        <f aca="false">IF(IF(ISBLANK(F24),1,(TRIM(F24)="")),"",ROUND(F24+$R24*0.1094,3))</f>
        <v>154.841</v>
      </c>
      <c r="X24" s="130" t="n">
        <f aca="false">IF(IF(ISBLANK(G24),1,(TRIM(G24)="")),"",ROUND(G24+$R24*0.1094,3))</f>
        <v>154.841</v>
      </c>
      <c r="Y24" s="101" t="n">
        <f aca="false">IF(IF(ISBLANK(H24),1,(TRIM(H24)="")),"",ROUND(H24+$R24*0.1094,3))</f>
        <v>154.846</v>
      </c>
      <c r="AA24" s="138" t="s">
        <v>34</v>
      </c>
      <c r="AB24" s="93" t="n">
        <f aca="false">IF(IF(ISBLANK(C24),1,(TRIM(C24)="")),"",ROUND((C24+$R24*0.1094)/4.184,3))</f>
        <v>37.008</v>
      </c>
      <c r="AC24" s="139" t="n">
        <f aca="false">IF(IF(ISBLANK(D24),1,(TRIM(D24)="")),"",ROUND((D24+$R24*0.1094)/4.184,3))</f>
        <v>37.008</v>
      </c>
      <c r="AD24" s="93" t="n">
        <f aca="false">IF(IF(ISBLANK(E24),1,(TRIM(E24)="")),"",ROUND((E24+$R24*0.1094)/4.184,3))</f>
        <v>37.008</v>
      </c>
      <c r="AE24" s="139" t="n">
        <f aca="false">IF(IF(ISBLANK(F24),1,(TRIM(F24)="")),"",ROUND((F24+$R24*0.1094)/4.184,3))</f>
        <v>37.008</v>
      </c>
      <c r="AF24" s="93" t="n">
        <f aca="false">IF(IF(ISBLANK(G24),1,(TRIM(G24)="")),"",ROUND((G24+$R24*0.1094)/4.184,3))</f>
        <v>37.008</v>
      </c>
      <c r="AG24" s="137" t="n">
        <f aca="false">IF(IF(ISBLANK(H24),1,(TRIM(H24)="")),"",ROUND((H24+$R24*0.1094)/4.184,3))</f>
        <v>37.009</v>
      </c>
    </row>
    <row r="25" customFormat="false" ht="12.75" hidden="false" customHeight="false" outlineLevel="0" collapsed="false">
      <c r="B25" s="31" t="s">
        <v>35</v>
      </c>
      <c r="C25" s="136"/>
      <c r="D25" s="63"/>
      <c r="E25" s="62"/>
      <c r="F25" s="63"/>
      <c r="G25" s="62"/>
      <c r="H25" s="63"/>
      <c r="I25" s="58"/>
      <c r="J25" s="31" t="s">
        <v>35</v>
      </c>
      <c r="K25" s="130" t="str">
        <f aca="false">IF(IF(ISBLANK(C25),1,(TRIM(C25)="")),"",ROUND(C25/4.184,3))</f>
        <v/>
      </c>
      <c r="L25" s="137" t="str">
        <f aca="false">IF(IF(ISBLANK(D25),1,(TRIM(D25)="")),"",ROUND(D25/4.184,3))</f>
        <v/>
      </c>
      <c r="M25" s="132" t="str">
        <f aca="false">IF(IF(ISBLANK(E25),1,(TRIM(E25)="")),"",ROUND(E25/4.184,3))</f>
        <v/>
      </c>
      <c r="N25" s="137" t="str">
        <f aca="false">IF(IF(ISBLANK(F25),1,(TRIM(F25)="")),"",ROUND(F25/4.184,3))</f>
        <v/>
      </c>
      <c r="O25" s="132" t="str">
        <f aca="false">IF(IF(ISBLANK(G25),1,(TRIM(G25)="")),"",ROUND(G25/4.184,3))</f>
        <v/>
      </c>
      <c r="P25" s="137" t="str">
        <f aca="false">IF(IF(ISBLANK(H25),1,(TRIM(H25)="")),"",ROUND(H25/4.184,3))</f>
        <v/>
      </c>
      <c r="R25" s="34"/>
      <c r="S25" s="31" t="s">
        <v>35</v>
      </c>
      <c r="T25" s="130" t="str">
        <f aca="false">IF(IF(ISBLANK(C25),1,(TRIM(C25)="")),"",ROUND(C25+$R25*0.1094,3))</f>
        <v/>
      </c>
      <c r="U25" s="101" t="str">
        <f aca="false">IF(IF(ISBLANK(D25),1,(TRIM(D25)="")),"",ROUND(D25+$R25*0.1094,3))</f>
        <v/>
      </c>
      <c r="V25" s="130" t="str">
        <f aca="false">IF(IF(ISBLANK(E25),1,(TRIM(E25)="")),"",ROUND(E25+$R25*0.1094,3))</f>
        <v/>
      </c>
      <c r="W25" s="101" t="str">
        <f aca="false">IF(IF(ISBLANK(F25),1,(TRIM(F25)="")),"",ROUND(F25+$R25*0.1094,3))</f>
        <v/>
      </c>
      <c r="X25" s="130" t="str">
        <f aca="false">IF(IF(ISBLANK(G25),1,(TRIM(G25)="")),"",ROUND(G25+$R25*0.1094,3))</f>
        <v/>
      </c>
      <c r="Y25" s="101" t="str">
        <f aca="false">IF(IF(ISBLANK(H25),1,(TRIM(H25)="")),"",ROUND(H25+$R25*0.1094,3))</f>
        <v/>
      </c>
      <c r="AA25" s="138" t="s">
        <v>35</v>
      </c>
      <c r="AB25" s="93" t="str">
        <f aca="false">IF(IF(ISBLANK(C25),1,(TRIM(C25)="")),"",ROUND((C25+$R25*0.1094)/4.184,3))</f>
        <v/>
      </c>
      <c r="AC25" s="139" t="str">
        <f aca="false">IF(IF(ISBLANK(D25),1,(TRIM(D25)="")),"",ROUND((D25+$R25*0.1094)/4.184,3))</f>
        <v/>
      </c>
      <c r="AD25" s="93" t="str">
        <f aca="false">IF(IF(ISBLANK(E25),1,(TRIM(E25)="")),"",ROUND((E25+$R25*0.1094)/4.184,3))</f>
        <v/>
      </c>
      <c r="AE25" s="139" t="str">
        <f aca="false">IF(IF(ISBLANK(F25),1,(TRIM(F25)="")),"",ROUND((F25+$R25*0.1094)/4.184,3))</f>
        <v/>
      </c>
      <c r="AF25" s="93" t="str">
        <f aca="false">IF(IF(ISBLANK(G25),1,(TRIM(G25)="")),"",ROUND((G25+$R25*0.1094)/4.184,3))</f>
        <v/>
      </c>
      <c r="AG25" s="137" t="str">
        <f aca="false">IF(IF(ISBLANK(H25),1,(TRIM(H25)="")),"",ROUND((H25+$R25*0.1094)/4.184,3))</f>
        <v/>
      </c>
    </row>
    <row r="26" s="90" customFormat="true" ht="12.75" hidden="false" customHeight="false" outlineLevel="0" collapsed="false">
      <c r="A26" s="89"/>
      <c r="B26" s="38" t="s">
        <v>37</v>
      </c>
      <c r="C26" s="136"/>
      <c r="D26" s="63"/>
      <c r="E26" s="62"/>
      <c r="F26" s="63"/>
      <c r="G26" s="62"/>
      <c r="H26" s="63"/>
      <c r="I26" s="58"/>
      <c r="J26" s="38" t="s">
        <v>37</v>
      </c>
      <c r="K26" s="130" t="str">
        <f aca="false">IF(IF(ISBLANK(C26),1,(TRIM(C26)="")),"",ROUND(C26/4.184,3))</f>
        <v/>
      </c>
      <c r="L26" s="137" t="str">
        <f aca="false">IF(IF(ISBLANK(D26),1,(TRIM(D26)="")),"",ROUND(D26/4.184,3))</f>
        <v/>
      </c>
      <c r="M26" s="132" t="str">
        <f aca="false">IF(IF(ISBLANK(E26),1,(TRIM(E26)="")),"",ROUND(E26/4.184,3))</f>
        <v/>
      </c>
      <c r="N26" s="137" t="str">
        <f aca="false">IF(IF(ISBLANK(F26),1,(TRIM(F26)="")),"",ROUND(F26/4.184,3))</f>
        <v/>
      </c>
      <c r="O26" s="132" t="str">
        <f aca="false">IF(IF(ISBLANK(G26),1,(TRIM(G26)="")),"",ROUND(G26/4.184,3))</f>
        <v/>
      </c>
      <c r="P26" s="137" t="str">
        <f aca="false">IF(IF(ISBLANK(H26),1,(TRIM(H26)="")),"",ROUND(H26/4.184,3))</f>
        <v/>
      </c>
      <c r="Q26" s="44"/>
      <c r="R26" s="37"/>
      <c r="S26" s="38" t="s">
        <v>37</v>
      </c>
      <c r="T26" s="130" t="str">
        <f aca="false">IF(IF(ISBLANK(C26),1,(TRIM(C26)="")),"",ROUND(C26+$R26*0.1094,3))</f>
        <v/>
      </c>
      <c r="U26" s="101" t="str">
        <f aca="false">IF(IF(ISBLANK(D26),1,(TRIM(D26)="")),"",ROUND(D26+$R26*0.1094,3))</f>
        <v/>
      </c>
      <c r="V26" s="130" t="str">
        <f aca="false">IF(IF(ISBLANK(E26),1,(TRIM(E26)="")),"",ROUND(E26+$R26*0.1094,3))</f>
        <v/>
      </c>
      <c r="W26" s="101" t="str">
        <f aca="false">IF(IF(ISBLANK(F26),1,(TRIM(F26)="")),"",ROUND(F26+$R26*0.1094,3))</f>
        <v/>
      </c>
      <c r="X26" s="130" t="str">
        <f aca="false">IF(IF(ISBLANK(G26),1,(TRIM(G26)="")),"",ROUND(G26+$R26*0.1094,3))</f>
        <v/>
      </c>
      <c r="Y26" s="101" t="str">
        <f aca="false">IF(IF(ISBLANK(H26),1,(TRIM(H26)="")),"",ROUND(H26+$R26*0.1094,3))</f>
        <v/>
      </c>
      <c r="AA26" s="140" t="s">
        <v>37</v>
      </c>
      <c r="AB26" s="93" t="str">
        <f aca="false">IF(IF(ISBLANK(C26),1,(TRIM(C26)="")),"",ROUND((C26+$R26*0.1094)/4.184,3))</f>
        <v/>
      </c>
      <c r="AC26" s="139" t="str">
        <f aca="false">IF(IF(ISBLANK(D26),1,(TRIM(D26)="")),"",ROUND((D26+$R26*0.1094)/4.184,3))</f>
        <v/>
      </c>
      <c r="AD26" s="93" t="str">
        <f aca="false">IF(IF(ISBLANK(E26),1,(TRIM(E26)="")),"",ROUND((E26+$R26*0.1094)/4.184,3))</f>
        <v/>
      </c>
      <c r="AE26" s="139" t="str">
        <f aca="false">IF(IF(ISBLANK(F26),1,(TRIM(F26)="")),"",ROUND((F26+$R26*0.1094)/4.184,3))</f>
        <v/>
      </c>
      <c r="AF26" s="93" t="str">
        <f aca="false">IF(IF(ISBLANK(G26),1,(TRIM(G26)="")),"",ROUND((G26+$R26*0.1094)/4.184,3))</f>
        <v/>
      </c>
      <c r="AG26" s="137" t="str">
        <f aca="false">IF(IF(ISBLANK(H26),1,(TRIM(H26)="")),"",ROUND((H26+$R26*0.1094)/4.184,3))</f>
        <v/>
      </c>
    </row>
    <row r="27" customFormat="false" ht="12.75" hidden="false" customHeight="false" outlineLevel="0" collapsed="false">
      <c r="B27" s="31" t="s">
        <v>39</v>
      </c>
      <c r="C27" s="136"/>
      <c r="D27" s="63"/>
      <c r="E27" s="62"/>
      <c r="F27" s="63"/>
      <c r="G27" s="62"/>
      <c r="H27" s="63"/>
      <c r="I27" s="58"/>
      <c r="J27" s="31" t="s">
        <v>39</v>
      </c>
      <c r="K27" s="130" t="str">
        <f aca="false">IF(IF(ISBLANK(C27),1,(TRIM(C27)="")),"",ROUND(C27/4.184,3))</f>
        <v/>
      </c>
      <c r="L27" s="137" t="str">
        <f aca="false">IF(IF(ISBLANK(D27),1,(TRIM(D27)="")),"",ROUND(D27/4.184,3))</f>
        <v/>
      </c>
      <c r="M27" s="132" t="str">
        <f aca="false">IF(IF(ISBLANK(E27),1,(TRIM(E27)="")),"",ROUND(E27/4.184,3))</f>
        <v/>
      </c>
      <c r="N27" s="137" t="str">
        <f aca="false">IF(IF(ISBLANK(F27),1,(TRIM(F27)="")),"",ROUND(F27/4.184,3))</f>
        <v/>
      </c>
      <c r="O27" s="132" t="str">
        <f aca="false">IF(IF(ISBLANK(G27),1,(TRIM(G27)="")),"",ROUND(G27/4.184,3))</f>
        <v/>
      </c>
      <c r="P27" s="137" t="str">
        <f aca="false">IF(IF(ISBLANK(H27),1,(TRIM(H27)="")),"",ROUND(H27/4.184,3))</f>
        <v/>
      </c>
      <c r="R27" s="34"/>
      <c r="S27" s="31" t="s">
        <v>39</v>
      </c>
      <c r="T27" s="130" t="str">
        <f aca="false">IF(IF(ISBLANK(C27),1,(TRIM(C27)="")),"",ROUND(C27+$R27*0.1094,3))</f>
        <v/>
      </c>
      <c r="U27" s="101" t="str">
        <f aca="false">IF(IF(ISBLANK(D27),1,(TRIM(D27)="")),"",ROUND(D27+$R27*0.1094,3))</f>
        <v/>
      </c>
      <c r="V27" s="130" t="str">
        <f aca="false">IF(IF(ISBLANK(E27),1,(TRIM(E27)="")),"",ROUND(E27+$R27*0.1094,3))</f>
        <v/>
      </c>
      <c r="W27" s="101" t="str">
        <f aca="false">IF(IF(ISBLANK(F27),1,(TRIM(F27)="")),"",ROUND(F27+$R27*0.1094,3))</f>
        <v/>
      </c>
      <c r="X27" s="130" t="str">
        <f aca="false">IF(IF(ISBLANK(G27),1,(TRIM(G27)="")),"",ROUND(G27+$R27*0.1094,3))</f>
        <v/>
      </c>
      <c r="Y27" s="101" t="str">
        <f aca="false">IF(IF(ISBLANK(H27),1,(TRIM(H27)="")),"",ROUND(H27+$R27*0.1094,3))</f>
        <v/>
      </c>
      <c r="Z27" s="10"/>
      <c r="AA27" s="138" t="s">
        <v>39</v>
      </c>
      <c r="AB27" s="93" t="str">
        <f aca="false">IF(IF(ISBLANK(C27),1,(TRIM(C27)="")),"",ROUND((C27+$R27*0.1094)/4.184,3))</f>
        <v/>
      </c>
      <c r="AC27" s="139" t="str">
        <f aca="false">IF(IF(ISBLANK(D27),1,(TRIM(D27)="")),"",ROUND((D27+$R27*0.1094)/4.184,3))</f>
        <v/>
      </c>
      <c r="AD27" s="93" t="str">
        <f aca="false">IF(IF(ISBLANK(E27),1,(TRIM(E27)="")),"",ROUND((E27+$R27*0.1094)/4.184,3))</f>
        <v/>
      </c>
      <c r="AE27" s="139" t="str">
        <f aca="false">IF(IF(ISBLANK(F27),1,(TRIM(F27)="")),"",ROUND((F27+$R27*0.1094)/4.184,3))</f>
        <v/>
      </c>
      <c r="AF27" s="93" t="str">
        <f aca="false">IF(IF(ISBLANK(G27),1,(TRIM(G27)="")),"",ROUND((G27+$R27*0.1094)/4.184,3))</f>
        <v/>
      </c>
      <c r="AG27" s="137" t="str">
        <f aca="false">IF(IF(ISBLANK(H27),1,(TRIM(H27)="")),"",ROUND((H27+$R27*0.1094)/4.184,3))</f>
        <v/>
      </c>
    </row>
    <row r="28" customFormat="false" ht="12.75" hidden="false" customHeight="false" outlineLevel="0" collapsed="false">
      <c r="B28" s="31" t="s">
        <v>40</v>
      </c>
      <c r="C28" s="136"/>
      <c r="D28" s="63"/>
      <c r="E28" s="64" t="s">
        <v>534</v>
      </c>
      <c r="F28" s="63" t="s">
        <v>534</v>
      </c>
      <c r="G28" s="62" t="s">
        <v>534</v>
      </c>
      <c r="H28" s="65" t="s">
        <v>534</v>
      </c>
      <c r="I28" s="66"/>
      <c r="J28" s="31" t="s">
        <v>40</v>
      </c>
      <c r="K28" s="130" t="str">
        <f aca="false">IF(IF(ISBLANK(C28),1,(TRIM(C28)="")),"",ROUND(C28/4.184,3))</f>
        <v/>
      </c>
      <c r="L28" s="137" t="str">
        <f aca="false">IF(IF(ISBLANK(D28),1,(TRIM(D28)="")),"",ROUND(D28/4.184,3))</f>
        <v/>
      </c>
      <c r="M28" s="132" t="n">
        <f aca="false">IF(IF(ISBLANK(E28),1,(TRIM(E28)="")),"",ROUND(E28/4.184,3))</f>
        <v>1.41</v>
      </c>
      <c r="N28" s="137" t="n">
        <f aca="false">IF(IF(ISBLANK(F28),1,(TRIM(F28)="")),"",ROUND(F28/4.184,3))</f>
        <v>1.41</v>
      </c>
      <c r="O28" s="132" t="n">
        <f aca="false">IF(IF(ISBLANK(G28),1,(TRIM(G28)="")),"",ROUND(G28/4.184,3))</f>
        <v>1.41</v>
      </c>
      <c r="P28" s="137" t="n">
        <f aca="false">IF(IF(ISBLANK(H28),1,(TRIM(H28)="")),"",ROUND(H28/4.184,3))</f>
        <v>1.41</v>
      </c>
      <c r="R28" s="34"/>
      <c r="S28" s="31" t="s">
        <v>40</v>
      </c>
      <c r="T28" s="130" t="str">
        <f aca="false">IF(IF(ISBLANK(C28),1,(TRIM(C28)="")),"",ROUND(C28+$R28*0.1094,3))</f>
        <v/>
      </c>
      <c r="U28" s="101" t="str">
        <f aca="false">IF(IF(ISBLANK(D28),1,(TRIM(D28)="")),"",ROUND(D28+$R28*0.1094,3))</f>
        <v/>
      </c>
      <c r="V28" s="130" t="n">
        <f aca="false">IF(IF(ISBLANK(E28),1,(TRIM(E28)="")),"",ROUND(E28+$R28*0.1094,3))</f>
        <v>5.9</v>
      </c>
      <c r="W28" s="101" t="n">
        <f aca="false">IF(IF(ISBLANK(F28),1,(TRIM(F28)="")),"",ROUND(F28+$R28*0.1094,3))</f>
        <v>5.9</v>
      </c>
      <c r="X28" s="130" t="n">
        <f aca="false">IF(IF(ISBLANK(G28),1,(TRIM(G28)="")),"",ROUND(G28+$R28*0.1094,3))</f>
        <v>5.9</v>
      </c>
      <c r="Y28" s="101" t="n">
        <f aca="false">IF(IF(ISBLANK(H28),1,(TRIM(H28)="")),"",ROUND(H28+$R28*0.1094,3))</f>
        <v>5.9</v>
      </c>
      <c r="Z28" s="10"/>
      <c r="AA28" s="138" t="s">
        <v>40</v>
      </c>
      <c r="AB28" s="93" t="str">
        <f aca="false">IF(IF(ISBLANK(C28),1,(TRIM(C28)="")),"",ROUND((C28+$R28*0.1094)/4.184,3))</f>
        <v/>
      </c>
      <c r="AC28" s="139" t="str">
        <f aca="false">IF(IF(ISBLANK(D28),1,(TRIM(D28)="")),"",ROUND((D28+$R28*0.1094)/4.184,3))</f>
        <v/>
      </c>
      <c r="AD28" s="93" t="n">
        <f aca="false">IF(IF(ISBLANK(E28),1,(TRIM(E28)="")),"",ROUND((E28+$R28*0.1094)/4.184,3))</f>
        <v>1.41</v>
      </c>
      <c r="AE28" s="139" t="n">
        <f aca="false">IF(IF(ISBLANK(F28),1,(TRIM(F28)="")),"",ROUND((F28+$R28*0.1094)/4.184,3))</f>
        <v>1.41</v>
      </c>
      <c r="AF28" s="93" t="n">
        <f aca="false">IF(IF(ISBLANK(G28),1,(TRIM(G28)="")),"",ROUND((G28+$R28*0.1094)/4.184,3))</f>
        <v>1.41</v>
      </c>
      <c r="AG28" s="137" t="n">
        <f aca="false">IF(IF(ISBLANK(H28),1,(TRIM(H28)="")),"",ROUND((H28+$R28*0.1094)/4.184,3))</f>
        <v>1.41</v>
      </c>
    </row>
    <row r="29" customFormat="false" ht="12.75" hidden="false" customHeight="false" outlineLevel="0" collapsed="false">
      <c r="B29" s="38" t="s">
        <v>41</v>
      </c>
      <c r="C29" s="136"/>
      <c r="D29" s="63"/>
      <c r="E29" s="62"/>
      <c r="F29" s="63"/>
      <c r="G29" s="62"/>
      <c r="H29" s="63"/>
      <c r="I29" s="58"/>
      <c r="J29" s="38" t="s">
        <v>41</v>
      </c>
      <c r="K29" s="130" t="str">
        <f aca="false">IF(IF(ISBLANK(C29),1,(TRIM(C29)="")),"",ROUND(C29/4.184,3))</f>
        <v/>
      </c>
      <c r="L29" s="137" t="str">
        <f aca="false">IF(IF(ISBLANK(D29),1,(TRIM(D29)="")),"",ROUND(D29/4.184,3))</f>
        <v/>
      </c>
      <c r="M29" s="132" t="str">
        <f aca="false">IF(IF(ISBLANK(E29),1,(TRIM(E29)="")),"",ROUND(E29/4.184,3))</f>
        <v/>
      </c>
      <c r="N29" s="137" t="str">
        <f aca="false">IF(IF(ISBLANK(F29),1,(TRIM(F29)="")),"",ROUND(F29/4.184,3))</f>
        <v/>
      </c>
      <c r="O29" s="132" t="str">
        <f aca="false">IF(IF(ISBLANK(G29),1,(TRIM(G29)="")),"",ROUND(G29/4.184,3))</f>
        <v/>
      </c>
      <c r="P29" s="137" t="str">
        <f aca="false">IF(IF(ISBLANK(H29),1,(TRIM(H29)="")),"",ROUND(H29/4.184,3))</f>
        <v/>
      </c>
      <c r="R29" s="34"/>
      <c r="S29" s="38" t="s">
        <v>41</v>
      </c>
      <c r="T29" s="130" t="str">
        <f aca="false">IF(IF(ISBLANK(C29),1,(TRIM(C29)="")),"",ROUND(C29+$R29*0.1094,3))</f>
        <v/>
      </c>
      <c r="U29" s="101" t="str">
        <f aca="false">IF(IF(ISBLANK(D29),1,(TRIM(D29)="")),"",ROUND(D29+$R29*0.1094,3))</f>
        <v/>
      </c>
      <c r="V29" s="130" t="str">
        <f aca="false">IF(IF(ISBLANK(E29),1,(TRIM(E29)="")),"",ROUND(E29+$R29*0.1094,3))</f>
        <v/>
      </c>
      <c r="W29" s="101" t="str">
        <f aca="false">IF(IF(ISBLANK(F29),1,(TRIM(F29)="")),"",ROUND(F29+$R29*0.1094,3))</f>
        <v/>
      </c>
      <c r="X29" s="130" t="str">
        <f aca="false">IF(IF(ISBLANK(G29),1,(TRIM(G29)="")),"",ROUND(G29+$R29*0.1094,3))</f>
        <v/>
      </c>
      <c r="Y29" s="101" t="str">
        <f aca="false">IF(IF(ISBLANK(H29),1,(TRIM(H29)="")),"",ROUND(H29+$R29*0.1094,3))</f>
        <v/>
      </c>
      <c r="Z29" s="10"/>
      <c r="AA29" s="140" t="s">
        <v>41</v>
      </c>
      <c r="AB29" s="93" t="str">
        <f aca="false">IF(IF(ISBLANK(C29),1,(TRIM(C29)="")),"",ROUND((C29+$R29*0.1094)/4.184,3))</f>
        <v/>
      </c>
      <c r="AC29" s="139" t="str">
        <f aca="false">IF(IF(ISBLANK(D29),1,(TRIM(D29)="")),"",ROUND((D29+$R29*0.1094)/4.184,3))</f>
        <v/>
      </c>
      <c r="AD29" s="93" t="str">
        <f aca="false">IF(IF(ISBLANK(E29),1,(TRIM(E29)="")),"",ROUND((E29+$R29*0.1094)/4.184,3))</f>
        <v/>
      </c>
      <c r="AE29" s="139" t="str">
        <f aca="false">IF(IF(ISBLANK(F29),1,(TRIM(F29)="")),"",ROUND((F29+$R29*0.1094)/4.184,3))</f>
        <v/>
      </c>
      <c r="AF29" s="93" t="str">
        <f aca="false">IF(IF(ISBLANK(G29),1,(TRIM(G29)="")),"",ROUND((G29+$R29*0.1094)/4.184,3))</f>
        <v/>
      </c>
      <c r="AG29" s="137" t="str">
        <f aca="false">IF(IF(ISBLANK(H29),1,(TRIM(H29)="")),"",ROUND((H29+$R29*0.1094)/4.184,3))</f>
        <v/>
      </c>
    </row>
    <row r="30" customFormat="false" ht="12.75" hidden="false" customHeight="false" outlineLevel="0" collapsed="false">
      <c r="B30" s="31" t="s">
        <v>42</v>
      </c>
      <c r="C30" s="136"/>
      <c r="D30" s="63"/>
      <c r="E30" s="62"/>
      <c r="F30" s="65" t="s">
        <v>535</v>
      </c>
      <c r="G30" s="64" t="s">
        <v>535</v>
      </c>
      <c r="H30" s="65" t="s">
        <v>535</v>
      </c>
      <c r="I30" s="66"/>
      <c r="J30" s="31" t="s">
        <v>42</v>
      </c>
      <c r="K30" s="130" t="str">
        <f aca="false">IF(IF(ISBLANK(C30),1,(TRIM(C30)="")),"",ROUND(C30/4.184,3))</f>
        <v/>
      </c>
      <c r="L30" s="137" t="str">
        <f aca="false">IF(IF(ISBLANK(D30),1,(TRIM(D30)="")),"",ROUND(D30/4.184,3))</f>
        <v/>
      </c>
      <c r="M30" s="132" t="str">
        <f aca="false">IF(IF(ISBLANK(E30),1,(TRIM(E30)="")),"",ROUND(E30/4.184,3))</f>
        <v/>
      </c>
      <c r="N30" s="137" t="n">
        <f aca="false">IF(IF(ISBLANK(F30),1,(TRIM(F30)="")),"",ROUND(F30/4.184,3))</f>
        <v>2.271</v>
      </c>
      <c r="O30" s="132" t="n">
        <f aca="false">IF(IF(ISBLANK(G30),1,(TRIM(G30)="")),"",ROUND(G30/4.184,3))</f>
        <v>2.271</v>
      </c>
      <c r="P30" s="137" t="n">
        <f aca="false">IF(IF(ISBLANK(H30),1,(TRIM(H30)="")),"",ROUND(H30/4.184,3))</f>
        <v>2.271</v>
      </c>
      <c r="R30" s="34"/>
      <c r="S30" s="31" t="s">
        <v>42</v>
      </c>
      <c r="T30" s="130" t="str">
        <f aca="false">IF(IF(ISBLANK(C30),1,(TRIM(C30)="")),"",ROUND(C30+$R30*0.1094,3))</f>
        <v/>
      </c>
      <c r="U30" s="101" t="str">
        <f aca="false">IF(IF(ISBLANK(D30),1,(TRIM(D30)="")),"",ROUND(D30+$R30*0.1094,3))</f>
        <v/>
      </c>
      <c r="V30" s="130" t="str">
        <f aca="false">IF(IF(ISBLANK(E30),1,(TRIM(E30)="")),"",ROUND(E30+$R30*0.1094,3))</f>
        <v/>
      </c>
      <c r="W30" s="101" t="n">
        <f aca="false">IF(IF(ISBLANK(F30),1,(TRIM(F30)="")),"",ROUND(F30+$R30*0.1094,3))</f>
        <v>9.5</v>
      </c>
      <c r="X30" s="130" t="n">
        <f aca="false">IF(IF(ISBLANK(G30),1,(TRIM(G30)="")),"",ROUND(G30+$R30*0.1094,3))</f>
        <v>9.5</v>
      </c>
      <c r="Y30" s="101" t="n">
        <f aca="false">IF(IF(ISBLANK(H30),1,(TRIM(H30)="")),"",ROUND(H30+$R30*0.1094,3))</f>
        <v>9.5</v>
      </c>
      <c r="Z30" s="10"/>
      <c r="AA30" s="138" t="s">
        <v>42</v>
      </c>
      <c r="AB30" s="93" t="str">
        <f aca="false">IF(IF(ISBLANK(C30),1,(TRIM(C30)="")),"",ROUND((C30+$R30*0.1094)/4.184,3))</f>
        <v/>
      </c>
      <c r="AC30" s="139" t="str">
        <f aca="false">IF(IF(ISBLANK(D30),1,(TRIM(D30)="")),"",ROUND((D30+$R30*0.1094)/4.184,3))</f>
        <v/>
      </c>
      <c r="AD30" s="93" t="str">
        <f aca="false">IF(IF(ISBLANK(E30),1,(TRIM(E30)="")),"",ROUND((E30+$R30*0.1094)/4.184,3))</f>
        <v/>
      </c>
      <c r="AE30" s="139" t="n">
        <f aca="false">IF(IF(ISBLANK(F30),1,(TRIM(F30)="")),"",ROUND((F30+$R30*0.1094)/4.184,3))</f>
        <v>2.271</v>
      </c>
      <c r="AF30" s="93" t="n">
        <f aca="false">IF(IF(ISBLANK(G30),1,(TRIM(G30)="")),"",ROUND((G30+$R30*0.1094)/4.184,3))</f>
        <v>2.271</v>
      </c>
      <c r="AG30" s="137" t="n">
        <f aca="false">IF(IF(ISBLANK(H30),1,(TRIM(H30)="")),"",ROUND((H30+$R30*0.1094)/4.184,3))</f>
        <v>2.271</v>
      </c>
    </row>
    <row r="31" customFormat="false" ht="12.75" hidden="false" customHeight="false" outlineLevel="0" collapsed="false">
      <c r="B31" s="31" t="s">
        <v>43</v>
      </c>
      <c r="C31" s="136"/>
      <c r="D31" s="63"/>
      <c r="E31" s="62"/>
      <c r="F31" s="63"/>
      <c r="G31" s="62"/>
      <c r="H31" s="63"/>
      <c r="I31" s="58"/>
      <c r="J31" s="31" t="s">
        <v>43</v>
      </c>
      <c r="K31" s="130" t="str">
        <f aca="false">IF(IF(ISBLANK(C31),1,(TRIM(C31)="")),"",ROUND(C31/4.184,3))</f>
        <v/>
      </c>
      <c r="L31" s="137" t="str">
        <f aca="false">IF(IF(ISBLANK(D31),1,(TRIM(D31)="")),"",ROUND(D31/4.184,3))</f>
        <v/>
      </c>
      <c r="M31" s="132" t="str">
        <f aca="false">IF(IF(ISBLANK(E31),1,(TRIM(E31)="")),"",ROUND(E31/4.184,3))</f>
        <v/>
      </c>
      <c r="N31" s="137" t="str">
        <f aca="false">IF(IF(ISBLANK(F31),1,(TRIM(F31)="")),"",ROUND(F31/4.184,3))</f>
        <v/>
      </c>
      <c r="O31" s="132" t="str">
        <f aca="false">IF(IF(ISBLANK(G31),1,(TRIM(G31)="")),"",ROUND(G31/4.184,3))</f>
        <v/>
      </c>
      <c r="P31" s="137" t="str">
        <f aca="false">IF(IF(ISBLANK(H31),1,(TRIM(H31)="")),"",ROUND(H31/4.184,3))</f>
        <v/>
      </c>
      <c r="R31" s="34"/>
      <c r="S31" s="31" t="s">
        <v>43</v>
      </c>
      <c r="T31" s="130" t="str">
        <f aca="false">IF(IF(ISBLANK(C31),1,(TRIM(C31)="")),"",ROUND(C31+$R31*0.1094,3))</f>
        <v/>
      </c>
      <c r="U31" s="101" t="str">
        <f aca="false">IF(IF(ISBLANK(D31),1,(TRIM(D31)="")),"",ROUND(D31+$R31*0.1094,3))</f>
        <v/>
      </c>
      <c r="V31" s="130" t="str">
        <f aca="false">IF(IF(ISBLANK(E31),1,(TRIM(E31)="")),"",ROUND(E31+$R31*0.1094,3))</f>
        <v/>
      </c>
      <c r="W31" s="101" t="str">
        <f aca="false">IF(IF(ISBLANK(F31),1,(TRIM(F31)="")),"",ROUND(F31+$R31*0.1094,3))</f>
        <v/>
      </c>
      <c r="X31" s="130" t="str">
        <f aca="false">IF(IF(ISBLANK(G31),1,(TRIM(G31)="")),"",ROUND(G31+$R31*0.1094,3))</f>
        <v/>
      </c>
      <c r="Y31" s="101" t="str">
        <f aca="false">IF(IF(ISBLANK(H31),1,(TRIM(H31)="")),"",ROUND(H31+$R31*0.1094,3))</f>
        <v/>
      </c>
      <c r="Z31" s="10"/>
      <c r="AA31" s="138" t="s">
        <v>43</v>
      </c>
      <c r="AB31" s="93" t="str">
        <f aca="false">IF(IF(ISBLANK(C31),1,(TRIM(C31)="")),"",ROUND((C31+$R31*0.1094)/4.184,3))</f>
        <v/>
      </c>
      <c r="AC31" s="139" t="str">
        <f aca="false">IF(IF(ISBLANK(D31),1,(TRIM(D31)="")),"",ROUND((D31+$R31*0.1094)/4.184,3))</f>
        <v/>
      </c>
      <c r="AD31" s="93" t="str">
        <f aca="false">IF(IF(ISBLANK(E31),1,(TRIM(E31)="")),"",ROUND((E31+$R31*0.1094)/4.184,3))</f>
        <v/>
      </c>
      <c r="AE31" s="139" t="str">
        <f aca="false">IF(IF(ISBLANK(F31),1,(TRIM(F31)="")),"",ROUND((F31+$R31*0.1094)/4.184,3))</f>
        <v/>
      </c>
      <c r="AF31" s="93" t="str">
        <f aca="false">IF(IF(ISBLANK(G31),1,(TRIM(G31)="")),"",ROUND((G31+$R31*0.1094)/4.184,3))</f>
        <v/>
      </c>
      <c r="AG31" s="137" t="str">
        <f aca="false">IF(IF(ISBLANK(H31),1,(TRIM(H31)="")),"",ROUND((H31+$R31*0.1094)/4.184,3))</f>
        <v/>
      </c>
    </row>
    <row r="32" customFormat="false" ht="12.75" hidden="false" customHeight="false" outlineLevel="0" collapsed="false">
      <c r="B32" s="31" t="s">
        <v>44</v>
      </c>
      <c r="C32" s="136"/>
      <c r="D32" s="63"/>
      <c r="E32" s="62"/>
      <c r="F32" s="63"/>
      <c r="G32" s="62"/>
      <c r="H32" s="63"/>
      <c r="I32" s="58"/>
      <c r="J32" s="31" t="s">
        <v>44</v>
      </c>
      <c r="K32" s="130" t="str">
        <f aca="false">IF(IF(ISBLANK(C32),1,(TRIM(C32)="")),"",ROUND(C32/4.184,3))</f>
        <v/>
      </c>
      <c r="L32" s="137" t="str">
        <f aca="false">IF(IF(ISBLANK(D32),1,(TRIM(D32)="")),"",ROUND(D32/4.184,3))</f>
        <v/>
      </c>
      <c r="M32" s="132" t="str">
        <f aca="false">IF(IF(ISBLANK(E32),1,(TRIM(E32)="")),"",ROUND(E32/4.184,3))</f>
        <v/>
      </c>
      <c r="N32" s="137" t="str">
        <f aca="false">IF(IF(ISBLANK(F32),1,(TRIM(F32)="")),"",ROUND(F32/4.184,3))</f>
        <v/>
      </c>
      <c r="O32" s="132" t="str">
        <f aca="false">IF(IF(ISBLANK(G32),1,(TRIM(G32)="")),"",ROUND(G32/4.184,3))</f>
        <v/>
      </c>
      <c r="P32" s="137" t="str">
        <f aca="false">IF(IF(ISBLANK(H32),1,(TRIM(H32)="")),"",ROUND(H32/4.184,3))</f>
        <v/>
      </c>
      <c r="Q32" s="45"/>
      <c r="R32" s="34"/>
      <c r="S32" s="31" t="s">
        <v>44</v>
      </c>
      <c r="T32" s="130" t="str">
        <f aca="false">IF(IF(ISBLANK(C32),1,(TRIM(C32)="")),"",ROUND(C32+$R32*0.1094,3))</f>
        <v/>
      </c>
      <c r="U32" s="101" t="str">
        <f aca="false">IF(IF(ISBLANK(D32),1,(TRIM(D32)="")),"",ROUND(D32+$R32*0.1094,3))</f>
        <v/>
      </c>
      <c r="V32" s="130" t="str">
        <f aca="false">IF(IF(ISBLANK(E32),1,(TRIM(E32)="")),"",ROUND(E32+$R32*0.1094,3))</f>
        <v/>
      </c>
      <c r="W32" s="101" t="str">
        <f aca="false">IF(IF(ISBLANK(F32),1,(TRIM(F32)="")),"",ROUND(F32+$R32*0.1094,3))</f>
        <v/>
      </c>
      <c r="X32" s="130" t="str">
        <f aca="false">IF(IF(ISBLANK(G32),1,(TRIM(G32)="")),"",ROUND(G32+$R32*0.1094,3))</f>
        <v/>
      </c>
      <c r="Y32" s="101" t="str">
        <f aca="false">IF(IF(ISBLANK(H32),1,(TRIM(H32)="")),"",ROUND(H32+$R32*0.1094,3))</f>
        <v/>
      </c>
      <c r="Z32" s="10"/>
      <c r="AA32" s="138" t="s">
        <v>44</v>
      </c>
      <c r="AB32" s="93" t="str">
        <f aca="false">IF(IF(ISBLANK(C32),1,(TRIM(C32)="")),"",ROUND((C32+$R32*0.1094)/4.184,3))</f>
        <v/>
      </c>
      <c r="AC32" s="139" t="str">
        <f aca="false">IF(IF(ISBLANK(D32),1,(TRIM(D32)="")),"",ROUND((D32+$R32*0.1094)/4.184,3))</f>
        <v/>
      </c>
      <c r="AD32" s="93" t="str">
        <f aca="false">IF(IF(ISBLANK(E32),1,(TRIM(E32)="")),"",ROUND((E32+$R32*0.1094)/4.184,3))</f>
        <v/>
      </c>
      <c r="AE32" s="139" t="str">
        <f aca="false">IF(IF(ISBLANK(F32),1,(TRIM(F32)="")),"",ROUND((F32+$R32*0.1094)/4.184,3))</f>
        <v/>
      </c>
      <c r="AF32" s="93" t="str">
        <f aca="false">IF(IF(ISBLANK(G32),1,(TRIM(G32)="")),"",ROUND((G32+$R32*0.1094)/4.184,3))</f>
        <v/>
      </c>
      <c r="AG32" s="137" t="str">
        <f aca="false">IF(IF(ISBLANK(H32),1,(TRIM(H32)="")),"",ROUND((H32+$R32*0.1094)/4.184,3))</f>
        <v/>
      </c>
    </row>
    <row r="33" s="90" customFormat="true" ht="12.75" hidden="false" customHeight="false" outlineLevel="0" collapsed="false">
      <c r="A33" s="89"/>
      <c r="B33" s="38" t="s">
        <v>46</v>
      </c>
      <c r="C33" s="141" t="s">
        <v>536</v>
      </c>
      <c r="D33" s="63" t="s">
        <v>536</v>
      </c>
      <c r="E33" s="62" t="s">
        <v>536</v>
      </c>
      <c r="F33" s="63" t="s">
        <v>536</v>
      </c>
      <c r="G33" s="62" t="s">
        <v>536</v>
      </c>
      <c r="H33" s="65" t="s">
        <v>537</v>
      </c>
      <c r="I33" s="66"/>
      <c r="J33" s="38" t="s">
        <v>46</v>
      </c>
      <c r="K33" s="130" t="n">
        <f aca="false">IF(IF(ISBLANK(C33),1,(TRIM(C33)="")),"",ROUND(C33/4.184,3))</f>
        <v>36.379</v>
      </c>
      <c r="L33" s="137" t="n">
        <f aca="false">IF(IF(ISBLANK(D33),1,(TRIM(D33)="")),"",ROUND(D33/4.184,3))</f>
        <v>36.379</v>
      </c>
      <c r="M33" s="132" t="n">
        <f aca="false">IF(IF(ISBLANK(E33),1,(TRIM(E33)="")),"",ROUND(E33/4.184,3))</f>
        <v>36.379</v>
      </c>
      <c r="N33" s="137" t="n">
        <f aca="false">IF(IF(ISBLANK(F33),1,(TRIM(F33)="")),"",ROUND(F33/4.184,3))</f>
        <v>36.379</v>
      </c>
      <c r="O33" s="132" t="n">
        <f aca="false">IF(IF(ISBLANK(G33),1,(TRIM(G33)="")),"",ROUND(G33/4.184,3))</f>
        <v>36.379</v>
      </c>
      <c r="P33" s="137" t="n">
        <f aca="false">IF(IF(ISBLANK(H33),1,(TRIM(H33)="")),"",ROUND(H33/4.184,3))</f>
        <v>36.379</v>
      </c>
      <c r="Q33" s="45"/>
      <c r="R33" s="34"/>
      <c r="S33" s="38" t="s">
        <v>46</v>
      </c>
      <c r="T33" s="130" t="n">
        <f aca="false">IF(IF(ISBLANK(C33),1,(TRIM(C33)="")),"",ROUND(C33+$R33*0.1094,3))</f>
        <v>152.21</v>
      </c>
      <c r="U33" s="101" t="n">
        <f aca="false">IF(IF(ISBLANK(D33),1,(TRIM(D33)="")),"",ROUND(D33+$R33*0.1094,3))</f>
        <v>152.21</v>
      </c>
      <c r="V33" s="130" t="n">
        <f aca="false">IF(IF(ISBLANK(E33),1,(TRIM(E33)="")),"",ROUND(E33+$R33*0.1094,3))</f>
        <v>152.21</v>
      </c>
      <c r="W33" s="101" t="n">
        <f aca="false">IF(IF(ISBLANK(F33),1,(TRIM(F33)="")),"",ROUND(F33+$R33*0.1094,3))</f>
        <v>152.21</v>
      </c>
      <c r="X33" s="130" t="n">
        <f aca="false">IF(IF(ISBLANK(G33),1,(TRIM(G33)="")),"",ROUND(G33+$R33*0.1094,3))</f>
        <v>152.21</v>
      </c>
      <c r="Y33" s="101" t="n">
        <f aca="false">IF(IF(ISBLANK(H33),1,(TRIM(H33)="")),"",ROUND(H33+$R33*0.1094,3))</f>
        <v>152.21</v>
      </c>
      <c r="Z33" s="10"/>
      <c r="AA33" s="140" t="s">
        <v>46</v>
      </c>
      <c r="AB33" s="93" t="n">
        <f aca="false">IF(IF(ISBLANK(C33),1,(TRIM(C33)="")),"",ROUND((C33+$R33*0.1094)/4.184,3))</f>
        <v>36.379</v>
      </c>
      <c r="AC33" s="139" t="n">
        <f aca="false">IF(IF(ISBLANK(D33),1,(TRIM(D33)="")),"",ROUND((D33+$R33*0.1094)/4.184,3))</f>
        <v>36.379</v>
      </c>
      <c r="AD33" s="93" t="n">
        <f aca="false">IF(IF(ISBLANK(E33),1,(TRIM(E33)="")),"",ROUND((E33+$R33*0.1094)/4.184,3))</f>
        <v>36.379</v>
      </c>
      <c r="AE33" s="139" t="n">
        <f aca="false">IF(IF(ISBLANK(F33),1,(TRIM(F33)="")),"",ROUND((F33+$R33*0.1094)/4.184,3))</f>
        <v>36.379</v>
      </c>
      <c r="AF33" s="93" t="n">
        <f aca="false">IF(IF(ISBLANK(G33),1,(TRIM(G33)="")),"",ROUND((G33+$R33*0.1094)/4.184,3))</f>
        <v>36.379</v>
      </c>
      <c r="AG33" s="137" t="n">
        <f aca="false">IF(IF(ISBLANK(H33),1,(TRIM(H33)="")),"",ROUND((H33+$R33*0.1094)/4.184,3))</f>
        <v>36.379</v>
      </c>
    </row>
    <row r="34" customFormat="false" ht="12.75" hidden="false" customHeight="false" outlineLevel="0" collapsed="false">
      <c r="B34" s="31" t="s">
        <v>48</v>
      </c>
      <c r="C34" s="136" t="n">
        <v>5.74</v>
      </c>
      <c r="D34" s="63" t="n">
        <v>5.74</v>
      </c>
      <c r="E34" s="62" t="n">
        <v>5.74</v>
      </c>
      <c r="F34" s="63" t="n">
        <v>5.74</v>
      </c>
      <c r="G34" s="62" t="n">
        <v>5.74</v>
      </c>
      <c r="H34" s="63" t="n">
        <v>5.74</v>
      </c>
      <c r="I34" s="58"/>
      <c r="J34" s="31" t="s">
        <v>48</v>
      </c>
      <c r="K34" s="130" t="n">
        <f aca="false">IF(IF(ISBLANK(C34),1,(TRIM(C34)="")),"",ROUND(C34/4.184,3))</f>
        <v>1.372</v>
      </c>
      <c r="L34" s="137" t="n">
        <f aca="false">IF(IF(ISBLANK(D34),1,(TRIM(D34)="")),"",ROUND(D34/4.184,3))</f>
        <v>1.372</v>
      </c>
      <c r="M34" s="132" t="n">
        <f aca="false">IF(IF(ISBLANK(E34),1,(TRIM(E34)="")),"",ROUND(E34/4.184,3))</f>
        <v>1.372</v>
      </c>
      <c r="N34" s="137" t="n">
        <f aca="false">IF(IF(ISBLANK(F34),1,(TRIM(F34)="")),"",ROUND(F34/4.184,3))</f>
        <v>1.372</v>
      </c>
      <c r="O34" s="132" t="n">
        <f aca="false">IF(IF(ISBLANK(G34),1,(TRIM(G34)="")),"",ROUND(G34/4.184,3))</f>
        <v>1.372</v>
      </c>
      <c r="P34" s="137" t="n">
        <f aca="false">IF(IF(ISBLANK(H34),1,(TRIM(H34)="")),"",ROUND(H34/4.184,3))</f>
        <v>1.372</v>
      </c>
      <c r="Q34" s="45"/>
      <c r="R34" s="34"/>
      <c r="S34" s="31" t="s">
        <v>48</v>
      </c>
      <c r="T34" s="130" t="n">
        <f aca="false">IF(IF(ISBLANK(C34),1,(TRIM(C34)="")),"",ROUND(C34+$R34*0.1094,3))</f>
        <v>5.74</v>
      </c>
      <c r="U34" s="101" t="n">
        <f aca="false">IF(IF(ISBLANK(D34),1,(TRIM(D34)="")),"",ROUND(D34+$R34*0.1094,3))</f>
        <v>5.74</v>
      </c>
      <c r="V34" s="130" t="n">
        <f aca="false">IF(IF(ISBLANK(E34),1,(TRIM(E34)="")),"",ROUND(E34+$R34*0.1094,3))</f>
        <v>5.74</v>
      </c>
      <c r="W34" s="101" t="n">
        <f aca="false">IF(IF(ISBLANK(F34),1,(TRIM(F34)="")),"",ROUND(F34+$R34*0.1094,3))</f>
        <v>5.74</v>
      </c>
      <c r="X34" s="130" t="n">
        <f aca="false">IF(IF(ISBLANK(G34),1,(TRIM(G34)="")),"",ROUND(G34+$R34*0.1094,3))</f>
        <v>5.74</v>
      </c>
      <c r="Y34" s="101" t="n">
        <f aca="false">IF(IF(ISBLANK(H34),1,(TRIM(H34)="")),"",ROUND(H34+$R34*0.1094,3))</f>
        <v>5.74</v>
      </c>
      <c r="AA34" s="138" t="s">
        <v>48</v>
      </c>
      <c r="AB34" s="93" t="n">
        <f aca="false">IF(IF(ISBLANK(C34),1,(TRIM(C34)="")),"",ROUND((C34+$R34*0.1094)/4.184,3))</f>
        <v>1.372</v>
      </c>
      <c r="AC34" s="139" t="n">
        <f aca="false">IF(IF(ISBLANK(D34),1,(TRIM(D34)="")),"",ROUND((D34+$R34*0.1094)/4.184,3))</f>
        <v>1.372</v>
      </c>
      <c r="AD34" s="93" t="n">
        <f aca="false">IF(IF(ISBLANK(E34),1,(TRIM(E34)="")),"",ROUND((E34+$R34*0.1094)/4.184,3))</f>
        <v>1.372</v>
      </c>
      <c r="AE34" s="139" t="n">
        <f aca="false">IF(IF(ISBLANK(F34),1,(TRIM(F34)="")),"",ROUND((F34+$R34*0.1094)/4.184,3))</f>
        <v>1.372</v>
      </c>
      <c r="AF34" s="93" t="n">
        <f aca="false">IF(IF(ISBLANK(G34),1,(TRIM(G34)="")),"",ROUND((G34+$R34*0.1094)/4.184,3))</f>
        <v>1.372</v>
      </c>
      <c r="AG34" s="137" t="n">
        <f aca="false">IF(IF(ISBLANK(H34),1,(TRIM(H34)="")),"",ROUND((H34+$R34*0.1094)/4.184,3))</f>
        <v>1.372</v>
      </c>
    </row>
    <row r="35" customFormat="false" ht="12.75" hidden="false" customHeight="false" outlineLevel="0" collapsed="false">
      <c r="B35" s="31" t="s">
        <v>49</v>
      </c>
      <c r="C35" s="136"/>
      <c r="D35" s="63"/>
      <c r="E35" s="62"/>
      <c r="F35" s="63" t="n">
        <v>41.6</v>
      </c>
      <c r="G35" s="62" t="n">
        <v>41.6</v>
      </c>
      <c r="H35" s="63" t="n">
        <v>41.59</v>
      </c>
      <c r="I35" s="58"/>
      <c r="J35" s="31" t="s">
        <v>49</v>
      </c>
      <c r="K35" s="130" t="str">
        <f aca="false">IF(IF(ISBLANK(C35),1,(TRIM(C35)="")),"",ROUND(C35/4.184,3))</f>
        <v/>
      </c>
      <c r="L35" s="137" t="str">
        <f aca="false">IF(IF(ISBLANK(D35),1,(TRIM(D35)="")),"",ROUND(D35/4.184,3))</f>
        <v/>
      </c>
      <c r="M35" s="132" t="str">
        <f aca="false">IF(IF(ISBLANK(E35),1,(TRIM(E35)="")),"",ROUND(E35/4.184,3))</f>
        <v/>
      </c>
      <c r="N35" s="137" t="n">
        <f aca="false">IF(IF(ISBLANK(F35),1,(TRIM(F35)="")),"",ROUND(F35/4.184,3))</f>
        <v>9.943</v>
      </c>
      <c r="O35" s="132" t="n">
        <f aca="false">IF(IF(ISBLANK(G35),1,(TRIM(G35)="")),"",ROUND(G35/4.184,3))</f>
        <v>9.943</v>
      </c>
      <c r="P35" s="137" t="n">
        <f aca="false">IF(IF(ISBLANK(H35),1,(TRIM(H35)="")),"",ROUND(H35/4.184,3))</f>
        <v>9.94</v>
      </c>
      <c r="Q35" s="45"/>
      <c r="R35" s="34"/>
      <c r="S35" s="31" t="s">
        <v>49</v>
      </c>
      <c r="T35" s="130" t="str">
        <f aca="false">IF(IF(ISBLANK(C35),1,(TRIM(C35)="")),"",ROUND(C35+$R35*0.1094,3))</f>
        <v/>
      </c>
      <c r="U35" s="101" t="str">
        <f aca="false">IF(IF(ISBLANK(D35),1,(TRIM(D35)="")),"",ROUND(D35+$R35*0.1094,3))</f>
        <v/>
      </c>
      <c r="V35" s="130" t="str">
        <f aca="false">IF(IF(ISBLANK(E35),1,(TRIM(E35)="")),"",ROUND(E35+$R35*0.1094,3))</f>
        <v/>
      </c>
      <c r="W35" s="101" t="n">
        <f aca="false">IF(IF(ISBLANK(F35),1,(TRIM(F35)="")),"",ROUND(F35+$R35*0.1094,3))</f>
        <v>41.6</v>
      </c>
      <c r="X35" s="130" t="n">
        <f aca="false">IF(IF(ISBLANK(G35),1,(TRIM(G35)="")),"",ROUND(G35+$R35*0.1094,3))</f>
        <v>41.6</v>
      </c>
      <c r="Y35" s="101" t="n">
        <f aca="false">IF(IF(ISBLANK(H35),1,(TRIM(H35)="")),"",ROUND(H35+$R35*0.1094,3))</f>
        <v>41.59</v>
      </c>
      <c r="AA35" s="138" t="s">
        <v>49</v>
      </c>
      <c r="AB35" s="93" t="str">
        <f aca="false">IF(IF(ISBLANK(C35),1,(TRIM(C35)="")),"",ROUND((C35+$R35*0.1094)/4.184,3))</f>
        <v/>
      </c>
      <c r="AC35" s="139" t="str">
        <f aca="false">IF(IF(ISBLANK(D35),1,(TRIM(D35)="")),"",ROUND((D35+$R35*0.1094)/4.184,3))</f>
        <v/>
      </c>
      <c r="AD35" s="93" t="str">
        <f aca="false">IF(IF(ISBLANK(E35),1,(TRIM(E35)="")),"",ROUND((E35+$R35*0.1094)/4.184,3))</f>
        <v/>
      </c>
      <c r="AE35" s="139" t="n">
        <f aca="false">IF(IF(ISBLANK(F35),1,(TRIM(F35)="")),"",ROUND((F35+$R35*0.1094)/4.184,3))</f>
        <v>9.943</v>
      </c>
      <c r="AF35" s="93" t="n">
        <f aca="false">IF(IF(ISBLANK(G35),1,(TRIM(G35)="")),"",ROUND((G35+$R35*0.1094)/4.184,3))</f>
        <v>9.943</v>
      </c>
      <c r="AG35" s="137" t="n">
        <f aca="false">IF(IF(ISBLANK(H35),1,(TRIM(H35)="")),"",ROUND((H35+$R35*0.1094)/4.184,3))</f>
        <v>9.94</v>
      </c>
    </row>
    <row r="36" customFormat="false" ht="12.75" hidden="false" customHeight="false" outlineLevel="0" collapsed="false">
      <c r="B36" s="31" t="s">
        <v>50</v>
      </c>
      <c r="C36" s="136"/>
      <c r="D36" s="63"/>
      <c r="E36" s="62"/>
      <c r="F36" s="63"/>
      <c r="G36" s="64" t="s">
        <v>538</v>
      </c>
      <c r="H36" s="65" t="s">
        <v>538</v>
      </c>
      <c r="I36" s="66"/>
      <c r="J36" s="31" t="s">
        <v>50</v>
      </c>
      <c r="K36" s="130" t="str">
        <f aca="false">IF(IF(ISBLANK(C36),1,(TRIM(C36)="")),"",ROUND(C36/4.184,3))</f>
        <v/>
      </c>
      <c r="L36" s="137" t="str">
        <f aca="false">IF(IF(ISBLANK(D36),1,(TRIM(D36)="")),"",ROUND(D36/4.184,3))</f>
        <v/>
      </c>
      <c r="M36" s="132" t="str">
        <f aca="false">IF(IF(ISBLANK(E36),1,(TRIM(E36)="")),"",ROUND(E36/4.184,3))</f>
        <v/>
      </c>
      <c r="N36" s="137" t="str">
        <f aca="false">IF(IF(ISBLANK(F36),1,(TRIM(F36)="")),"",ROUND(F36/4.184,3))</f>
        <v/>
      </c>
      <c r="O36" s="132" t="n">
        <f aca="false">IF(IF(ISBLANK(G36),1,(TRIM(G36)="")),"",ROUND(G36/4.184,3))</f>
        <v>12.38</v>
      </c>
      <c r="P36" s="137" t="n">
        <f aca="false">IF(IF(ISBLANK(H36),1,(TRIM(H36)="")),"",ROUND(H36/4.184,3))</f>
        <v>12.38</v>
      </c>
      <c r="R36" s="34"/>
      <c r="S36" s="31" t="s">
        <v>50</v>
      </c>
      <c r="T36" s="130" t="str">
        <f aca="false">IF(IF(ISBLANK(C36),1,(TRIM(C36)="")),"",ROUND(C36+$R36*0.1094,3))</f>
        <v/>
      </c>
      <c r="U36" s="101" t="str">
        <f aca="false">IF(IF(ISBLANK(D36),1,(TRIM(D36)="")),"",ROUND(D36+$R36*0.1094,3))</f>
        <v/>
      </c>
      <c r="V36" s="130" t="str">
        <f aca="false">IF(IF(ISBLANK(E36),1,(TRIM(E36)="")),"",ROUND(E36+$R36*0.1094,3))</f>
        <v/>
      </c>
      <c r="W36" s="101" t="str">
        <f aca="false">IF(IF(ISBLANK(F36),1,(TRIM(F36)="")),"",ROUND(F36+$R36*0.1094,3))</f>
        <v/>
      </c>
      <c r="X36" s="130" t="n">
        <f aca="false">IF(IF(ISBLANK(G36),1,(TRIM(G36)="")),"",ROUND(G36+$R36*0.1094,3))</f>
        <v>51.8</v>
      </c>
      <c r="Y36" s="101" t="n">
        <f aca="false">IF(IF(ISBLANK(H36),1,(TRIM(H36)="")),"",ROUND(H36+$R36*0.1094,3))</f>
        <v>51.8</v>
      </c>
      <c r="AA36" s="138" t="s">
        <v>50</v>
      </c>
      <c r="AB36" s="93" t="str">
        <f aca="false">IF(IF(ISBLANK(C36),1,(TRIM(C36)="")),"",ROUND((C36+$R36*0.1094)/4.184,3))</f>
        <v/>
      </c>
      <c r="AC36" s="139" t="str">
        <f aca="false">IF(IF(ISBLANK(D36),1,(TRIM(D36)="")),"",ROUND((D36+$R36*0.1094)/4.184,3))</f>
        <v/>
      </c>
      <c r="AD36" s="93" t="str">
        <f aca="false">IF(IF(ISBLANK(E36),1,(TRIM(E36)="")),"",ROUND((E36+$R36*0.1094)/4.184,3))</f>
        <v/>
      </c>
      <c r="AE36" s="139" t="str">
        <f aca="false">IF(IF(ISBLANK(F36),1,(TRIM(F36)="")),"",ROUND((F36+$R36*0.1094)/4.184,3))</f>
        <v/>
      </c>
      <c r="AF36" s="93" t="n">
        <f aca="false">IF(IF(ISBLANK(G36),1,(TRIM(G36)="")),"",ROUND((G36+$R36*0.1094)/4.184,3))</f>
        <v>12.38</v>
      </c>
      <c r="AG36" s="137" t="n">
        <f aca="false">IF(IF(ISBLANK(H36),1,(TRIM(H36)="")),"",ROUND((H36+$R36*0.1094)/4.184,3))</f>
        <v>12.38</v>
      </c>
    </row>
    <row r="37" customFormat="false" ht="12.75" hidden="false" customHeight="false" outlineLevel="0" collapsed="false">
      <c r="A37" s="10"/>
      <c r="B37" s="31" t="s">
        <v>51</v>
      </c>
      <c r="C37" s="136"/>
      <c r="D37" s="63"/>
      <c r="E37" s="62"/>
      <c r="F37" s="63"/>
      <c r="G37" s="62"/>
      <c r="H37" s="63"/>
      <c r="I37" s="58"/>
      <c r="J37" s="31" t="s">
        <v>51</v>
      </c>
      <c r="K37" s="130" t="str">
        <f aca="false">IF(IF(ISBLANK(C37),1,(TRIM(C37)="")),"",ROUND(C37/4.184,3))</f>
        <v/>
      </c>
      <c r="L37" s="137" t="str">
        <f aca="false">IF(IF(ISBLANK(D37),1,(TRIM(D37)="")),"",ROUND(D37/4.184,3))</f>
        <v/>
      </c>
      <c r="M37" s="132" t="str">
        <f aca="false">IF(IF(ISBLANK(E37),1,(TRIM(E37)="")),"",ROUND(E37/4.184,3))</f>
        <v/>
      </c>
      <c r="N37" s="137" t="str">
        <f aca="false">IF(IF(ISBLANK(F37),1,(TRIM(F37)="")),"",ROUND(F37/4.184,3))</f>
        <v/>
      </c>
      <c r="O37" s="132" t="str">
        <f aca="false">IF(IF(ISBLANK(G37),1,(TRIM(G37)="")),"",ROUND(G37/4.184,3))</f>
        <v/>
      </c>
      <c r="P37" s="137" t="str">
        <f aca="false">IF(IF(ISBLANK(H37),1,(TRIM(H37)="")),"",ROUND(H37/4.184,3))</f>
        <v/>
      </c>
      <c r="R37" s="34"/>
      <c r="S37" s="31" t="s">
        <v>51</v>
      </c>
      <c r="T37" s="130" t="str">
        <f aca="false">IF(IF(ISBLANK(C37),1,(TRIM(C37)="")),"",ROUND(C37+$R37*0.1094,3))</f>
        <v/>
      </c>
      <c r="U37" s="101" t="str">
        <f aca="false">IF(IF(ISBLANK(D37),1,(TRIM(D37)="")),"",ROUND(D37+$R37*0.1094,3))</f>
        <v/>
      </c>
      <c r="V37" s="130" t="str">
        <f aca="false">IF(IF(ISBLANK(E37),1,(TRIM(E37)="")),"",ROUND(E37+$R37*0.1094,3))</f>
        <v/>
      </c>
      <c r="W37" s="101" t="str">
        <f aca="false">IF(IF(ISBLANK(F37),1,(TRIM(F37)="")),"",ROUND(F37+$R37*0.1094,3))</f>
        <v/>
      </c>
      <c r="X37" s="130" t="str">
        <f aca="false">IF(IF(ISBLANK(G37),1,(TRIM(G37)="")),"",ROUND(G37+$R37*0.1094,3))</f>
        <v/>
      </c>
      <c r="Y37" s="101" t="str">
        <f aca="false">IF(IF(ISBLANK(H37),1,(TRIM(H37)="")),"",ROUND(H37+$R37*0.1094,3))</f>
        <v/>
      </c>
      <c r="AA37" s="138" t="s">
        <v>51</v>
      </c>
      <c r="AB37" s="93" t="str">
        <f aca="false">IF(IF(ISBLANK(C37),1,(TRIM(C37)="")),"",ROUND((C37+$R37*0.1094)/4.184,3))</f>
        <v/>
      </c>
      <c r="AC37" s="139" t="str">
        <f aca="false">IF(IF(ISBLANK(D37),1,(TRIM(D37)="")),"",ROUND((D37+$R37*0.1094)/4.184,3))</f>
        <v/>
      </c>
      <c r="AD37" s="93" t="str">
        <f aca="false">IF(IF(ISBLANK(E37),1,(TRIM(E37)="")),"",ROUND((E37+$R37*0.1094)/4.184,3))</f>
        <v/>
      </c>
      <c r="AE37" s="139" t="str">
        <f aca="false">IF(IF(ISBLANK(F37),1,(TRIM(F37)="")),"",ROUND((F37+$R37*0.1094)/4.184,3))</f>
        <v/>
      </c>
      <c r="AF37" s="93" t="str">
        <f aca="false">IF(IF(ISBLANK(G37),1,(TRIM(G37)="")),"",ROUND((G37+$R37*0.1094)/4.184,3))</f>
        <v/>
      </c>
      <c r="AG37" s="137" t="str">
        <f aca="false">IF(IF(ISBLANK(H37),1,(TRIM(H37)="")),"",ROUND((H37+$R37*0.1094)/4.184,3))</f>
        <v/>
      </c>
    </row>
    <row r="38" customFormat="false" ht="12.75" hidden="false" customHeight="false" outlineLevel="0" collapsed="false">
      <c r="B38" s="31" t="s">
        <v>52</v>
      </c>
      <c r="C38" s="136"/>
      <c r="D38" s="63"/>
      <c r="E38" s="62"/>
      <c r="F38" s="63"/>
      <c r="G38" s="62"/>
      <c r="H38" s="63"/>
      <c r="I38" s="58"/>
      <c r="J38" s="31" t="s">
        <v>52</v>
      </c>
      <c r="K38" s="130" t="str">
        <f aca="false">IF(IF(ISBLANK(C38),1,(TRIM(C38)="")),"",ROUND(C38/4.184,3))</f>
        <v/>
      </c>
      <c r="L38" s="137" t="str">
        <f aca="false">IF(IF(ISBLANK(D38),1,(TRIM(D38)="")),"",ROUND(D38/4.184,3))</f>
        <v/>
      </c>
      <c r="M38" s="132" t="str">
        <f aca="false">IF(IF(ISBLANK(E38),1,(TRIM(E38)="")),"",ROUND(E38/4.184,3))</f>
        <v/>
      </c>
      <c r="N38" s="137" t="str">
        <f aca="false">IF(IF(ISBLANK(F38),1,(TRIM(F38)="")),"",ROUND(F38/4.184,3))</f>
        <v/>
      </c>
      <c r="O38" s="132" t="str">
        <f aca="false">IF(IF(ISBLANK(G38),1,(TRIM(G38)="")),"",ROUND(G38/4.184,3))</f>
        <v/>
      </c>
      <c r="P38" s="137" t="str">
        <f aca="false">IF(IF(ISBLANK(H38),1,(TRIM(H38)="")),"",ROUND(H38/4.184,3))</f>
        <v/>
      </c>
      <c r="R38" s="34"/>
      <c r="S38" s="31" t="s">
        <v>52</v>
      </c>
      <c r="T38" s="130" t="str">
        <f aca="false">IF(IF(ISBLANK(C38),1,(TRIM(C38)="")),"",ROUND(C38+$R38*0.1094,3))</f>
        <v/>
      </c>
      <c r="U38" s="101" t="str">
        <f aca="false">IF(IF(ISBLANK(D38),1,(TRIM(D38)="")),"",ROUND(D38+$R38*0.1094,3))</f>
        <v/>
      </c>
      <c r="V38" s="130" t="str">
        <f aca="false">IF(IF(ISBLANK(E38),1,(TRIM(E38)="")),"",ROUND(E38+$R38*0.1094,3))</f>
        <v/>
      </c>
      <c r="W38" s="101" t="str">
        <f aca="false">IF(IF(ISBLANK(F38),1,(TRIM(F38)="")),"",ROUND(F38+$R38*0.1094,3))</f>
        <v/>
      </c>
      <c r="X38" s="130" t="str">
        <f aca="false">IF(IF(ISBLANK(G38),1,(TRIM(G38)="")),"",ROUND(G38+$R38*0.1094,3))</f>
        <v/>
      </c>
      <c r="Y38" s="101" t="str">
        <f aca="false">IF(IF(ISBLANK(H38),1,(TRIM(H38)="")),"",ROUND(H38+$R38*0.1094,3))</f>
        <v/>
      </c>
      <c r="Z38" s="10"/>
      <c r="AA38" s="138" t="s">
        <v>52</v>
      </c>
      <c r="AB38" s="93" t="str">
        <f aca="false">IF(IF(ISBLANK(C38),1,(TRIM(C38)="")),"",ROUND((C38+$R38*0.1094)/4.184,3))</f>
        <v/>
      </c>
      <c r="AC38" s="139" t="str">
        <f aca="false">IF(IF(ISBLANK(D38),1,(TRIM(D38)="")),"",ROUND((D38+$R38*0.1094)/4.184,3))</f>
        <v/>
      </c>
      <c r="AD38" s="93" t="str">
        <f aca="false">IF(IF(ISBLANK(E38),1,(TRIM(E38)="")),"",ROUND((E38+$R38*0.1094)/4.184,3))</f>
        <v/>
      </c>
      <c r="AE38" s="139" t="str">
        <f aca="false">IF(IF(ISBLANK(F38),1,(TRIM(F38)="")),"",ROUND((F38+$R38*0.1094)/4.184,3))</f>
        <v/>
      </c>
      <c r="AF38" s="93" t="str">
        <f aca="false">IF(IF(ISBLANK(G38),1,(TRIM(G38)="")),"",ROUND((G38+$R38*0.1094)/4.184,3))</f>
        <v/>
      </c>
      <c r="AG38" s="137" t="str">
        <f aca="false">IF(IF(ISBLANK(H38),1,(TRIM(H38)="")),"",ROUND((H38+$R38*0.1094)/4.184,3))</f>
        <v/>
      </c>
    </row>
    <row r="39" s="90" customFormat="true" ht="12.75" hidden="false" customHeight="false" outlineLevel="0" collapsed="false">
      <c r="A39" s="89"/>
      <c r="B39" s="38" t="s">
        <v>54</v>
      </c>
      <c r="C39" s="136" t="n">
        <v>222.965</v>
      </c>
      <c r="D39" s="63" t="n">
        <v>222.965</v>
      </c>
      <c r="E39" s="62" t="n">
        <v>222.965</v>
      </c>
      <c r="F39" s="63" t="n">
        <v>222.965</v>
      </c>
      <c r="G39" s="62" t="n">
        <v>222.965</v>
      </c>
      <c r="H39" s="65" t="s">
        <v>539</v>
      </c>
      <c r="I39" s="58"/>
      <c r="J39" s="38" t="s">
        <v>54</v>
      </c>
      <c r="K39" s="130" t="n">
        <f aca="false">IF(IF(ISBLANK(C39),1,(TRIM(C39)="")),"",ROUND(C39/4.184,3))</f>
        <v>53.29</v>
      </c>
      <c r="L39" s="137" t="n">
        <f aca="false">IF(IF(ISBLANK(D39),1,(TRIM(D39)="")),"",ROUND(D39/4.184,3))</f>
        <v>53.29</v>
      </c>
      <c r="M39" s="132" t="n">
        <f aca="false">IF(IF(ISBLANK(E39),1,(TRIM(E39)="")),"",ROUND(E39/4.184,3))</f>
        <v>53.29</v>
      </c>
      <c r="N39" s="137" t="n">
        <f aca="false">IF(IF(ISBLANK(F39),1,(TRIM(F39)="")),"",ROUND(F39/4.184,3))</f>
        <v>53.29</v>
      </c>
      <c r="O39" s="132" t="n">
        <f aca="false">IF(IF(ISBLANK(G39),1,(TRIM(G39)="")),"",ROUND(G39/4.184,3))</f>
        <v>53.29</v>
      </c>
      <c r="P39" s="137" t="n">
        <f aca="false">IF(IF(ISBLANK(H39),1,(TRIM(H39)="")),"",ROUND(H39/4.184,3))</f>
        <v>53.292</v>
      </c>
      <c r="Q39" s="44"/>
      <c r="R39" s="34" t="n">
        <v>1</v>
      </c>
      <c r="S39" s="38" t="s">
        <v>54</v>
      </c>
      <c r="T39" s="130" t="n">
        <f aca="false">IF(IF(ISBLANK(C39),1,(TRIM(C39)="")),"",ROUND(C39+$R39*0.1094,3))</f>
        <v>223.074</v>
      </c>
      <c r="U39" s="101" t="n">
        <f aca="false">IF(IF(ISBLANK(D39),1,(TRIM(D39)="")),"",ROUND(D39+$R39*0.1094,3))</f>
        <v>223.074</v>
      </c>
      <c r="V39" s="130" t="n">
        <f aca="false">IF(IF(ISBLANK(E39),1,(TRIM(E39)="")),"",ROUND(E39+$R39*0.1094,3))</f>
        <v>223.074</v>
      </c>
      <c r="W39" s="101" t="n">
        <f aca="false">IF(IF(ISBLANK(F39),1,(TRIM(F39)="")),"",ROUND(F39+$R39*0.1094,3))</f>
        <v>223.074</v>
      </c>
      <c r="X39" s="130" t="n">
        <f aca="false">IF(IF(ISBLANK(G39),1,(TRIM(G39)="")),"",ROUND(G39+$R39*0.1094,3))</f>
        <v>223.074</v>
      </c>
      <c r="Y39" s="101" t="n">
        <f aca="false">IF(IF(ISBLANK(H39),1,(TRIM(H39)="")),"",ROUND(H39+$R39*0.1094,3))</f>
        <v>223.081</v>
      </c>
      <c r="Z39" s="10"/>
      <c r="AA39" s="140" t="s">
        <v>54</v>
      </c>
      <c r="AB39" s="93" t="n">
        <f aca="false">IF(IF(ISBLANK(C39),1,(TRIM(C39)="")),"",ROUND((C39+$R39*0.1094)/4.184,3))</f>
        <v>53.316</v>
      </c>
      <c r="AC39" s="139" t="n">
        <f aca="false">IF(IF(ISBLANK(D39),1,(TRIM(D39)="")),"",ROUND((D39+$R39*0.1094)/4.184,3))</f>
        <v>53.316</v>
      </c>
      <c r="AD39" s="93" t="n">
        <f aca="false">IF(IF(ISBLANK(E39),1,(TRIM(E39)="")),"",ROUND((E39+$R39*0.1094)/4.184,3))</f>
        <v>53.316</v>
      </c>
      <c r="AE39" s="139" t="n">
        <f aca="false">IF(IF(ISBLANK(F39),1,(TRIM(F39)="")),"",ROUND((F39+$R39*0.1094)/4.184,3))</f>
        <v>53.316</v>
      </c>
      <c r="AF39" s="93" t="n">
        <f aca="false">IF(IF(ISBLANK(G39),1,(TRIM(G39)="")),"",ROUND((G39+$R39*0.1094)/4.184,3))</f>
        <v>53.316</v>
      </c>
      <c r="AG39" s="137" t="n">
        <f aca="false">IF(IF(ISBLANK(H39),1,(TRIM(H39)="")),"",ROUND((H39+$R39*0.1094)/4.184,3))</f>
        <v>53.318</v>
      </c>
    </row>
    <row r="40" customFormat="false" ht="12.75" hidden="false" customHeight="false" outlineLevel="0" collapsed="false">
      <c r="A40" s="10"/>
      <c r="B40" s="31" t="s">
        <v>56</v>
      </c>
      <c r="C40" s="136"/>
      <c r="D40" s="63"/>
      <c r="E40" s="62"/>
      <c r="F40" s="63"/>
      <c r="G40" s="62"/>
      <c r="H40" s="63"/>
      <c r="I40" s="58"/>
      <c r="J40" s="31" t="s">
        <v>56</v>
      </c>
      <c r="K40" s="130" t="str">
        <f aca="false">IF(IF(ISBLANK(C40),1,(TRIM(C40)="")),"",ROUND(C40/4.184,3))</f>
        <v/>
      </c>
      <c r="L40" s="137" t="str">
        <f aca="false">IF(IF(ISBLANK(D40),1,(TRIM(D40)="")),"",ROUND(D40/4.184,3))</f>
        <v/>
      </c>
      <c r="M40" s="132" t="str">
        <f aca="false">IF(IF(ISBLANK(E40),1,(TRIM(E40)="")),"",ROUND(E40/4.184,3))</f>
        <v/>
      </c>
      <c r="N40" s="137" t="str">
        <f aca="false">IF(IF(ISBLANK(F40),1,(TRIM(F40)="")),"",ROUND(F40/4.184,3))</f>
        <v/>
      </c>
      <c r="O40" s="132" t="str">
        <f aca="false">IF(IF(ISBLANK(G40),1,(TRIM(G40)="")),"",ROUND(G40/4.184,3))</f>
        <v/>
      </c>
      <c r="P40" s="137" t="str">
        <f aca="false">IF(IF(ISBLANK(H40),1,(TRIM(H40)="")),"",ROUND(H40/4.184,3))</f>
        <v/>
      </c>
      <c r="R40" s="34"/>
      <c r="S40" s="31" t="s">
        <v>56</v>
      </c>
      <c r="T40" s="130" t="str">
        <f aca="false">IF(IF(ISBLANK(C40),1,(TRIM(C40)="")),"",ROUND(C40+$R40*0.1094,3))</f>
        <v/>
      </c>
      <c r="U40" s="101" t="str">
        <f aca="false">IF(IF(ISBLANK(D40),1,(TRIM(D40)="")),"",ROUND(D40+$R40*0.1094,3))</f>
        <v/>
      </c>
      <c r="V40" s="130" t="str">
        <f aca="false">IF(IF(ISBLANK(E40),1,(TRIM(E40)="")),"",ROUND(E40+$R40*0.1094,3))</f>
        <v/>
      </c>
      <c r="W40" s="101" t="str">
        <f aca="false">IF(IF(ISBLANK(F40),1,(TRIM(F40)="")),"",ROUND(F40+$R40*0.1094,3))</f>
        <v/>
      </c>
      <c r="X40" s="130" t="str">
        <f aca="false">IF(IF(ISBLANK(G40),1,(TRIM(G40)="")),"",ROUND(G40+$R40*0.1094,3))</f>
        <v/>
      </c>
      <c r="Y40" s="101" t="str">
        <f aca="false">IF(IF(ISBLANK(H40),1,(TRIM(H40)="")),"",ROUND(H40+$R40*0.1094,3))</f>
        <v/>
      </c>
      <c r="Z40" s="10"/>
      <c r="AA40" s="138" t="s">
        <v>56</v>
      </c>
      <c r="AB40" s="93" t="str">
        <f aca="false">IF(IF(ISBLANK(C40),1,(TRIM(C40)="")),"",ROUND((C40+$R40*0.1094)/4.184,3))</f>
        <v/>
      </c>
      <c r="AC40" s="139" t="str">
        <f aca="false">IF(IF(ISBLANK(D40),1,(TRIM(D40)="")),"",ROUND((D40+$R40*0.1094)/4.184,3))</f>
        <v/>
      </c>
      <c r="AD40" s="93" t="str">
        <f aca="false">IF(IF(ISBLANK(E40),1,(TRIM(E40)="")),"",ROUND((E40+$R40*0.1094)/4.184,3))</f>
        <v/>
      </c>
      <c r="AE40" s="139" t="str">
        <f aca="false">IF(IF(ISBLANK(F40),1,(TRIM(F40)="")),"",ROUND((F40+$R40*0.1094)/4.184,3))</f>
        <v/>
      </c>
      <c r="AF40" s="93" t="str">
        <f aca="false">IF(IF(ISBLANK(G40),1,(TRIM(G40)="")),"",ROUND((G40+$R40*0.1094)/4.184,3))</f>
        <v/>
      </c>
      <c r="AG40" s="137" t="str">
        <f aca="false">IF(IF(ISBLANK(H40),1,(TRIM(H40)="")),"",ROUND((H40+$R40*0.1094)/4.184,3))</f>
        <v/>
      </c>
    </row>
    <row r="41" customFormat="false" ht="12.75" hidden="false" customHeight="false" outlineLevel="0" collapsed="false">
      <c r="B41" s="31" t="s">
        <v>57</v>
      </c>
      <c r="C41" s="136"/>
      <c r="D41" s="63"/>
      <c r="E41" s="62"/>
      <c r="F41" s="63"/>
      <c r="G41" s="62"/>
      <c r="H41" s="63"/>
      <c r="I41" s="58"/>
      <c r="J41" s="31" t="s">
        <v>57</v>
      </c>
      <c r="K41" s="130" t="str">
        <f aca="false">IF(IF(ISBLANK(C41),1,(TRIM(C41)="")),"",ROUND(C41/4.184,3))</f>
        <v/>
      </c>
      <c r="L41" s="137" t="str">
        <f aca="false">IF(IF(ISBLANK(D41),1,(TRIM(D41)="")),"",ROUND(D41/4.184,3))</f>
        <v/>
      </c>
      <c r="M41" s="132" t="str">
        <f aca="false">IF(IF(ISBLANK(E41),1,(TRIM(E41)="")),"",ROUND(E41/4.184,3))</f>
        <v/>
      </c>
      <c r="N41" s="137" t="str">
        <f aca="false">IF(IF(ISBLANK(F41),1,(TRIM(F41)="")),"",ROUND(F41/4.184,3))</f>
        <v/>
      </c>
      <c r="O41" s="132" t="str">
        <f aca="false">IF(IF(ISBLANK(G41),1,(TRIM(G41)="")),"",ROUND(G41/4.184,3))</f>
        <v/>
      </c>
      <c r="P41" s="137" t="str">
        <f aca="false">IF(IF(ISBLANK(H41),1,(TRIM(H41)="")),"",ROUND(H41/4.184,3))</f>
        <v/>
      </c>
      <c r="R41" s="34"/>
      <c r="S41" s="31" t="s">
        <v>57</v>
      </c>
      <c r="T41" s="130" t="str">
        <f aca="false">IF(IF(ISBLANK(C41),1,(TRIM(C41)="")),"",ROUND(C41+$R41*0.1094,3))</f>
        <v/>
      </c>
      <c r="U41" s="101" t="str">
        <f aca="false">IF(IF(ISBLANK(D41),1,(TRIM(D41)="")),"",ROUND(D41+$R41*0.1094,3))</f>
        <v/>
      </c>
      <c r="V41" s="130" t="str">
        <f aca="false">IF(IF(ISBLANK(E41),1,(TRIM(E41)="")),"",ROUND(E41+$R41*0.1094,3))</f>
        <v/>
      </c>
      <c r="W41" s="101" t="str">
        <f aca="false">IF(IF(ISBLANK(F41),1,(TRIM(F41)="")),"",ROUND(F41+$R41*0.1094,3))</f>
        <v/>
      </c>
      <c r="X41" s="130" t="str">
        <f aca="false">IF(IF(ISBLANK(G41),1,(TRIM(G41)="")),"",ROUND(G41+$R41*0.1094,3))</f>
        <v/>
      </c>
      <c r="Y41" s="101" t="str">
        <f aca="false">IF(IF(ISBLANK(H41),1,(TRIM(H41)="")),"",ROUND(H41+$R41*0.1094,3))</f>
        <v/>
      </c>
      <c r="Z41" s="10"/>
      <c r="AA41" s="138" t="s">
        <v>57</v>
      </c>
      <c r="AB41" s="93" t="str">
        <f aca="false">IF(IF(ISBLANK(C41),1,(TRIM(C41)="")),"",ROUND((C41+$R41*0.1094)/4.184,3))</f>
        <v/>
      </c>
      <c r="AC41" s="139" t="str">
        <f aca="false">IF(IF(ISBLANK(D41),1,(TRIM(D41)="")),"",ROUND((D41+$R41*0.1094)/4.184,3))</f>
        <v/>
      </c>
      <c r="AD41" s="93" t="str">
        <f aca="false">IF(IF(ISBLANK(E41),1,(TRIM(E41)="")),"",ROUND((E41+$R41*0.1094)/4.184,3))</f>
        <v/>
      </c>
      <c r="AE41" s="139" t="str">
        <f aca="false">IF(IF(ISBLANK(F41),1,(TRIM(F41)="")),"",ROUND((F41+$R41*0.1094)/4.184,3))</f>
        <v/>
      </c>
      <c r="AF41" s="93" t="str">
        <f aca="false">IF(IF(ISBLANK(G41),1,(TRIM(G41)="")),"",ROUND((G41+$R41*0.1094)/4.184,3))</f>
        <v/>
      </c>
      <c r="AG41" s="137" t="str">
        <f aca="false">IF(IF(ISBLANK(H41),1,(TRIM(H41)="")),"",ROUND((H41+$R41*0.1094)/4.184,3))</f>
        <v/>
      </c>
    </row>
    <row r="42" customFormat="false" ht="12.75" hidden="false" customHeight="false" outlineLevel="0" collapsed="false">
      <c r="B42" s="31" t="s">
        <v>58</v>
      </c>
      <c r="C42" s="136"/>
      <c r="D42" s="63"/>
      <c r="E42" s="62"/>
      <c r="F42" s="63"/>
      <c r="G42" s="62"/>
      <c r="H42" s="63"/>
      <c r="I42" s="58"/>
      <c r="J42" s="31" t="s">
        <v>58</v>
      </c>
      <c r="K42" s="130" t="str">
        <f aca="false">IF(IF(ISBLANK(C42),1,(TRIM(C42)="")),"",ROUND(C42/4.184,3))</f>
        <v/>
      </c>
      <c r="L42" s="137" t="str">
        <f aca="false">IF(IF(ISBLANK(D42),1,(TRIM(D42)="")),"",ROUND(D42/4.184,3))</f>
        <v/>
      </c>
      <c r="M42" s="132" t="str">
        <f aca="false">IF(IF(ISBLANK(E42),1,(TRIM(E42)="")),"",ROUND(E42/4.184,3))</f>
        <v/>
      </c>
      <c r="N42" s="137" t="str">
        <f aca="false">IF(IF(ISBLANK(F42),1,(TRIM(F42)="")),"",ROUND(F42/4.184,3))</f>
        <v/>
      </c>
      <c r="O42" s="132" t="str">
        <f aca="false">IF(IF(ISBLANK(G42),1,(TRIM(G42)="")),"",ROUND(G42/4.184,3))</f>
        <v/>
      </c>
      <c r="P42" s="137" t="str">
        <f aca="false">IF(IF(ISBLANK(H42),1,(TRIM(H42)="")),"",ROUND(H42/4.184,3))</f>
        <v/>
      </c>
      <c r="R42" s="34"/>
      <c r="S42" s="31" t="s">
        <v>58</v>
      </c>
      <c r="T42" s="130" t="str">
        <f aca="false">IF(IF(ISBLANK(C42),1,(TRIM(C42)="")),"",ROUND(C42+$R42*0.1094,3))</f>
        <v/>
      </c>
      <c r="U42" s="101" t="str">
        <f aca="false">IF(IF(ISBLANK(D42),1,(TRIM(D42)="")),"",ROUND(D42+$R42*0.1094,3))</f>
        <v/>
      </c>
      <c r="V42" s="130" t="str">
        <f aca="false">IF(IF(ISBLANK(E42),1,(TRIM(E42)="")),"",ROUND(E42+$R42*0.1094,3))</f>
        <v/>
      </c>
      <c r="W42" s="101" t="str">
        <f aca="false">IF(IF(ISBLANK(F42),1,(TRIM(F42)="")),"",ROUND(F42+$R42*0.1094,3))</f>
        <v/>
      </c>
      <c r="X42" s="130" t="str">
        <f aca="false">IF(IF(ISBLANK(G42),1,(TRIM(G42)="")),"",ROUND(G42+$R42*0.1094,3))</f>
        <v/>
      </c>
      <c r="Y42" s="101" t="str">
        <f aca="false">IF(IF(ISBLANK(H42),1,(TRIM(H42)="")),"",ROUND(H42+$R42*0.1094,3))</f>
        <v/>
      </c>
      <c r="Z42" s="10"/>
      <c r="AA42" s="138" t="s">
        <v>58</v>
      </c>
      <c r="AB42" s="93" t="str">
        <f aca="false">IF(IF(ISBLANK(C42),1,(TRIM(C42)="")),"",ROUND((C42+$R42*0.1094)/4.184,3))</f>
        <v/>
      </c>
      <c r="AC42" s="139" t="str">
        <f aca="false">IF(IF(ISBLANK(D42),1,(TRIM(D42)="")),"",ROUND((D42+$R42*0.1094)/4.184,3))</f>
        <v/>
      </c>
      <c r="AD42" s="93" t="str">
        <f aca="false">IF(IF(ISBLANK(E42),1,(TRIM(E42)="")),"",ROUND((E42+$R42*0.1094)/4.184,3))</f>
        <v/>
      </c>
      <c r="AE42" s="139" t="str">
        <f aca="false">IF(IF(ISBLANK(F42),1,(TRIM(F42)="")),"",ROUND((F42+$R42*0.1094)/4.184,3))</f>
        <v/>
      </c>
      <c r="AF42" s="93" t="str">
        <f aca="false">IF(IF(ISBLANK(G42),1,(TRIM(G42)="")),"",ROUND((G42+$R42*0.1094)/4.184,3))</f>
        <v/>
      </c>
      <c r="AG42" s="137" t="str">
        <f aca="false">IF(IF(ISBLANK(H42),1,(TRIM(H42)="")),"",ROUND((H42+$R42*0.1094)/4.184,3))</f>
        <v/>
      </c>
    </row>
    <row r="43" customFormat="false" ht="12.75" hidden="false" customHeight="false" outlineLevel="0" collapsed="false">
      <c r="B43" s="38" t="s">
        <v>59</v>
      </c>
      <c r="C43" s="136"/>
      <c r="D43" s="63" t="n">
        <v>85.23</v>
      </c>
      <c r="E43" s="62" t="n">
        <v>85.23</v>
      </c>
      <c r="F43" s="63" t="n">
        <v>85.23</v>
      </c>
      <c r="G43" s="62" t="n">
        <v>85.23</v>
      </c>
      <c r="H43" s="63" t="n">
        <v>85.23</v>
      </c>
      <c r="I43" s="58"/>
      <c r="J43" s="38" t="s">
        <v>59</v>
      </c>
      <c r="K43" s="130" t="str">
        <f aca="false">IF(IF(ISBLANK(C43),1,(TRIM(C43)="")),"",ROUND(C43/4.184,3))</f>
        <v/>
      </c>
      <c r="L43" s="137" t="n">
        <f aca="false">IF(IF(ISBLANK(D43),1,(TRIM(D43)="")),"",ROUND(D43/4.184,3))</f>
        <v>20.37</v>
      </c>
      <c r="M43" s="132" t="n">
        <f aca="false">IF(IF(ISBLANK(E43),1,(TRIM(E43)="")),"",ROUND(E43/4.184,3))</f>
        <v>20.37</v>
      </c>
      <c r="N43" s="137" t="n">
        <f aca="false">IF(IF(ISBLANK(F43),1,(TRIM(F43)="")),"",ROUND(F43/4.184,3))</f>
        <v>20.37</v>
      </c>
      <c r="O43" s="132" t="n">
        <f aca="false">IF(IF(ISBLANK(G43),1,(TRIM(G43)="")),"",ROUND(G43/4.184,3))</f>
        <v>20.37</v>
      </c>
      <c r="P43" s="137" t="n">
        <f aca="false">IF(IF(ISBLANK(H43),1,(TRIM(H43)="")),"",ROUND(H43/4.184,3))</f>
        <v>20.37</v>
      </c>
      <c r="Q43" s="45"/>
      <c r="R43" s="34"/>
      <c r="S43" s="38" t="s">
        <v>59</v>
      </c>
      <c r="T43" s="130" t="str">
        <f aca="false">IF(IF(ISBLANK(C43),1,(TRIM(C43)="")),"",ROUND(C43+$R43*0.1094,3))</f>
        <v/>
      </c>
      <c r="U43" s="101" t="n">
        <f aca="false">IF(IF(ISBLANK(D43),1,(TRIM(D43)="")),"",ROUND(D43+$R43*0.1094,3))</f>
        <v>85.23</v>
      </c>
      <c r="V43" s="130" t="n">
        <f aca="false">IF(IF(ISBLANK(E43),1,(TRIM(E43)="")),"",ROUND(E43+$R43*0.1094,3))</f>
        <v>85.23</v>
      </c>
      <c r="W43" s="101" t="n">
        <f aca="false">IF(IF(ISBLANK(F43),1,(TRIM(F43)="")),"",ROUND(F43+$R43*0.1094,3))</f>
        <v>85.23</v>
      </c>
      <c r="X43" s="130" t="n">
        <f aca="false">IF(IF(ISBLANK(G43),1,(TRIM(G43)="")),"",ROUND(G43+$R43*0.1094,3))</f>
        <v>85.23</v>
      </c>
      <c r="Y43" s="101" t="n">
        <f aca="false">IF(IF(ISBLANK(H43),1,(TRIM(H43)="")),"",ROUND(H43+$R43*0.1094,3))</f>
        <v>85.23</v>
      </c>
      <c r="Z43" s="10"/>
      <c r="AA43" s="140" t="s">
        <v>59</v>
      </c>
      <c r="AB43" s="93" t="str">
        <f aca="false">IF(IF(ISBLANK(C43),1,(TRIM(C43)="")),"",ROUND((C43+$R43*0.1094)/4.184,3))</f>
        <v/>
      </c>
      <c r="AC43" s="139" t="n">
        <f aca="false">IF(IF(ISBLANK(D43),1,(TRIM(D43)="")),"",ROUND((D43+$R43*0.1094)/4.184,3))</f>
        <v>20.37</v>
      </c>
      <c r="AD43" s="93" t="n">
        <f aca="false">IF(IF(ISBLANK(E43),1,(TRIM(E43)="")),"",ROUND((E43+$R43*0.1094)/4.184,3))</f>
        <v>20.37</v>
      </c>
      <c r="AE43" s="139" t="n">
        <f aca="false">IF(IF(ISBLANK(F43),1,(TRIM(F43)="")),"",ROUND((F43+$R43*0.1094)/4.184,3))</f>
        <v>20.37</v>
      </c>
      <c r="AF43" s="93" t="n">
        <f aca="false">IF(IF(ISBLANK(G43),1,(TRIM(G43)="")),"",ROUND((G43+$R43*0.1094)/4.184,3))</f>
        <v>20.37</v>
      </c>
      <c r="AG43" s="137" t="n">
        <f aca="false">IF(IF(ISBLANK(H43),1,(TRIM(H43)="")),"",ROUND((H43+$R43*0.1094)/4.184,3))</f>
        <v>20.37</v>
      </c>
    </row>
    <row r="44" customFormat="false" ht="12.75" hidden="false" customHeight="false" outlineLevel="0" collapsed="false">
      <c r="B44" s="31" t="s">
        <v>60</v>
      </c>
      <c r="C44" s="136"/>
      <c r="D44" s="63"/>
      <c r="E44" s="62" t="n">
        <v>33.15</v>
      </c>
      <c r="F44" s="63" t="n">
        <v>33.15</v>
      </c>
      <c r="G44" s="62" t="n">
        <v>33.15</v>
      </c>
      <c r="H44" s="63" t="n">
        <v>33.15</v>
      </c>
      <c r="I44" s="58"/>
      <c r="J44" s="31" t="s">
        <v>60</v>
      </c>
      <c r="K44" s="130" t="str">
        <f aca="false">IF(IF(ISBLANK(C44),1,(TRIM(C44)="")),"",ROUND(C44/4.184,3))</f>
        <v/>
      </c>
      <c r="L44" s="137" t="str">
        <f aca="false">IF(IF(ISBLANK(D44),1,(TRIM(D44)="")),"",ROUND(D44/4.184,3))</f>
        <v/>
      </c>
      <c r="M44" s="132" t="n">
        <f aca="false">IF(IF(ISBLANK(E44),1,(TRIM(E44)="")),"",ROUND(E44/4.184,3))</f>
        <v>7.923</v>
      </c>
      <c r="N44" s="137" t="n">
        <f aca="false">IF(IF(ISBLANK(F44),1,(TRIM(F44)="")),"",ROUND(F44/4.184,3))</f>
        <v>7.923</v>
      </c>
      <c r="O44" s="132" t="n">
        <f aca="false">IF(IF(ISBLANK(G44),1,(TRIM(G44)="")),"",ROUND(G44/4.184,3))</f>
        <v>7.923</v>
      </c>
      <c r="P44" s="137" t="n">
        <f aca="false">IF(IF(ISBLANK(H44),1,(TRIM(H44)="")),"",ROUND(H44/4.184,3))</f>
        <v>7.923</v>
      </c>
      <c r="Q44" s="45"/>
      <c r="R44" s="34"/>
      <c r="S44" s="31" t="s">
        <v>60</v>
      </c>
      <c r="T44" s="130" t="str">
        <f aca="false">IF(IF(ISBLANK(C44),1,(TRIM(C44)="")),"",ROUND(C44+$R44*0.1094,3))</f>
        <v/>
      </c>
      <c r="U44" s="101" t="str">
        <f aca="false">IF(IF(ISBLANK(D44),1,(TRIM(D44)="")),"",ROUND(D44+$R44*0.1094,3))</f>
        <v/>
      </c>
      <c r="V44" s="130" t="n">
        <f aca="false">IF(IF(ISBLANK(E44),1,(TRIM(E44)="")),"",ROUND(E44+$R44*0.1094,3))</f>
        <v>33.15</v>
      </c>
      <c r="W44" s="101" t="n">
        <f aca="false">IF(IF(ISBLANK(F44),1,(TRIM(F44)="")),"",ROUND(F44+$R44*0.1094,3))</f>
        <v>33.15</v>
      </c>
      <c r="X44" s="130" t="n">
        <f aca="false">IF(IF(ISBLANK(G44),1,(TRIM(G44)="")),"",ROUND(G44+$R44*0.1094,3))</f>
        <v>33.15</v>
      </c>
      <c r="Y44" s="101" t="n">
        <f aca="false">IF(IF(ISBLANK(H44),1,(TRIM(H44)="")),"",ROUND(H44+$R44*0.1094,3))</f>
        <v>33.15</v>
      </c>
      <c r="Z44" s="10"/>
      <c r="AA44" s="138" t="s">
        <v>60</v>
      </c>
      <c r="AB44" s="93" t="str">
        <f aca="false">IF(IF(ISBLANK(C44),1,(TRIM(C44)="")),"",ROUND((C44+$R44*0.1094)/4.184,3))</f>
        <v/>
      </c>
      <c r="AC44" s="139" t="str">
        <f aca="false">IF(IF(ISBLANK(D44),1,(TRIM(D44)="")),"",ROUND((D44+$R44*0.1094)/4.184,3))</f>
        <v/>
      </c>
      <c r="AD44" s="93" t="n">
        <f aca="false">IF(IF(ISBLANK(E44),1,(TRIM(E44)="")),"",ROUND((E44+$R44*0.1094)/4.184,3))</f>
        <v>7.923</v>
      </c>
      <c r="AE44" s="139" t="n">
        <f aca="false">IF(IF(ISBLANK(F44),1,(TRIM(F44)="")),"",ROUND((F44+$R44*0.1094)/4.184,3))</f>
        <v>7.923</v>
      </c>
      <c r="AF44" s="93" t="n">
        <f aca="false">IF(IF(ISBLANK(G44),1,(TRIM(G44)="")),"",ROUND((G44+$R44*0.1094)/4.184,3))</f>
        <v>7.923</v>
      </c>
      <c r="AG44" s="137" t="n">
        <f aca="false">IF(IF(ISBLANK(H44),1,(TRIM(H44)="")),"",ROUND((H44+$R44*0.1094)/4.184,3))</f>
        <v>7.923</v>
      </c>
    </row>
    <row r="45" customFormat="false" ht="12.75" hidden="false" customHeight="false" outlineLevel="0" collapsed="false">
      <c r="B45" s="31" t="s">
        <v>61</v>
      </c>
      <c r="C45" s="136"/>
      <c r="D45" s="63"/>
      <c r="E45" s="62"/>
      <c r="F45" s="63"/>
      <c r="G45" s="62"/>
      <c r="H45" s="63"/>
      <c r="I45" s="58"/>
      <c r="J45" s="31" t="s">
        <v>61</v>
      </c>
      <c r="K45" s="130" t="str">
        <f aca="false">IF(IF(ISBLANK(C45),1,(TRIM(C45)="")),"",ROUND(C45/4.184,3))</f>
        <v/>
      </c>
      <c r="L45" s="137" t="str">
        <f aca="false">IF(IF(ISBLANK(D45),1,(TRIM(D45)="")),"",ROUND(D45/4.184,3))</f>
        <v/>
      </c>
      <c r="M45" s="132" t="str">
        <f aca="false">IF(IF(ISBLANK(E45),1,(TRIM(E45)="")),"",ROUND(E45/4.184,3))</f>
        <v/>
      </c>
      <c r="N45" s="137" t="str">
        <f aca="false">IF(IF(ISBLANK(F45),1,(TRIM(F45)="")),"",ROUND(F45/4.184,3))</f>
        <v/>
      </c>
      <c r="O45" s="132" t="str">
        <f aca="false">IF(IF(ISBLANK(G45),1,(TRIM(G45)="")),"",ROUND(G45/4.184,3))</f>
        <v/>
      </c>
      <c r="P45" s="137" t="str">
        <f aca="false">IF(IF(ISBLANK(H45),1,(TRIM(H45)="")),"",ROUND(H45/4.184,3))</f>
        <v/>
      </c>
      <c r="Q45" s="45"/>
      <c r="R45" s="34"/>
      <c r="S45" s="31" t="s">
        <v>61</v>
      </c>
      <c r="T45" s="130" t="str">
        <f aca="false">IF(IF(ISBLANK(C45),1,(TRIM(C45)="")),"",ROUND(C45+$R45*0.1094,3))</f>
        <v/>
      </c>
      <c r="U45" s="101" t="str">
        <f aca="false">IF(IF(ISBLANK(D45),1,(TRIM(D45)="")),"",ROUND(D45+$R45*0.1094,3))</f>
        <v/>
      </c>
      <c r="V45" s="130" t="str">
        <f aca="false">IF(IF(ISBLANK(E45),1,(TRIM(E45)="")),"",ROUND(E45+$R45*0.1094,3))</f>
        <v/>
      </c>
      <c r="W45" s="101" t="str">
        <f aca="false">IF(IF(ISBLANK(F45),1,(TRIM(F45)="")),"",ROUND(F45+$R45*0.1094,3))</f>
        <v/>
      </c>
      <c r="X45" s="130" t="str">
        <f aca="false">IF(IF(ISBLANK(G45),1,(TRIM(G45)="")),"",ROUND(G45+$R45*0.1094,3))</f>
        <v/>
      </c>
      <c r="Y45" s="101" t="str">
        <f aca="false">IF(IF(ISBLANK(H45),1,(TRIM(H45)="")),"",ROUND(H45+$R45*0.1094,3))</f>
        <v/>
      </c>
      <c r="AA45" s="138" t="s">
        <v>61</v>
      </c>
      <c r="AB45" s="93" t="str">
        <f aca="false">IF(IF(ISBLANK(C45),1,(TRIM(C45)="")),"",ROUND((C45+$R45*0.1094)/4.184,3))</f>
        <v/>
      </c>
      <c r="AC45" s="139" t="str">
        <f aca="false">IF(IF(ISBLANK(D45),1,(TRIM(D45)="")),"",ROUND((D45+$R45*0.1094)/4.184,3))</f>
        <v/>
      </c>
      <c r="AD45" s="93" t="str">
        <f aca="false">IF(IF(ISBLANK(E45),1,(TRIM(E45)="")),"",ROUND((E45+$R45*0.1094)/4.184,3))</f>
        <v/>
      </c>
      <c r="AE45" s="139" t="str">
        <f aca="false">IF(IF(ISBLANK(F45),1,(TRIM(F45)="")),"",ROUND((F45+$R45*0.1094)/4.184,3))</f>
        <v/>
      </c>
      <c r="AF45" s="93" t="str">
        <f aca="false">IF(IF(ISBLANK(G45),1,(TRIM(G45)="")),"",ROUND((G45+$R45*0.1094)/4.184,3))</f>
        <v/>
      </c>
      <c r="AG45" s="137" t="str">
        <f aca="false">IF(IF(ISBLANK(H45),1,(TRIM(H45)="")),"",ROUND((H45+$R45*0.1094)/4.184,3))</f>
        <v/>
      </c>
    </row>
    <row r="46" customFormat="false" ht="12.75" hidden="false" customHeight="false" outlineLevel="0" collapsed="false">
      <c r="B46" s="31" t="s">
        <v>62</v>
      </c>
      <c r="C46" s="136"/>
      <c r="D46" s="63"/>
      <c r="E46" s="62"/>
      <c r="F46" s="63"/>
      <c r="G46" s="62"/>
      <c r="H46" s="63"/>
      <c r="I46" s="58"/>
      <c r="J46" s="31" t="s">
        <v>62</v>
      </c>
      <c r="K46" s="130" t="str">
        <f aca="false">IF(IF(ISBLANK(C46),1,(TRIM(C46)="")),"",ROUND(C46/4.184,3))</f>
        <v/>
      </c>
      <c r="L46" s="137" t="str">
        <f aca="false">IF(IF(ISBLANK(D46),1,(TRIM(D46)="")),"",ROUND(D46/4.184,3))</f>
        <v/>
      </c>
      <c r="M46" s="132" t="str">
        <f aca="false">IF(IF(ISBLANK(E46),1,(TRIM(E46)="")),"",ROUND(E46/4.184,3))</f>
        <v/>
      </c>
      <c r="N46" s="137" t="str">
        <f aca="false">IF(IF(ISBLANK(F46),1,(TRIM(F46)="")),"",ROUND(F46/4.184,3))</f>
        <v/>
      </c>
      <c r="O46" s="132" t="str">
        <f aca="false">IF(IF(ISBLANK(G46),1,(TRIM(G46)="")),"",ROUND(G46/4.184,3))</f>
        <v/>
      </c>
      <c r="P46" s="137" t="str">
        <f aca="false">IF(IF(ISBLANK(H46),1,(TRIM(H46)="")),"",ROUND(H46/4.184,3))</f>
        <v/>
      </c>
      <c r="Q46" s="45"/>
      <c r="R46" s="34"/>
      <c r="S46" s="31" t="s">
        <v>62</v>
      </c>
      <c r="T46" s="130" t="str">
        <f aca="false">IF(IF(ISBLANK(C46),1,(TRIM(C46)="")),"",ROUND(C46+$R46*0.1094,3))</f>
        <v/>
      </c>
      <c r="U46" s="101" t="str">
        <f aca="false">IF(IF(ISBLANK(D46),1,(TRIM(D46)="")),"",ROUND(D46+$R46*0.1094,3))</f>
        <v/>
      </c>
      <c r="V46" s="130" t="str">
        <f aca="false">IF(IF(ISBLANK(E46),1,(TRIM(E46)="")),"",ROUND(E46+$R46*0.1094,3))</f>
        <v/>
      </c>
      <c r="W46" s="101" t="str">
        <f aca="false">IF(IF(ISBLANK(F46),1,(TRIM(F46)="")),"",ROUND(F46+$R46*0.1094,3))</f>
        <v/>
      </c>
      <c r="X46" s="130" t="str">
        <f aca="false">IF(IF(ISBLANK(G46),1,(TRIM(G46)="")),"",ROUND(G46+$R46*0.1094,3))</f>
        <v/>
      </c>
      <c r="Y46" s="101" t="str">
        <f aca="false">IF(IF(ISBLANK(H46),1,(TRIM(H46)="")),"",ROUND(H46+$R46*0.1094,3))</f>
        <v/>
      </c>
      <c r="AA46" s="138" t="s">
        <v>62</v>
      </c>
      <c r="AB46" s="93" t="str">
        <f aca="false">IF(IF(ISBLANK(C46),1,(TRIM(C46)="")),"",ROUND((C46+$R46*0.1094)/4.184,3))</f>
        <v/>
      </c>
      <c r="AC46" s="139" t="str">
        <f aca="false">IF(IF(ISBLANK(D46),1,(TRIM(D46)="")),"",ROUND((D46+$R46*0.1094)/4.184,3))</f>
        <v/>
      </c>
      <c r="AD46" s="93" t="str">
        <f aca="false">IF(IF(ISBLANK(E46),1,(TRIM(E46)="")),"",ROUND((E46+$R46*0.1094)/4.184,3))</f>
        <v/>
      </c>
      <c r="AE46" s="139" t="str">
        <f aca="false">IF(IF(ISBLANK(F46),1,(TRIM(F46)="")),"",ROUND((F46+$R46*0.1094)/4.184,3))</f>
        <v/>
      </c>
      <c r="AF46" s="93" t="str">
        <f aca="false">IF(IF(ISBLANK(G46),1,(TRIM(G46)="")),"",ROUND((G46+$R46*0.1094)/4.184,3))</f>
        <v/>
      </c>
      <c r="AG46" s="137" t="str">
        <f aca="false">IF(IF(ISBLANK(H46),1,(TRIM(H46)="")),"",ROUND((H46+$R46*0.1094)/4.184,3))</f>
        <v/>
      </c>
    </row>
    <row r="47" customFormat="false" ht="12.75" hidden="false" customHeight="false" outlineLevel="0" collapsed="false">
      <c r="B47" s="31" t="s">
        <v>63</v>
      </c>
      <c r="C47" s="136"/>
      <c r="D47" s="63"/>
      <c r="E47" s="62"/>
      <c r="F47" s="63"/>
      <c r="G47" s="62"/>
      <c r="H47" s="63"/>
      <c r="I47" s="58"/>
      <c r="J47" s="31" t="s">
        <v>63</v>
      </c>
      <c r="K47" s="130" t="str">
        <f aca="false">IF(IF(ISBLANK(C47),1,(TRIM(C47)="")),"",ROUND(C47/4.184,3))</f>
        <v/>
      </c>
      <c r="L47" s="137" t="str">
        <f aca="false">IF(IF(ISBLANK(D47),1,(TRIM(D47)="")),"",ROUND(D47/4.184,3))</f>
        <v/>
      </c>
      <c r="M47" s="132" t="str">
        <f aca="false">IF(IF(ISBLANK(E47),1,(TRIM(E47)="")),"",ROUND(E47/4.184,3))</f>
        <v/>
      </c>
      <c r="N47" s="137" t="str">
        <f aca="false">IF(IF(ISBLANK(F47),1,(TRIM(F47)="")),"",ROUND(F47/4.184,3))</f>
        <v/>
      </c>
      <c r="O47" s="132" t="str">
        <f aca="false">IF(IF(ISBLANK(G47),1,(TRIM(G47)="")),"",ROUND(G47/4.184,3))</f>
        <v/>
      </c>
      <c r="P47" s="137" t="str">
        <f aca="false">IF(IF(ISBLANK(H47),1,(TRIM(H47)="")),"",ROUND(H47/4.184,3))</f>
        <v/>
      </c>
      <c r="R47" s="34"/>
      <c r="S47" s="31" t="s">
        <v>63</v>
      </c>
      <c r="T47" s="130" t="str">
        <f aca="false">IF(IF(ISBLANK(C47),1,(TRIM(C47)="")),"",ROUND(C47+$R47*0.1094,3))</f>
        <v/>
      </c>
      <c r="U47" s="101" t="str">
        <f aca="false">IF(IF(ISBLANK(D47),1,(TRIM(D47)="")),"",ROUND(D47+$R47*0.1094,3))</f>
        <v/>
      </c>
      <c r="V47" s="130" t="str">
        <f aca="false">IF(IF(ISBLANK(E47),1,(TRIM(E47)="")),"",ROUND(E47+$R47*0.1094,3))</f>
        <v/>
      </c>
      <c r="W47" s="101" t="str">
        <f aca="false">IF(IF(ISBLANK(F47),1,(TRIM(F47)="")),"",ROUND(F47+$R47*0.1094,3))</f>
        <v/>
      </c>
      <c r="X47" s="130" t="str">
        <f aca="false">IF(IF(ISBLANK(G47),1,(TRIM(G47)="")),"",ROUND(G47+$R47*0.1094,3))</f>
        <v/>
      </c>
      <c r="Y47" s="101" t="str">
        <f aca="false">IF(IF(ISBLANK(H47),1,(TRIM(H47)="")),"",ROUND(H47+$R47*0.1094,3))</f>
        <v/>
      </c>
      <c r="AA47" s="138" t="s">
        <v>63</v>
      </c>
      <c r="AB47" s="93" t="str">
        <f aca="false">IF(IF(ISBLANK(C47),1,(TRIM(C47)="")),"",ROUND((C47+$R47*0.1094)/4.184,3))</f>
        <v/>
      </c>
      <c r="AC47" s="139" t="str">
        <f aca="false">IF(IF(ISBLANK(D47),1,(TRIM(D47)="")),"",ROUND((D47+$R47*0.1094)/4.184,3))</f>
        <v/>
      </c>
      <c r="AD47" s="93" t="str">
        <f aca="false">IF(IF(ISBLANK(E47),1,(TRIM(E47)="")),"",ROUND((E47+$R47*0.1094)/4.184,3))</f>
        <v/>
      </c>
      <c r="AE47" s="139" t="str">
        <f aca="false">IF(IF(ISBLANK(F47),1,(TRIM(F47)="")),"",ROUND((F47+$R47*0.1094)/4.184,3))</f>
        <v/>
      </c>
      <c r="AF47" s="93" t="str">
        <f aca="false">IF(IF(ISBLANK(G47),1,(TRIM(G47)="")),"",ROUND((G47+$R47*0.1094)/4.184,3))</f>
        <v/>
      </c>
      <c r="AG47" s="137" t="str">
        <f aca="false">IF(IF(ISBLANK(H47),1,(TRIM(H47)="")),"",ROUND((H47+$R47*0.1094)/4.184,3))</f>
        <v/>
      </c>
    </row>
    <row r="48" customFormat="false" ht="12.75" hidden="false" customHeight="false" outlineLevel="0" collapsed="false">
      <c r="B48" s="31" t="s">
        <v>64</v>
      </c>
      <c r="C48" s="136"/>
      <c r="D48" s="63"/>
      <c r="E48" s="62"/>
      <c r="F48" s="63"/>
      <c r="G48" s="62"/>
      <c r="H48" s="63"/>
      <c r="I48" s="58"/>
      <c r="J48" s="31" t="s">
        <v>64</v>
      </c>
      <c r="K48" s="130" t="str">
        <f aca="false">IF(IF(ISBLANK(C48),1,(TRIM(C48)="")),"",ROUND(C48/4.184,3))</f>
        <v/>
      </c>
      <c r="L48" s="137" t="str">
        <f aca="false">IF(IF(ISBLANK(D48),1,(TRIM(D48)="")),"",ROUND(D48/4.184,3))</f>
        <v/>
      </c>
      <c r="M48" s="132" t="str">
        <f aca="false">IF(IF(ISBLANK(E48),1,(TRIM(E48)="")),"",ROUND(E48/4.184,3))</f>
        <v/>
      </c>
      <c r="N48" s="137" t="str">
        <f aca="false">IF(IF(ISBLANK(F48),1,(TRIM(F48)="")),"",ROUND(F48/4.184,3))</f>
        <v/>
      </c>
      <c r="O48" s="132" t="str">
        <f aca="false">IF(IF(ISBLANK(G48),1,(TRIM(G48)="")),"",ROUND(G48/4.184,3))</f>
        <v/>
      </c>
      <c r="P48" s="137" t="str">
        <f aca="false">IF(IF(ISBLANK(H48),1,(TRIM(H48)="")),"",ROUND(H48/4.184,3))</f>
        <v/>
      </c>
      <c r="R48" s="34"/>
      <c r="S48" s="31" t="s">
        <v>64</v>
      </c>
      <c r="T48" s="130" t="str">
        <f aca="false">IF(IF(ISBLANK(C48),1,(TRIM(C48)="")),"",ROUND(C48+$R48*0.1094,3))</f>
        <v/>
      </c>
      <c r="U48" s="101" t="str">
        <f aca="false">IF(IF(ISBLANK(D48),1,(TRIM(D48)="")),"",ROUND(D48+$R48*0.1094,3))</f>
        <v/>
      </c>
      <c r="V48" s="130" t="str">
        <f aca="false">IF(IF(ISBLANK(E48),1,(TRIM(E48)="")),"",ROUND(E48+$R48*0.1094,3))</f>
        <v/>
      </c>
      <c r="W48" s="101" t="str">
        <f aca="false">IF(IF(ISBLANK(F48),1,(TRIM(F48)="")),"",ROUND(F48+$R48*0.1094,3))</f>
        <v/>
      </c>
      <c r="X48" s="130" t="str">
        <f aca="false">IF(IF(ISBLANK(G48),1,(TRIM(G48)="")),"",ROUND(G48+$R48*0.1094,3))</f>
        <v/>
      </c>
      <c r="Y48" s="101" t="str">
        <f aca="false">IF(IF(ISBLANK(H48),1,(TRIM(H48)="")),"",ROUND(H48+$R48*0.1094,3))</f>
        <v/>
      </c>
      <c r="AA48" s="138" t="s">
        <v>64</v>
      </c>
      <c r="AB48" s="93" t="str">
        <f aca="false">IF(IF(ISBLANK(C48),1,(TRIM(C48)="")),"",ROUND((C48+$R48*0.1094)/4.184,3))</f>
        <v/>
      </c>
      <c r="AC48" s="139" t="str">
        <f aca="false">IF(IF(ISBLANK(D48),1,(TRIM(D48)="")),"",ROUND((D48+$R48*0.1094)/4.184,3))</f>
        <v/>
      </c>
      <c r="AD48" s="93" t="str">
        <f aca="false">IF(IF(ISBLANK(E48),1,(TRIM(E48)="")),"",ROUND((E48+$R48*0.1094)/4.184,3))</f>
        <v/>
      </c>
      <c r="AE48" s="139" t="str">
        <f aca="false">IF(IF(ISBLANK(F48),1,(TRIM(F48)="")),"",ROUND((F48+$R48*0.1094)/4.184,3))</f>
        <v/>
      </c>
      <c r="AF48" s="93" t="str">
        <f aca="false">IF(IF(ISBLANK(G48),1,(TRIM(G48)="")),"",ROUND((G48+$R48*0.1094)/4.184,3))</f>
        <v/>
      </c>
      <c r="AG48" s="137" t="str">
        <f aca="false">IF(IF(ISBLANK(H48),1,(TRIM(H48)="")),"",ROUND((H48+$R48*0.1094)/4.184,3))</f>
        <v/>
      </c>
    </row>
    <row r="49" s="90" customFormat="true" ht="12.75" hidden="false" customHeight="false" outlineLevel="0" collapsed="false">
      <c r="A49" s="89"/>
      <c r="B49" s="38" t="s">
        <v>66</v>
      </c>
      <c r="C49" s="141"/>
      <c r="D49" s="63"/>
      <c r="E49" s="62" t="n">
        <v>202.685</v>
      </c>
      <c r="F49" s="63" t="n">
        <v>202.685</v>
      </c>
      <c r="G49" s="62" t="n">
        <v>202.685</v>
      </c>
      <c r="H49" s="65" t="s">
        <v>540</v>
      </c>
      <c r="I49" s="58"/>
      <c r="J49" s="38" t="s">
        <v>66</v>
      </c>
      <c r="K49" s="130" t="str">
        <f aca="false">IF(IF(ISBLANK(C49),1,(TRIM(C49)="")),"",ROUND(C49/4.184,3))</f>
        <v/>
      </c>
      <c r="L49" s="137" t="str">
        <f aca="false">IF(IF(ISBLANK(D49),1,(TRIM(D49)="")),"",ROUND(D49/4.184,3))</f>
        <v/>
      </c>
      <c r="M49" s="132" t="n">
        <f aca="false">IF(IF(ISBLANK(E49),1,(TRIM(E49)="")),"",ROUND(E49/4.184,3))</f>
        <v>48.443</v>
      </c>
      <c r="N49" s="137" t="n">
        <f aca="false">IF(IF(ISBLANK(F49),1,(TRIM(F49)="")),"",ROUND(F49/4.184,3))</f>
        <v>48.443</v>
      </c>
      <c r="O49" s="132" t="n">
        <f aca="false">IF(IF(ISBLANK(G49),1,(TRIM(G49)="")),"",ROUND(G49/4.184,3))</f>
        <v>48.443</v>
      </c>
      <c r="P49" s="137" t="n">
        <f aca="false">IF(IF(ISBLANK(H49),1,(TRIM(H49)="")),"",ROUND(H49/4.184,3))</f>
        <v>48.442</v>
      </c>
      <c r="Q49" s="44"/>
      <c r="R49" s="34" t="n">
        <v>1</v>
      </c>
      <c r="S49" s="38" t="s">
        <v>66</v>
      </c>
      <c r="T49" s="130" t="str">
        <f aca="false">IF(IF(ISBLANK(C49),1,(TRIM(C49)="")),"",ROUND(C49+$R49*0.1094,3))</f>
        <v/>
      </c>
      <c r="U49" s="101" t="str">
        <f aca="false">IF(IF(ISBLANK(D49),1,(TRIM(D49)="")),"",ROUND(D49+$R49*0.1094,3))</f>
        <v/>
      </c>
      <c r="V49" s="130" t="n">
        <f aca="false">IF(IF(ISBLANK(E49),1,(TRIM(E49)="")),"",ROUND(E49+$R49*0.1094,3))</f>
        <v>202.794</v>
      </c>
      <c r="W49" s="101" t="n">
        <f aca="false">IF(IF(ISBLANK(F49),1,(TRIM(F49)="")),"",ROUND(F49+$R49*0.1094,3))</f>
        <v>202.794</v>
      </c>
      <c r="X49" s="130" t="n">
        <f aca="false">IF(IF(ISBLANK(G49),1,(TRIM(G49)="")),"",ROUND(G49+$R49*0.1094,3))</f>
        <v>202.794</v>
      </c>
      <c r="Y49" s="101" t="n">
        <f aca="false">IF(IF(ISBLANK(H49),1,(TRIM(H49)="")),"",ROUND(H49+$R49*0.1094,3))</f>
        <v>202.791</v>
      </c>
      <c r="Z49" s="10"/>
      <c r="AA49" s="140" t="s">
        <v>66</v>
      </c>
      <c r="AB49" s="93" t="str">
        <f aca="false">IF(IF(ISBLANK(C49),1,(TRIM(C49)="")),"",ROUND((C49+$R49*0.1094)/4.184,3))</f>
        <v/>
      </c>
      <c r="AC49" s="139" t="str">
        <f aca="false">IF(IF(ISBLANK(D49),1,(TRIM(D49)="")),"",ROUND((D49+$R49*0.1094)/4.184,3))</f>
        <v/>
      </c>
      <c r="AD49" s="93" t="n">
        <f aca="false">IF(IF(ISBLANK(E49),1,(TRIM(E49)="")),"",ROUND((E49+$R49*0.1094)/4.184,3))</f>
        <v>48.469</v>
      </c>
      <c r="AE49" s="139" t="n">
        <f aca="false">IF(IF(ISBLANK(F49),1,(TRIM(F49)="")),"",ROUND((F49+$R49*0.1094)/4.184,3))</f>
        <v>48.469</v>
      </c>
      <c r="AF49" s="93" t="n">
        <f aca="false">IF(IF(ISBLANK(G49),1,(TRIM(G49)="")),"",ROUND((G49+$R49*0.1094)/4.184,3))</f>
        <v>48.469</v>
      </c>
      <c r="AG49" s="137" t="n">
        <f aca="false">IF(IF(ISBLANK(H49),1,(TRIM(H49)="")),"",ROUND((H49+$R49*0.1094)/4.184,3))</f>
        <v>48.468</v>
      </c>
    </row>
    <row r="50" customFormat="false" ht="12.75" hidden="false" customHeight="false" outlineLevel="0" collapsed="false">
      <c r="B50" s="38" t="s">
        <v>68</v>
      </c>
      <c r="C50" s="136"/>
      <c r="D50" s="63"/>
      <c r="E50" s="62"/>
      <c r="F50" s="63"/>
      <c r="G50" s="62"/>
      <c r="H50" s="63"/>
      <c r="I50" s="58"/>
      <c r="J50" s="38" t="s">
        <v>68</v>
      </c>
      <c r="K50" s="130" t="str">
        <f aca="false">IF(IF(ISBLANK(C50),1,(TRIM(C50)="")),"",ROUND(C50/4.184,3))</f>
        <v/>
      </c>
      <c r="L50" s="137" t="str">
        <f aca="false">IF(IF(ISBLANK(D50),1,(TRIM(D50)="")),"",ROUND(D50/4.184,3))</f>
        <v/>
      </c>
      <c r="M50" s="132" t="str">
        <f aca="false">IF(IF(ISBLANK(E50),1,(TRIM(E50)="")),"",ROUND(E50/4.184,3))</f>
        <v/>
      </c>
      <c r="N50" s="137" t="str">
        <f aca="false">IF(IF(ISBLANK(F50),1,(TRIM(F50)="")),"",ROUND(F50/4.184,3))</f>
        <v/>
      </c>
      <c r="O50" s="132" t="str">
        <f aca="false">IF(IF(ISBLANK(G50),1,(TRIM(G50)="")),"",ROUND(G50/4.184,3))</f>
        <v/>
      </c>
      <c r="P50" s="137" t="str">
        <f aca="false">IF(IF(ISBLANK(H50),1,(TRIM(H50)="")),"",ROUND(H50/4.184,3))</f>
        <v/>
      </c>
      <c r="R50" s="34"/>
      <c r="S50" s="38" t="s">
        <v>68</v>
      </c>
      <c r="T50" s="130" t="str">
        <f aca="false">IF(IF(ISBLANK(C50),1,(TRIM(C50)="")),"",ROUND(C50+$R50*0.1094,3))</f>
        <v/>
      </c>
      <c r="U50" s="101" t="str">
        <f aca="false">IF(IF(ISBLANK(D50),1,(TRIM(D50)="")),"",ROUND(D50+$R50*0.1094,3))</f>
        <v/>
      </c>
      <c r="V50" s="130" t="str">
        <f aca="false">IF(IF(ISBLANK(E50),1,(TRIM(E50)="")),"",ROUND(E50+$R50*0.1094,3))</f>
        <v/>
      </c>
      <c r="W50" s="101" t="str">
        <f aca="false">IF(IF(ISBLANK(F50),1,(TRIM(F50)="")),"",ROUND(F50+$R50*0.1094,3))</f>
        <v/>
      </c>
      <c r="X50" s="130" t="str">
        <f aca="false">IF(IF(ISBLANK(G50),1,(TRIM(G50)="")),"",ROUND(G50+$R50*0.1094,3))</f>
        <v/>
      </c>
      <c r="Y50" s="101" t="str">
        <f aca="false">IF(IF(ISBLANK(H50),1,(TRIM(H50)="")),"",ROUND(H50+$R50*0.1094,3))</f>
        <v/>
      </c>
      <c r="Z50" s="10"/>
      <c r="AA50" s="140" t="s">
        <v>68</v>
      </c>
      <c r="AB50" s="93" t="str">
        <f aca="false">IF(IF(ISBLANK(C50),1,(TRIM(C50)="")),"",ROUND((C50+$R50*0.1094)/4.184,3))</f>
        <v/>
      </c>
      <c r="AC50" s="139" t="str">
        <f aca="false">IF(IF(ISBLANK(D50),1,(TRIM(D50)="")),"",ROUND((D50+$R50*0.1094)/4.184,3))</f>
        <v/>
      </c>
      <c r="AD50" s="93" t="str">
        <f aca="false">IF(IF(ISBLANK(E50),1,(TRIM(E50)="")),"",ROUND((E50+$R50*0.1094)/4.184,3))</f>
        <v/>
      </c>
      <c r="AE50" s="139" t="str">
        <f aca="false">IF(IF(ISBLANK(F50),1,(TRIM(F50)="")),"",ROUND((F50+$R50*0.1094)/4.184,3))</f>
        <v/>
      </c>
      <c r="AF50" s="93" t="str">
        <f aca="false">IF(IF(ISBLANK(G50),1,(TRIM(G50)="")),"",ROUND((G50+$R50*0.1094)/4.184,3))</f>
        <v/>
      </c>
      <c r="AG50" s="137" t="str">
        <f aca="false">IF(IF(ISBLANK(H50),1,(TRIM(H50)="")),"",ROUND((H50+$R50*0.1094)/4.184,3))</f>
        <v/>
      </c>
    </row>
    <row r="51" customFormat="false" ht="12.75" hidden="false" customHeight="false" outlineLevel="0" collapsed="false">
      <c r="B51" s="31" t="s">
        <v>69</v>
      </c>
      <c r="C51" s="136"/>
      <c r="D51" s="63"/>
      <c r="E51" s="62"/>
      <c r="F51" s="63"/>
      <c r="G51" s="62"/>
      <c r="H51" s="63"/>
      <c r="I51" s="58"/>
      <c r="J51" s="31" t="s">
        <v>69</v>
      </c>
      <c r="K51" s="130" t="str">
        <f aca="false">IF(IF(ISBLANK(C51),1,(TRIM(C51)="")),"",ROUND(C51/4.184,3))</f>
        <v/>
      </c>
      <c r="L51" s="137" t="str">
        <f aca="false">IF(IF(ISBLANK(D51),1,(TRIM(D51)="")),"",ROUND(D51/4.184,3))</f>
        <v/>
      </c>
      <c r="M51" s="132" t="str">
        <f aca="false">IF(IF(ISBLANK(E51),1,(TRIM(E51)="")),"",ROUND(E51/4.184,3))</f>
        <v/>
      </c>
      <c r="N51" s="137" t="str">
        <f aca="false">IF(IF(ISBLANK(F51),1,(TRIM(F51)="")),"",ROUND(F51/4.184,3))</f>
        <v/>
      </c>
      <c r="O51" s="132" t="str">
        <f aca="false">IF(IF(ISBLANK(G51),1,(TRIM(G51)="")),"",ROUND(G51/4.184,3))</f>
        <v/>
      </c>
      <c r="P51" s="137" t="str">
        <f aca="false">IF(IF(ISBLANK(H51),1,(TRIM(H51)="")),"",ROUND(H51/4.184,3))</f>
        <v/>
      </c>
      <c r="R51" s="34"/>
      <c r="S51" s="31" t="s">
        <v>69</v>
      </c>
      <c r="T51" s="130" t="str">
        <f aca="false">IF(IF(ISBLANK(C51),1,(TRIM(C51)="")),"",ROUND(C51+$R51*0.1094,3))</f>
        <v/>
      </c>
      <c r="U51" s="101" t="str">
        <f aca="false">IF(IF(ISBLANK(D51),1,(TRIM(D51)="")),"",ROUND(D51+$R51*0.1094,3))</f>
        <v/>
      </c>
      <c r="V51" s="130" t="str">
        <f aca="false">IF(IF(ISBLANK(E51),1,(TRIM(E51)="")),"",ROUND(E51+$R51*0.1094,3))</f>
        <v/>
      </c>
      <c r="W51" s="101" t="str">
        <f aca="false">IF(IF(ISBLANK(F51),1,(TRIM(F51)="")),"",ROUND(F51+$R51*0.1094,3))</f>
        <v/>
      </c>
      <c r="X51" s="130" t="str">
        <f aca="false">IF(IF(ISBLANK(G51),1,(TRIM(G51)="")),"",ROUND(G51+$R51*0.1094,3))</f>
        <v/>
      </c>
      <c r="Y51" s="101" t="str">
        <f aca="false">IF(IF(ISBLANK(H51),1,(TRIM(H51)="")),"",ROUND(H51+$R51*0.1094,3))</f>
        <v/>
      </c>
      <c r="Z51" s="10"/>
      <c r="AA51" s="138" t="s">
        <v>69</v>
      </c>
      <c r="AB51" s="93" t="str">
        <f aca="false">IF(IF(ISBLANK(C51),1,(TRIM(C51)="")),"",ROUND((C51+$R51*0.1094)/4.184,3))</f>
        <v/>
      </c>
      <c r="AC51" s="139" t="str">
        <f aca="false">IF(IF(ISBLANK(D51),1,(TRIM(D51)="")),"",ROUND((D51+$R51*0.1094)/4.184,3))</f>
        <v/>
      </c>
      <c r="AD51" s="93" t="str">
        <f aca="false">IF(IF(ISBLANK(E51),1,(TRIM(E51)="")),"",ROUND((E51+$R51*0.1094)/4.184,3))</f>
        <v/>
      </c>
      <c r="AE51" s="139" t="str">
        <f aca="false">IF(IF(ISBLANK(F51),1,(TRIM(F51)="")),"",ROUND((F51+$R51*0.1094)/4.184,3))</f>
        <v/>
      </c>
      <c r="AF51" s="93" t="str">
        <f aca="false">IF(IF(ISBLANK(G51),1,(TRIM(G51)="")),"",ROUND((G51+$R51*0.1094)/4.184,3))</f>
        <v/>
      </c>
      <c r="AG51" s="137" t="str">
        <f aca="false">IF(IF(ISBLANK(H51),1,(TRIM(H51)="")),"",ROUND((H51+$R51*0.1094)/4.184,3))</f>
        <v/>
      </c>
    </row>
    <row r="52" customFormat="false" ht="12.75" hidden="false" customHeight="false" outlineLevel="0" collapsed="false">
      <c r="B52" s="38" t="s">
        <v>70</v>
      </c>
      <c r="C52" s="136"/>
      <c r="D52" s="63"/>
      <c r="E52" s="62"/>
      <c r="F52" s="63"/>
      <c r="G52" s="62"/>
      <c r="H52" s="63"/>
      <c r="I52" s="58"/>
      <c r="J52" s="38" t="s">
        <v>70</v>
      </c>
      <c r="K52" s="130" t="str">
        <f aca="false">IF(IF(ISBLANK(C52),1,(TRIM(C52)="")),"",ROUND(C52/4.184,3))</f>
        <v/>
      </c>
      <c r="L52" s="137" t="str">
        <f aca="false">IF(IF(ISBLANK(D52),1,(TRIM(D52)="")),"",ROUND(D52/4.184,3))</f>
        <v/>
      </c>
      <c r="M52" s="132" t="str">
        <f aca="false">IF(IF(ISBLANK(E52),1,(TRIM(E52)="")),"",ROUND(E52/4.184,3))</f>
        <v/>
      </c>
      <c r="N52" s="137" t="str">
        <f aca="false">IF(IF(ISBLANK(F52),1,(TRIM(F52)="")),"",ROUND(F52/4.184,3))</f>
        <v/>
      </c>
      <c r="O52" s="132" t="str">
        <f aca="false">IF(IF(ISBLANK(G52),1,(TRIM(G52)="")),"",ROUND(G52/4.184,3))</f>
        <v/>
      </c>
      <c r="P52" s="137" t="str">
        <f aca="false">IF(IF(ISBLANK(H52),1,(TRIM(H52)="")),"",ROUND(H52/4.184,3))</f>
        <v/>
      </c>
      <c r="R52" s="34"/>
      <c r="S52" s="38" t="s">
        <v>70</v>
      </c>
      <c r="T52" s="130" t="str">
        <f aca="false">IF(IF(ISBLANK(C52),1,(TRIM(C52)="")),"",ROUND(C52+$R52*0.1094,3))</f>
        <v/>
      </c>
      <c r="U52" s="101" t="str">
        <f aca="false">IF(IF(ISBLANK(D52),1,(TRIM(D52)="")),"",ROUND(D52+$R52*0.1094,3))</f>
        <v/>
      </c>
      <c r="V52" s="130" t="str">
        <f aca="false">IF(IF(ISBLANK(E52),1,(TRIM(E52)="")),"",ROUND(E52+$R52*0.1094,3))</f>
        <v/>
      </c>
      <c r="W52" s="101" t="str">
        <f aca="false">IF(IF(ISBLANK(F52),1,(TRIM(F52)="")),"",ROUND(F52+$R52*0.1094,3))</f>
        <v/>
      </c>
      <c r="X52" s="130" t="str">
        <f aca="false">IF(IF(ISBLANK(G52),1,(TRIM(G52)="")),"",ROUND(G52+$R52*0.1094,3))</f>
        <v/>
      </c>
      <c r="Y52" s="101" t="str">
        <f aca="false">IF(IF(ISBLANK(H52),1,(TRIM(H52)="")),"",ROUND(H52+$R52*0.1094,3))</f>
        <v/>
      </c>
      <c r="Z52" s="10"/>
      <c r="AA52" s="140" t="s">
        <v>70</v>
      </c>
      <c r="AB52" s="93" t="str">
        <f aca="false">IF(IF(ISBLANK(C52),1,(TRIM(C52)="")),"",ROUND((C52+$R52*0.1094)/4.184,3))</f>
        <v/>
      </c>
      <c r="AC52" s="139" t="str">
        <f aca="false">IF(IF(ISBLANK(D52),1,(TRIM(D52)="")),"",ROUND((D52+$R52*0.1094)/4.184,3))</f>
        <v/>
      </c>
      <c r="AD52" s="93" t="str">
        <f aca="false">IF(IF(ISBLANK(E52),1,(TRIM(E52)="")),"",ROUND((E52+$R52*0.1094)/4.184,3))</f>
        <v/>
      </c>
      <c r="AE52" s="139" t="str">
        <f aca="false">IF(IF(ISBLANK(F52),1,(TRIM(F52)="")),"",ROUND((F52+$R52*0.1094)/4.184,3))</f>
        <v/>
      </c>
      <c r="AF52" s="93" t="str">
        <f aca="false">IF(IF(ISBLANK(G52),1,(TRIM(G52)="")),"",ROUND((G52+$R52*0.1094)/4.184,3))</f>
        <v/>
      </c>
      <c r="AG52" s="137" t="str">
        <f aca="false">IF(IF(ISBLANK(H52),1,(TRIM(H52)="")),"",ROUND((H52+$R52*0.1094)/4.184,3))</f>
        <v/>
      </c>
    </row>
    <row r="53" customFormat="false" ht="12.75" hidden="false" customHeight="false" outlineLevel="0" collapsed="false">
      <c r="B53" s="31" t="s">
        <v>71</v>
      </c>
      <c r="C53" s="136"/>
      <c r="D53" s="63"/>
      <c r="E53" s="62"/>
      <c r="F53" s="63"/>
      <c r="G53" s="62"/>
      <c r="H53" s="63"/>
      <c r="I53" s="58"/>
      <c r="J53" s="31" t="s">
        <v>71</v>
      </c>
      <c r="K53" s="130" t="str">
        <f aca="false">IF(IF(ISBLANK(C53),1,(TRIM(C53)="")),"",ROUND(C53/4.184,3))</f>
        <v/>
      </c>
      <c r="L53" s="137" t="str">
        <f aca="false">IF(IF(ISBLANK(D53),1,(TRIM(D53)="")),"",ROUND(D53/4.184,3))</f>
        <v/>
      </c>
      <c r="M53" s="132" t="str">
        <f aca="false">IF(IF(ISBLANK(E53),1,(TRIM(E53)="")),"",ROUND(E53/4.184,3))</f>
        <v/>
      </c>
      <c r="N53" s="137" t="str">
        <f aca="false">IF(IF(ISBLANK(F53),1,(TRIM(F53)="")),"",ROUND(F53/4.184,3))</f>
        <v/>
      </c>
      <c r="O53" s="132" t="str">
        <f aca="false">IF(IF(ISBLANK(G53),1,(TRIM(G53)="")),"",ROUND(G53/4.184,3))</f>
        <v/>
      </c>
      <c r="P53" s="137" t="str">
        <f aca="false">IF(IF(ISBLANK(H53),1,(TRIM(H53)="")),"",ROUND(H53/4.184,3))</f>
        <v/>
      </c>
      <c r="R53" s="34"/>
      <c r="S53" s="31" t="s">
        <v>71</v>
      </c>
      <c r="T53" s="130" t="str">
        <f aca="false">IF(IF(ISBLANK(C53),1,(TRIM(C53)="")),"",ROUND(C53+$R53*0.1094,3))</f>
        <v/>
      </c>
      <c r="U53" s="101" t="str">
        <f aca="false">IF(IF(ISBLANK(D53),1,(TRIM(D53)="")),"",ROUND(D53+$R53*0.1094,3))</f>
        <v/>
      </c>
      <c r="V53" s="130" t="str">
        <f aca="false">IF(IF(ISBLANK(E53),1,(TRIM(E53)="")),"",ROUND(E53+$R53*0.1094,3))</f>
        <v/>
      </c>
      <c r="W53" s="101" t="str">
        <f aca="false">IF(IF(ISBLANK(F53),1,(TRIM(F53)="")),"",ROUND(F53+$R53*0.1094,3))</f>
        <v/>
      </c>
      <c r="X53" s="130" t="str">
        <f aca="false">IF(IF(ISBLANK(G53),1,(TRIM(G53)="")),"",ROUND(G53+$R53*0.1094,3))</f>
        <v/>
      </c>
      <c r="Y53" s="101" t="str">
        <f aca="false">IF(IF(ISBLANK(H53),1,(TRIM(H53)="")),"",ROUND(H53+$R53*0.1094,3))</f>
        <v/>
      </c>
      <c r="Z53" s="10"/>
      <c r="AA53" s="138" t="s">
        <v>71</v>
      </c>
      <c r="AB53" s="93" t="str">
        <f aca="false">IF(IF(ISBLANK(C53),1,(TRIM(C53)="")),"",ROUND((C53+$R53*0.1094)/4.184,3))</f>
        <v/>
      </c>
      <c r="AC53" s="139" t="str">
        <f aca="false">IF(IF(ISBLANK(D53),1,(TRIM(D53)="")),"",ROUND((D53+$R53*0.1094)/4.184,3))</f>
        <v/>
      </c>
      <c r="AD53" s="93" t="str">
        <f aca="false">IF(IF(ISBLANK(E53),1,(TRIM(E53)="")),"",ROUND((E53+$R53*0.1094)/4.184,3))</f>
        <v/>
      </c>
      <c r="AE53" s="139" t="str">
        <f aca="false">IF(IF(ISBLANK(F53),1,(TRIM(F53)="")),"",ROUND((F53+$R53*0.1094)/4.184,3))</f>
        <v/>
      </c>
      <c r="AF53" s="93" t="str">
        <f aca="false">IF(IF(ISBLANK(G53),1,(TRIM(G53)="")),"",ROUND((G53+$R53*0.1094)/4.184,3))</f>
        <v/>
      </c>
      <c r="AG53" s="137" t="str">
        <f aca="false">IF(IF(ISBLANK(H53),1,(TRIM(H53)="")),"",ROUND((H53+$R53*0.1094)/4.184,3))</f>
        <v/>
      </c>
    </row>
    <row r="54" customFormat="false" ht="12.75" hidden="false" customHeight="false" outlineLevel="0" collapsed="false">
      <c r="B54" s="31" t="s">
        <v>72</v>
      </c>
      <c r="C54" s="136"/>
      <c r="D54" s="63"/>
      <c r="E54" s="62"/>
      <c r="F54" s="63"/>
      <c r="G54" s="62"/>
      <c r="H54" s="63"/>
      <c r="I54" s="58"/>
      <c r="J54" s="31" t="s">
        <v>72</v>
      </c>
      <c r="K54" s="130" t="str">
        <f aca="false">IF(IF(ISBLANK(C54),1,(TRIM(C54)="")),"",ROUND(C54/4.184,3))</f>
        <v/>
      </c>
      <c r="L54" s="137" t="str">
        <f aca="false">IF(IF(ISBLANK(D54),1,(TRIM(D54)="")),"",ROUND(D54/4.184,3))</f>
        <v/>
      </c>
      <c r="M54" s="132" t="str">
        <f aca="false">IF(IF(ISBLANK(E54),1,(TRIM(E54)="")),"",ROUND(E54/4.184,3))</f>
        <v/>
      </c>
      <c r="N54" s="137" t="str">
        <f aca="false">IF(IF(ISBLANK(F54),1,(TRIM(F54)="")),"",ROUND(F54/4.184,3))</f>
        <v/>
      </c>
      <c r="O54" s="132" t="str">
        <f aca="false">IF(IF(ISBLANK(G54),1,(TRIM(G54)="")),"",ROUND(G54/4.184,3))</f>
        <v/>
      </c>
      <c r="P54" s="137" t="str">
        <f aca="false">IF(IF(ISBLANK(H54),1,(TRIM(H54)="")),"",ROUND(H54/4.184,3))</f>
        <v/>
      </c>
      <c r="Q54" s="45"/>
      <c r="R54" s="34"/>
      <c r="S54" s="31" t="s">
        <v>72</v>
      </c>
      <c r="T54" s="130" t="str">
        <f aca="false">IF(IF(ISBLANK(C54),1,(TRIM(C54)="")),"",ROUND(C54+$R54*0.1094,3))</f>
        <v/>
      </c>
      <c r="U54" s="101" t="str">
        <f aca="false">IF(IF(ISBLANK(D54),1,(TRIM(D54)="")),"",ROUND(D54+$R54*0.1094,3))</f>
        <v/>
      </c>
      <c r="V54" s="130" t="str">
        <f aca="false">IF(IF(ISBLANK(E54),1,(TRIM(E54)="")),"",ROUND(E54+$R54*0.1094,3))</f>
        <v/>
      </c>
      <c r="W54" s="101" t="str">
        <f aca="false">IF(IF(ISBLANK(F54),1,(TRIM(F54)="")),"",ROUND(F54+$R54*0.1094,3))</f>
        <v/>
      </c>
      <c r="X54" s="130" t="str">
        <f aca="false">IF(IF(ISBLANK(G54),1,(TRIM(G54)="")),"",ROUND(G54+$R54*0.1094,3))</f>
        <v/>
      </c>
      <c r="Y54" s="101" t="str">
        <f aca="false">IF(IF(ISBLANK(H54),1,(TRIM(H54)="")),"",ROUND(H54+$R54*0.1094,3))</f>
        <v/>
      </c>
      <c r="Z54" s="10"/>
      <c r="AA54" s="138" t="s">
        <v>72</v>
      </c>
      <c r="AB54" s="93" t="str">
        <f aca="false">IF(IF(ISBLANK(C54),1,(TRIM(C54)="")),"",ROUND((C54+$R54*0.1094)/4.184,3))</f>
        <v/>
      </c>
      <c r="AC54" s="139" t="str">
        <f aca="false">IF(IF(ISBLANK(D54),1,(TRIM(D54)="")),"",ROUND((D54+$R54*0.1094)/4.184,3))</f>
        <v/>
      </c>
      <c r="AD54" s="93" t="str">
        <f aca="false">IF(IF(ISBLANK(E54),1,(TRIM(E54)="")),"",ROUND((E54+$R54*0.1094)/4.184,3))</f>
        <v/>
      </c>
      <c r="AE54" s="139" t="str">
        <f aca="false">IF(IF(ISBLANK(F54),1,(TRIM(F54)="")),"",ROUND((F54+$R54*0.1094)/4.184,3))</f>
        <v/>
      </c>
      <c r="AF54" s="93" t="str">
        <f aca="false">IF(IF(ISBLANK(G54),1,(TRIM(G54)="")),"",ROUND((G54+$R54*0.1094)/4.184,3))</f>
        <v/>
      </c>
      <c r="AG54" s="137" t="str">
        <f aca="false">IF(IF(ISBLANK(H54),1,(TRIM(H54)="")),"",ROUND((H54+$R54*0.1094)/4.184,3))</f>
        <v/>
      </c>
    </row>
    <row r="55" customFormat="false" ht="12.75" hidden="false" customHeight="false" outlineLevel="0" collapsed="false">
      <c r="B55" s="31" t="s">
        <v>73</v>
      </c>
      <c r="C55" s="136"/>
      <c r="D55" s="63"/>
      <c r="E55" s="62"/>
      <c r="F55" s="63"/>
      <c r="G55" s="62" t="n">
        <v>31.09</v>
      </c>
      <c r="H55" s="63" t="n">
        <v>31.09</v>
      </c>
      <c r="I55" s="58"/>
      <c r="J55" s="31" t="s">
        <v>73</v>
      </c>
      <c r="K55" s="130" t="str">
        <f aca="false">IF(IF(ISBLANK(C55),1,(TRIM(C55)="")),"",ROUND(C55/4.184,3))</f>
        <v/>
      </c>
      <c r="L55" s="137" t="str">
        <f aca="false">IF(IF(ISBLANK(D55),1,(TRIM(D55)="")),"",ROUND(D55/4.184,3))</f>
        <v/>
      </c>
      <c r="M55" s="132" t="str">
        <f aca="false">IF(IF(ISBLANK(E55),1,(TRIM(E55)="")),"",ROUND(E55/4.184,3))</f>
        <v/>
      </c>
      <c r="N55" s="137" t="str">
        <f aca="false">IF(IF(ISBLANK(F55),1,(TRIM(F55)="")),"",ROUND(F55/4.184,3))</f>
        <v/>
      </c>
      <c r="O55" s="132" t="n">
        <f aca="false">IF(IF(ISBLANK(G55),1,(TRIM(G55)="")),"",ROUND(G55/4.184,3))</f>
        <v>7.431</v>
      </c>
      <c r="P55" s="137" t="n">
        <f aca="false">IF(IF(ISBLANK(H55),1,(TRIM(H55)="")),"",ROUND(H55/4.184,3))</f>
        <v>7.431</v>
      </c>
      <c r="Q55" s="45"/>
      <c r="R55" s="34"/>
      <c r="S55" s="31" t="s">
        <v>73</v>
      </c>
      <c r="T55" s="130" t="str">
        <f aca="false">IF(IF(ISBLANK(C55),1,(TRIM(C55)="")),"",ROUND(C55+$R55*0.1094,3))</f>
        <v/>
      </c>
      <c r="U55" s="101" t="str">
        <f aca="false">IF(IF(ISBLANK(D55),1,(TRIM(D55)="")),"",ROUND(D55+$R55*0.1094,3))</f>
        <v/>
      </c>
      <c r="V55" s="130" t="str">
        <f aca="false">IF(IF(ISBLANK(E55),1,(TRIM(E55)="")),"",ROUND(E55+$R55*0.1094,3))</f>
        <v/>
      </c>
      <c r="W55" s="101" t="str">
        <f aca="false">IF(IF(ISBLANK(F55),1,(TRIM(F55)="")),"",ROUND(F55+$R55*0.1094,3))</f>
        <v/>
      </c>
      <c r="X55" s="130" t="n">
        <f aca="false">IF(IF(ISBLANK(G55),1,(TRIM(G55)="")),"",ROUND(G55+$R55*0.1094,3))</f>
        <v>31.09</v>
      </c>
      <c r="Y55" s="101" t="n">
        <f aca="false">IF(IF(ISBLANK(H55),1,(TRIM(H55)="")),"",ROUND(H55+$R55*0.1094,3))</f>
        <v>31.09</v>
      </c>
      <c r="Z55" s="10"/>
      <c r="AA55" s="138" t="s">
        <v>73</v>
      </c>
      <c r="AB55" s="93" t="str">
        <f aca="false">IF(IF(ISBLANK(C55),1,(TRIM(C55)="")),"",ROUND((C55+$R55*0.1094)/4.184,3))</f>
        <v/>
      </c>
      <c r="AC55" s="139" t="str">
        <f aca="false">IF(IF(ISBLANK(D55),1,(TRIM(D55)="")),"",ROUND((D55+$R55*0.1094)/4.184,3))</f>
        <v/>
      </c>
      <c r="AD55" s="93" t="str">
        <f aca="false">IF(IF(ISBLANK(E55),1,(TRIM(E55)="")),"",ROUND((E55+$R55*0.1094)/4.184,3))</f>
        <v/>
      </c>
      <c r="AE55" s="139" t="str">
        <f aca="false">IF(IF(ISBLANK(F55),1,(TRIM(F55)="")),"",ROUND((F55+$R55*0.1094)/4.184,3))</f>
        <v/>
      </c>
      <c r="AF55" s="93" t="n">
        <f aca="false">IF(IF(ISBLANK(G55),1,(TRIM(G55)="")),"",ROUND((G55+$R55*0.1094)/4.184,3))</f>
        <v>7.431</v>
      </c>
      <c r="AG55" s="137" t="n">
        <f aca="false">IF(IF(ISBLANK(H55),1,(TRIM(H55)="")),"",ROUND((H55+$R55*0.1094)/4.184,3))</f>
        <v>7.431</v>
      </c>
    </row>
    <row r="56" s="90" customFormat="true" ht="12.75" hidden="false" customHeight="false" outlineLevel="0" collapsed="false">
      <c r="A56" s="89"/>
      <c r="B56" s="38" t="s">
        <v>75</v>
      </c>
      <c r="C56" s="141" t="s">
        <v>541</v>
      </c>
      <c r="D56" s="63" t="s">
        <v>541</v>
      </c>
      <c r="E56" s="62" t="s">
        <v>541</v>
      </c>
      <c r="F56" s="63" t="s">
        <v>541</v>
      </c>
      <c r="G56" s="62" t="s">
        <v>541</v>
      </c>
      <c r="H56" s="65" t="s">
        <v>542</v>
      </c>
      <c r="I56" s="58"/>
      <c r="J56" s="38" t="s">
        <v>75</v>
      </c>
      <c r="K56" s="130" t="n">
        <f aca="false">IF(IF(ISBLANK(C56),1,(TRIM(C56)="")),"",ROUND(C56/4.184,3))</f>
        <v>31.207</v>
      </c>
      <c r="L56" s="137" t="n">
        <f aca="false">IF(IF(ISBLANK(D56),1,(TRIM(D56)="")),"",ROUND(D56/4.184,3))</f>
        <v>31.207</v>
      </c>
      <c r="M56" s="132" t="n">
        <f aca="false">IF(IF(ISBLANK(E56),1,(TRIM(E56)="")),"",ROUND(E56/4.184,3))</f>
        <v>31.207</v>
      </c>
      <c r="N56" s="137" t="n">
        <f aca="false">IF(IF(ISBLANK(F56),1,(TRIM(F56)="")),"",ROUND(F56/4.184,3))</f>
        <v>31.207</v>
      </c>
      <c r="O56" s="132" t="n">
        <f aca="false">IF(IF(ISBLANK(G56),1,(TRIM(G56)="")),"",ROUND(G56/4.184,3))</f>
        <v>31.207</v>
      </c>
      <c r="P56" s="137" t="n">
        <f aca="false">IF(IF(ISBLANK(H56),1,(TRIM(H56)="")),"",ROUND(H56/4.184,3))</f>
        <v>31.207</v>
      </c>
      <c r="Q56" s="45"/>
      <c r="R56" s="34" t="n">
        <v>1</v>
      </c>
      <c r="S56" s="38" t="s">
        <v>75</v>
      </c>
      <c r="T56" s="130" t="n">
        <f aca="false">IF(IF(ISBLANK(C56),1,(TRIM(C56)="")),"",ROUND(C56+$R56*0.1094,3))</f>
        <v>130.679</v>
      </c>
      <c r="U56" s="101" t="n">
        <f aca="false">IF(IF(ISBLANK(D56),1,(TRIM(D56)="")),"",ROUND(D56+$R56*0.1094,3))</f>
        <v>130.679</v>
      </c>
      <c r="V56" s="130" t="n">
        <f aca="false">IF(IF(ISBLANK(E56),1,(TRIM(E56)="")),"",ROUND(E56+$R56*0.1094,3))</f>
        <v>130.679</v>
      </c>
      <c r="W56" s="101" t="n">
        <f aca="false">IF(IF(ISBLANK(F56),1,(TRIM(F56)="")),"",ROUND(F56+$R56*0.1094,3))</f>
        <v>130.679</v>
      </c>
      <c r="X56" s="130" t="n">
        <f aca="false">IF(IF(ISBLANK(G56),1,(TRIM(G56)="")),"",ROUND(G56+$R56*0.1094,3))</f>
        <v>130.679</v>
      </c>
      <c r="Y56" s="101" t="n">
        <f aca="false">IF(IF(ISBLANK(H56),1,(TRIM(H56)="")),"",ROUND(H56+$R56*0.1094,3))</f>
        <v>130.68</v>
      </c>
      <c r="AA56" s="140" t="s">
        <v>75</v>
      </c>
      <c r="AB56" s="93" t="n">
        <f aca="false">IF(IF(ISBLANK(C56),1,(TRIM(C56)="")),"",ROUND((C56+$R56*0.1094)/4.184,3))</f>
        <v>31.233</v>
      </c>
      <c r="AC56" s="139" t="n">
        <f aca="false">IF(IF(ISBLANK(D56),1,(TRIM(D56)="")),"",ROUND((D56+$R56*0.1094)/4.184,3))</f>
        <v>31.233</v>
      </c>
      <c r="AD56" s="93" t="n">
        <f aca="false">IF(IF(ISBLANK(E56),1,(TRIM(E56)="")),"",ROUND((E56+$R56*0.1094)/4.184,3))</f>
        <v>31.233</v>
      </c>
      <c r="AE56" s="139" t="n">
        <f aca="false">IF(IF(ISBLANK(F56),1,(TRIM(F56)="")),"",ROUND((F56+$R56*0.1094)/4.184,3))</f>
        <v>31.233</v>
      </c>
      <c r="AF56" s="93" t="n">
        <f aca="false">IF(IF(ISBLANK(G56),1,(TRIM(G56)="")),"",ROUND((G56+$R56*0.1094)/4.184,3))</f>
        <v>31.233</v>
      </c>
      <c r="AG56" s="137" t="n">
        <f aca="false">IF(IF(ISBLANK(H56),1,(TRIM(H56)="")),"",ROUND((H56+$R56*0.1094)/4.184,3))</f>
        <v>31.233</v>
      </c>
    </row>
    <row r="57" customFormat="false" ht="12.75" hidden="false" customHeight="false" outlineLevel="0" collapsed="false">
      <c r="B57" s="31" t="s">
        <v>77</v>
      </c>
      <c r="C57" s="136" t="n">
        <v>126.039</v>
      </c>
      <c r="D57" s="63" t="n">
        <v>126.039</v>
      </c>
      <c r="E57" s="62" t="n">
        <v>126.039</v>
      </c>
      <c r="F57" s="63" t="n">
        <v>126.039</v>
      </c>
      <c r="G57" s="62" t="n">
        <v>126.039</v>
      </c>
      <c r="H57" s="65" t="s">
        <v>543</v>
      </c>
      <c r="I57" s="58"/>
      <c r="J57" s="31" t="s">
        <v>77</v>
      </c>
      <c r="K57" s="130" t="n">
        <f aca="false">IF(IF(ISBLANK(C57),1,(TRIM(C57)="")),"",ROUND(C57/4.184,3))</f>
        <v>30.124</v>
      </c>
      <c r="L57" s="137" t="n">
        <f aca="false">IF(IF(ISBLANK(D57),1,(TRIM(D57)="")),"",ROUND(D57/4.184,3))</f>
        <v>30.124</v>
      </c>
      <c r="M57" s="132" t="n">
        <f aca="false">IF(IF(ISBLANK(E57),1,(TRIM(E57)="")),"",ROUND(E57/4.184,3))</f>
        <v>30.124</v>
      </c>
      <c r="N57" s="137" t="n">
        <f aca="false">IF(IF(ISBLANK(F57),1,(TRIM(F57)="")),"",ROUND(F57/4.184,3))</f>
        <v>30.124</v>
      </c>
      <c r="O57" s="132" t="n">
        <f aca="false">IF(IF(ISBLANK(G57),1,(TRIM(G57)="")),"",ROUND(G57/4.184,3))</f>
        <v>30.124</v>
      </c>
      <c r="P57" s="137" t="n">
        <f aca="false">IF(IF(ISBLANK(H57),1,(TRIM(H57)="")),"",ROUND(H57/4.184,3))</f>
        <v>30.125</v>
      </c>
      <c r="Q57" s="45"/>
      <c r="R57" s="34" t="n">
        <v>1</v>
      </c>
      <c r="S57" s="31" t="s">
        <v>77</v>
      </c>
      <c r="T57" s="130" t="n">
        <f aca="false">IF(IF(ISBLANK(C57),1,(TRIM(C57)="")),"",ROUND(C57+$R57*0.1094,3))</f>
        <v>126.148</v>
      </c>
      <c r="U57" s="101" t="n">
        <f aca="false">IF(IF(ISBLANK(D57),1,(TRIM(D57)="")),"",ROUND(D57+$R57*0.1094,3))</f>
        <v>126.148</v>
      </c>
      <c r="V57" s="130" t="n">
        <f aca="false">IF(IF(ISBLANK(E57),1,(TRIM(E57)="")),"",ROUND(E57+$R57*0.1094,3))</f>
        <v>126.148</v>
      </c>
      <c r="W57" s="101" t="n">
        <f aca="false">IF(IF(ISBLANK(F57),1,(TRIM(F57)="")),"",ROUND(F57+$R57*0.1094,3))</f>
        <v>126.148</v>
      </c>
      <c r="X57" s="130" t="n">
        <f aca="false">IF(IF(ISBLANK(G57),1,(TRIM(G57)="")),"",ROUND(G57+$R57*0.1094,3))</f>
        <v>126.148</v>
      </c>
      <c r="Y57" s="101" t="n">
        <f aca="false">IF(IF(ISBLANK(H57),1,(TRIM(H57)="")),"",ROUND(H57+$R57*0.1094,3))</f>
        <v>126.153</v>
      </c>
      <c r="AA57" s="138" t="s">
        <v>77</v>
      </c>
      <c r="AB57" s="93" t="n">
        <f aca="false">IF(IF(ISBLANK(C57),1,(TRIM(C57)="")),"",ROUND((C57+$R57*0.1094)/4.184,3))</f>
        <v>30.15</v>
      </c>
      <c r="AC57" s="139" t="n">
        <f aca="false">IF(IF(ISBLANK(D57),1,(TRIM(D57)="")),"",ROUND((D57+$R57*0.1094)/4.184,3))</f>
        <v>30.15</v>
      </c>
      <c r="AD57" s="93" t="n">
        <f aca="false">IF(IF(ISBLANK(E57),1,(TRIM(E57)="")),"",ROUND((E57+$R57*0.1094)/4.184,3))</f>
        <v>30.15</v>
      </c>
      <c r="AE57" s="139" t="n">
        <f aca="false">IF(IF(ISBLANK(F57),1,(TRIM(F57)="")),"",ROUND((F57+$R57*0.1094)/4.184,3))</f>
        <v>30.15</v>
      </c>
      <c r="AF57" s="93" t="n">
        <f aca="false">IF(IF(ISBLANK(G57),1,(TRIM(G57)="")),"",ROUND((G57+$R57*0.1094)/4.184,3))</f>
        <v>30.15</v>
      </c>
      <c r="AG57" s="137" t="n">
        <f aca="false">IF(IF(ISBLANK(H57),1,(TRIM(H57)="")),"",ROUND((H57+$R57*0.1094)/4.184,3))</f>
        <v>30.151</v>
      </c>
    </row>
    <row r="58" customFormat="false" ht="12.75" hidden="false" customHeight="false" outlineLevel="0" collapsed="false">
      <c r="B58" s="31" t="s">
        <v>78</v>
      </c>
      <c r="C58" s="136"/>
      <c r="D58" s="63"/>
      <c r="E58" s="62"/>
      <c r="F58" s="63"/>
      <c r="G58" s="62"/>
      <c r="H58" s="63"/>
      <c r="I58" s="58"/>
      <c r="J58" s="31" t="s">
        <v>78</v>
      </c>
      <c r="K58" s="130" t="str">
        <f aca="false">IF(IF(ISBLANK(C58),1,(TRIM(C58)="")),"",ROUND(C58/4.184,3))</f>
        <v/>
      </c>
      <c r="L58" s="137" t="str">
        <f aca="false">IF(IF(ISBLANK(D58),1,(TRIM(D58)="")),"",ROUND(D58/4.184,3))</f>
        <v/>
      </c>
      <c r="M58" s="132" t="str">
        <f aca="false">IF(IF(ISBLANK(E58),1,(TRIM(E58)="")),"",ROUND(E58/4.184,3))</f>
        <v/>
      </c>
      <c r="N58" s="137" t="str">
        <f aca="false">IF(IF(ISBLANK(F58),1,(TRIM(F58)="")),"",ROUND(F58/4.184,3))</f>
        <v/>
      </c>
      <c r="O58" s="132" t="str">
        <f aca="false">IF(IF(ISBLANK(G58),1,(TRIM(G58)="")),"",ROUND(G58/4.184,3))</f>
        <v/>
      </c>
      <c r="P58" s="137" t="str">
        <f aca="false">IF(IF(ISBLANK(H58),1,(TRIM(H58)="")),"",ROUND(H58/4.184,3))</f>
        <v/>
      </c>
      <c r="R58" s="34"/>
      <c r="S58" s="31" t="s">
        <v>78</v>
      </c>
      <c r="T58" s="130" t="str">
        <f aca="false">IF(IF(ISBLANK(C58),1,(TRIM(C58)="")),"",ROUND(C58+$R58*0.1094,3))</f>
        <v/>
      </c>
      <c r="U58" s="101" t="str">
        <f aca="false">IF(IF(ISBLANK(D58),1,(TRIM(D58)="")),"",ROUND(D58+$R58*0.1094,3))</f>
        <v/>
      </c>
      <c r="V58" s="130" t="str">
        <f aca="false">IF(IF(ISBLANK(E58),1,(TRIM(E58)="")),"",ROUND(E58+$R58*0.1094,3))</f>
        <v/>
      </c>
      <c r="W58" s="101" t="str">
        <f aca="false">IF(IF(ISBLANK(F58),1,(TRIM(F58)="")),"",ROUND(F58+$R58*0.1094,3))</f>
        <v/>
      </c>
      <c r="X58" s="130" t="str">
        <f aca="false">IF(IF(ISBLANK(G58),1,(TRIM(G58)="")),"",ROUND(G58+$R58*0.1094,3))</f>
        <v/>
      </c>
      <c r="Y58" s="101" t="str">
        <f aca="false">IF(IF(ISBLANK(H58),1,(TRIM(H58)="")),"",ROUND(H58+$R58*0.1094,3))</f>
        <v/>
      </c>
      <c r="AA58" s="138" t="s">
        <v>78</v>
      </c>
      <c r="AB58" s="93" t="str">
        <f aca="false">IF(IF(ISBLANK(C58),1,(TRIM(C58)="")),"",ROUND((C58+$R58*0.1094)/4.184,3))</f>
        <v/>
      </c>
      <c r="AC58" s="139" t="str">
        <f aca="false">IF(IF(ISBLANK(D58),1,(TRIM(D58)="")),"",ROUND((D58+$R58*0.1094)/4.184,3))</f>
        <v/>
      </c>
      <c r="AD58" s="93" t="str">
        <f aca="false">IF(IF(ISBLANK(E58),1,(TRIM(E58)="")),"",ROUND((E58+$R58*0.1094)/4.184,3))</f>
        <v/>
      </c>
      <c r="AE58" s="139" t="str">
        <f aca="false">IF(IF(ISBLANK(F58),1,(TRIM(F58)="")),"",ROUND((F58+$R58*0.1094)/4.184,3))</f>
        <v/>
      </c>
      <c r="AF58" s="93" t="str">
        <f aca="false">IF(IF(ISBLANK(G58),1,(TRIM(G58)="")),"",ROUND((G58+$R58*0.1094)/4.184,3))</f>
        <v/>
      </c>
      <c r="AG58" s="137" t="str">
        <f aca="false">IF(IF(ISBLANK(H58),1,(TRIM(H58)="")),"",ROUND((H58+$R58*0.1094)/4.184,3))</f>
        <v/>
      </c>
    </row>
    <row r="59" customFormat="false" ht="12.75" hidden="false" customHeight="false" outlineLevel="0" collapsed="false">
      <c r="A59" s="10"/>
      <c r="B59" s="31" t="s">
        <v>79</v>
      </c>
      <c r="C59" s="136"/>
      <c r="D59" s="63"/>
      <c r="E59" s="62"/>
      <c r="F59" s="63"/>
      <c r="G59" s="64" t="s">
        <v>544</v>
      </c>
      <c r="H59" s="65" t="s">
        <v>544</v>
      </c>
      <c r="I59" s="66"/>
      <c r="J59" s="31" t="s">
        <v>79</v>
      </c>
      <c r="K59" s="130" t="str">
        <f aca="false">IF(IF(ISBLANK(C59),1,(TRIM(C59)="")),"",ROUND(C59/4.184,3))</f>
        <v/>
      </c>
      <c r="L59" s="137" t="str">
        <f aca="false">IF(IF(ISBLANK(D59),1,(TRIM(D59)="")),"",ROUND(D59/4.184,3))</f>
        <v/>
      </c>
      <c r="M59" s="132" t="str">
        <f aca="false">IF(IF(ISBLANK(E59),1,(TRIM(E59)="")),"",ROUND(E59/4.184,3))</f>
        <v/>
      </c>
      <c r="N59" s="137" t="str">
        <f aca="false">IF(IF(ISBLANK(F59),1,(TRIM(F59)="")),"",ROUND(F59/4.184,3))</f>
        <v/>
      </c>
      <c r="O59" s="132" t="n">
        <f aca="false">IF(IF(ISBLANK(G59),1,(TRIM(G59)="")),"",ROUND(G59/4.184,3))</f>
        <v>18.141</v>
      </c>
      <c r="P59" s="137" t="n">
        <f aca="false">IF(IF(ISBLANK(H59),1,(TRIM(H59)="")),"",ROUND(H59/4.184,3))</f>
        <v>18.141</v>
      </c>
      <c r="R59" s="34"/>
      <c r="S59" s="31" t="s">
        <v>79</v>
      </c>
      <c r="T59" s="130" t="str">
        <f aca="false">IF(IF(ISBLANK(C59),1,(TRIM(C59)="")),"",ROUND(C59+$R59*0.1094,3))</f>
        <v/>
      </c>
      <c r="U59" s="101" t="str">
        <f aca="false">IF(IF(ISBLANK(D59),1,(TRIM(D59)="")),"",ROUND(D59+$R59*0.1094,3))</f>
        <v/>
      </c>
      <c r="V59" s="130" t="str">
        <f aca="false">IF(IF(ISBLANK(E59),1,(TRIM(E59)="")),"",ROUND(E59+$R59*0.1094,3))</f>
        <v/>
      </c>
      <c r="W59" s="101" t="str">
        <f aca="false">IF(IF(ISBLANK(F59),1,(TRIM(F59)="")),"",ROUND(F59+$R59*0.1094,3))</f>
        <v/>
      </c>
      <c r="X59" s="130" t="n">
        <f aca="false">IF(IF(ISBLANK(G59),1,(TRIM(G59)="")),"",ROUND(G59+$R59*0.1094,3))</f>
        <v>75.9</v>
      </c>
      <c r="Y59" s="101" t="n">
        <f aca="false">IF(IF(ISBLANK(H59),1,(TRIM(H59)="")),"",ROUND(H59+$R59*0.1094,3))</f>
        <v>75.9</v>
      </c>
      <c r="AA59" s="138" t="s">
        <v>79</v>
      </c>
      <c r="AB59" s="93" t="str">
        <f aca="false">IF(IF(ISBLANK(C59),1,(TRIM(C59)="")),"",ROUND((C59+$R59*0.1094)/4.184,3))</f>
        <v/>
      </c>
      <c r="AC59" s="139" t="str">
        <f aca="false">IF(IF(ISBLANK(D59),1,(TRIM(D59)="")),"",ROUND((D59+$R59*0.1094)/4.184,3))</f>
        <v/>
      </c>
      <c r="AD59" s="93" t="str">
        <f aca="false">IF(IF(ISBLANK(E59),1,(TRIM(E59)="")),"",ROUND((E59+$R59*0.1094)/4.184,3))</f>
        <v/>
      </c>
      <c r="AE59" s="139" t="str">
        <f aca="false">IF(IF(ISBLANK(F59),1,(TRIM(F59)="")),"",ROUND((F59+$R59*0.1094)/4.184,3))</f>
        <v/>
      </c>
      <c r="AF59" s="93" t="n">
        <f aca="false">IF(IF(ISBLANK(G59),1,(TRIM(G59)="")),"",ROUND((G59+$R59*0.1094)/4.184,3))</f>
        <v>18.141</v>
      </c>
      <c r="AG59" s="137" t="n">
        <f aca="false">IF(IF(ISBLANK(H59),1,(TRIM(H59)="")),"",ROUND((H59+$R59*0.1094)/4.184,3))</f>
        <v>18.141</v>
      </c>
    </row>
    <row r="60" customFormat="false" ht="12.75" hidden="false" customHeight="false" outlineLevel="0" collapsed="false">
      <c r="B60" s="31" t="s">
        <v>80</v>
      </c>
      <c r="C60" s="136"/>
      <c r="D60" s="63"/>
      <c r="E60" s="62"/>
      <c r="F60" s="63"/>
      <c r="G60" s="62"/>
      <c r="H60" s="63"/>
      <c r="I60" s="58"/>
      <c r="J60" s="31" t="s">
        <v>80</v>
      </c>
      <c r="K60" s="130" t="str">
        <f aca="false">IF(IF(ISBLANK(C60),1,(TRIM(C60)="")),"",ROUND(C60/4.184,3))</f>
        <v/>
      </c>
      <c r="L60" s="137" t="str">
        <f aca="false">IF(IF(ISBLANK(D60),1,(TRIM(D60)="")),"",ROUND(D60/4.184,3))</f>
        <v/>
      </c>
      <c r="M60" s="132" t="str">
        <f aca="false">IF(IF(ISBLANK(E60),1,(TRIM(E60)="")),"",ROUND(E60/4.184,3))</f>
        <v/>
      </c>
      <c r="N60" s="137" t="str">
        <f aca="false">IF(IF(ISBLANK(F60),1,(TRIM(F60)="")),"",ROUND(F60/4.184,3))</f>
        <v/>
      </c>
      <c r="O60" s="132" t="str">
        <f aca="false">IF(IF(ISBLANK(G60),1,(TRIM(G60)="")),"",ROUND(G60/4.184,3))</f>
        <v/>
      </c>
      <c r="P60" s="137" t="str">
        <f aca="false">IF(IF(ISBLANK(H60),1,(TRIM(H60)="")),"",ROUND(H60/4.184,3))</f>
        <v/>
      </c>
      <c r="R60" s="34"/>
      <c r="S60" s="31" t="s">
        <v>80</v>
      </c>
      <c r="T60" s="130" t="str">
        <f aca="false">IF(IF(ISBLANK(C60),1,(TRIM(C60)="")),"",ROUND(C60+$R60*0.1094,3))</f>
        <v/>
      </c>
      <c r="U60" s="101" t="str">
        <f aca="false">IF(IF(ISBLANK(D60),1,(TRIM(D60)="")),"",ROUND(D60+$R60*0.1094,3))</f>
        <v/>
      </c>
      <c r="V60" s="130" t="str">
        <f aca="false">IF(IF(ISBLANK(E60),1,(TRIM(E60)="")),"",ROUND(E60+$R60*0.1094,3))</f>
        <v/>
      </c>
      <c r="W60" s="101" t="str">
        <f aca="false">IF(IF(ISBLANK(F60),1,(TRIM(F60)="")),"",ROUND(F60+$R60*0.1094,3))</f>
        <v/>
      </c>
      <c r="X60" s="130" t="str">
        <f aca="false">IF(IF(ISBLANK(G60),1,(TRIM(G60)="")),"",ROUND(G60+$R60*0.1094,3))</f>
        <v/>
      </c>
      <c r="Y60" s="101" t="str">
        <f aca="false">IF(IF(ISBLANK(H60),1,(TRIM(H60)="")),"",ROUND(H60+$R60*0.1094,3))</f>
        <v/>
      </c>
      <c r="Z60" s="10"/>
      <c r="AA60" s="138" t="s">
        <v>80</v>
      </c>
      <c r="AB60" s="93" t="str">
        <f aca="false">IF(IF(ISBLANK(C60),1,(TRIM(C60)="")),"",ROUND((C60+$R60*0.1094)/4.184,3))</f>
        <v/>
      </c>
      <c r="AC60" s="139" t="str">
        <f aca="false">IF(IF(ISBLANK(D60),1,(TRIM(D60)="")),"",ROUND((D60+$R60*0.1094)/4.184,3))</f>
        <v/>
      </c>
      <c r="AD60" s="93" t="str">
        <f aca="false">IF(IF(ISBLANK(E60),1,(TRIM(E60)="")),"",ROUND((E60+$R60*0.1094)/4.184,3))</f>
        <v/>
      </c>
      <c r="AE60" s="139" t="str">
        <f aca="false">IF(IF(ISBLANK(F60),1,(TRIM(F60)="")),"",ROUND((F60+$R60*0.1094)/4.184,3))</f>
        <v/>
      </c>
      <c r="AF60" s="93" t="str">
        <f aca="false">IF(IF(ISBLANK(G60),1,(TRIM(G60)="")),"",ROUND((G60+$R60*0.1094)/4.184,3))</f>
        <v/>
      </c>
      <c r="AG60" s="137" t="str">
        <f aca="false">IF(IF(ISBLANK(H60),1,(TRIM(H60)="")),"",ROUND((H60+$R60*0.1094)/4.184,3))</f>
        <v/>
      </c>
    </row>
    <row r="61" s="90" customFormat="true" ht="12.75" hidden="false" customHeight="false" outlineLevel="0" collapsed="false">
      <c r="A61" s="89"/>
      <c r="B61" s="38" t="s">
        <v>82</v>
      </c>
      <c r="C61" s="136" t="n">
        <v>116.139</v>
      </c>
      <c r="D61" s="63" t="n">
        <v>116.139</v>
      </c>
      <c r="E61" s="62" t="n">
        <v>116.139</v>
      </c>
      <c r="F61" s="63" t="n">
        <v>116.139</v>
      </c>
      <c r="G61" s="62" t="n">
        <v>116.139</v>
      </c>
      <c r="H61" s="65" t="s">
        <v>545</v>
      </c>
      <c r="I61" s="66"/>
      <c r="J61" s="38" t="s">
        <v>82</v>
      </c>
      <c r="K61" s="130" t="n">
        <f aca="false">IF(IF(ISBLANK(C61),1,(TRIM(C61)="")),"",ROUND(C61/4.184,3))</f>
        <v>27.758</v>
      </c>
      <c r="L61" s="137" t="n">
        <f aca="false">IF(IF(ISBLANK(D61),1,(TRIM(D61)="")),"",ROUND(D61/4.184,3))</f>
        <v>27.758</v>
      </c>
      <c r="M61" s="132" t="n">
        <f aca="false">IF(IF(ISBLANK(E61),1,(TRIM(E61)="")),"",ROUND(E61/4.184,3))</f>
        <v>27.758</v>
      </c>
      <c r="N61" s="137" t="n">
        <f aca="false">IF(IF(ISBLANK(F61),1,(TRIM(F61)="")),"",ROUND(F61/4.184,3))</f>
        <v>27.758</v>
      </c>
      <c r="O61" s="132" t="n">
        <f aca="false">IF(IF(ISBLANK(G61),1,(TRIM(G61)="")),"",ROUND(G61/4.184,3))</f>
        <v>27.758</v>
      </c>
      <c r="P61" s="137" t="n">
        <f aca="false">IF(IF(ISBLANK(H61),1,(TRIM(H61)="")),"",ROUND(H61/4.184,3))</f>
        <v>27.758</v>
      </c>
      <c r="Q61" s="44"/>
      <c r="R61" s="34"/>
      <c r="S61" s="38" t="s">
        <v>82</v>
      </c>
      <c r="T61" s="130" t="n">
        <f aca="false">IF(IF(ISBLANK(C61),1,(TRIM(C61)="")),"",ROUND(C61+$R61*0.1094,3))</f>
        <v>116.139</v>
      </c>
      <c r="U61" s="101" t="n">
        <f aca="false">IF(IF(ISBLANK(D61),1,(TRIM(D61)="")),"",ROUND(D61+$R61*0.1094,3))</f>
        <v>116.139</v>
      </c>
      <c r="V61" s="130" t="n">
        <f aca="false">IF(IF(ISBLANK(E61),1,(TRIM(E61)="")),"",ROUND(E61+$R61*0.1094,3))</f>
        <v>116.139</v>
      </c>
      <c r="W61" s="101" t="n">
        <f aca="false">IF(IF(ISBLANK(F61),1,(TRIM(F61)="")),"",ROUND(F61+$R61*0.1094,3))</f>
        <v>116.139</v>
      </c>
      <c r="X61" s="130" t="n">
        <f aca="false">IF(IF(ISBLANK(G61),1,(TRIM(G61)="")),"",ROUND(G61+$R61*0.1094,3))</f>
        <v>116.139</v>
      </c>
      <c r="Y61" s="101" t="n">
        <f aca="false">IF(IF(ISBLANK(H61),1,(TRIM(H61)="")),"",ROUND(H61+$R61*0.1094,3))</f>
        <v>116.14</v>
      </c>
      <c r="Z61" s="10"/>
      <c r="AA61" s="140" t="s">
        <v>82</v>
      </c>
      <c r="AB61" s="93" t="n">
        <f aca="false">IF(IF(ISBLANK(C61),1,(TRIM(C61)="")),"",ROUND((C61+$R61*0.1094)/4.184,3))</f>
        <v>27.758</v>
      </c>
      <c r="AC61" s="139" t="n">
        <f aca="false">IF(IF(ISBLANK(D61),1,(TRIM(D61)="")),"",ROUND((D61+$R61*0.1094)/4.184,3))</f>
        <v>27.758</v>
      </c>
      <c r="AD61" s="93" t="n">
        <f aca="false">IF(IF(ISBLANK(E61),1,(TRIM(E61)="")),"",ROUND((E61+$R61*0.1094)/4.184,3))</f>
        <v>27.758</v>
      </c>
      <c r="AE61" s="139" t="n">
        <f aca="false">IF(IF(ISBLANK(F61),1,(TRIM(F61)="")),"",ROUND((F61+$R61*0.1094)/4.184,3))</f>
        <v>27.758</v>
      </c>
      <c r="AF61" s="93" t="n">
        <f aca="false">IF(IF(ISBLANK(G61),1,(TRIM(G61)="")),"",ROUND((G61+$R61*0.1094)/4.184,3))</f>
        <v>27.758</v>
      </c>
      <c r="AG61" s="137" t="n">
        <f aca="false">IF(IF(ISBLANK(H61),1,(TRIM(H61)="")),"",ROUND((H61+$R61*0.1094)/4.184,3))</f>
        <v>27.758</v>
      </c>
    </row>
    <row r="62" customFormat="false" ht="12.75" hidden="false" customHeight="false" outlineLevel="0" collapsed="false">
      <c r="B62" s="31" t="s">
        <v>84</v>
      </c>
      <c r="C62" s="136"/>
      <c r="D62" s="63"/>
      <c r="E62" s="62"/>
      <c r="F62" s="63"/>
      <c r="G62" s="62"/>
      <c r="H62" s="63"/>
      <c r="I62" s="58"/>
      <c r="J62" s="31" t="s">
        <v>84</v>
      </c>
      <c r="K62" s="130" t="str">
        <f aca="false">IF(IF(ISBLANK(C62),1,(TRIM(C62)="")),"",ROUND(C62/4.184,3))</f>
        <v/>
      </c>
      <c r="L62" s="137" t="str">
        <f aca="false">IF(IF(ISBLANK(D62),1,(TRIM(D62)="")),"",ROUND(D62/4.184,3))</f>
        <v/>
      </c>
      <c r="M62" s="132" t="str">
        <f aca="false">IF(IF(ISBLANK(E62),1,(TRIM(E62)="")),"",ROUND(E62/4.184,3))</f>
        <v/>
      </c>
      <c r="N62" s="137" t="str">
        <f aca="false">IF(IF(ISBLANK(F62),1,(TRIM(F62)="")),"",ROUND(F62/4.184,3))</f>
        <v/>
      </c>
      <c r="O62" s="132" t="str">
        <f aca="false">IF(IF(ISBLANK(G62),1,(TRIM(G62)="")),"",ROUND(G62/4.184,3))</f>
        <v/>
      </c>
      <c r="P62" s="137" t="str">
        <f aca="false">IF(IF(ISBLANK(H62),1,(TRIM(H62)="")),"",ROUND(H62/4.184,3))</f>
        <v/>
      </c>
      <c r="R62" s="34"/>
      <c r="S62" s="31" t="s">
        <v>84</v>
      </c>
      <c r="T62" s="130" t="str">
        <f aca="false">IF(IF(ISBLANK(C62),1,(TRIM(C62)="")),"",ROUND(C62+$R62*0.1094,3))</f>
        <v/>
      </c>
      <c r="U62" s="101" t="str">
        <f aca="false">IF(IF(ISBLANK(D62),1,(TRIM(D62)="")),"",ROUND(D62+$R62*0.1094,3))</f>
        <v/>
      </c>
      <c r="V62" s="130" t="str">
        <f aca="false">IF(IF(ISBLANK(E62),1,(TRIM(E62)="")),"",ROUND(E62+$R62*0.1094,3))</f>
        <v/>
      </c>
      <c r="W62" s="101" t="str">
        <f aca="false">IF(IF(ISBLANK(F62),1,(TRIM(F62)="")),"",ROUND(F62+$R62*0.1094,3))</f>
        <v/>
      </c>
      <c r="X62" s="130" t="str">
        <f aca="false">IF(IF(ISBLANK(G62),1,(TRIM(G62)="")),"",ROUND(G62+$R62*0.1094,3))</f>
        <v/>
      </c>
      <c r="Y62" s="101" t="str">
        <f aca="false">IF(IF(ISBLANK(H62),1,(TRIM(H62)="")),"",ROUND(H62+$R62*0.1094,3))</f>
        <v/>
      </c>
      <c r="Z62" s="10"/>
      <c r="AA62" s="138" t="s">
        <v>84</v>
      </c>
      <c r="AB62" s="93" t="str">
        <f aca="false">IF(IF(ISBLANK(C62),1,(TRIM(C62)="")),"",ROUND((C62+$R62*0.1094)/4.184,3))</f>
        <v/>
      </c>
      <c r="AC62" s="139" t="str">
        <f aca="false">IF(IF(ISBLANK(D62),1,(TRIM(D62)="")),"",ROUND((D62+$R62*0.1094)/4.184,3))</f>
        <v/>
      </c>
      <c r="AD62" s="93" t="str">
        <f aca="false">IF(IF(ISBLANK(E62),1,(TRIM(E62)="")),"",ROUND((E62+$R62*0.1094)/4.184,3))</f>
        <v/>
      </c>
      <c r="AE62" s="139" t="str">
        <f aca="false">IF(IF(ISBLANK(F62),1,(TRIM(F62)="")),"",ROUND((F62+$R62*0.1094)/4.184,3))</f>
        <v/>
      </c>
      <c r="AF62" s="93" t="str">
        <f aca="false">IF(IF(ISBLANK(G62),1,(TRIM(G62)="")),"",ROUND((G62+$R62*0.1094)/4.184,3))</f>
        <v/>
      </c>
      <c r="AG62" s="137" t="str">
        <f aca="false">IF(IF(ISBLANK(H62),1,(TRIM(H62)="")),"",ROUND((H62+$R62*0.1094)/4.184,3))</f>
        <v/>
      </c>
    </row>
    <row r="63" customFormat="false" ht="12.75" hidden="false" customHeight="false" outlineLevel="0" collapsed="false">
      <c r="B63" s="31" t="s">
        <v>85</v>
      </c>
      <c r="C63" s="136"/>
      <c r="D63" s="63"/>
      <c r="E63" s="62"/>
      <c r="F63" s="63"/>
      <c r="G63" s="62"/>
      <c r="H63" s="63"/>
      <c r="I63" s="58"/>
      <c r="J63" s="31" t="s">
        <v>85</v>
      </c>
      <c r="K63" s="130" t="str">
        <f aca="false">IF(IF(ISBLANK(C63),1,(TRIM(C63)="")),"",ROUND(C63/4.184,3))</f>
        <v/>
      </c>
      <c r="L63" s="137" t="str">
        <f aca="false">IF(IF(ISBLANK(D63),1,(TRIM(D63)="")),"",ROUND(D63/4.184,3))</f>
        <v/>
      </c>
      <c r="M63" s="132" t="str">
        <f aca="false">IF(IF(ISBLANK(E63),1,(TRIM(E63)="")),"",ROUND(E63/4.184,3))</f>
        <v/>
      </c>
      <c r="N63" s="137" t="str">
        <f aca="false">IF(IF(ISBLANK(F63),1,(TRIM(F63)="")),"",ROUND(F63/4.184,3))</f>
        <v/>
      </c>
      <c r="O63" s="132" t="str">
        <f aca="false">IF(IF(ISBLANK(G63),1,(TRIM(G63)="")),"",ROUND(G63/4.184,3))</f>
        <v/>
      </c>
      <c r="P63" s="137" t="str">
        <f aca="false">IF(IF(ISBLANK(H63),1,(TRIM(H63)="")),"",ROUND(H63/4.184,3))</f>
        <v/>
      </c>
      <c r="R63" s="34"/>
      <c r="S63" s="31" t="s">
        <v>85</v>
      </c>
      <c r="T63" s="130" t="str">
        <f aca="false">IF(IF(ISBLANK(C63),1,(TRIM(C63)="")),"",ROUND(C63+$R63*0.1094,3))</f>
        <v/>
      </c>
      <c r="U63" s="101" t="str">
        <f aca="false">IF(IF(ISBLANK(D63),1,(TRIM(D63)="")),"",ROUND(D63+$R63*0.1094,3))</f>
        <v/>
      </c>
      <c r="V63" s="130" t="str">
        <f aca="false">IF(IF(ISBLANK(E63),1,(TRIM(E63)="")),"",ROUND(E63+$R63*0.1094,3))</f>
        <v/>
      </c>
      <c r="W63" s="101" t="str">
        <f aca="false">IF(IF(ISBLANK(F63),1,(TRIM(F63)="")),"",ROUND(F63+$R63*0.1094,3))</f>
        <v/>
      </c>
      <c r="X63" s="130" t="str">
        <f aca="false">IF(IF(ISBLANK(G63),1,(TRIM(G63)="")),"",ROUND(G63+$R63*0.1094,3))</f>
        <v/>
      </c>
      <c r="Y63" s="101" t="str">
        <f aca="false">IF(IF(ISBLANK(H63),1,(TRIM(H63)="")),"",ROUND(H63+$R63*0.1094,3))</f>
        <v/>
      </c>
      <c r="Z63" s="10"/>
      <c r="AA63" s="138" t="s">
        <v>85</v>
      </c>
      <c r="AB63" s="93" t="str">
        <f aca="false">IF(IF(ISBLANK(C63),1,(TRIM(C63)="")),"",ROUND((C63+$R63*0.1094)/4.184,3))</f>
        <v/>
      </c>
      <c r="AC63" s="139" t="str">
        <f aca="false">IF(IF(ISBLANK(D63),1,(TRIM(D63)="")),"",ROUND((D63+$R63*0.1094)/4.184,3))</f>
        <v/>
      </c>
      <c r="AD63" s="93" t="str">
        <f aca="false">IF(IF(ISBLANK(E63),1,(TRIM(E63)="")),"",ROUND((E63+$R63*0.1094)/4.184,3))</f>
        <v/>
      </c>
      <c r="AE63" s="139" t="str">
        <f aca="false">IF(IF(ISBLANK(F63),1,(TRIM(F63)="")),"",ROUND((F63+$R63*0.1094)/4.184,3))</f>
        <v/>
      </c>
      <c r="AF63" s="93" t="str">
        <f aca="false">IF(IF(ISBLANK(G63),1,(TRIM(G63)="")),"",ROUND((G63+$R63*0.1094)/4.184,3))</f>
        <v/>
      </c>
      <c r="AG63" s="137" t="str">
        <f aca="false">IF(IF(ISBLANK(H63),1,(TRIM(H63)="")),"",ROUND((H63+$R63*0.1094)/4.184,3))</f>
        <v/>
      </c>
    </row>
    <row r="64" customFormat="false" ht="12.75" hidden="false" customHeight="false" outlineLevel="0" collapsed="false">
      <c r="B64" s="38" t="s">
        <v>86</v>
      </c>
      <c r="C64" s="136"/>
      <c r="D64" s="63" t="n">
        <v>64.68</v>
      </c>
      <c r="E64" s="62" t="n">
        <v>64.68</v>
      </c>
      <c r="F64" s="63" t="n">
        <v>64.68</v>
      </c>
      <c r="G64" s="62" t="n">
        <v>64.68</v>
      </c>
      <c r="H64" s="63" t="n">
        <v>64.68</v>
      </c>
      <c r="I64" s="58"/>
      <c r="J64" s="38" t="s">
        <v>86</v>
      </c>
      <c r="K64" s="130" t="str">
        <f aca="false">IF(IF(ISBLANK(C64),1,(TRIM(C64)="")),"",ROUND(C64/4.184,3))</f>
        <v/>
      </c>
      <c r="L64" s="137" t="n">
        <f aca="false">IF(IF(ISBLANK(D64),1,(TRIM(D64)="")),"",ROUND(D64/4.184,3))</f>
        <v>15.459</v>
      </c>
      <c r="M64" s="132" t="n">
        <f aca="false">IF(IF(ISBLANK(E64),1,(TRIM(E64)="")),"",ROUND(E64/4.184,3))</f>
        <v>15.459</v>
      </c>
      <c r="N64" s="137" t="n">
        <f aca="false">IF(IF(ISBLANK(F64),1,(TRIM(F64)="")),"",ROUND(F64/4.184,3))</f>
        <v>15.459</v>
      </c>
      <c r="O64" s="132" t="n">
        <f aca="false">IF(IF(ISBLANK(G64),1,(TRIM(G64)="")),"",ROUND(G64/4.184,3))</f>
        <v>15.459</v>
      </c>
      <c r="P64" s="137" t="n">
        <f aca="false">IF(IF(ISBLANK(H64),1,(TRIM(H64)="")),"",ROUND(H64/4.184,3))</f>
        <v>15.459</v>
      </c>
      <c r="R64" s="34"/>
      <c r="S64" s="38" t="s">
        <v>86</v>
      </c>
      <c r="T64" s="130" t="str">
        <f aca="false">IF(IF(ISBLANK(C64),1,(TRIM(C64)="")),"",ROUND(C64+$R64*0.1094,3))</f>
        <v/>
      </c>
      <c r="U64" s="101" t="n">
        <f aca="false">IF(IF(ISBLANK(D64),1,(TRIM(D64)="")),"",ROUND(D64+$R64*0.1094,3))</f>
        <v>64.68</v>
      </c>
      <c r="V64" s="130" t="n">
        <f aca="false">IF(IF(ISBLANK(E64),1,(TRIM(E64)="")),"",ROUND(E64+$R64*0.1094,3))</f>
        <v>64.68</v>
      </c>
      <c r="W64" s="101" t="n">
        <f aca="false">IF(IF(ISBLANK(F64),1,(TRIM(F64)="")),"",ROUND(F64+$R64*0.1094,3))</f>
        <v>64.68</v>
      </c>
      <c r="X64" s="130" t="n">
        <f aca="false">IF(IF(ISBLANK(G64),1,(TRIM(G64)="")),"",ROUND(G64+$R64*0.1094,3))</f>
        <v>64.68</v>
      </c>
      <c r="Y64" s="101" t="n">
        <f aca="false">IF(IF(ISBLANK(H64),1,(TRIM(H64)="")),"",ROUND(H64+$R64*0.1094,3))</f>
        <v>64.68</v>
      </c>
      <c r="Z64" s="10"/>
      <c r="AA64" s="140" t="s">
        <v>86</v>
      </c>
      <c r="AB64" s="93" t="str">
        <f aca="false">IF(IF(ISBLANK(C64),1,(TRIM(C64)="")),"",ROUND((C64+$R64*0.1094)/4.184,3))</f>
        <v/>
      </c>
      <c r="AC64" s="139" t="n">
        <f aca="false">IF(IF(ISBLANK(D64),1,(TRIM(D64)="")),"",ROUND((D64+$R64*0.1094)/4.184,3))</f>
        <v>15.459</v>
      </c>
      <c r="AD64" s="93" t="n">
        <f aca="false">IF(IF(ISBLANK(E64),1,(TRIM(E64)="")),"",ROUND((E64+$R64*0.1094)/4.184,3))</f>
        <v>15.459</v>
      </c>
      <c r="AE64" s="139" t="n">
        <f aca="false">IF(IF(ISBLANK(F64),1,(TRIM(F64)="")),"",ROUND((F64+$R64*0.1094)/4.184,3))</f>
        <v>15.459</v>
      </c>
      <c r="AF64" s="93" t="n">
        <f aca="false">IF(IF(ISBLANK(G64),1,(TRIM(G64)="")),"",ROUND((G64+$R64*0.1094)/4.184,3))</f>
        <v>15.459</v>
      </c>
      <c r="AG64" s="137" t="n">
        <f aca="false">IF(IF(ISBLANK(H64),1,(TRIM(H64)="")),"",ROUND((H64+$R64*0.1094)/4.184,3))</f>
        <v>15.459</v>
      </c>
    </row>
    <row r="65" customFormat="false" ht="12.75" hidden="false" customHeight="false" outlineLevel="0" collapsed="false">
      <c r="B65" s="31" t="s">
        <v>87</v>
      </c>
      <c r="C65" s="136" t="n">
        <v>163.971</v>
      </c>
      <c r="D65" s="63" t="n">
        <v>163.971</v>
      </c>
      <c r="E65" s="62" t="n">
        <v>163.971</v>
      </c>
      <c r="F65" s="63" t="n">
        <v>163.971</v>
      </c>
      <c r="G65" s="62" t="n">
        <v>163.971</v>
      </c>
      <c r="H65" s="65" t="s">
        <v>546</v>
      </c>
      <c r="I65" s="58"/>
      <c r="J65" s="31" t="s">
        <v>87</v>
      </c>
      <c r="K65" s="130" t="n">
        <f aca="false">IF(IF(ISBLANK(C65),1,(TRIM(C65)="")),"",ROUND(C65/4.184,3))</f>
        <v>39.19</v>
      </c>
      <c r="L65" s="137" t="n">
        <f aca="false">IF(IF(ISBLANK(D65),1,(TRIM(D65)="")),"",ROUND(D65/4.184,3))</f>
        <v>39.19</v>
      </c>
      <c r="M65" s="132" t="n">
        <f aca="false">IF(IF(ISBLANK(E65),1,(TRIM(E65)="")),"",ROUND(E65/4.184,3))</f>
        <v>39.19</v>
      </c>
      <c r="N65" s="137" t="n">
        <f aca="false">IF(IF(ISBLANK(F65),1,(TRIM(F65)="")),"",ROUND(F65/4.184,3))</f>
        <v>39.19</v>
      </c>
      <c r="O65" s="132" t="n">
        <f aca="false">IF(IF(ISBLANK(G65),1,(TRIM(G65)="")),"",ROUND(G65/4.184,3))</f>
        <v>39.19</v>
      </c>
      <c r="P65" s="137" t="n">
        <f aca="false">IF(IF(ISBLANK(H65),1,(TRIM(H65)="")),"",ROUND(H65/4.184,3))</f>
        <v>39.191</v>
      </c>
      <c r="Q65" s="45"/>
      <c r="R65" s="34" t="n">
        <v>1</v>
      </c>
      <c r="S65" s="31" t="s">
        <v>87</v>
      </c>
      <c r="T65" s="130" t="n">
        <f aca="false">IF(IF(ISBLANK(C65),1,(TRIM(C65)="")),"",ROUND(C65+$R65*0.1094,3))</f>
        <v>164.08</v>
      </c>
      <c r="U65" s="101" t="n">
        <f aca="false">IF(IF(ISBLANK(D65),1,(TRIM(D65)="")),"",ROUND(D65+$R65*0.1094,3))</f>
        <v>164.08</v>
      </c>
      <c r="V65" s="130" t="n">
        <f aca="false">IF(IF(ISBLANK(E65),1,(TRIM(E65)="")),"",ROUND(E65+$R65*0.1094,3))</f>
        <v>164.08</v>
      </c>
      <c r="W65" s="101" t="n">
        <f aca="false">IF(IF(ISBLANK(F65),1,(TRIM(F65)="")),"",ROUND(F65+$R65*0.1094,3))</f>
        <v>164.08</v>
      </c>
      <c r="X65" s="130" t="n">
        <f aca="false">IF(IF(ISBLANK(G65),1,(TRIM(G65)="")),"",ROUND(G65+$R65*0.1094,3))</f>
        <v>164.08</v>
      </c>
      <c r="Y65" s="101" t="n">
        <f aca="false">IF(IF(ISBLANK(H65),1,(TRIM(H65)="")),"",ROUND(H65+$R65*0.1094,3))</f>
        <v>164.085</v>
      </c>
      <c r="Z65" s="10"/>
      <c r="AA65" s="138" t="s">
        <v>87</v>
      </c>
      <c r="AB65" s="93" t="n">
        <f aca="false">IF(IF(ISBLANK(C65),1,(TRIM(C65)="")),"",ROUND((C65+$R65*0.1094)/4.184,3))</f>
        <v>39.216</v>
      </c>
      <c r="AC65" s="139" t="n">
        <f aca="false">IF(IF(ISBLANK(D65),1,(TRIM(D65)="")),"",ROUND((D65+$R65*0.1094)/4.184,3))</f>
        <v>39.216</v>
      </c>
      <c r="AD65" s="93" t="n">
        <f aca="false">IF(IF(ISBLANK(E65),1,(TRIM(E65)="")),"",ROUND((E65+$R65*0.1094)/4.184,3))</f>
        <v>39.216</v>
      </c>
      <c r="AE65" s="139" t="n">
        <f aca="false">IF(IF(ISBLANK(F65),1,(TRIM(F65)="")),"",ROUND((F65+$R65*0.1094)/4.184,3))</f>
        <v>39.216</v>
      </c>
      <c r="AF65" s="93" t="n">
        <f aca="false">IF(IF(ISBLANK(G65),1,(TRIM(G65)="")),"",ROUND((G65+$R65*0.1094)/4.184,3))</f>
        <v>39.216</v>
      </c>
      <c r="AG65" s="137" t="n">
        <f aca="false">IF(IF(ISBLANK(H65),1,(TRIM(H65)="")),"",ROUND((H65+$R65*0.1094)/4.184,3))</f>
        <v>39.217</v>
      </c>
    </row>
    <row r="66" customFormat="false" ht="12.75" hidden="false" customHeight="false" outlineLevel="0" collapsed="false">
      <c r="B66" s="31" t="s">
        <v>88</v>
      </c>
      <c r="C66" s="136"/>
      <c r="D66" s="63"/>
      <c r="E66" s="62"/>
      <c r="F66" s="63"/>
      <c r="G66" s="62"/>
      <c r="H66" s="63"/>
      <c r="I66" s="58"/>
      <c r="J66" s="31" t="s">
        <v>88</v>
      </c>
      <c r="K66" s="130" t="str">
        <f aca="false">IF(IF(ISBLANK(C66),1,(TRIM(C66)="")),"",ROUND(C66/4.184,3))</f>
        <v/>
      </c>
      <c r="L66" s="137" t="str">
        <f aca="false">IF(IF(ISBLANK(D66),1,(TRIM(D66)="")),"",ROUND(D66/4.184,3))</f>
        <v/>
      </c>
      <c r="M66" s="132" t="str">
        <f aca="false">IF(IF(ISBLANK(E66),1,(TRIM(E66)="")),"",ROUND(E66/4.184,3))</f>
        <v/>
      </c>
      <c r="N66" s="137" t="str">
        <f aca="false">IF(IF(ISBLANK(F66),1,(TRIM(F66)="")),"",ROUND(F66/4.184,3))</f>
        <v/>
      </c>
      <c r="O66" s="132" t="str">
        <f aca="false">IF(IF(ISBLANK(G66),1,(TRIM(G66)="")),"",ROUND(G66/4.184,3))</f>
        <v/>
      </c>
      <c r="P66" s="137" t="str">
        <f aca="false">IF(IF(ISBLANK(H66),1,(TRIM(H66)="")),"",ROUND(H66/4.184,3))</f>
        <v/>
      </c>
      <c r="Q66" s="45"/>
      <c r="R66" s="34"/>
      <c r="S66" s="31" t="s">
        <v>88</v>
      </c>
      <c r="T66" s="130" t="str">
        <f aca="false">IF(IF(ISBLANK(C66),1,(TRIM(C66)="")),"",ROUND(C66+$R66*0.1094,3))</f>
        <v/>
      </c>
      <c r="U66" s="101" t="str">
        <f aca="false">IF(IF(ISBLANK(D66),1,(TRIM(D66)="")),"",ROUND(D66+$R66*0.1094,3))</f>
        <v/>
      </c>
      <c r="V66" s="130" t="str">
        <f aca="false">IF(IF(ISBLANK(E66),1,(TRIM(E66)="")),"",ROUND(E66+$R66*0.1094,3))</f>
        <v/>
      </c>
      <c r="W66" s="101" t="str">
        <f aca="false">IF(IF(ISBLANK(F66),1,(TRIM(F66)="")),"",ROUND(F66+$R66*0.1094,3))</f>
        <v/>
      </c>
      <c r="X66" s="130" t="str">
        <f aca="false">IF(IF(ISBLANK(G66),1,(TRIM(G66)="")),"",ROUND(G66+$R66*0.1094,3))</f>
        <v/>
      </c>
      <c r="Y66" s="101" t="str">
        <f aca="false">IF(IF(ISBLANK(H66),1,(TRIM(H66)="")),"",ROUND(H66+$R66*0.1094,3))</f>
        <v/>
      </c>
      <c r="Z66" s="10"/>
      <c r="AA66" s="138" t="s">
        <v>88</v>
      </c>
      <c r="AB66" s="93" t="str">
        <f aca="false">IF(IF(ISBLANK(C66),1,(TRIM(C66)="")),"",ROUND((C66+$R66*0.1094)/4.184,3))</f>
        <v/>
      </c>
      <c r="AC66" s="139" t="str">
        <f aca="false">IF(IF(ISBLANK(D66),1,(TRIM(D66)="")),"",ROUND((D66+$R66*0.1094)/4.184,3))</f>
        <v/>
      </c>
      <c r="AD66" s="93" t="str">
        <f aca="false">IF(IF(ISBLANK(E66),1,(TRIM(E66)="")),"",ROUND((E66+$R66*0.1094)/4.184,3))</f>
        <v/>
      </c>
      <c r="AE66" s="139" t="str">
        <f aca="false">IF(IF(ISBLANK(F66),1,(TRIM(F66)="")),"",ROUND((F66+$R66*0.1094)/4.184,3))</f>
        <v/>
      </c>
      <c r="AF66" s="93" t="str">
        <f aca="false">IF(IF(ISBLANK(G66),1,(TRIM(G66)="")),"",ROUND((G66+$R66*0.1094)/4.184,3))</f>
        <v/>
      </c>
      <c r="AG66" s="137" t="str">
        <f aca="false">IF(IF(ISBLANK(H66),1,(TRIM(H66)="")),"",ROUND((H66+$R66*0.1094)/4.184,3))</f>
        <v/>
      </c>
    </row>
    <row r="67" customFormat="false" ht="12.75" hidden="false" customHeight="false" outlineLevel="0" collapsed="false">
      <c r="B67" s="38" t="s">
        <v>89</v>
      </c>
      <c r="C67" s="136"/>
      <c r="D67" s="63" t="n">
        <v>29.12</v>
      </c>
      <c r="E67" s="62" t="n">
        <v>29.12</v>
      </c>
      <c r="F67" s="63" t="n">
        <v>29.12</v>
      </c>
      <c r="G67" s="62" t="n">
        <v>29.12</v>
      </c>
      <c r="H67" s="63" t="n">
        <v>29.12</v>
      </c>
      <c r="I67" s="58"/>
      <c r="J67" s="38" t="s">
        <v>89</v>
      </c>
      <c r="K67" s="130" t="str">
        <f aca="false">IF(IF(ISBLANK(C67),1,(TRIM(C67)="")),"",ROUND(C67/4.184,3))</f>
        <v/>
      </c>
      <c r="L67" s="137" t="n">
        <f aca="false">IF(IF(ISBLANK(D67),1,(TRIM(D67)="")),"",ROUND(D67/4.184,3))</f>
        <v>6.96</v>
      </c>
      <c r="M67" s="132" t="n">
        <f aca="false">IF(IF(ISBLANK(E67),1,(TRIM(E67)="")),"",ROUND(E67/4.184,3))</f>
        <v>6.96</v>
      </c>
      <c r="N67" s="137" t="n">
        <f aca="false">IF(IF(ISBLANK(F67),1,(TRIM(F67)="")),"",ROUND(F67/4.184,3))</f>
        <v>6.96</v>
      </c>
      <c r="O67" s="132" t="n">
        <f aca="false">IF(IF(ISBLANK(G67),1,(TRIM(G67)="")),"",ROUND(G67/4.184,3))</f>
        <v>6.96</v>
      </c>
      <c r="P67" s="137" t="n">
        <f aca="false">IF(IF(ISBLANK(H67),1,(TRIM(H67)="")),"",ROUND(H67/4.184,3))</f>
        <v>6.96</v>
      </c>
      <c r="Q67" s="45"/>
      <c r="R67" s="34"/>
      <c r="S67" s="38" t="s">
        <v>89</v>
      </c>
      <c r="T67" s="130" t="str">
        <f aca="false">IF(IF(ISBLANK(C67),1,(TRIM(C67)="")),"",ROUND(C67+$R67*0.1094,3))</f>
        <v/>
      </c>
      <c r="U67" s="101" t="n">
        <f aca="false">IF(IF(ISBLANK(D67),1,(TRIM(D67)="")),"",ROUND(D67+$R67*0.1094,3))</f>
        <v>29.12</v>
      </c>
      <c r="V67" s="130" t="n">
        <f aca="false">IF(IF(ISBLANK(E67),1,(TRIM(E67)="")),"",ROUND(E67+$R67*0.1094,3))</f>
        <v>29.12</v>
      </c>
      <c r="W67" s="101" t="n">
        <f aca="false">IF(IF(ISBLANK(F67),1,(TRIM(F67)="")),"",ROUND(F67+$R67*0.1094,3))</f>
        <v>29.12</v>
      </c>
      <c r="X67" s="130" t="n">
        <f aca="false">IF(IF(ISBLANK(G67),1,(TRIM(G67)="")),"",ROUND(G67+$R67*0.1094,3))</f>
        <v>29.12</v>
      </c>
      <c r="Y67" s="101" t="n">
        <f aca="false">IF(IF(ISBLANK(H67),1,(TRIM(H67)="")),"",ROUND(H67+$R67*0.1094,3))</f>
        <v>29.12</v>
      </c>
      <c r="AA67" s="140" t="s">
        <v>89</v>
      </c>
      <c r="AB67" s="93" t="str">
        <f aca="false">IF(IF(ISBLANK(C67),1,(TRIM(C67)="")),"",ROUND((C67+$R67*0.1094)/4.184,3))</f>
        <v/>
      </c>
      <c r="AC67" s="139" t="n">
        <f aca="false">IF(IF(ISBLANK(D67),1,(TRIM(D67)="")),"",ROUND((D67+$R67*0.1094)/4.184,3))</f>
        <v>6.96</v>
      </c>
      <c r="AD67" s="93" t="n">
        <f aca="false">IF(IF(ISBLANK(E67),1,(TRIM(E67)="")),"",ROUND((E67+$R67*0.1094)/4.184,3))</f>
        <v>6.96</v>
      </c>
      <c r="AE67" s="139" t="n">
        <f aca="false">IF(IF(ISBLANK(F67),1,(TRIM(F67)="")),"",ROUND((F67+$R67*0.1094)/4.184,3))</f>
        <v>6.96</v>
      </c>
      <c r="AF67" s="93" t="n">
        <f aca="false">IF(IF(ISBLANK(G67),1,(TRIM(G67)="")),"",ROUND((G67+$R67*0.1094)/4.184,3))</f>
        <v>6.96</v>
      </c>
      <c r="AG67" s="137" t="n">
        <f aca="false">IF(IF(ISBLANK(H67),1,(TRIM(H67)="")),"",ROUND((H67+$R67*0.1094)/4.184,3))</f>
        <v>6.96</v>
      </c>
    </row>
    <row r="68" customFormat="false" ht="12.75" hidden="false" customHeight="false" outlineLevel="0" collapsed="false">
      <c r="B68" s="31" t="s">
        <v>90</v>
      </c>
      <c r="C68" s="136"/>
      <c r="D68" s="63"/>
      <c r="E68" s="62"/>
      <c r="F68" s="63"/>
      <c r="G68" s="62"/>
      <c r="H68" s="63"/>
      <c r="I68" s="58"/>
      <c r="J68" s="31" t="s">
        <v>90</v>
      </c>
      <c r="K68" s="130" t="str">
        <f aca="false">IF(IF(ISBLANK(C68),1,(TRIM(C68)="")),"",ROUND(C68/4.184,3))</f>
        <v/>
      </c>
      <c r="L68" s="137" t="str">
        <f aca="false">IF(IF(ISBLANK(D68),1,(TRIM(D68)="")),"",ROUND(D68/4.184,3))</f>
        <v/>
      </c>
      <c r="M68" s="132" t="str">
        <f aca="false">IF(IF(ISBLANK(E68),1,(TRIM(E68)="")),"",ROUND(E68/4.184,3))</f>
        <v/>
      </c>
      <c r="N68" s="137" t="str">
        <f aca="false">IF(IF(ISBLANK(F68),1,(TRIM(F68)="")),"",ROUND(F68/4.184,3))</f>
        <v/>
      </c>
      <c r="O68" s="132" t="str">
        <f aca="false">IF(IF(ISBLANK(G68),1,(TRIM(G68)="")),"",ROUND(G68/4.184,3))</f>
        <v/>
      </c>
      <c r="P68" s="137" t="str">
        <f aca="false">IF(IF(ISBLANK(H68),1,(TRIM(H68)="")),"",ROUND(H68/4.184,3))</f>
        <v/>
      </c>
      <c r="Q68" s="45"/>
      <c r="R68" s="34"/>
      <c r="S68" s="31" t="s">
        <v>90</v>
      </c>
      <c r="T68" s="130" t="str">
        <f aca="false">IF(IF(ISBLANK(C68),1,(TRIM(C68)="")),"",ROUND(C68+$R68*0.1094,3))</f>
        <v/>
      </c>
      <c r="U68" s="101" t="str">
        <f aca="false">IF(IF(ISBLANK(D68),1,(TRIM(D68)="")),"",ROUND(D68+$R68*0.1094,3))</f>
        <v/>
      </c>
      <c r="V68" s="130" t="str">
        <f aca="false">IF(IF(ISBLANK(E68),1,(TRIM(E68)="")),"",ROUND(E68+$R68*0.1094,3))</f>
        <v/>
      </c>
      <c r="W68" s="101" t="str">
        <f aca="false">IF(IF(ISBLANK(F68),1,(TRIM(F68)="")),"",ROUND(F68+$R68*0.1094,3))</f>
        <v/>
      </c>
      <c r="X68" s="130" t="str">
        <f aca="false">IF(IF(ISBLANK(G68),1,(TRIM(G68)="")),"",ROUND(G68+$R68*0.1094,3))</f>
        <v/>
      </c>
      <c r="Y68" s="101" t="str">
        <f aca="false">IF(IF(ISBLANK(H68),1,(TRIM(H68)="")),"",ROUND(H68+$R68*0.1094,3))</f>
        <v/>
      </c>
      <c r="AA68" s="138" t="s">
        <v>90</v>
      </c>
      <c r="AB68" s="93" t="str">
        <f aca="false">IF(IF(ISBLANK(C68),1,(TRIM(C68)="")),"",ROUND((C68+$R68*0.1094)/4.184,3))</f>
        <v/>
      </c>
      <c r="AC68" s="139" t="str">
        <f aca="false">IF(IF(ISBLANK(D68),1,(TRIM(D68)="")),"",ROUND((D68+$R68*0.1094)/4.184,3))</f>
        <v/>
      </c>
      <c r="AD68" s="93" t="str">
        <f aca="false">IF(IF(ISBLANK(E68),1,(TRIM(E68)="")),"",ROUND((E68+$R68*0.1094)/4.184,3))</f>
        <v/>
      </c>
      <c r="AE68" s="139" t="str">
        <f aca="false">IF(IF(ISBLANK(F68),1,(TRIM(F68)="")),"",ROUND((F68+$R68*0.1094)/4.184,3))</f>
        <v/>
      </c>
      <c r="AF68" s="93" t="str">
        <f aca="false">IF(IF(ISBLANK(G68),1,(TRIM(G68)="")),"",ROUND((G68+$R68*0.1094)/4.184,3))</f>
        <v/>
      </c>
      <c r="AG68" s="137" t="str">
        <f aca="false">IF(IF(ISBLANK(H68),1,(TRIM(H68)="")),"",ROUND((H68+$R68*0.1094)/4.184,3))</f>
        <v/>
      </c>
    </row>
    <row r="69" customFormat="false" ht="12.75" hidden="false" customHeight="false" outlineLevel="0" collapsed="false">
      <c r="B69" s="31" t="s">
        <v>91</v>
      </c>
      <c r="C69" s="136"/>
      <c r="D69" s="63"/>
      <c r="E69" s="62"/>
      <c r="F69" s="63"/>
      <c r="G69" s="62"/>
      <c r="H69" s="63"/>
      <c r="I69" s="58"/>
      <c r="J69" s="31" t="s">
        <v>91</v>
      </c>
      <c r="K69" s="130" t="str">
        <f aca="false">IF(IF(ISBLANK(C69),1,(TRIM(C69)="")),"",ROUND(C69/4.184,3))</f>
        <v/>
      </c>
      <c r="L69" s="137" t="str">
        <f aca="false">IF(IF(ISBLANK(D69),1,(TRIM(D69)="")),"",ROUND(D69/4.184,3))</f>
        <v/>
      </c>
      <c r="M69" s="132" t="str">
        <f aca="false">IF(IF(ISBLANK(E69),1,(TRIM(E69)="")),"",ROUND(E69/4.184,3))</f>
        <v/>
      </c>
      <c r="N69" s="137" t="str">
        <f aca="false">IF(IF(ISBLANK(F69),1,(TRIM(F69)="")),"",ROUND(F69/4.184,3))</f>
        <v/>
      </c>
      <c r="O69" s="132" t="str">
        <f aca="false">IF(IF(ISBLANK(G69),1,(TRIM(G69)="")),"",ROUND(G69/4.184,3))</f>
        <v/>
      </c>
      <c r="P69" s="137" t="str">
        <f aca="false">IF(IF(ISBLANK(H69),1,(TRIM(H69)="")),"",ROUND(H69/4.184,3))</f>
        <v/>
      </c>
      <c r="R69" s="34"/>
      <c r="S69" s="31" t="s">
        <v>91</v>
      </c>
      <c r="T69" s="130" t="str">
        <f aca="false">IF(IF(ISBLANK(C69),1,(TRIM(C69)="")),"",ROUND(C69+$R69*0.1094,3))</f>
        <v/>
      </c>
      <c r="U69" s="101" t="str">
        <f aca="false">IF(IF(ISBLANK(D69),1,(TRIM(D69)="")),"",ROUND(D69+$R69*0.1094,3))</f>
        <v/>
      </c>
      <c r="V69" s="130" t="str">
        <f aca="false">IF(IF(ISBLANK(E69),1,(TRIM(E69)="")),"",ROUND(E69+$R69*0.1094,3))</f>
        <v/>
      </c>
      <c r="W69" s="101" t="str">
        <f aca="false">IF(IF(ISBLANK(F69),1,(TRIM(F69)="")),"",ROUND(F69+$R69*0.1094,3))</f>
        <v/>
      </c>
      <c r="X69" s="130" t="str">
        <f aca="false">IF(IF(ISBLANK(G69),1,(TRIM(G69)="")),"",ROUND(G69+$R69*0.1094,3))</f>
        <v/>
      </c>
      <c r="Y69" s="101" t="str">
        <f aca="false">IF(IF(ISBLANK(H69),1,(TRIM(H69)="")),"",ROUND(H69+$R69*0.1094,3))</f>
        <v/>
      </c>
      <c r="AA69" s="138" t="s">
        <v>91</v>
      </c>
      <c r="AB69" s="93" t="str">
        <f aca="false">IF(IF(ISBLANK(C69),1,(TRIM(C69)="")),"",ROUND((C69+$R69*0.1094)/4.184,3))</f>
        <v/>
      </c>
      <c r="AC69" s="139" t="str">
        <f aca="false">IF(IF(ISBLANK(D69),1,(TRIM(D69)="")),"",ROUND((D69+$R69*0.1094)/4.184,3))</f>
        <v/>
      </c>
      <c r="AD69" s="93" t="str">
        <f aca="false">IF(IF(ISBLANK(E69),1,(TRIM(E69)="")),"",ROUND((E69+$R69*0.1094)/4.184,3))</f>
        <v/>
      </c>
      <c r="AE69" s="139" t="str">
        <f aca="false">IF(IF(ISBLANK(F69),1,(TRIM(F69)="")),"",ROUND((F69+$R69*0.1094)/4.184,3))</f>
        <v/>
      </c>
      <c r="AF69" s="93" t="str">
        <f aca="false">IF(IF(ISBLANK(G69),1,(TRIM(G69)="")),"",ROUND((G69+$R69*0.1094)/4.184,3))</f>
        <v/>
      </c>
      <c r="AG69" s="137" t="str">
        <f aca="false">IF(IF(ISBLANK(H69),1,(TRIM(H69)="")),"",ROUND((H69+$R69*0.1094)/4.184,3))</f>
        <v/>
      </c>
    </row>
    <row r="70" customFormat="false" ht="12.75" hidden="false" customHeight="false" outlineLevel="0" collapsed="false">
      <c r="B70" s="31" t="s">
        <v>92</v>
      </c>
      <c r="C70" s="136"/>
      <c r="D70" s="63"/>
      <c r="E70" s="62"/>
      <c r="F70" s="63"/>
      <c r="G70" s="62"/>
      <c r="H70" s="63"/>
      <c r="I70" s="58"/>
      <c r="J70" s="31" t="s">
        <v>92</v>
      </c>
      <c r="K70" s="130" t="str">
        <f aca="false">IF(IF(ISBLANK(C70),1,(TRIM(C70)="")),"",ROUND(C70/4.184,3))</f>
        <v/>
      </c>
      <c r="L70" s="137" t="str">
        <f aca="false">IF(IF(ISBLANK(D70),1,(TRIM(D70)="")),"",ROUND(D70/4.184,3))</f>
        <v/>
      </c>
      <c r="M70" s="132" t="str">
        <f aca="false">IF(IF(ISBLANK(E70),1,(TRIM(E70)="")),"",ROUND(E70/4.184,3))</f>
        <v/>
      </c>
      <c r="N70" s="137" t="str">
        <f aca="false">IF(IF(ISBLANK(F70),1,(TRIM(F70)="")),"",ROUND(F70/4.184,3))</f>
        <v/>
      </c>
      <c r="O70" s="132" t="str">
        <f aca="false">IF(IF(ISBLANK(G70),1,(TRIM(G70)="")),"",ROUND(G70/4.184,3))</f>
        <v/>
      </c>
      <c r="P70" s="137" t="str">
        <f aca="false">IF(IF(ISBLANK(H70),1,(TRIM(H70)="")),"",ROUND(H70/4.184,3))</f>
        <v/>
      </c>
      <c r="R70" s="34"/>
      <c r="S70" s="31" t="s">
        <v>92</v>
      </c>
      <c r="T70" s="130" t="str">
        <f aca="false">IF(IF(ISBLANK(C70),1,(TRIM(C70)="")),"",ROUND(C70+$R70*0.1094,3))</f>
        <v/>
      </c>
      <c r="U70" s="101" t="str">
        <f aca="false">IF(IF(ISBLANK(D70),1,(TRIM(D70)="")),"",ROUND(D70+$R70*0.1094,3))</f>
        <v/>
      </c>
      <c r="V70" s="130" t="str">
        <f aca="false">IF(IF(ISBLANK(E70),1,(TRIM(E70)="")),"",ROUND(E70+$R70*0.1094,3))</f>
        <v/>
      </c>
      <c r="W70" s="101" t="str">
        <f aca="false">IF(IF(ISBLANK(F70),1,(TRIM(F70)="")),"",ROUND(F70+$R70*0.1094,3))</f>
        <v/>
      </c>
      <c r="X70" s="130" t="str">
        <f aca="false">IF(IF(ISBLANK(G70),1,(TRIM(G70)="")),"",ROUND(G70+$R70*0.1094,3))</f>
        <v/>
      </c>
      <c r="Y70" s="101" t="str">
        <f aca="false">IF(IF(ISBLANK(H70),1,(TRIM(H70)="")),"",ROUND(H70+$R70*0.1094,3))</f>
        <v/>
      </c>
      <c r="AA70" s="138" t="s">
        <v>92</v>
      </c>
      <c r="AB70" s="93" t="str">
        <f aca="false">IF(IF(ISBLANK(C70),1,(TRIM(C70)="")),"",ROUND((C70+$R70*0.1094)/4.184,3))</f>
        <v/>
      </c>
      <c r="AC70" s="139" t="str">
        <f aca="false">IF(IF(ISBLANK(D70),1,(TRIM(D70)="")),"",ROUND((D70+$R70*0.1094)/4.184,3))</f>
        <v/>
      </c>
      <c r="AD70" s="93" t="str">
        <f aca="false">IF(IF(ISBLANK(E70),1,(TRIM(E70)="")),"",ROUND((E70+$R70*0.1094)/4.184,3))</f>
        <v/>
      </c>
      <c r="AE70" s="139" t="str">
        <f aca="false">IF(IF(ISBLANK(F70),1,(TRIM(F70)="")),"",ROUND((F70+$R70*0.1094)/4.184,3))</f>
        <v/>
      </c>
      <c r="AF70" s="93" t="str">
        <f aca="false">IF(IF(ISBLANK(G70),1,(TRIM(G70)="")),"",ROUND((G70+$R70*0.1094)/4.184,3))</f>
        <v/>
      </c>
      <c r="AG70" s="137" t="str">
        <f aca="false">IF(IF(ISBLANK(H70),1,(TRIM(H70)="")),"",ROUND((H70+$R70*0.1094)/4.184,3))</f>
        <v/>
      </c>
    </row>
    <row r="71" customFormat="false" ht="12.75" hidden="false" customHeight="false" outlineLevel="0" collapsed="false">
      <c r="B71" s="31" t="s">
        <v>93</v>
      </c>
      <c r="C71" s="136"/>
      <c r="D71" s="63"/>
      <c r="E71" s="62"/>
      <c r="F71" s="63" t="n">
        <v>32.68</v>
      </c>
      <c r="G71" s="62" t="n">
        <v>32.68</v>
      </c>
      <c r="H71" s="63" t="n">
        <v>32.67</v>
      </c>
      <c r="I71" s="58"/>
      <c r="J71" s="31" t="s">
        <v>93</v>
      </c>
      <c r="K71" s="130" t="str">
        <f aca="false">IF(IF(ISBLANK(C71),1,(TRIM(C71)="")),"",ROUND(C71/4.184,3))</f>
        <v/>
      </c>
      <c r="L71" s="137" t="str">
        <f aca="false">IF(IF(ISBLANK(D71),1,(TRIM(D71)="")),"",ROUND(D71/4.184,3))</f>
        <v/>
      </c>
      <c r="M71" s="132" t="str">
        <f aca="false">IF(IF(ISBLANK(E71),1,(TRIM(E71)="")),"",ROUND(E71/4.184,3))</f>
        <v/>
      </c>
      <c r="N71" s="137" t="n">
        <f aca="false">IF(IF(ISBLANK(F71),1,(TRIM(F71)="")),"",ROUND(F71/4.184,3))</f>
        <v>7.811</v>
      </c>
      <c r="O71" s="132" t="n">
        <f aca="false">IF(IF(ISBLANK(G71),1,(TRIM(G71)="")),"",ROUND(G71/4.184,3))</f>
        <v>7.811</v>
      </c>
      <c r="P71" s="137" t="n">
        <f aca="false">IF(IF(ISBLANK(H71),1,(TRIM(H71)="")),"",ROUND(H71/4.184,3))</f>
        <v>7.808</v>
      </c>
      <c r="R71" s="34"/>
      <c r="S71" s="31" t="s">
        <v>93</v>
      </c>
      <c r="T71" s="130" t="str">
        <f aca="false">IF(IF(ISBLANK(C71),1,(TRIM(C71)="")),"",ROUND(C71+$R71*0.1094,3))</f>
        <v/>
      </c>
      <c r="U71" s="101" t="str">
        <f aca="false">IF(IF(ISBLANK(D71),1,(TRIM(D71)="")),"",ROUND(D71+$R71*0.1094,3))</f>
        <v/>
      </c>
      <c r="V71" s="130" t="str">
        <f aca="false">IF(IF(ISBLANK(E71),1,(TRIM(E71)="")),"",ROUND(E71+$R71*0.1094,3))</f>
        <v/>
      </c>
      <c r="W71" s="101" t="n">
        <f aca="false">IF(IF(ISBLANK(F71),1,(TRIM(F71)="")),"",ROUND(F71+$R71*0.1094,3))</f>
        <v>32.68</v>
      </c>
      <c r="X71" s="130" t="n">
        <f aca="false">IF(IF(ISBLANK(G71),1,(TRIM(G71)="")),"",ROUND(G71+$R71*0.1094,3))</f>
        <v>32.68</v>
      </c>
      <c r="Y71" s="101" t="n">
        <f aca="false">IF(IF(ISBLANK(H71),1,(TRIM(H71)="")),"",ROUND(H71+$R71*0.1094,3))</f>
        <v>32.67</v>
      </c>
      <c r="Z71" s="10"/>
      <c r="AA71" s="138" t="s">
        <v>93</v>
      </c>
      <c r="AB71" s="93" t="str">
        <f aca="false">IF(IF(ISBLANK(C71),1,(TRIM(C71)="")),"",ROUND((C71+$R71*0.1094)/4.184,3))</f>
        <v/>
      </c>
      <c r="AC71" s="139" t="str">
        <f aca="false">IF(IF(ISBLANK(D71),1,(TRIM(D71)="")),"",ROUND((D71+$R71*0.1094)/4.184,3))</f>
        <v/>
      </c>
      <c r="AD71" s="93" t="str">
        <f aca="false">IF(IF(ISBLANK(E71),1,(TRIM(E71)="")),"",ROUND((E71+$R71*0.1094)/4.184,3))</f>
        <v/>
      </c>
      <c r="AE71" s="139" t="n">
        <f aca="false">IF(IF(ISBLANK(F71),1,(TRIM(F71)="")),"",ROUND((F71+$R71*0.1094)/4.184,3))</f>
        <v>7.811</v>
      </c>
      <c r="AF71" s="93" t="n">
        <f aca="false">IF(IF(ISBLANK(G71),1,(TRIM(G71)="")),"",ROUND((G71+$R71*0.1094)/4.184,3))</f>
        <v>7.811</v>
      </c>
      <c r="AG71" s="137" t="n">
        <f aca="false">IF(IF(ISBLANK(H71),1,(TRIM(H71)="")),"",ROUND((H71+$R71*0.1094)/4.184,3))</f>
        <v>7.808</v>
      </c>
    </row>
    <row r="72" customFormat="false" ht="12.75" hidden="false" customHeight="false" outlineLevel="0" collapsed="false">
      <c r="B72" s="31" t="s">
        <v>94</v>
      </c>
      <c r="C72" s="136"/>
      <c r="D72" s="63"/>
      <c r="E72" s="62"/>
      <c r="F72" s="63"/>
      <c r="G72" s="62"/>
      <c r="H72" s="63"/>
      <c r="I72" s="58"/>
      <c r="J72" s="31" t="s">
        <v>94</v>
      </c>
      <c r="K72" s="130" t="str">
        <f aca="false">IF(IF(ISBLANK(C72),1,(TRIM(C72)="")),"",ROUND(C72/4.184,3))</f>
        <v/>
      </c>
      <c r="L72" s="137" t="str">
        <f aca="false">IF(IF(ISBLANK(D72),1,(TRIM(D72)="")),"",ROUND(D72/4.184,3))</f>
        <v/>
      </c>
      <c r="M72" s="132" t="str">
        <f aca="false">IF(IF(ISBLANK(E72),1,(TRIM(E72)="")),"",ROUND(E72/4.184,3))</f>
        <v/>
      </c>
      <c r="N72" s="137" t="str">
        <f aca="false">IF(IF(ISBLANK(F72),1,(TRIM(F72)="")),"",ROUND(F72/4.184,3))</f>
        <v/>
      </c>
      <c r="O72" s="132" t="str">
        <f aca="false">IF(IF(ISBLANK(G72),1,(TRIM(G72)="")),"",ROUND(G72/4.184,3))</f>
        <v/>
      </c>
      <c r="P72" s="137" t="str">
        <f aca="false">IF(IF(ISBLANK(H72),1,(TRIM(H72)="")),"",ROUND(H72/4.184,3))</f>
        <v/>
      </c>
      <c r="R72" s="34"/>
      <c r="S72" s="31" t="s">
        <v>94</v>
      </c>
      <c r="T72" s="130" t="str">
        <f aca="false">IF(IF(ISBLANK(C72),1,(TRIM(C72)="")),"",ROUND(C72+$R72*0.1094,3))</f>
        <v/>
      </c>
      <c r="U72" s="101" t="str">
        <f aca="false">IF(IF(ISBLANK(D72),1,(TRIM(D72)="")),"",ROUND(D72+$R72*0.1094,3))</f>
        <v/>
      </c>
      <c r="V72" s="130" t="str">
        <f aca="false">IF(IF(ISBLANK(E72),1,(TRIM(E72)="")),"",ROUND(E72+$R72*0.1094,3))</f>
        <v/>
      </c>
      <c r="W72" s="101" t="str">
        <f aca="false">IF(IF(ISBLANK(F72),1,(TRIM(F72)="")),"",ROUND(F72+$R72*0.1094,3))</f>
        <v/>
      </c>
      <c r="X72" s="130" t="str">
        <f aca="false">IF(IF(ISBLANK(G72),1,(TRIM(G72)="")),"",ROUND(G72+$R72*0.1094,3))</f>
        <v/>
      </c>
      <c r="Y72" s="101" t="str">
        <f aca="false">IF(IF(ISBLANK(H72),1,(TRIM(H72)="")),"",ROUND(H72+$R72*0.1094,3))</f>
        <v/>
      </c>
      <c r="Z72" s="10"/>
      <c r="AA72" s="138" t="s">
        <v>94</v>
      </c>
      <c r="AB72" s="93" t="str">
        <f aca="false">IF(IF(ISBLANK(C72),1,(TRIM(C72)="")),"",ROUND((C72+$R72*0.1094)/4.184,3))</f>
        <v/>
      </c>
      <c r="AC72" s="139" t="str">
        <f aca="false">IF(IF(ISBLANK(D72),1,(TRIM(D72)="")),"",ROUND((D72+$R72*0.1094)/4.184,3))</f>
        <v/>
      </c>
      <c r="AD72" s="93" t="str">
        <f aca="false">IF(IF(ISBLANK(E72),1,(TRIM(E72)="")),"",ROUND((E72+$R72*0.1094)/4.184,3))</f>
        <v/>
      </c>
      <c r="AE72" s="139" t="str">
        <f aca="false">IF(IF(ISBLANK(F72),1,(TRIM(F72)="")),"",ROUND((F72+$R72*0.1094)/4.184,3))</f>
        <v/>
      </c>
      <c r="AF72" s="93" t="str">
        <f aca="false">IF(IF(ISBLANK(G72),1,(TRIM(G72)="")),"",ROUND((G72+$R72*0.1094)/4.184,3))</f>
        <v/>
      </c>
      <c r="AG72" s="137" t="str">
        <f aca="false">IF(IF(ISBLANK(H72),1,(TRIM(H72)="")),"",ROUND((H72+$R72*0.1094)/4.184,3))</f>
        <v/>
      </c>
    </row>
    <row r="73" customFormat="false" ht="12.75" hidden="false" customHeight="false" outlineLevel="0" collapsed="false">
      <c r="B73" s="31" t="s">
        <v>95</v>
      </c>
      <c r="C73" s="136"/>
      <c r="D73" s="63"/>
      <c r="E73" s="62"/>
      <c r="F73" s="63"/>
      <c r="G73" s="62"/>
      <c r="H73" s="63"/>
      <c r="I73" s="58"/>
      <c r="J73" s="31" t="s">
        <v>95</v>
      </c>
      <c r="K73" s="130" t="str">
        <f aca="false">IF(IF(ISBLANK(C73),1,(TRIM(C73)="")),"",ROUND(C73/4.184,3))</f>
        <v/>
      </c>
      <c r="L73" s="137" t="str">
        <f aca="false">IF(IF(ISBLANK(D73),1,(TRIM(D73)="")),"",ROUND(D73/4.184,3))</f>
        <v/>
      </c>
      <c r="M73" s="132" t="str">
        <f aca="false">IF(IF(ISBLANK(E73),1,(TRIM(E73)="")),"",ROUND(E73/4.184,3))</f>
        <v/>
      </c>
      <c r="N73" s="137" t="str">
        <f aca="false">IF(IF(ISBLANK(F73),1,(TRIM(F73)="")),"",ROUND(F73/4.184,3))</f>
        <v/>
      </c>
      <c r="O73" s="132" t="str">
        <f aca="false">IF(IF(ISBLANK(G73),1,(TRIM(G73)="")),"",ROUND(G73/4.184,3))</f>
        <v/>
      </c>
      <c r="P73" s="137" t="str">
        <f aca="false">IF(IF(ISBLANK(H73),1,(TRIM(H73)="")),"",ROUND(H73/4.184,3))</f>
        <v/>
      </c>
      <c r="R73" s="34"/>
      <c r="S73" s="31" t="s">
        <v>95</v>
      </c>
      <c r="T73" s="130" t="str">
        <f aca="false">IF(IF(ISBLANK(C73),1,(TRIM(C73)="")),"",ROUND(C73+$R73*0.1094,3))</f>
        <v/>
      </c>
      <c r="U73" s="101" t="str">
        <f aca="false">IF(IF(ISBLANK(D73),1,(TRIM(D73)="")),"",ROUND(D73+$R73*0.1094,3))</f>
        <v/>
      </c>
      <c r="V73" s="130" t="str">
        <f aca="false">IF(IF(ISBLANK(E73),1,(TRIM(E73)="")),"",ROUND(E73+$R73*0.1094,3))</f>
        <v/>
      </c>
      <c r="W73" s="101" t="str">
        <f aca="false">IF(IF(ISBLANK(F73),1,(TRIM(F73)="")),"",ROUND(F73+$R73*0.1094,3))</f>
        <v/>
      </c>
      <c r="X73" s="130" t="str">
        <f aca="false">IF(IF(ISBLANK(G73),1,(TRIM(G73)="")),"",ROUND(G73+$R73*0.1094,3))</f>
        <v/>
      </c>
      <c r="Y73" s="101" t="str">
        <f aca="false">IF(IF(ISBLANK(H73),1,(TRIM(H73)="")),"",ROUND(H73+$R73*0.1094,3))</f>
        <v/>
      </c>
      <c r="Z73" s="10"/>
      <c r="AA73" s="138" t="s">
        <v>95</v>
      </c>
      <c r="AB73" s="93" t="str">
        <f aca="false">IF(IF(ISBLANK(C73),1,(TRIM(C73)="")),"",ROUND((C73+$R73*0.1094)/4.184,3))</f>
        <v/>
      </c>
      <c r="AC73" s="139" t="str">
        <f aca="false">IF(IF(ISBLANK(D73),1,(TRIM(D73)="")),"",ROUND((D73+$R73*0.1094)/4.184,3))</f>
        <v/>
      </c>
      <c r="AD73" s="93" t="str">
        <f aca="false">IF(IF(ISBLANK(E73),1,(TRIM(E73)="")),"",ROUND((E73+$R73*0.1094)/4.184,3))</f>
        <v/>
      </c>
      <c r="AE73" s="139" t="str">
        <f aca="false">IF(IF(ISBLANK(F73),1,(TRIM(F73)="")),"",ROUND((F73+$R73*0.1094)/4.184,3))</f>
        <v/>
      </c>
      <c r="AF73" s="93" t="str">
        <f aca="false">IF(IF(ISBLANK(G73),1,(TRIM(G73)="")),"",ROUND((G73+$R73*0.1094)/4.184,3))</f>
        <v/>
      </c>
      <c r="AG73" s="137" t="str">
        <f aca="false">IF(IF(ISBLANK(H73),1,(TRIM(H73)="")),"",ROUND((H73+$R73*0.1094)/4.184,3))</f>
        <v/>
      </c>
    </row>
    <row r="74" s="90" customFormat="true" ht="12.75" hidden="false" customHeight="false" outlineLevel="0" collapsed="false">
      <c r="A74" s="89"/>
      <c r="B74" s="38" t="s">
        <v>97</v>
      </c>
      <c r="C74" s="136" t="n">
        <v>191.502</v>
      </c>
      <c r="D74" s="63" t="n">
        <v>191.502</v>
      </c>
      <c r="E74" s="62" t="n">
        <v>191.502</v>
      </c>
      <c r="F74" s="63" t="n">
        <v>191.502</v>
      </c>
      <c r="G74" s="62" t="n">
        <v>191.502</v>
      </c>
      <c r="H74" s="65" t="s">
        <v>547</v>
      </c>
      <c r="I74" s="58"/>
      <c r="J74" s="38" t="s">
        <v>97</v>
      </c>
      <c r="K74" s="130" t="n">
        <f aca="false">IF(IF(ISBLANK(C74),1,(TRIM(C74)="")),"",ROUND(C74/4.184,3))</f>
        <v>45.77</v>
      </c>
      <c r="L74" s="137" t="n">
        <f aca="false">IF(IF(ISBLANK(D74),1,(TRIM(D74)="")),"",ROUND(D74/4.184,3))</f>
        <v>45.77</v>
      </c>
      <c r="M74" s="132" t="n">
        <f aca="false">IF(IF(ISBLANK(E74),1,(TRIM(E74)="")),"",ROUND(E74/4.184,3))</f>
        <v>45.77</v>
      </c>
      <c r="N74" s="137" t="n">
        <f aca="false">IF(IF(ISBLANK(F74),1,(TRIM(F74)="")),"",ROUND(F74/4.184,3))</f>
        <v>45.77</v>
      </c>
      <c r="O74" s="132" t="n">
        <f aca="false">IF(IF(ISBLANK(G74),1,(TRIM(G74)="")),"",ROUND(G74/4.184,3))</f>
        <v>45.77</v>
      </c>
      <c r="P74" s="137" t="n">
        <f aca="false">IF(IF(ISBLANK(H74),1,(TRIM(H74)="")),"",ROUND(H74/4.184,3))</f>
        <v>45.77</v>
      </c>
      <c r="Q74" s="44"/>
      <c r="R74" s="34" t="n">
        <v>1</v>
      </c>
      <c r="S74" s="38" t="s">
        <v>97</v>
      </c>
      <c r="T74" s="130" t="n">
        <f aca="false">IF(IF(ISBLANK(C74),1,(TRIM(C74)="")),"",ROUND(C74+$R74*0.1094,3))</f>
        <v>191.611</v>
      </c>
      <c r="U74" s="101" t="n">
        <f aca="false">IF(IF(ISBLANK(D74),1,(TRIM(D74)="")),"",ROUND(D74+$R74*0.1094,3))</f>
        <v>191.611</v>
      </c>
      <c r="V74" s="130" t="n">
        <f aca="false">IF(IF(ISBLANK(E74),1,(TRIM(E74)="")),"",ROUND(E74+$R74*0.1094,3))</f>
        <v>191.611</v>
      </c>
      <c r="W74" s="101" t="n">
        <f aca="false">IF(IF(ISBLANK(F74),1,(TRIM(F74)="")),"",ROUND(F74+$R74*0.1094,3))</f>
        <v>191.611</v>
      </c>
      <c r="X74" s="130" t="n">
        <f aca="false">IF(IF(ISBLANK(G74),1,(TRIM(G74)="")),"",ROUND(G74+$R74*0.1094,3))</f>
        <v>191.611</v>
      </c>
      <c r="Y74" s="101" t="n">
        <f aca="false">IF(IF(ISBLANK(H74),1,(TRIM(H74)="")),"",ROUND(H74+$R74*0.1094,3))</f>
        <v>191.609</v>
      </c>
      <c r="Z74" s="10"/>
      <c r="AA74" s="140" t="s">
        <v>97</v>
      </c>
      <c r="AB74" s="93" t="n">
        <f aca="false">IF(IF(ISBLANK(C74),1,(TRIM(C74)="")),"",ROUND((C74+$R74*0.1094)/4.184,3))</f>
        <v>45.796</v>
      </c>
      <c r="AC74" s="139" t="n">
        <f aca="false">IF(IF(ISBLANK(D74),1,(TRIM(D74)="")),"",ROUND((D74+$R74*0.1094)/4.184,3))</f>
        <v>45.796</v>
      </c>
      <c r="AD74" s="93" t="n">
        <f aca="false">IF(IF(ISBLANK(E74),1,(TRIM(E74)="")),"",ROUND((E74+$R74*0.1094)/4.184,3))</f>
        <v>45.796</v>
      </c>
      <c r="AE74" s="139" t="n">
        <f aca="false">IF(IF(ISBLANK(F74),1,(TRIM(F74)="")),"",ROUND((F74+$R74*0.1094)/4.184,3))</f>
        <v>45.796</v>
      </c>
      <c r="AF74" s="93" t="n">
        <f aca="false">IF(IF(ISBLANK(G74),1,(TRIM(G74)="")),"",ROUND((G74+$R74*0.1094)/4.184,3))</f>
        <v>45.796</v>
      </c>
      <c r="AG74" s="137" t="n">
        <f aca="false">IF(IF(ISBLANK(H74),1,(TRIM(H74)="")),"",ROUND((H74+$R74*0.1094)/4.184,3))</f>
        <v>45.796</v>
      </c>
    </row>
    <row r="75" customFormat="false" ht="12.75" hidden="false" customHeight="false" outlineLevel="0" collapsed="false">
      <c r="B75" s="38" t="s">
        <v>99</v>
      </c>
      <c r="C75" s="136"/>
      <c r="D75" s="65" t="s">
        <v>548</v>
      </c>
      <c r="E75" s="62" t="s">
        <v>548</v>
      </c>
      <c r="F75" s="63" t="s">
        <v>548</v>
      </c>
      <c r="G75" s="62" t="s">
        <v>548</v>
      </c>
      <c r="H75" s="65" t="s">
        <v>548</v>
      </c>
      <c r="I75" s="66"/>
      <c r="J75" s="38" t="s">
        <v>99</v>
      </c>
      <c r="K75" s="130" t="str">
        <f aca="false">IF(IF(ISBLANK(C75),1,(TRIM(C75)="")),"",ROUND(C75/4.184,3))</f>
        <v/>
      </c>
      <c r="L75" s="137" t="n">
        <f aca="false">IF(IF(ISBLANK(D75),1,(TRIM(D75)="")),"",ROUND(D75/4.184,3))</f>
        <v>12.261</v>
      </c>
      <c r="M75" s="132" t="n">
        <f aca="false">IF(IF(ISBLANK(E75),1,(TRIM(E75)="")),"",ROUND(E75/4.184,3))</f>
        <v>12.261</v>
      </c>
      <c r="N75" s="137" t="n">
        <f aca="false">IF(IF(ISBLANK(F75),1,(TRIM(F75)="")),"",ROUND(F75/4.184,3))</f>
        <v>12.261</v>
      </c>
      <c r="O75" s="132" t="n">
        <f aca="false">IF(IF(ISBLANK(G75),1,(TRIM(G75)="")),"",ROUND(G75/4.184,3))</f>
        <v>12.261</v>
      </c>
      <c r="P75" s="137" t="n">
        <f aca="false">IF(IF(ISBLANK(H75),1,(TRIM(H75)="")),"",ROUND(H75/4.184,3))</f>
        <v>12.261</v>
      </c>
      <c r="R75" s="34"/>
      <c r="S75" s="38" t="s">
        <v>99</v>
      </c>
      <c r="T75" s="130" t="str">
        <f aca="false">IF(IF(ISBLANK(C75),1,(TRIM(C75)="")),"",ROUND(C75+$R75*0.1094,3))</f>
        <v/>
      </c>
      <c r="U75" s="101" t="n">
        <f aca="false">IF(IF(ISBLANK(D75),1,(TRIM(D75)="")),"",ROUND(D75+$R75*0.1094,3))</f>
        <v>51.3</v>
      </c>
      <c r="V75" s="130" t="n">
        <f aca="false">IF(IF(ISBLANK(E75),1,(TRIM(E75)="")),"",ROUND(E75+$R75*0.1094,3))</f>
        <v>51.3</v>
      </c>
      <c r="W75" s="101" t="n">
        <f aca="false">IF(IF(ISBLANK(F75),1,(TRIM(F75)="")),"",ROUND(F75+$R75*0.1094,3))</f>
        <v>51.3</v>
      </c>
      <c r="X75" s="130" t="n">
        <f aca="false">IF(IF(ISBLANK(G75),1,(TRIM(G75)="")),"",ROUND(G75+$R75*0.1094,3))</f>
        <v>51.3</v>
      </c>
      <c r="Y75" s="101" t="n">
        <f aca="false">IF(IF(ISBLANK(H75),1,(TRIM(H75)="")),"",ROUND(H75+$R75*0.1094,3))</f>
        <v>51.3</v>
      </c>
      <c r="Z75" s="10"/>
      <c r="AA75" s="140" t="s">
        <v>99</v>
      </c>
      <c r="AB75" s="93" t="str">
        <f aca="false">IF(IF(ISBLANK(C75),1,(TRIM(C75)="")),"",ROUND((C75+$R75*0.1094)/4.184,3))</f>
        <v/>
      </c>
      <c r="AC75" s="139" t="n">
        <f aca="false">IF(IF(ISBLANK(D75),1,(TRIM(D75)="")),"",ROUND((D75+$R75*0.1094)/4.184,3))</f>
        <v>12.261</v>
      </c>
      <c r="AD75" s="93" t="n">
        <f aca="false">IF(IF(ISBLANK(E75),1,(TRIM(E75)="")),"",ROUND((E75+$R75*0.1094)/4.184,3))</f>
        <v>12.261</v>
      </c>
      <c r="AE75" s="139" t="n">
        <f aca="false">IF(IF(ISBLANK(F75),1,(TRIM(F75)="")),"",ROUND((F75+$R75*0.1094)/4.184,3))</f>
        <v>12.261</v>
      </c>
      <c r="AF75" s="93" t="n">
        <f aca="false">IF(IF(ISBLANK(G75),1,(TRIM(G75)="")),"",ROUND((G75+$R75*0.1094)/4.184,3))</f>
        <v>12.261</v>
      </c>
      <c r="AG75" s="137" t="n">
        <f aca="false">IF(IF(ISBLANK(H75),1,(TRIM(H75)="")),"",ROUND((H75+$R75*0.1094)/4.184,3))</f>
        <v>12.261</v>
      </c>
    </row>
    <row r="76" customFormat="false" ht="12.75" hidden="false" customHeight="false" outlineLevel="0" collapsed="false">
      <c r="B76" s="31" t="s">
        <v>100</v>
      </c>
      <c r="C76" s="136"/>
      <c r="D76" s="63"/>
      <c r="E76" s="62"/>
      <c r="F76" s="63"/>
      <c r="G76" s="62"/>
      <c r="H76" s="63"/>
      <c r="I76" s="58"/>
      <c r="J76" s="31" t="s">
        <v>100</v>
      </c>
      <c r="K76" s="130" t="str">
        <f aca="false">IF(IF(ISBLANK(C76),1,(TRIM(C76)="")),"",ROUND(C76/4.184,3))</f>
        <v/>
      </c>
      <c r="L76" s="137" t="str">
        <f aca="false">IF(IF(ISBLANK(D76),1,(TRIM(D76)="")),"",ROUND(D76/4.184,3))</f>
        <v/>
      </c>
      <c r="M76" s="132" t="str">
        <f aca="false">IF(IF(ISBLANK(E76),1,(TRIM(E76)="")),"",ROUND(E76/4.184,3))</f>
        <v/>
      </c>
      <c r="N76" s="137" t="str">
        <f aca="false">IF(IF(ISBLANK(F76),1,(TRIM(F76)="")),"",ROUND(F76/4.184,3))</f>
        <v/>
      </c>
      <c r="O76" s="132" t="str">
        <f aca="false">IF(IF(ISBLANK(G76),1,(TRIM(G76)="")),"",ROUND(G76/4.184,3))</f>
        <v/>
      </c>
      <c r="P76" s="137" t="str">
        <f aca="false">IF(IF(ISBLANK(H76),1,(TRIM(H76)="")),"",ROUND(H76/4.184,3))</f>
        <v/>
      </c>
      <c r="Q76" s="45"/>
      <c r="R76" s="34"/>
      <c r="S76" s="31" t="s">
        <v>100</v>
      </c>
      <c r="T76" s="130" t="str">
        <f aca="false">IF(IF(ISBLANK(C76),1,(TRIM(C76)="")),"",ROUND(C76+$R76*0.1094,3))</f>
        <v/>
      </c>
      <c r="U76" s="101" t="str">
        <f aca="false">IF(IF(ISBLANK(D76),1,(TRIM(D76)="")),"",ROUND(D76+$R76*0.1094,3))</f>
        <v/>
      </c>
      <c r="V76" s="130" t="str">
        <f aca="false">IF(IF(ISBLANK(E76),1,(TRIM(E76)="")),"",ROUND(E76+$R76*0.1094,3))</f>
        <v/>
      </c>
      <c r="W76" s="101" t="str">
        <f aca="false">IF(IF(ISBLANK(F76),1,(TRIM(F76)="")),"",ROUND(F76+$R76*0.1094,3))</f>
        <v/>
      </c>
      <c r="X76" s="130" t="str">
        <f aca="false">IF(IF(ISBLANK(G76),1,(TRIM(G76)="")),"",ROUND(G76+$R76*0.1094,3))</f>
        <v/>
      </c>
      <c r="Y76" s="101" t="str">
        <f aca="false">IF(IF(ISBLANK(H76),1,(TRIM(H76)="")),"",ROUND(H76+$R76*0.1094,3))</f>
        <v/>
      </c>
      <c r="Z76" s="10"/>
      <c r="AA76" s="138" t="s">
        <v>100</v>
      </c>
      <c r="AB76" s="93" t="str">
        <f aca="false">IF(IF(ISBLANK(C76),1,(TRIM(C76)="")),"",ROUND((C76+$R76*0.1094)/4.184,3))</f>
        <v/>
      </c>
      <c r="AC76" s="139" t="str">
        <f aca="false">IF(IF(ISBLANK(D76),1,(TRIM(D76)="")),"",ROUND((D76+$R76*0.1094)/4.184,3))</f>
        <v/>
      </c>
      <c r="AD76" s="93" t="str">
        <f aca="false">IF(IF(ISBLANK(E76),1,(TRIM(E76)="")),"",ROUND((E76+$R76*0.1094)/4.184,3))</f>
        <v/>
      </c>
      <c r="AE76" s="139" t="str">
        <f aca="false">IF(IF(ISBLANK(F76),1,(TRIM(F76)="")),"",ROUND((F76+$R76*0.1094)/4.184,3))</f>
        <v/>
      </c>
      <c r="AF76" s="93" t="str">
        <f aca="false">IF(IF(ISBLANK(G76),1,(TRIM(G76)="")),"",ROUND((G76+$R76*0.1094)/4.184,3))</f>
        <v/>
      </c>
      <c r="AG76" s="137" t="str">
        <f aca="false">IF(IF(ISBLANK(H76),1,(TRIM(H76)="")),"",ROUND((H76+$R76*0.1094)/4.184,3))</f>
        <v/>
      </c>
    </row>
    <row r="77" customFormat="false" ht="12.75" hidden="false" customHeight="false" outlineLevel="0" collapsed="false">
      <c r="B77" s="31" t="s">
        <v>101</v>
      </c>
      <c r="C77" s="136"/>
      <c r="D77" s="63"/>
      <c r="E77" s="62"/>
      <c r="F77" s="63"/>
      <c r="G77" s="62"/>
      <c r="H77" s="63"/>
      <c r="I77" s="58"/>
      <c r="J77" s="31" t="s">
        <v>101</v>
      </c>
      <c r="K77" s="130" t="str">
        <f aca="false">IF(IF(ISBLANK(C77),1,(TRIM(C77)="")),"",ROUND(C77/4.184,3))</f>
        <v/>
      </c>
      <c r="L77" s="137" t="str">
        <f aca="false">IF(IF(ISBLANK(D77),1,(TRIM(D77)="")),"",ROUND(D77/4.184,3))</f>
        <v/>
      </c>
      <c r="M77" s="132" t="str">
        <f aca="false">IF(IF(ISBLANK(E77),1,(TRIM(E77)="")),"",ROUND(E77/4.184,3))</f>
        <v/>
      </c>
      <c r="N77" s="137" t="str">
        <f aca="false">IF(IF(ISBLANK(F77),1,(TRIM(F77)="")),"",ROUND(F77/4.184,3))</f>
        <v/>
      </c>
      <c r="O77" s="132" t="str">
        <f aca="false">IF(IF(ISBLANK(G77),1,(TRIM(G77)="")),"",ROUND(G77/4.184,3))</f>
        <v/>
      </c>
      <c r="P77" s="137" t="str">
        <f aca="false">IF(IF(ISBLANK(H77),1,(TRIM(H77)="")),"",ROUND(H77/4.184,3))</f>
        <v/>
      </c>
      <c r="Q77" s="45"/>
      <c r="R77" s="34"/>
      <c r="S77" s="31" t="s">
        <v>101</v>
      </c>
      <c r="T77" s="130" t="str">
        <f aca="false">IF(IF(ISBLANK(C77),1,(TRIM(C77)="")),"",ROUND(C77+$R77*0.1094,3))</f>
        <v/>
      </c>
      <c r="U77" s="101" t="str">
        <f aca="false">IF(IF(ISBLANK(D77),1,(TRIM(D77)="")),"",ROUND(D77+$R77*0.1094,3))</f>
        <v/>
      </c>
      <c r="V77" s="130" t="str">
        <f aca="false">IF(IF(ISBLANK(E77),1,(TRIM(E77)="")),"",ROUND(E77+$R77*0.1094,3))</f>
        <v/>
      </c>
      <c r="W77" s="101" t="str">
        <f aca="false">IF(IF(ISBLANK(F77),1,(TRIM(F77)="")),"",ROUND(F77+$R77*0.1094,3))</f>
        <v/>
      </c>
      <c r="X77" s="130" t="str">
        <f aca="false">IF(IF(ISBLANK(G77),1,(TRIM(G77)="")),"",ROUND(G77+$R77*0.1094,3))</f>
        <v/>
      </c>
      <c r="Y77" s="101" t="str">
        <f aca="false">IF(IF(ISBLANK(H77),1,(TRIM(H77)="")),"",ROUND(H77+$R77*0.1094,3))</f>
        <v/>
      </c>
      <c r="AA77" s="138" t="s">
        <v>101</v>
      </c>
      <c r="AB77" s="93" t="str">
        <f aca="false">IF(IF(ISBLANK(C77),1,(TRIM(C77)="")),"",ROUND((C77+$R77*0.1094)/4.184,3))</f>
        <v/>
      </c>
      <c r="AC77" s="139" t="str">
        <f aca="false">IF(IF(ISBLANK(D77),1,(TRIM(D77)="")),"",ROUND((D77+$R77*0.1094)/4.184,3))</f>
        <v/>
      </c>
      <c r="AD77" s="93" t="str">
        <f aca="false">IF(IF(ISBLANK(E77),1,(TRIM(E77)="")),"",ROUND((E77+$R77*0.1094)/4.184,3))</f>
        <v/>
      </c>
      <c r="AE77" s="139" t="str">
        <f aca="false">IF(IF(ISBLANK(F77),1,(TRIM(F77)="")),"",ROUND((F77+$R77*0.1094)/4.184,3))</f>
        <v/>
      </c>
      <c r="AF77" s="93" t="str">
        <f aca="false">IF(IF(ISBLANK(G77),1,(TRIM(G77)="")),"",ROUND((G77+$R77*0.1094)/4.184,3))</f>
        <v/>
      </c>
      <c r="AG77" s="137" t="str">
        <f aca="false">IF(IF(ISBLANK(H77),1,(TRIM(H77)="")),"",ROUND((H77+$R77*0.1094)/4.184,3))</f>
        <v/>
      </c>
    </row>
    <row r="78" customFormat="false" ht="12.75" hidden="false" customHeight="false" outlineLevel="0" collapsed="false">
      <c r="B78" s="31" t="s">
        <v>102</v>
      </c>
      <c r="C78" s="136" t="n">
        <v>146.214</v>
      </c>
      <c r="D78" s="63" t="n">
        <v>146.214</v>
      </c>
      <c r="E78" s="62" t="n">
        <v>146.214</v>
      </c>
      <c r="F78" s="63" t="n">
        <v>146.214</v>
      </c>
      <c r="G78" s="62" t="n">
        <v>146.214</v>
      </c>
      <c r="H78" s="65" t="s">
        <v>549</v>
      </c>
      <c r="I78" s="58"/>
      <c r="J78" s="31" t="s">
        <v>102</v>
      </c>
      <c r="K78" s="130" t="n">
        <f aca="false">IF(IF(ISBLANK(C78),1,(TRIM(C78)="")),"",ROUND(C78/4.184,3))</f>
        <v>34.946</v>
      </c>
      <c r="L78" s="137" t="n">
        <f aca="false">IF(IF(ISBLANK(D78),1,(TRIM(D78)="")),"",ROUND(D78/4.184,3))</f>
        <v>34.946</v>
      </c>
      <c r="M78" s="132" t="n">
        <f aca="false">IF(IF(ISBLANK(E78),1,(TRIM(E78)="")),"",ROUND(E78/4.184,3))</f>
        <v>34.946</v>
      </c>
      <c r="N78" s="137" t="n">
        <f aca="false">IF(IF(ISBLANK(F78),1,(TRIM(F78)="")),"",ROUND(F78/4.184,3))</f>
        <v>34.946</v>
      </c>
      <c r="O78" s="132" t="n">
        <f aca="false">IF(IF(ISBLANK(G78),1,(TRIM(G78)="")),"",ROUND(G78/4.184,3))</f>
        <v>34.946</v>
      </c>
      <c r="P78" s="137" t="n">
        <f aca="false">IF(IF(ISBLANK(H78),1,(TRIM(H78)="")),"",ROUND(H78/4.184,3))</f>
        <v>34.947</v>
      </c>
      <c r="Q78" s="45"/>
      <c r="R78" s="34" t="n">
        <v>1</v>
      </c>
      <c r="S78" s="31" t="s">
        <v>102</v>
      </c>
      <c r="T78" s="130" t="n">
        <f aca="false">IF(IF(ISBLANK(C78),1,(TRIM(C78)="")),"",ROUND(C78+$R78*0.1094,3))</f>
        <v>146.323</v>
      </c>
      <c r="U78" s="101" t="n">
        <f aca="false">IF(IF(ISBLANK(D78),1,(TRIM(D78)="")),"",ROUND(D78+$R78*0.1094,3))</f>
        <v>146.323</v>
      </c>
      <c r="V78" s="130" t="n">
        <f aca="false">IF(IF(ISBLANK(E78),1,(TRIM(E78)="")),"",ROUND(E78+$R78*0.1094,3))</f>
        <v>146.323</v>
      </c>
      <c r="W78" s="101" t="n">
        <f aca="false">IF(IF(ISBLANK(F78),1,(TRIM(F78)="")),"",ROUND(F78+$R78*0.1094,3))</f>
        <v>146.323</v>
      </c>
      <c r="X78" s="130" t="n">
        <f aca="false">IF(IF(ISBLANK(G78),1,(TRIM(G78)="")),"",ROUND(G78+$R78*0.1094,3))</f>
        <v>146.323</v>
      </c>
      <c r="Y78" s="101" t="n">
        <f aca="false">IF(IF(ISBLANK(H78),1,(TRIM(H78)="")),"",ROUND(H78+$R78*0.1094,3))</f>
        <v>146.328</v>
      </c>
      <c r="AA78" s="138" t="s">
        <v>102</v>
      </c>
      <c r="AB78" s="93" t="n">
        <f aca="false">IF(IF(ISBLANK(C78),1,(TRIM(C78)="")),"",ROUND((C78+$R78*0.1094)/4.184,3))</f>
        <v>34.972</v>
      </c>
      <c r="AC78" s="139" t="n">
        <f aca="false">IF(IF(ISBLANK(D78),1,(TRIM(D78)="")),"",ROUND((D78+$R78*0.1094)/4.184,3))</f>
        <v>34.972</v>
      </c>
      <c r="AD78" s="93" t="n">
        <f aca="false">IF(IF(ISBLANK(E78),1,(TRIM(E78)="")),"",ROUND((E78+$R78*0.1094)/4.184,3))</f>
        <v>34.972</v>
      </c>
      <c r="AE78" s="139" t="n">
        <f aca="false">IF(IF(ISBLANK(F78),1,(TRIM(F78)="")),"",ROUND((F78+$R78*0.1094)/4.184,3))</f>
        <v>34.972</v>
      </c>
      <c r="AF78" s="93" t="n">
        <f aca="false">IF(IF(ISBLANK(G78),1,(TRIM(G78)="")),"",ROUND((G78+$R78*0.1094)/4.184,3))</f>
        <v>34.972</v>
      </c>
      <c r="AG78" s="137" t="n">
        <f aca="false">IF(IF(ISBLANK(H78),1,(TRIM(H78)="")),"",ROUND((H78+$R78*0.1094)/4.184,3))</f>
        <v>34.973</v>
      </c>
    </row>
    <row r="79" customFormat="false" ht="12.75" hidden="false" customHeight="false" outlineLevel="0" collapsed="false">
      <c r="B79" s="31" t="s">
        <v>103</v>
      </c>
      <c r="C79" s="136"/>
      <c r="D79" s="63"/>
      <c r="E79" s="62"/>
      <c r="F79" s="63"/>
      <c r="G79" s="62"/>
      <c r="H79" s="63"/>
      <c r="I79" s="58"/>
      <c r="J79" s="31" t="s">
        <v>103</v>
      </c>
      <c r="K79" s="130" t="str">
        <f aca="false">IF(IF(ISBLANK(C79),1,(TRIM(C79)="")),"",ROUND(C79/4.184,3))</f>
        <v/>
      </c>
      <c r="L79" s="137" t="str">
        <f aca="false">IF(IF(ISBLANK(D79),1,(TRIM(D79)="")),"",ROUND(D79/4.184,3))</f>
        <v/>
      </c>
      <c r="M79" s="132" t="str">
        <f aca="false">IF(IF(ISBLANK(E79),1,(TRIM(E79)="")),"",ROUND(E79/4.184,3))</f>
        <v/>
      </c>
      <c r="N79" s="137" t="str">
        <f aca="false">IF(IF(ISBLANK(F79),1,(TRIM(F79)="")),"",ROUND(F79/4.184,3))</f>
        <v/>
      </c>
      <c r="O79" s="132" t="str">
        <f aca="false">IF(IF(ISBLANK(G79),1,(TRIM(G79)="")),"",ROUND(G79/4.184,3))</f>
        <v/>
      </c>
      <c r="P79" s="137" t="str">
        <f aca="false">IF(IF(ISBLANK(H79),1,(TRIM(H79)="")),"",ROUND(H79/4.184,3))</f>
        <v/>
      </c>
      <c r="R79" s="34"/>
      <c r="S79" s="31" t="s">
        <v>103</v>
      </c>
      <c r="T79" s="130" t="str">
        <f aca="false">IF(IF(ISBLANK(C79),1,(TRIM(C79)="")),"",ROUND(C79+$R79*0.1094,3))</f>
        <v/>
      </c>
      <c r="U79" s="101" t="str">
        <f aca="false">IF(IF(ISBLANK(D79),1,(TRIM(D79)="")),"",ROUND(D79+$R79*0.1094,3))</f>
        <v/>
      </c>
      <c r="V79" s="130" t="str">
        <f aca="false">IF(IF(ISBLANK(E79),1,(TRIM(E79)="")),"",ROUND(E79+$R79*0.1094,3))</f>
        <v/>
      </c>
      <c r="W79" s="101" t="str">
        <f aca="false">IF(IF(ISBLANK(F79),1,(TRIM(F79)="")),"",ROUND(F79+$R79*0.1094,3))</f>
        <v/>
      </c>
      <c r="X79" s="130" t="str">
        <f aca="false">IF(IF(ISBLANK(G79),1,(TRIM(G79)="")),"",ROUND(G79+$R79*0.1094,3))</f>
        <v/>
      </c>
      <c r="Y79" s="101" t="str">
        <f aca="false">IF(IF(ISBLANK(H79),1,(TRIM(H79)="")),"",ROUND(H79+$R79*0.1094,3))</f>
        <v/>
      </c>
      <c r="AA79" s="138" t="s">
        <v>103</v>
      </c>
      <c r="AB79" s="93" t="str">
        <f aca="false">IF(IF(ISBLANK(C79),1,(TRIM(C79)="")),"",ROUND((C79+$R79*0.1094)/4.184,3))</f>
        <v/>
      </c>
      <c r="AC79" s="139" t="str">
        <f aca="false">IF(IF(ISBLANK(D79),1,(TRIM(D79)="")),"",ROUND((D79+$R79*0.1094)/4.184,3))</f>
        <v/>
      </c>
      <c r="AD79" s="93" t="str">
        <f aca="false">IF(IF(ISBLANK(E79),1,(TRIM(E79)="")),"",ROUND((E79+$R79*0.1094)/4.184,3))</f>
        <v/>
      </c>
      <c r="AE79" s="139" t="str">
        <f aca="false">IF(IF(ISBLANK(F79),1,(TRIM(F79)="")),"",ROUND((F79+$R79*0.1094)/4.184,3))</f>
        <v/>
      </c>
      <c r="AF79" s="93" t="str">
        <f aca="false">IF(IF(ISBLANK(G79),1,(TRIM(G79)="")),"",ROUND((G79+$R79*0.1094)/4.184,3))</f>
        <v/>
      </c>
      <c r="AG79" s="137" t="str">
        <f aca="false">IF(IF(ISBLANK(H79),1,(TRIM(H79)="")),"",ROUND((H79+$R79*0.1094)/4.184,3))</f>
        <v/>
      </c>
    </row>
    <row r="80" customFormat="false" ht="12.75" hidden="false" customHeight="false" outlineLevel="0" collapsed="false">
      <c r="B80" s="31" t="s">
        <v>104</v>
      </c>
      <c r="C80" s="136"/>
      <c r="D80" s="63"/>
      <c r="E80" s="62"/>
      <c r="F80" s="63"/>
      <c r="G80" s="62"/>
      <c r="H80" s="63"/>
      <c r="I80" s="58"/>
      <c r="J80" s="31" t="s">
        <v>104</v>
      </c>
      <c r="K80" s="130" t="str">
        <f aca="false">IF(IF(ISBLANK(C80),1,(TRIM(C80)="")),"",ROUND(C80/4.184,3))</f>
        <v/>
      </c>
      <c r="L80" s="137" t="str">
        <f aca="false">IF(IF(ISBLANK(D80),1,(TRIM(D80)="")),"",ROUND(D80/4.184,3))</f>
        <v/>
      </c>
      <c r="M80" s="132" t="str">
        <f aca="false">IF(IF(ISBLANK(E80),1,(TRIM(E80)="")),"",ROUND(E80/4.184,3))</f>
        <v/>
      </c>
      <c r="N80" s="137" t="str">
        <f aca="false">IF(IF(ISBLANK(F80),1,(TRIM(F80)="")),"",ROUND(F80/4.184,3))</f>
        <v/>
      </c>
      <c r="O80" s="132" t="str">
        <f aca="false">IF(IF(ISBLANK(G80),1,(TRIM(G80)="")),"",ROUND(G80/4.184,3))</f>
        <v/>
      </c>
      <c r="P80" s="137" t="str">
        <f aca="false">IF(IF(ISBLANK(H80),1,(TRIM(H80)="")),"",ROUND(H80/4.184,3))</f>
        <v/>
      </c>
      <c r="R80" s="34"/>
      <c r="S80" s="31" t="s">
        <v>104</v>
      </c>
      <c r="T80" s="130" t="str">
        <f aca="false">IF(IF(ISBLANK(C80),1,(TRIM(C80)="")),"",ROUND(C80+$R80*0.1094,3))</f>
        <v/>
      </c>
      <c r="U80" s="101" t="str">
        <f aca="false">IF(IF(ISBLANK(D80),1,(TRIM(D80)="")),"",ROUND(D80+$R80*0.1094,3))</f>
        <v/>
      </c>
      <c r="V80" s="130" t="str">
        <f aca="false">IF(IF(ISBLANK(E80),1,(TRIM(E80)="")),"",ROUND(E80+$R80*0.1094,3))</f>
        <v/>
      </c>
      <c r="W80" s="101" t="str">
        <f aca="false">IF(IF(ISBLANK(F80),1,(TRIM(F80)="")),"",ROUND(F80+$R80*0.1094,3))</f>
        <v/>
      </c>
      <c r="X80" s="130" t="str">
        <f aca="false">IF(IF(ISBLANK(G80),1,(TRIM(G80)="")),"",ROUND(G80+$R80*0.1094,3))</f>
        <v/>
      </c>
      <c r="Y80" s="101" t="str">
        <f aca="false">IF(IF(ISBLANK(H80),1,(TRIM(H80)="")),"",ROUND(H80+$R80*0.1094,3))</f>
        <v/>
      </c>
      <c r="AA80" s="138" t="s">
        <v>104</v>
      </c>
      <c r="AB80" s="93" t="str">
        <f aca="false">IF(IF(ISBLANK(C80),1,(TRIM(C80)="")),"",ROUND((C80+$R80*0.1094)/4.184,3))</f>
        <v/>
      </c>
      <c r="AC80" s="139" t="str">
        <f aca="false">IF(IF(ISBLANK(D80),1,(TRIM(D80)="")),"",ROUND((D80+$R80*0.1094)/4.184,3))</f>
        <v/>
      </c>
      <c r="AD80" s="93" t="str">
        <f aca="false">IF(IF(ISBLANK(E80),1,(TRIM(E80)="")),"",ROUND((E80+$R80*0.1094)/4.184,3))</f>
        <v/>
      </c>
      <c r="AE80" s="139" t="str">
        <f aca="false">IF(IF(ISBLANK(F80),1,(TRIM(F80)="")),"",ROUND((F80+$R80*0.1094)/4.184,3))</f>
        <v/>
      </c>
      <c r="AF80" s="93" t="str">
        <f aca="false">IF(IF(ISBLANK(G80),1,(TRIM(G80)="")),"",ROUND((G80+$R80*0.1094)/4.184,3))</f>
        <v/>
      </c>
      <c r="AG80" s="137" t="str">
        <f aca="false">IF(IF(ISBLANK(H80),1,(TRIM(H80)="")),"",ROUND((H80+$R80*0.1094)/4.184,3))</f>
        <v/>
      </c>
    </row>
    <row r="81" customFormat="false" ht="12.75" hidden="false" customHeight="false" outlineLevel="0" collapsed="false">
      <c r="B81" s="31" t="s">
        <v>105</v>
      </c>
      <c r="C81" s="136"/>
      <c r="D81" s="63"/>
      <c r="E81" s="62"/>
      <c r="F81" s="63"/>
      <c r="G81" s="62"/>
      <c r="H81" s="63"/>
      <c r="I81" s="58"/>
      <c r="J81" s="31" t="s">
        <v>105</v>
      </c>
      <c r="K81" s="130" t="str">
        <f aca="false">IF(IF(ISBLANK(C81),1,(TRIM(C81)="")),"",ROUND(C81/4.184,3))</f>
        <v/>
      </c>
      <c r="L81" s="137" t="str">
        <f aca="false">IF(IF(ISBLANK(D81),1,(TRIM(D81)="")),"",ROUND(D81/4.184,3))</f>
        <v/>
      </c>
      <c r="M81" s="132" t="str">
        <f aca="false">IF(IF(ISBLANK(E81),1,(TRIM(E81)="")),"",ROUND(E81/4.184,3))</f>
        <v/>
      </c>
      <c r="N81" s="137" t="str">
        <f aca="false">IF(IF(ISBLANK(F81),1,(TRIM(F81)="")),"",ROUND(F81/4.184,3))</f>
        <v/>
      </c>
      <c r="O81" s="132" t="str">
        <f aca="false">IF(IF(ISBLANK(G81),1,(TRIM(G81)="")),"",ROUND(G81/4.184,3))</f>
        <v/>
      </c>
      <c r="P81" s="137" t="str">
        <f aca="false">IF(IF(ISBLANK(H81),1,(TRIM(H81)="")),"",ROUND(H81/4.184,3))</f>
        <v/>
      </c>
      <c r="R81" s="34"/>
      <c r="S81" s="31" t="s">
        <v>105</v>
      </c>
      <c r="T81" s="130" t="str">
        <f aca="false">IF(IF(ISBLANK(C81),1,(TRIM(C81)="")),"",ROUND(C81+$R81*0.1094,3))</f>
        <v/>
      </c>
      <c r="U81" s="101" t="str">
        <f aca="false">IF(IF(ISBLANK(D81),1,(TRIM(D81)="")),"",ROUND(D81+$R81*0.1094,3))</f>
        <v/>
      </c>
      <c r="V81" s="130" t="str">
        <f aca="false">IF(IF(ISBLANK(E81),1,(TRIM(E81)="")),"",ROUND(E81+$R81*0.1094,3))</f>
        <v/>
      </c>
      <c r="W81" s="101" t="str">
        <f aca="false">IF(IF(ISBLANK(F81),1,(TRIM(F81)="")),"",ROUND(F81+$R81*0.1094,3))</f>
        <v/>
      </c>
      <c r="X81" s="130" t="str">
        <f aca="false">IF(IF(ISBLANK(G81),1,(TRIM(G81)="")),"",ROUND(G81+$R81*0.1094,3))</f>
        <v/>
      </c>
      <c r="Y81" s="101" t="str">
        <f aca="false">IF(IF(ISBLANK(H81),1,(TRIM(H81)="")),"",ROUND(H81+$R81*0.1094,3))</f>
        <v/>
      </c>
      <c r="Z81" s="10"/>
      <c r="AA81" s="138" t="s">
        <v>105</v>
      </c>
      <c r="AB81" s="93" t="str">
        <f aca="false">IF(IF(ISBLANK(C81),1,(TRIM(C81)="")),"",ROUND((C81+$R81*0.1094)/4.184,3))</f>
        <v/>
      </c>
      <c r="AC81" s="139" t="str">
        <f aca="false">IF(IF(ISBLANK(D81),1,(TRIM(D81)="")),"",ROUND((D81+$R81*0.1094)/4.184,3))</f>
        <v/>
      </c>
      <c r="AD81" s="93" t="str">
        <f aca="false">IF(IF(ISBLANK(E81),1,(TRIM(E81)="")),"",ROUND((E81+$R81*0.1094)/4.184,3))</f>
        <v/>
      </c>
      <c r="AE81" s="139" t="str">
        <f aca="false">IF(IF(ISBLANK(F81),1,(TRIM(F81)="")),"",ROUND((F81+$R81*0.1094)/4.184,3))</f>
        <v/>
      </c>
      <c r="AF81" s="93" t="str">
        <f aca="false">IF(IF(ISBLANK(G81),1,(TRIM(G81)="")),"",ROUND((G81+$R81*0.1094)/4.184,3))</f>
        <v/>
      </c>
      <c r="AG81" s="137" t="str">
        <f aca="false">IF(IF(ISBLANK(H81),1,(TRIM(H81)="")),"",ROUND((H81+$R81*0.1094)/4.184,3))</f>
        <v/>
      </c>
    </row>
    <row r="82" s="90" customFormat="true" ht="12.75" hidden="false" customHeight="false" outlineLevel="0" collapsed="false">
      <c r="A82" s="89"/>
      <c r="B82" s="38" t="s">
        <v>107</v>
      </c>
      <c r="C82" s="136" t="n">
        <v>205.037</v>
      </c>
      <c r="D82" s="63" t="n">
        <v>205.037</v>
      </c>
      <c r="E82" s="62" t="n">
        <v>205.037</v>
      </c>
      <c r="F82" s="63" t="n">
        <v>205.037</v>
      </c>
      <c r="G82" s="62" t="n">
        <v>205.037</v>
      </c>
      <c r="H82" s="65" t="s">
        <v>550</v>
      </c>
      <c r="I82" s="58"/>
      <c r="J82" s="38" t="s">
        <v>107</v>
      </c>
      <c r="K82" s="130" t="n">
        <f aca="false">IF(IF(ISBLANK(C82),1,(TRIM(C82)="")),"",ROUND(C82/4.184,3))</f>
        <v>49.005</v>
      </c>
      <c r="L82" s="137" t="n">
        <f aca="false">IF(IF(ISBLANK(D82),1,(TRIM(D82)="")),"",ROUND(D82/4.184,3))</f>
        <v>49.005</v>
      </c>
      <c r="M82" s="132" t="n">
        <f aca="false">IF(IF(ISBLANK(E82),1,(TRIM(E82)="")),"",ROUND(E82/4.184,3))</f>
        <v>49.005</v>
      </c>
      <c r="N82" s="137" t="n">
        <f aca="false">IF(IF(ISBLANK(F82),1,(TRIM(F82)="")),"",ROUND(F82/4.184,3))</f>
        <v>49.005</v>
      </c>
      <c r="O82" s="132" t="n">
        <f aca="false">IF(IF(ISBLANK(G82),1,(TRIM(G82)="")),"",ROUND(G82/4.184,3))</f>
        <v>49.005</v>
      </c>
      <c r="P82" s="137" t="n">
        <f aca="false">IF(IF(ISBLANK(H82),1,(TRIM(H82)="")),"",ROUND(H82/4.184,3))</f>
        <v>49.006</v>
      </c>
      <c r="Q82" s="44"/>
      <c r="R82" s="34" t="n">
        <v>1</v>
      </c>
      <c r="S82" s="38" t="s">
        <v>107</v>
      </c>
      <c r="T82" s="130" t="n">
        <f aca="false">IF(IF(ISBLANK(C82),1,(TRIM(C82)="")),"",ROUND(C82+$R82*0.1094,3))</f>
        <v>205.146</v>
      </c>
      <c r="U82" s="101" t="n">
        <f aca="false">IF(IF(ISBLANK(D82),1,(TRIM(D82)="")),"",ROUND(D82+$R82*0.1094,3))</f>
        <v>205.146</v>
      </c>
      <c r="V82" s="130" t="n">
        <f aca="false">IF(IF(ISBLANK(E82),1,(TRIM(E82)="")),"",ROUND(E82+$R82*0.1094,3))</f>
        <v>205.146</v>
      </c>
      <c r="W82" s="101" t="n">
        <f aca="false">IF(IF(ISBLANK(F82),1,(TRIM(F82)="")),"",ROUND(F82+$R82*0.1094,3))</f>
        <v>205.146</v>
      </c>
      <c r="X82" s="130" t="n">
        <f aca="false">IF(IF(ISBLANK(G82),1,(TRIM(G82)="")),"",ROUND(G82+$R82*0.1094,3))</f>
        <v>205.146</v>
      </c>
      <c r="Y82" s="101" t="n">
        <f aca="false">IF(IF(ISBLANK(H82),1,(TRIM(H82)="")),"",ROUND(H82+$R82*0.1094,3))</f>
        <v>205.152</v>
      </c>
      <c r="Z82" s="10"/>
      <c r="AA82" s="140" t="s">
        <v>107</v>
      </c>
      <c r="AB82" s="93" t="n">
        <f aca="false">IF(IF(ISBLANK(C82),1,(TRIM(C82)="")),"",ROUND((C82+$R82*0.1094)/4.184,3))</f>
        <v>49.031</v>
      </c>
      <c r="AC82" s="139" t="n">
        <f aca="false">IF(IF(ISBLANK(D82),1,(TRIM(D82)="")),"",ROUND((D82+$R82*0.1094)/4.184,3))</f>
        <v>49.031</v>
      </c>
      <c r="AD82" s="93" t="n">
        <f aca="false">IF(IF(ISBLANK(E82),1,(TRIM(E82)="")),"",ROUND((E82+$R82*0.1094)/4.184,3))</f>
        <v>49.031</v>
      </c>
      <c r="AE82" s="139" t="n">
        <f aca="false">IF(IF(ISBLANK(F82),1,(TRIM(F82)="")),"",ROUND((F82+$R82*0.1094)/4.184,3))</f>
        <v>49.031</v>
      </c>
      <c r="AF82" s="93" t="n">
        <f aca="false">IF(IF(ISBLANK(G82),1,(TRIM(G82)="")),"",ROUND((G82+$R82*0.1094)/4.184,3))</f>
        <v>49.031</v>
      </c>
      <c r="AG82" s="137" t="n">
        <f aca="false">IF(IF(ISBLANK(H82),1,(TRIM(H82)="")),"",ROUND((H82+$R82*0.1094)/4.184,3))</f>
        <v>49.033</v>
      </c>
    </row>
    <row r="83" customFormat="false" ht="12.75" hidden="false" customHeight="false" outlineLevel="0" collapsed="false">
      <c r="B83" s="31" t="s">
        <v>109</v>
      </c>
      <c r="C83" s="136"/>
      <c r="D83" s="63"/>
      <c r="E83" s="62"/>
      <c r="F83" s="63"/>
      <c r="G83" s="62"/>
      <c r="H83" s="63"/>
      <c r="I83" s="58"/>
      <c r="J83" s="31" t="s">
        <v>109</v>
      </c>
      <c r="K83" s="130" t="str">
        <f aca="false">IF(IF(ISBLANK(C83),1,(TRIM(C83)="")),"",ROUND(C83/4.184,3))</f>
        <v/>
      </c>
      <c r="L83" s="137" t="str">
        <f aca="false">IF(IF(ISBLANK(D83),1,(TRIM(D83)="")),"",ROUND(D83/4.184,3))</f>
        <v/>
      </c>
      <c r="M83" s="132" t="str">
        <f aca="false">IF(IF(ISBLANK(E83),1,(TRIM(E83)="")),"",ROUND(E83/4.184,3))</f>
        <v/>
      </c>
      <c r="N83" s="137" t="str">
        <f aca="false">IF(IF(ISBLANK(F83),1,(TRIM(F83)="")),"",ROUND(F83/4.184,3))</f>
        <v/>
      </c>
      <c r="O83" s="132" t="str">
        <f aca="false">IF(IF(ISBLANK(G83),1,(TRIM(G83)="")),"",ROUND(G83/4.184,3))</f>
        <v/>
      </c>
      <c r="P83" s="137" t="str">
        <f aca="false">IF(IF(ISBLANK(H83),1,(TRIM(H83)="")),"",ROUND(H83/4.184,3))</f>
        <v/>
      </c>
      <c r="R83" s="34"/>
      <c r="S83" s="31" t="s">
        <v>109</v>
      </c>
      <c r="T83" s="130" t="str">
        <f aca="false">IF(IF(ISBLANK(C83),1,(TRIM(C83)="")),"",ROUND(C83+$R83*0.1094,3))</f>
        <v/>
      </c>
      <c r="U83" s="101" t="str">
        <f aca="false">IF(IF(ISBLANK(D83),1,(TRIM(D83)="")),"",ROUND(D83+$R83*0.1094,3))</f>
        <v/>
      </c>
      <c r="V83" s="130" t="str">
        <f aca="false">IF(IF(ISBLANK(E83),1,(TRIM(E83)="")),"",ROUND(E83+$R83*0.1094,3))</f>
        <v/>
      </c>
      <c r="W83" s="101" t="str">
        <f aca="false">IF(IF(ISBLANK(F83),1,(TRIM(F83)="")),"",ROUND(F83+$R83*0.1094,3))</f>
        <v/>
      </c>
      <c r="X83" s="130" t="str">
        <f aca="false">IF(IF(ISBLANK(G83),1,(TRIM(G83)="")),"",ROUND(G83+$R83*0.1094,3))</f>
        <v/>
      </c>
      <c r="Y83" s="101" t="str">
        <f aca="false">IF(IF(ISBLANK(H83),1,(TRIM(H83)="")),"",ROUND(H83+$R83*0.1094,3))</f>
        <v/>
      </c>
      <c r="Z83" s="10"/>
      <c r="AA83" s="138" t="s">
        <v>109</v>
      </c>
      <c r="AB83" s="93" t="str">
        <f aca="false">IF(IF(ISBLANK(C83),1,(TRIM(C83)="")),"",ROUND((C83+$R83*0.1094)/4.184,3))</f>
        <v/>
      </c>
      <c r="AC83" s="139" t="str">
        <f aca="false">IF(IF(ISBLANK(D83),1,(TRIM(D83)="")),"",ROUND((D83+$R83*0.1094)/4.184,3))</f>
        <v/>
      </c>
      <c r="AD83" s="93" t="str">
        <f aca="false">IF(IF(ISBLANK(E83),1,(TRIM(E83)="")),"",ROUND((E83+$R83*0.1094)/4.184,3))</f>
        <v/>
      </c>
      <c r="AE83" s="139" t="str">
        <f aca="false">IF(IF(ISBLANK(F83),1,(TRIM(F83)="")),"",ROUND((F83+$R83*0.1094)/4.184,3))</f>
        <v/>
      </c>
      <c r="AF83" s="93" t="str">
        <f aca="false">IF(IF(ISBLANK(G83),1,(TRIM(G83)="")),"",ROUND((G83+$R83*0.1094)/4.184,3))</f>
        <v/>
      </c>
      <c r="AG83" s="137" t="str">
        <f aca="false">IF(IF(ISBLANK(H83),1,(TRIM(H83)="")),"",ROUND((H83+$R83*0.1094)/4.184,3))</f>
        <v/>
      </c>
    </row>
    <row r="84" customFormat="false" ht="12.75" hidden="false" customHeight="false" outlineLevel="0" collapsed="false">
      <c r="B84" s="31" t="s">
        <v>110</v>
      </c>
      <c r="C84" s="136"/>
      <c r="D84" s="63"/>
      <c r="E84" s="62"/>
      <c r="F84" s="63" t="n">
        <v>41.09</v>
      </c>
      <c r="G84" s="62" t="n">
        <v>41.09</v>
      </c>
      <c r="H84" s="63" t="n">
        <v>41.09</v>
      </c>
      <c r="I84" s="58"/>
      <c r="J84" s="31" t="s">
        <v>110</v>
      </c>
      <c r="K84" s="130" t="str">
        <f aca="false">IF(IF(ISBLANK(C84),1,(TRIM(C84)="")),"",ROUND(C84/4.184,3))</f>
        <v/>
      </c>
      <c r="L84" s="137" t="str">
        <f aca="false">IF(IF(ISBLANK(D84),1,(TRIM(D84)="")),"",ROUND(D84/4.184,3))</f>
        <v/>
      </c>
      <c r="M84" s="132" t="str">
        <f aca="false">IF(IF(ISBLANK(E84),1,(TRIM(E84)="")),"",ROUND(E84/4.184,3))</f>
        <v/>
      </c>
      <c r="N84" s="137" t="n">
        <f aca="false">IF(IF(ISBLANK(F84),1,(TRIM(F84)="")),"",ROUND(F84/4.184,3))</f>
        <v>9.821</v>
      </c>
      <c r="O84" s="132" t="n">
        <f aca="false">IF(IF(ISBLANK(G84),1,(TRIM(G84)="")),"",ROUND(G84/4.184,3))</f>
        <v>9.821</v>
      </c>
      <c r="P84" s="137" t="n">
        <f aca="false">IF(IF(ISBLANK(H84),1,(TRIM(H84)="")),"",ROUND(H84/4.184,3))</f>
        <v>9.821</v>
      </c>
      <c r="R84" s="34"/>
      <c r="S84" s="31" t="s">
        <v>110</v>
      </c>
      <c r="T84" s="130" t="str">
        <f aca="false">IF(IF(ISBLANK(C84),1,(TRIM(C84)="")),"",ROUND(C84+$R84*0.1094,3))</f>
        <v/>
      </c>
      <c r="U84" s="101" t="str">
        <f aca="false">IF(IF(ISBLANK(D84),1,(TRIM(D84)="")),"",ROUND(D84+$R84*0.1094,3))</f>
        <v/>
      </c>
      <c r="V84" s="130" t="str">
        <f aca="false">IF(IF(ISBLANK(E84),1,(TRIM(E84)="")),"",ROUND(E84+$R84*0.1094,3))</f>
        <v/>
      </c>
      <c r="W84" s="101" t="n">
        <f aca="false">IF(IF(ISBLANK(F84),1,(TRIM(F84)="")),"",ROUND(F84+$R84*0.1094,3))</f>
        <v>41.09</v>
      </c>
      <c r="X84" s="130" t="n">
        <f aca="false">IF(IF(ISBLANK(G84),1,(TRIM(G84)="")),"",ROUND(G84+$R84*0.1094,3))</f>
        <v>41.09</v>
      </c>
      <c r="Y84" s="101" t="n">
        <f aca="false">IF(IF(ISBLANK(H84),1,(TRIM(H84)="")),"",ROUND(H84+$R84*0.1094,3))</f>
        <v>41.09</v>
      </c>
      <c r="Z84" s="10"/>
      <c r="AA84" s="138" t="s">
        <v>110</v>
      </c>
      <c r="AB84" s="93" t="str">
        <f aca="false">IF(IF(ISBLANK(C84),1,(TRIM(C84)="")),"",ROUND((C84+$R84*0.1094)/4.184,3))</f>
        <v/>
      </c>
      <c r="AC84" s="139" t="str">
        <f aca="false">IF(IF(ISBLANK(D84),1,(TRIM(D84)="")),"",ROUND((D84+$R84*0.1094)/4.184,3))</f>
        <v/>
      </c>
      <c r="AD84" s="93" t="str">
        <f aca="false">IF(IF(ISBLANK(E84),1,(TRIM(E84)="")),"",ROUND((E84+$R84*0.1094)/4.184,3))</f>
        <v/>
      </c>
      <c r="AE84" s="139" t="n">
        <f aca="false">IF(IF(ISBLANK(F84),1,(TRIM(F84)="")),"",ROUND((F84+$R84*0.1094)/4.184,3))</f>
        <v>9.821</v>
      </c>
      <c r="AF84" s="93" t="n">
        <f aca="false">IF(IF(ISBLANK(G84),1,(TRIM(G84)="")),"",ROUND((G84+$R84*0.1094)/4.184,3))</f>
        <v>9.821</v>
      </c>
      <c r="AG84" s="137" t="n">
        <f aca="false">IF(IF(ISBLANK(H84),1,(TRIM(H84)="")),"",ROUND((H84+$R84*0.1094)/4.184,3))</f>
        <v>9.821</v>
      </c>
    </row>
    <row r="85" customFormat="false" ht="12.75" hidden="false" customHeight="false" outlineLevel="0" collapsed="false">
      <c r="B85" s="31" t="s">
        <v>111</v>
      </c>
      <c r="C85" s="136"/>
      <c r="D85" s="63"/>
      <c r="E85" s="62"/>
      <c r="F85" s="63"/>
      <c r="G85" s="62"/>
      <c r="H85" s="63"/>
      <c r="I85" s="58"/>
      <c r="J85" s="31" t="s">
        <v>111</v>
      </c>
      <c r="K85" s="130" t="str">
        <f aca="false">IF(IF(ISBLANK(C85),1,(TRIM(C85)="")),"",ROUND(C85/4.184,3))</f>
        <v/>
      </c>
      <c r="L85" s="137" t="str">
        <f aca="false">IF(IF(ISBLANK(D85),1,(TRIM(D85)="")),"",ROUND(D85/4.184,3))</f>
        <v/>
      </c>
      <c r="M85" s="132" t="str">
        <f aca="false">IF(IF(ISBLANK(E85),1,(TRIM(E85)="")),"",ROUND(E85/4.184,3))</f>
        <v/>
      </c>
      <c r="N85" s="137" t="str">
        <f aca="false">IF(IF(ISBLANK(F85),1,(TRIM(F85)="")),"",ROUND(F85/4.184,3))</f>
        <v/>
      </c>
      <c r="O85" s="132" t="str">
        <f aca="false">IF(IF(ISBLANK(G85),1,(TRIM(G85)="")),"",ROUND(G85/4.184,3))</f>
        <v/>
      </c>
      <c r="P85" s="137" t="str">
        <f aca="false">IF(IF(ISBLANK(H85),1,(TRIM(H85)="")),"",ROUND(H85/4.184,3))</f>
        <v/>
      </c>
      <c r="R85" s="34"/>
      <c r="S85" s="31" t="s">
        <v>111</v>
      </c>
      <c r="T85" s="130" t="str">
        <f aca="false">IF(IF(ISBLANK(C85),1,(TRIM(C85)="")),"",ROUND(C85+$R85*0.1094,3))</f>
        <v/>
      </c>
      <c r="U85" s="101" t="str">
        <f aca="false">IF(IF(ISBLANK(D85),1,(TRIM(D85)="")),"",ROUND(D85+$R85*0.1094,3))</f>
        <v/>
      </c>
      <c r="V85" s="130" t="str">
        <f aca="false">IF(IF(ISBLANK(E85),1,(TRIM(E85)="")),"",ROUND(E85+$R85*0.1094,3))</f>
        <v/>
      </c>
      <c r="W85" s="101" t="str">
        <f aca="false">IF(IF(ISBLANK(F85),1,(TRIM(F85)="")),"",ROUND(F85+$R85*0.1094,3))</f>
        <v/>
      </c>
      <c r="X85" s="130" t="str">
        <f aca="false">IF(IF(ISBLANK(G85),1,(TRIM(G85)="")),"",ROUND(G85+$R85*0.1094,3))</f>
        <v/>
      </c>
      <c r="Y85" s="101" t="str">
        <f aca="false">IF(IF(ISBLANK(H85),1,(TRIM(H85)="")),"",ROUND(H85+$R85*0.1094,3))</f>
        <v/>
      </c>
      <c r="Z85" s="10"/>
      <c r="AA85" s="138" t="s">
        <v>111</v>
      </c>
      <c r="AB85" s="93" t="str">
        <f aca="false">IF(IF(ISBLANK(C85),1,(TRIM(C85)="")),"",ROUND((C85+$R85*0.1094)/4.184,3))</f>
        <v/>
      </c>
      <c r="AC85" s="139" t="str">
        <f aca="false">IF(IF(ISBLANK(D85),1,(TRIM(D85)="")),"",ROUND((D85+$R85*0.1094)/4.184,3))</f>
        <v/>
      </c>
      <c r="AD85" s="93" t="str">
        <f aca="false">IF(IF(ISBLANK(E85),1,(TRIM(E85)="")),"",ROUND((E85+$R85*0.1094)/4.184,3))</f>
        <v/>
      </c>
      <c r="AE85" s="139" t="str">
        <f aca="false">IF(IF(ISBLANK(F85),1,(TRIM(F85)="")),"",ROUND((F85+$R85*0.1094)/4.184,3))</f>
        <v/>
      </c>
      <c r="AF85" s="93" t="str">
        <f aca="false">IF(IF(ISBLANK(G85),1,(TRIM(G85)="")),"",ROUND((G85+$R85*0.1094)/4.184,3))</f>
        <v/>
      </c>
      <c r="AG85" s="137" t="str">
        <f aca="false">IF(IF(ISBLANK(H85),1,(TRIM(H85)="")),"",ROUND((H85+$R85*0.1094)/4.184,3))</f>
        <v/>
      </c>
    </row>
    <row r="86" customFormat="false" ht="12.75" hidden="false" customHeight="false" outlineLevel="0" collapsed="false">
      <c r="B86" s="31" t="s">
        <v>112</v>
      </c>
      <c r="C86" s="136"/>
      <c r="D86" s="63"/>
      <c r="E86" s="62"/>
      <c r="F86" s="63"/>
      <c r="G86" s="64" t="s">
        <v>551</v>
      </c>
      <c r="H86" s="65" t="s">
        <v>551</v>
      </c>
      <c r="I86" s="66"/>
      <c r="J86" s="31" t="s">
        <v>112</v>
      </c>
      <c r="K86" s="130" t="str">
        <f aca="false">IF(IF(ISBLANK(C86),1,(TRIM(C86)="")),"",ROUND(C86/4.184,3))</f>
        <v/>
      </c>
      <c r="L86" s="137" t="str">
        <f aca="false">IF(IF(ISBLANK(D86),1,(TRIM(D86)="")),"",ROUND(D86/4.184,3))</f>
        <v/>
      </c>
      <c r="M86" s="132" t="str">
        <f aca="false">IF(IF(ISBLANK(E86),1,(TRIM(E86)="")),"",ROUND(E86/4.184,3))</f>
        <v/>
      </c>
      <c r="N86" s="137" t="str">
        <f aca="false">IF(IF(ISBLANK(F86),1,(TRIM(F86)="")),"",ROUND(F86/4.184,3))</f>
        <v/>
      </c>
      <c r="O86" s="132" t="n">
        <f aca="false">IF(IF(ISBLANK(G86),1,(TRIM(G86)="")),"",ROUND(G86/4.184,3))</f>
        <v>15.488</v>
      </c>
      <c r="P86" s="137" t="n">
        <f aca="false">IF(IF(ISBLANK(H86),1,(TRIM(H86)="")),"",ROUND(H86/4.184,3))</f>
        <v>15.488</v>
      </c>
      <c r="Q86" s="45"/>
      <c r="R86" s="34"/>
      <c r="S86" s="31" t="s">
        <v>112</v>
      </c>
      <c r="T86" s="130" t="str">
        <f aca="false">IF(IF(ISBLANK(C86),1,(TRIM(C86)="")),"",ROUND(C86+$R86*0.1094,3))</f>
        <v/>
      </c>
      <c r="U86" s="101" t="str">
        <f aca="false">IF(IF(ISBLANK(D86),1,(TRIM(D86)="")),"",ROUND(D86+$R86*0.1094,3))</f>
        <v/>
      </c>
      <c r="V86" s="130" t="str">
        <f aca="false">IF(IF(ISBLANK(E86),1,(TRIM(E86)="")),"",ROUND(E86+$R86*0.1094,3))</f>
        <v/>
      </c>
      <c r="W86" s="101" t="str">
        <f aca="false">IF(IF(ISBLANK(F86),1,(TRIM(F86)="")),"",ROUND(F86+$R86*0.1094,3))</f>
        <v/>
      </c>
      <c r="X86" s="130" t="n">
        <f aca="false">IF(IF(ISBLANK(G86),1,(TRIM(G86)="")),"",ROUND(G86+$R86*0.1094,3))</f>
        <v>64.8</v>
      </c>
      <c r="Y86" s="101" t="n">
        <f aca="false">IF(IF(ISBLANK(H86),1,(TRIM(H86)="")),"",ROUND(H86+$R86*0.1094,3))</f>
        <v>64.8</v>
      </c>
      <c r="Z86" s="10"/>
      <c r="AA86" s="138" t="s">
        <v>112</v>
      </c>
      <c r="AB86" s="93" t="str">
        <f aca="false">IF(IF(ISBLANK(C86),1,(TRIM(C86)="")),"",ROUND((C86+$R86*0.1094)/4.184,3))</f>
        <v/>
      </c>
      <c r="AC86" s="139" t="str">
        <f aca="false">IF(IF(ISBLANK(D86),1,(TRIM(D86)="")),"",ROUND((D86+$R86*0.1094)/4.184,3))</f>
        <v/>
      </c>
      <c r="AD86" s="93" t="str">
        <f aca="false">IF(IF(ISBLANK(E86),1,(TRIM(E86)="")),"",ROUND((E86+$R86*0.1094)/4.184,3))</f>
        <v/>
      </c>
      <c r="AE86" s="139" t="str">
        <f aca="false">IF(IF(ISBLANK(F86),1,(TRIM(F86)="")),"",ROUND((F86+$R86*0.1094)/4.184,3))</f>
        <v/>
      </c>
      <c r="AF86" s="93" t="n">
        <f aca="false">IF(IF(ISBLANK(G86),1,(TRIM(G86)="")),"",ROUND((G86+$R86*0.1094)/4.184,3))</f>
        <v>15.488</v>
      </c>
      <c r="AG86" s="137" t="n">
        <f aca="false">IF(IF(ISBLANK(H86),1,(TRIM(H86)="")),"",ROUND((H86+$R86*0.1094)/4.184,3))</f>
        <v>15.488</v>
      </c>
    </row>
    <row r="87" customFormat="false" ht="12.75" hidden="false" customHeight="false" outlineLevel="0" collapsed="false">
      <c r="B87" s="38" t="s">
        <v>113</v>
      </c>
      <c r="C87" s="136"/>
      <c r="D87" s="63"/>
      <c r="E87" s="62"/>
      <c r="F87" s="63"/>
      <c r="G87" s="62"/>
      <c r="H87" s="63"/>
      <c r="I87" s="58"/>
      <c r="J87" s="38" t="s">
        <v>113</v>
      </c>
      <c r="K87" s="130" t="str">
        <f aca="false">IF(IF(ISBLANK(C87),1,(TRIM(C87)="")),"",ROUND(C87/4.184,3))</f>
        <v/>
      </c>
      <c r="L87" s="137" t="str">
        <f aca="false">IF(IF(ISBLANK(D87),1,(TRIM(D87)="")),"",ROUND(D87/4.184,3))</f>
        <v/>
      </c>
      <c r="M87" s="132" t="str">
        <f aca="false">IF(IF(ISBLANK(E87),1,(TRIM(E87)="")),"",ROUND(E87/4.184,3))</f>
        <v/>
      </c>
      <c r="N87" s="137" t="str">
        <f aca="false">IF(IF(ISBLANK(F87),1,(TRIM(F87)="")),"",ROUND(F87/4.184,3))</f>
        <v/>
      </c>
      <c r="O87" s="132" t="str">
        <f aca="false">IF(IF(ISBLANK(G87),1,(TRIM(G87)="")),"",ROUND(G87/4.184,3))</f>
        <v/>
      </c>
      <c r="P87" s="137" t="str">
        <f aca="false">IF(IF(ISBLANK(H87),1,(TRIM(H87)="")),"",ROUND(H87/4.184,3))</f>
        <v/>
      </c>
      <c r="Q87" s="45"/>
      <c r="R87" s="34"/>
      <c r="S87" s="38" t="s">
        <v>113</v>
      </c>
      <c r="T87" s="130" t="str">
        <f aca="false">IF(IF(ISBLANK(C87),1,(TRIM(C87)="")),"",ROUND(C87+$R87*0.1094,3))</f>
        <v/>
      </c>
      <c r="U87" s="101" t="str">
        <f aca="false">IF(IF(ISBLANK(D87),1,(TRIM(D87)="")),"",ROUND(D87+$R87*0.1094,3))</f>
        <v/>
      </c>
      <c r="V87" s="130" t="str">
        <f aca="false">IF(IF(ISBLANK(E87),1,(TRIM(E87)="")),"",ROUND(E87+$R87*0.1094,3))</f>
        <v/>
      </c>
      <c r="W87" s="101" t="str">
        <f aca="false">IF(IF(ISBLANK(F87),1,(TRIM(F87)="")),"",ROUND(F87+$R87*0.1094,3))</f>
        <v/>
      </c>
      <c r="X87" s="130" t="str">
        <f aca="false">IF(IF(ISBLANK(G87),1,(TRIM(G87)="")),"",ROUND(G87+$R87*0.1094,3))</f>
        <v/>
      </c>
      <c r="Y87" s="101" t="str">
        <f aca="false">IF(IF(ISBLANK(H87),1,(TRIM(H87)="")),"",ROUND(H87+$R87*0.1094,3))</f>
        <v/>
      </c>
      <c r="Z87" s="10"/>
      <c r="AA87" s="140" t="s">
        <v>113</v>
      </c>
      <c r="AB87" s="93" t="str">
        <f aca="false">IF(IF(ISBLANK(C87),1,(TRIM(C87)="")),"",ROUND((C87+$R87*0.1094)/4.184,3))</f>
        <v/>
      </c>
      <c r="AC87" s="139" t="str">
        <f aca="false">IF(IF(ISBLANK(D87),1,(TRIM(D87)="")),"",ROUND((D87+$R87*0.1094)/4.184,3))</f>
        <v/>
      </c>
      <c r="AD87" s="93" t="str">
        <f aca="false">IF(IF(ISBLANK(E87),1,(TRIM(E87)="")),"",ROUND((E87+$R87*0.1094)/4.184,3))</f>
        <v/>
      </c>
      <c r="AE87" s="139" t="str">
        <f aca="false">IF(IF(ISBLANK(F87),1,(TRIM(F87)="")),"",ROUND((F87+$R87*0.1094)/4.184,3))</f>
        <v/>
      </c>
      <c r="AF87" s="93" t="str">
        <f aca="false">IF(IF(ISBLANK(G87),1,(TRIM(G87)="")),"",ROUND((G87+$R87*0.1094)/4.184,3))</f>
        <v/>
      </c>
      <c r="AG87" s="137" t="str">
        <f aca="false">IF(IF(ISBLANK(H87),1,(TRIM(H87)="")),"",ROUND((H87+$R87*0.1094)/4.184,3))</f>
        <v/>
      </c>
    </row>
    <row r="88" customFormat="false" ht="12.75" hidden="false" customHeight="false" outlineLevel="0" collapsed="false">
      <c r="B88" s="31" t="s">
        <v>114</v>
      </c>
      <c r="C88" s="136"/>
      <c r="D88" s="63"/>
      <c r="E88" s="62"/>
      <c r="F88" s="63"/>
      <c r="G88" s="62"/>
      <c r="H88" s="63"/>
      <c r="I88" s="58"/>
      <c r="J88" s="31" t="s">
        <v>114</v>
      </c>
      <c r="K88" s="130" t="str">
        <f aca="false">IF(IF(ISBLANK(C88),1,(TRIM(C88)="")),"",ROUND(C88/4.184,3))</f>
        <v/>
      </c>
      <c r="L88" s="137" t="str">
        <f aca="false">IF(IF(ISBLANK(D88),1,(TRIM(D88)="")),"",ROUND(D88/4.184,3))</f>
        <v/>
      </c>
      <c r="M88" s="132" t="str">
        <f aca="false">IF(IF(ISBLANK(E88),1,(TRIM(E88)="")),"",ROUND(E88/4.184,3))</f>
        <v/>
      </c>
      <c r="N88" s="137" t="str">
        <f aca="false">IF(IF(ISBLANK(F88),1,(TRIM(F88)="")),"",ROUND(F88/4.184,3))</f>
        <v/>
      </c>
      <c r="O88" s="132" t="str">
        <f aca="false">IF(IF(ISBLANK(G88),1,(TRIM(G88)="")),"",ROUND(G88/4.184,3))</f>
        <v/>
      </c>
      <c r="P88" s="137" t="str">
        <f aca="false">IF(IF(ISBLANK(H88),1,(TRIM(H88)="")),"",ROUND(H88/4.184,3))</f>
        <v/>
      </c>
      <c r="Q88" s="45"/>
      <c r="R88" s="34"/>
      <c r="S88" s="31" t="s">
        <v>114</v>
      </c>
      <c r="T88" s="130" t="str">
        <f aca="false">IF(IF(ISBLANK(C88),1,(TRIM(C88)="")),"",ROUND(C88+$R88*0.1094,3))</f>
        <v/>
      </c>
      <c r="U88" s="101" t="str">
        <f aca="false">IF(IF(ISBLANK(D88),1,(TRIM(D88)="")),"",ROUND(D88+$R88*0.1094,3))</f>
        <v/>
      </c>
      <c r="V88" s="130" t="str">
        <f aca="false">IF(IF(ISBLANK(E88),1,(TRIM(E88)="")),"",ROUND(E88+$R88*0.1094,3))</f>
        <v/>
      </c>
      <c r="W88" s="101" t="str">
        <f aca="false">IF(IF(ISBLANK(F88),1,(TRIM(F88)="")),"",ROUND(F88+$R88*0.1094,3))</f>
        <v/>
      </c>
      <c r="X88" s="130" t="str">
        <f aca="false">IF(IF(ISBLANK(G88),1,(TRIM(G88)="")),"",ROUND(G88+$R88*0.1094,3))</f>
        <v/>
      </c>
      <c r="Y88" s="101" t="str">
        <f aca="false">IF(IF(ISBLANK(H88),1,(TRIM(H88)="")),"",ROUND(H88+$R88*0.1094,3))</f>
        <v/>
      </c>
      <c r="AA88" s="138" t="s">
        <v>114</v>
      </c>
      <c r="AB88" s="93" t="str">
        <f aca="false">IF(IF(ISBLANK(C88),1,(TRIM(C88)="")),"",ROUND((C88+$R88*0.1094)/4.184,3))</f>
        <v/>
      </c>
      <c r="AC88" s="139" t="str">
        <f aca="false">IF(IF(ISBLANK(D88),1,(TRIM(D88)="")),"",ROUND((D88+$R88*0.1094)/4.184,3))</f>
        <v/>
      </c>
      <c r="AD88" s="93" t="str">
        <f aca="false">IF(IF(ISBLANK(E88),1,(TRIM(E88)="")),"",ROUND((E88+$R88*0.1094)/4.184,3))</f>
        <v/>
      </c>
      <c r="AE88" s="139" t="str">
        <f aca="false">IF(IF(ISBLANK(F88),1,(TRIM(F88)="")),"",ROUND((F88+$R88*0.1094)/4.184,3))</f>
        <v/>
      </c>
      <c r="AF88" s="93" t="str">
        <f aca="false">IF(IF(ISBLANK(G88),1,(TRIM(G88)="")),"",ROUND((G88+$R88*0.1094)/4.184,3))</f>
        <v/>
      </c>
      <c r="AG88" s="137" t="str">
        <f aca="false">IF(IF(ISBLANK(H88),1,(TRIM(H88)="")),"",ROUND((H88+$R88*0.1094)/4.184,3))</f>
        <v/>
      </c>
    </row>
    <row r="89" customFormat="false" ht="12.75" hidden="false" customHeight="false" outlineLevel="0" collapsed="false">
      <c r="B89" s="38" t="s">
        <v>115</v>
      </c>
      <c r="C89" s="136"/>
      <c r="D89" s="63"/>
      <c r="E89" s="62"/>
      <c r="F89" s="63"/>
      <c r="G89" s="62"/>
      <c r="H89" s="63"/>
      <c r="I89" s="58"/>
      <c r="J89" s="38" t="s">
        <v>115</v>
      </c>
      <c r="K89" s="130" t="str">
        <f aca="false">IF(IF(ISBLANK(C89),1,(TRIM(C89)="")),"",ROUND(C89/4.184,3))</f>
        <v/>
      </c>
      <c r="L89" s="137" t="str">
        <f aca="false">IF(IF(ISBLANK(D89),1,(TRIM(D89)="")),"",ROUND(D89/4.184,3))</f>
        <v/>
      </c>
      <c r="M89" s="132" t="str">
        <f aca="false">IF(IF(ISBLANK(E89),1,(TRIM(E89)="")),"",ROUND(E89/4.184,3))</f>
        <v/>
      </c>
      <c r="N89" s="137" t="str">
        <f aca="false">IF(IF(ISBLANK(F89),1,(TRIM(F89)="")),"",ROUND(F89/4.184,3))</f>
        <v/>
      </c>
      <c r="O89" s="132" t="str">
        <f aca="false">IF(IF(ISBLANK(G89),1,(TRIM(G89)="")),"",ROUND(G89/4.184,3))</f>
        <v/>
      </c>
      <c r="P89" s="137" t="str">
        <f aca="false">IF(IF(ISBLANK(H89),1,(TRIM(H89)="")),"",ROUND(H89/4.184,3))</f>
        <v/>
      </c>
      <c r="Q89" s="45"/>
      <c r="R89" s="34"/>
      <c r="S89" s="38" t="s">
        <v>115</v>
      </c>
      <c r="T89" s="130" t="str">
        <f aca="false">IF(IF(ISBLANK(C89),1,(TRIM(C89)="")),"",ROUND(C89+$R89*0.1094,3))</f>
        <v/>
      </c>
      <c r="U89" s="101" t="str">
        <f aca="false">IF(IF(ISBLANK(D89),1,(TRIM(D89)="")),"",ROUND(D89+$R89*0.1094,3))</f>
        <v/>
      </c>
      <c r="V89" s="130" t="str">
        <f aca="false">IF(IF(ISBLANK(E89),1,(TRIM(E89)="")),"",ROUND(E89+$R89*0.1094,3))</f>
        <v/>
      </c>
      <c r="W89" s="101" t="str">
        <f aca="false">IF(IF(ISBLANK(F89),1,(TRIM(F89)="")),"",ROUND(F89+$R89*0.1094,3))</f>
        <v/>
      </c>
      <c r="X89" s="130" t="str">
        <f aca="false">IF(IF(ISBLANK(G89),1,(TRIM(G89)="")),"",ROUND(G89+$R89*0.1094,3))</f>
        <v/>
      </c>
      <c r="Y89" s="101" t="str">
        <f aca="false">IF(IF(ISBLANK(H89),1,(TRIM(H89)="")),"",ROUND(H89+$R89*0.1094,3))</f>
        <v/>
      </c>
      <c r="AA89" s="140" t="s">
        <v>115</v>
      </c>
      <c r="AB89" s="93" t="str">
        <f aca="false">IF(IF(ISBLANK(C89),1,(TRIM(C89)="")),"",ROUND((C89+$R89*0.1094)/4.184,3))</f>
        <v/>
      </c>
      <c r="AC89" s="139" t="str">
        <f aca="false">IF(IF(ISBLANK(D89),1,(TRIM(D89)="")),"",ROUND((D89+$R89*0.1094)/4.184,3))</f>
        <v/>
      </c>
      <c r="AD89" s="93" t="str">
        <f aca="false">IF(IF(ISBLANK(E89),1,(TRIM(E89)="")),"",ROUND((E89+$R89*0.1094)/4.184,3))</f>
        <v/>
      </c>
      <c r="AE89" s="139" t="str">
        <f aca="false">IF(IF(ISBLANK(F89),1,(TRIM(F89)="")),"",ROUND((F89+$R89*0.1094)/4.184,3))</f>
        <v/>
      </c>
      <c r="AF89" s="93" t="str">
        <f aca="false">IF(IF(ISBLANK(G89),1,(TRIM(G89)="")),"",ROUND((G89+$R89*0.1094)/4.184,3))</f>
        <v/>
      </c>
      <c r="AG89" s="137" t="str">
        <f aca="false">IF(IF(ISBLANK(H89),1,(TRIM(H89)="")),"",ROUND((H89+$R89*0.1094)/4.184,3))</f>
        <v/>
      </c>
    </row>
    <row r="90" customFormat="false" ht="12.75" hidden="false" customHeight="false" outlineLevel="0" collapsed="false">
      <c r="B90" s="31" t="s">
        <v>116</v>
      </c>
      <c r="C90" s="136"/>
      <c r="D90" s="63"/>
      <c r="E90" s="62"/>
      <c r="F90" s="63"/>
      <c r="G90" s="62"/>
      <c r="H90" s="63"/>
      <c r="I90" s="58"/>
      <c r="J90" s="31" t="s">
        <v>116</v>
      </c>
      <c r="K90" s="130" t="str">
        <f aca="false">IF(IF(ISBLANK(C90),1,(TRIM(C90)="")),"",ROUND(C90/4.184,3))</f>
        <v/>
      </c>
      <c r="L90" s="137" t="str">
        <f aca="false">IF(IF(ISBLANK(D90),1,(TRIM(D90)="")),"",ROUND(D90/4.184,3))</f>
        <v/>
      </c>
      <c r="M90" s="132" t="str">
        <f aca="false">IF(IF(ISBLANK(E90),1,(TRIM(E90)="")),"",ROUND(E90/4.184,3))</f>
        <v/>
      </c>
      <c r="N90" s="137" t="str">
        <f aca="false">IF(IF(ISBLANK(F90),1,(TRIM(F90)="")),"",ROUND(F90/4.184,3))</f>
        <v/>
      </c>
      <c r="O90" s="132" t="str">
        <f aca="false">IF(IF(ISBLANK(G90),1,(TRIM(G90)="")),"",ROUND(G90/4.184,3))</f>
        <v/>
      </c>
      <c r="P90" s="137" t="str">
        <f aca="false">IF(IF(ISBLANK(H90),1,(TRIM(H90)="")),"",ROUND(H90/4.184,3))</f>
        <v/>
      </c>
      <c r="R90" s="34"/>
      <c r="S90" s="31" t="s">
        <v>116</v>
      </c>
      <c r="T90" s="130" t="str">
        <f aca="false">IF(IF(ISBLANK(C90),1,(TRIM(C90)="")),"",ROUND(C90+$R90*0.1094,3))</f>
        <v/>
      </c>
      <c r="U90" s="101" t="str">
        <f aca="false">IF(IF(ISBLANK(D90),1,(TRIM(D90)="")),"",ROUND(D90+$R90*0.1094,3))</f>
        <v/>
      </c>
      <c r="V90" s="130" t="str">
        <f aca="false">IF(IF(ISBLANK(E90),1,(TRIM(E90)="")),"",ROUND(E90+$R90*0.1094,3))</f>
        <v/>
      </c>
      <c r="W90" s="101" t="str">
        <f aca="false">IF(IF(ISBLANK(F90),1,(TRIM(F90)="")),"",ROUND(F90+$R90*0.1094,3))</f>
        <v/>
      </c>
      <c r="X90" s="130" t="str">
        <f aca="false">IF(IF(ISBLANK(G90),1,(TRIM(G90)="")),"",ROUND(G90+$R90*0.1094,3))</f>
        <v/>
      </c>
      <c r="Y90" s="101" t="str">
        <f aca="false">IF(IF(ISBLANK(H90),1,(TRIM(H90)="")),"",ROUND(H90+$R90*0.1094,3))</f>
        <v/>
      </c>
      <c r="AA90" s="138" t="s">
        <v>116</v>
      </c>
      <c r="AB90" s="93" t="str">
        <f aca="false">IF(IF(ISBLANK(C90),1,(TRIM(C90)="")),"",ROUND((C90+$R90*0.1094)/4.184,3))</f>
        <v/>
      </c>
      <c r="AC90" s="139" t="str">
        <f aca="false">IF(IF(ISBLANK(D90),1,(TRIM(D90)="")),"",ROUND((D90+$R90*0.1094)/4.184,3))</f>
        <v/>
      </c>
      <c r="AD90" s="93" t="str">
        <f aca="false">IF(IF(ISBLANK(E90),1,(TRIM(E90)="")),"",ROUND((E90+$R90*0.1094)/4.184,3))</f>
        <v/>
      </c>
      <c r="AE90" s="139" t="str">
        <f aca="false">IF(IF(ISBLANK(F90),1,(TRIM(F90)="")),"",ROUND((F90+$R90*0.1094)/4.184,3))</f>
        <v/>
      </c>
      <c r="AF90" s="93" t="str">
        <f aca="false">IF(IF(ISBLANK(G90),1,(TRIM(G90)="")),"",ROUND((G90+$R90*0.1094)/4.184,3))</f>
        <v/>
      </c>
      <c r="AG90" s="137" t="str">
        <f aca="false">IF(IF(ISBLANK(H90),1,(TRIM(H90)="")),"",ROUND((H90+$R90*0.1094)/4.184,3))</f>
        <v/>
      </c>
    </row>
    <row r="91" customFormat="false" ht="12.75" hidden="false" customHeight="false" outlineLevel="0" collapsed="false">
      <c r="B91" s="31" t="s">
        <v>117</v>
      </c>
      <c r="C91" s="136"/>
      <c r="D91" s="63"/>
      <c r="E91" s="62"/>
      <c r="F91" s="63"/>
      <c r="G91" s="62"/>
      <c r="H91" s="63"/>
      <c r="I91" s="58"/>
      <c r="J91" s="31" t="s">
        <v>117</v>
      </c>
      <c r="K91" s="130" t="str">
        <f aca="false">IF(IF(ISBLANK(C91),1,(TRIM(C91)="")),"",ROUND(C91/4.184,3))</f>
        <v/>
      </c>
      <c r="L91" s="137" t="str">
        <f aca="false">IF(IF(ISBLANK(D91),1,(TRIM(D91)="")),"",ROUND(D91/4.184,3))</f>
        <v/>
      </c>
      <c r="M91" s="132" t="str">
        <f aca="false">IF(IF(ISBLANK(E91),1,(TRIM(E91)="")),"",ROUND(E91/4.184,3))</f>
        <v/>
      </c>
      <c r="N91" s="137" t="str">
        <f aca="false">IF(IF(ISBLANK(F91),1,(TRIM(F91)="")),"",ROUND(F91/4.184,3))</f>
        <v/>
      </c>
      <c r="O91" s="132" t="str">
        <f aca="false">IF(IF(ISBLANK(G91),1,(TRIM(G91)="")),"",ROUND(G91/4.184,3))</f>
        <v/>
      </c>
      <c r="P91" s="137" t="str">
        <f aca="false">IF(IF(ISBLANK(H91),1,(TRIM(H91)="")),"",ROUND(H91/4.184,3))</f>
        <v/>
      </c>
      <c r="R91" s="34"/>
      <c r="S91" s="31" t="s">
        <v>117</v>
      </c>
      <c r="T91" s="130" t="str">
        <f aca="false">IF(IF(ISBLANK(C91),1,(TRIM(C91)="")),"",ROUND(C91+$R91*0.1094,3))</f>
        <v/>
      </c>
      <c r="U91" s="101" t="str">
        <f aca="false">IF(IF(ISBLANK(D91),1,(TRIM(D91)="")),"",ROUND(D91+$R91*0.1094,3))</f>
        <v/>
      </c>
      <c r="V91" s="130" t="str">
        <f aca="false">IF(IF(ISBLANK(E91),1,(TRIM(E91)="")),"",ROUND(E91+$R91*0.1094,3))</f>
        <v/>
      </c>
      <c r="W91" s="101" t="str">
        <f aca="false">IF(IF(ISBLANK(F91),1,(TRIM(F91)="")),"",ROUND(F91+$R91*0.1094,3))</f>
        <v/>
      </c>
      <c r="X91" s="130" t="str">
        <f aca="false">IF(IF(ISBLANK(G91),1,(TRIM(G91)="")),"",ROUND(G91+$R91*0.1094,3))</f>
        <v/>
      </c>
      <c r="Y91" s="101" t="str">
        <f aca="false">IF(IF(ISBLANK(H91),1,(TRIM(H91)="")),"",ROUND(H91+$R91*0.1094,3))</f>
        <v/>
      </c>
      <c r="AA91" s="138" t="s">
        <v>117</v>
      </c>
      <c r="AB91" s="93" t="str">
        <f aca="false">IF(IF(ISBLANK(C91),1,(TRIM(C91)="")),"",ROUND((C91+$R91*0.1094)/4.184,3))</f>
        <v/>
      </c>
      <c r="AC91" s="139" t="str">
        <f aca="false">IF(IF(ISBLANK(D91),1,(TRIM(D91)="")),"",ROUND((D91+$R91*0.1094)/4.184,3))</f>
        <v/>
      </c>
      <c r="AD91" s="93" t="str">
        <f aca="false">IF(IF(ISBLANK(E91),1,(TRIM(E91)="")),"",ROUND((E91+$R91*0.1094)/4.184,3))</f>
        <v/>
      </c>
      <c r="AE91" s="139" t="str">
        <f aca="false">IF(IF(ISBLANK(F91),1,(TRIM(F91)="")),"",ROUND((F91+$R91*0.1094)/4.184,3))</f>
        <v/>
      </c>
      <c r="AF91" s="93" t="str">
        <f aca="false">IF(IF(ISBLANK(G91),1,(TRIM(G91)="")),"",ROUND((G91+$R91*0.1094)/4.184,3))</f>
        <v/>
      </c>
      <c r="AG91" s="137" t="str">
        <f aca="false">IF(IF(ISBLANK(H91),1,(TRIM(H91)="")),"",ROUND((H91+$R91*0.1094)/4.184,3))</f>
        <v/>
      </c>
    </row>
    <row r="92" customFormat="false" ht="12.75" hidden="false" customHeight="false" outlineLevel="0" collapsed="false">
      <c r="B92" s="31" t="s">
        <v>118</v>
      </c>
      <c r="C92" s="136"/>
      <c r="D92" s="63"/>
      <c r="E92" s="62"/>
      <c r="F92" s="63"/>
      <c r="G92" s="62"/>
      <c r="H92" s="63"/>
      <c r="I92" s="58"/>
      <c r="J92" s="31" t="s">
        <v>118</v>
      </c>
      <c r="K92" s="130" t="str">
        <f aca="false">IF(IF(ISBLANK(C92),1,(TRIM(C92)="")),"",ROUND(C92/4.184,3))</f>
        <v/>
      </c>
      <c r="L92" s="137" t="str">
        <f aca="false">IF(IF(ISBLANK(D92),1,(TRIM(D92)="")),"",ROUND(D92/4.184,3))</f>
        <v/>
      </c>
      <c r="M92" s="132" t="str">
        <f aca="false">IF(IF(ISBLANK(E92),1,(TRIM(E92)="")),"",ROUND(E92/4.184,3))</f>
        <v/>
      </c>
      <c r="N92" s="137" t="str">
        <f aca="false">IF(IF(ISBLANK(F92),1,(TRIM(F92)="")),"",ROUND(F92/4.184,3))</f>
        <v/>
      </c>
      <c r="O92" s="132" t="str">
        <f aca="false">IF(IF(ISBLANK(G92),1,(TRIM(G92)="")),"",ROUND(G92/4.184,3))</f>
        <v/>
      </c>
      <c r="P92" s="137" t="str">
        <f aca="false">IF(IF(ISBLANK(H92),1,(TRIM(H92)="")),"",ROUND(H92/4.184,3))</f>
        <v/>
      </c>
      <c r="R92" s="34"/>
      <c r="S92" s="31" t="s">
        <v>118</v>
      </c>
      <c r="T92" s="130" t="str">
        <f aca="false">IF(IF(ISBLANK(C92),1,(TRIM(C92)="")),"",ROUND(C92+$R92*0.1094,3))</f>
        <v/>
      </c>
      <c r="U92" s="101" t="str">
        <f aca="false">IF(IF(ISBLANK(D92),1,(TRIM(D92)="")),"",ROUND(D92+$R92*0.1094,3))</f>
        <v/>
      </c>
      <c r="V92" s="130" t="str">
        <f aca="false">IF(IF(ISBLANK(E92),1,(TRIM(E92)="")),"",ROUND(E92+$R92*0.1094,3))</f>
        <v/>
      </c>
      <c r="W92" s="101" t="str">
        <f aca="false">IF(IF(ISBLANK(F92),1,(TRIM(F92)="")),"",ROUND(F92+$R92*0.1094,3))</f>
        <v/>
      </c>
      <c r="X92" s="130" t="str">
        <f aca="false">IF(IF(ISBLANK(G92),1,(TRIM(G92)="")),"",ROUND(G92+$R92*0.1094,3))</f>
        <v/>
      </c>
      <c r="Y92" s="101" t="str">
        <f aca="false">IF(IF(ISBLANK(H92),1,(TRIM(H92)="")),"",ROUND(H92+$R92*0.1094,3))</f>
        <v/>
      </c>
      <c r="Z92" s="10"/>
      <c r="AA92" s="138" t="s">
        <v>118</v>
      </c>
      <c r="AB92" s="93" t="str">
        <f aca="false">IF(IF(ISBLANK(C92),1,(TRIM(C92)="")),"",ROUND((C92+$R92*0.1094)/4.184,3))</f>
        <v/>
      </c>
      <c r="AC92" s="139" t="str">
        <f aca="false">IF(IF(ISBLANK(D92),1,(TRIM(D92)="")),"",ROUND((D92+$R92*0.1094)/4.184,3))</f>
        <v/>
      </c>
      <c r="AD92" s="93" t="str">
        <f aca="false">IF(IF(ISBLANK(E92),1,(TRIM(E92)="")),"",ROUND((E92+$R92*0.1094)/4.184,3))</f>
        <v/>
      </c>
      <c r="AE92" s="139" t="str">
        <f aca="false">IF(IF(ISBLANK(F92),1,(TRIM(F92)="")),"",ROUND((F92+$R92*0.1094)/4.184,3))</f>
        <v/>
      </c>
      <c r="AF92" s="93" t="str">
        <f aca="false">IF(IF(ISBLANK(G92),1,(TRIM(G92)="")),"",ROUND((G92+$R92*0.1094)/4.184,3))</f>
        <v/>
      </c>
      <c r="AG92" s="137" t="str">
        <f aca="false">IF(IF(ISBLANK(H92),1,(TRIM(H92)="")),"",ROUND((H92+$R92*0.1094)/4.184,3))</f>
        <v/>
      </c>
    </row>
    <row r="93" customFormat="false" ht="12.75" hidden="false" customHeight="false" outlineLevel="0" collapsed="false">
      <c r="B93" s="38" t="s">
        <v>119</v>
      </c>
      <c r="C93" s="136"/>
      <c r="D93" s="63"/>
      <c r="E93" s="62"/>
      <c r="F93" s="63"/>
      <c r="G93" s="62"/>
      <c r="H93" s="63"/>
      <c r="I93" s="58"/>
      <c r="J93" s="38" t="s">
        <v>119</v>
      </c>
      <c r="K93" s="130" t="str">
        <f aca="false">IF(IF(ISBLANK(C93),1,(TRIM(C93)="")),"",ROUND(C93/4.184,3))</f>
        <v/>
      </c>
      <c r="L93" s="137" t="str">
        <f aca="false">IF(IF(ISBLANK(D93),1,(TRIM(D93)="")),"",ROUND(D93/4.184,3))</f>
        <v/>
      </c>
      <c r="M93" s="132" t="str">
        <f aca="false">IF(IF(ISBLANK(E93),1,(TRIM(E93)="")),"",ROUND(E93/4.184,3))</f>
        <v/>
      </c>
      <c r="N93" s="137" t="str">
        <f aca="false">IF(IF(ISBLANK(F93),1,(TRIM(F93)="")),"",ROUND(F93/4.184,3))</f>
        <v/>
      </c>
      <c r="O93" s="132" t="str">
        <f aca="false">IF(IF(ISBLANK(G93),1,(TRIM(G93)="")),"",ROUND(G93/4.184,3))</f>
        <v/>
      </c>
      <c r="P93" s="137" t="str">
        <f aca="false">IF(IF(ISBLANK(H93),1,(TRIM(H93)="")),"",ROUND(H93/4.184,3))</f>
        <v/>
      </c>
      <c r="R93" s="34"/>
      <c r="S93" s="38" t="s">
        <v>119</v>
      </c>
      <c r="T93" s="130" t="str">
        <f aca="false">IF(IF(ISBLANK(C93),1,(TRIM(C93)="")),"",ROUND(C93+$R93*0.1094,3))</f>
        <v/>
      </c>
      <c r="U93" s="101" t="str">
        <f aca="false">IF(IF(ISBLANK(D93),1,(TRIM(D93)="")),"",ROUND(D93+$R93*0.1094,3))</f>
        <v/>
      </c>
      <c r="V93" s="130" t="str">
        <f aca="false">IF(IF(ISBLANK(E93),1,(TRIM(E93)="")),"",ROUND(E93+$R93*0.1094,3))</f>
        <v/>
      </c>
      <c r="W93" s="101" t="str">
        <f aca="false">IF(IF(ISBLANK(F93),1,(TRIM(F93)="")),"",ROUND(F93+$R93*0.1094,3))</f>
        <v/>
      </c>
      <c r="X93" s="130" t="str">
        <f aca="false">IF(IF(ISBLANK(G93),1,(TRIM(G93)="")),"",ROUND(G93+$R93*0.1094,3))</f>
        <v/>
      </c>
      <c r="Y93" s="101" t="str">
        <f aca="false">IF(IF(ISBLANK(H93),1,(TRIM(H93)="")),"",ROUND(H93+$R93*0.1094,3))</f>
        <v/>
      </c>
      <c r="Z93" s="10"/>
      <c r="AA93" s="140" t="s">
        <v>119</v>
      </c>
      <c r="AB93" s="93" t="str">
        <f aca="false">IF(IF(ISBLANK(C93),1,(TRIM(C93)="")),"",ROUND((C93+$R93*0.1094)/4.184,3))</f>
        <v/>
      </c>
      <c r="AC93" s="139" t="str">
        <f aca="false">IF(IF(ISBLANK(D93),1,(TRIM(D93)="")),"",ROUND((D93+$R93*0.1094)/4.184,3))</f>
        <v/>
      </c>
      <c r="AD93" s="93" t="str">
        <f aca="false">IF(IF(ISBLANK(E93),1,(TRIM(E93)="")),"",ROUND((E93+$R93*0.1094)/4.184,3))</f>
        <v/>
      </c>
      <c r="AE93" s="139" t="str">
        <f aca="false">IF(IF(ISBLANK(F93),1,(TRIM(F93)="")),"",ROUND((F93+$R93*0.1094)/4.184,3))</f>
        <v/>
      </c>
      <c r="AF93" s="93" t="str">
        <f aca="false">IF(IF(ISBLANK(G93),1,(TRIM(G93)="")),"",ROUND((G93+$R93*0.1094)/4.184,3))</f>
        <v/>
      </c>
      <c r="AG93" s="137" t="str">
        <f aca="false">IF(IF(ISBLANK(H93),1,(TRIM(H93)="")),"",ROUND((H93+$R93*0.1094)/4.184,3))</f>
        <v/>
      </c>
    </row>
    <row r="94" customFormat="false" ht="12.75" hidden="false" customHeight="false" outlineLevel="0" collapsed="false">
      <c r="B94" s="38" t="s">
        <v>120</v>
      </c>
      <c r="C94" s="136"/>
      <c r="D94" s="63" t="n">
        <v>76.78</v>
      </c>
      <c r="E94" s="62" t="n">
        <v>76.78</v>
      </c>
      <c r="F94" s="63" t="n">
        <v>76.78</v>
      </c>
      <c r="G94" s="62" t="n">
        <v>76.78</v>
      </c>
      <c r="H94" s="63" t="n">
        <v>76.78</v>
      </c>
      <c r="I94" s="58"/>
      <c r="J94" s="38" t="s">
        <v>120</v>
      </c>
      <c r="K94" s="130" t="str">
        <f aca="false">IF(IF(ISBLANK(C94),1,(TRIM(C94)="")),"",ROUND(C94/4.184,3))</f>
        <v/>
      </c>
      <c r="L94" s="137" t="n">
        <f aca="false">IF(IF(ISBLANK(D94),1,(TRIM(D94)="")),"",ROUND(D94/4.184,3))</f>
        <v>18.351</v>
      </c>
      <c r="M94" s="132" t="n">
        <f aca="false">IF(IF(ISBLANK(E94),1,(TRIM(E94)="")),"",ROUND(E94/4.184,3))</f>
        <v>18.351</v>
      </c>
      <c r="N94" s="137" t="n">
        <f aca="false">IF(IF(ISBLANK(F94),1,(TRIM(F94)="")),"",ROUND(F94/4.184,3))</f>
        <v>18.351</v>
      </c>
      <c r="O94" s="132" t="n">
        <f aca="false">IF(IF(ISBLANK(G94),1,(TRIM(G94)="")),"",ROUND(G94/4.184,3))</f>
        <v>18.351</v>
      </c>
      <c r="P94" s="137" t="n">
        <f aca="false">IF(IF(ISBLANK(H94),1,(TRIM(H94)="")),"",ROUND(H94/4.184,3))</f>
        <v>18.351</v>
      </c>
      <c r="R94" s="34"/>
      <c r="S94" s="38" t="s">
        <v>120</v>
      </c>
      <c r="T94" s="130" t="str">
        <f aca="false">IF(IF(ISBLANK(C94),1,(TRIM(C94)="")),"",ROUND(C94+$R94*0.1094,3))</f>
        <v/>
      </c>
      <c r="U94" s="101" t="n">
        <f aca="false">IF(IF(ISBLANK(D94),1,(TRIM(D94)="")),"",ROUND(D94+$R94*0.1094,3))</f>
        <v>76.78</v>
      </c>
      <c r="V94" s="130" t="n">
        <f aca="false">IF(IF(ISBLANK(E94),1,(TRIM(E94)="")),"",ROUND(E94+$R94*0.1094,3))</f>
        <v>76.78</v>
      </c>
      <c r="W94" s="101" t="n">
        <f aca="false">IF(IF(ISBLANK(F94),1,(TRIM(F94)="")),"",ROUND(F94+$R94*0.1094,3))</f>
        <v>76.78</v>
      </c>
      <c r="X94" s="130" t="n">
        <f aca="false">IF(IF(ISBLANK(G94),1,(TRIM(G94)="")),"",ROUND(G94+$R94*0.1094,3))</f>
        <v>76.78</v>
      </c>
      <c r="Y94" s="101" t="n">
        <f aca="false">IF(IF(ISBLANK(H94),1,(TRIM(H94)="")),"",ROUND(H94+$R94*0.1094,3))</f>
        <v>76.78</v>
      </c>
      <c r="Z94" s="10"/>
      <c r="AA94" s="140" t="s">
        <v>120</v>
      </c>
      <c r="AB94" s="93" t="str">
        <f aca="false">IF(IF(ISBLANK(C94),1,(TRIM(C94)="")),"",ROUND((C94+$R94*0.1094)/4.184,3))</f>
        <v/>
      </c>
      <c r="AC94" s="139" t="n">
        <f aca="false">IF(IF(ISBLANK(D94),1,(TRIM(D94)="")),"",ROUND((D94+$R94*0.1094)/4.184,3))</f>
        <v>18.351</v>
      </c>
      <c r="AD94" s="93" t="n">
        <f aca="false">IF(IF(ISBLANK(E94),1,(TRIM(E94)="")),"",ROUND((E94+$R94*0.1094)/4.184,3))</f>
        <v>18.351</v>
      </c>
      <c r="AE94" s="139" t="n">
        <f aca="false">IF(IF(ISBLANK(F94),1,(TRIM(F94)="")),"",ROUND((F94+$R94*0.1094)/4.184,3))</f>
        <v>18.351</v>
      </c>
      <c r="AF94" s="93" t="n">
        <f aca="false">IF(IF(ISBLANK(G94),1,(TRIM(G94)="")),"",ROUND((G94+$R94*0.1094)/4.184,3))</f>
        <v>18.351</v>
      </c>
      <c r="AG94" s="137" t="n">
        <f aca="false">IF(IF(ISBLANK(H94),1,(TRIM(H94)="")),"",ROUND((H94+$R94*0.1094)/4.184,3))</f>
        <v>18.351</v>
      </c>
    </row>
    <row r="95" customFormat="false" ht="12.75" hidden="false" customHeight="false" outlineLevel="0" collapsed="false">
      <c r="B95" s="31" t="s">
        <v>121</v>
      </c>
      <c r="C95" s="136"/>
      <c r="D95" s="63"/>
      <c r="E95" s="62"/>
      <c r="F95" s="63"/>
      <c r="G95" s="62"/>
      <c r="H95" s="63"/>
      <c r="I95" s="58"/>
      <c r="J95" s="31" t="s">
        <v>121</v>
      </c>
      <c r="K95" s="130" t="str">
        <f aca="false">IF(IF(ISBLANK(C95),1,(TRIM(C95)="")),"",ROUND(C95/4.184,3))</f>
        <v/>
      </c>
      <c r="L95" s="137" t="str">
        <f aca="false">IF(IF(ISBLANK(D95),1,(TRIM(D95)="")),"",ROUND(D95/4.184,3))</f>
        <v/>
      </c>
      <c r="M95" s="132" t="str">
        <f aca="false">IF(IF(ISBLANK(E95),1,(TRIM(E95)="")),"",ROUND(E95/4.184,3))</f>
        <v/>
      </c>
      <c r="N95" s="137" t="str">
        <f aca="false">IF(IF(ISBLANK(F95),1,(TRIM(F95)="")),"",ROUND(F95/4.184,3))</f>
        <v/>
      </c>
      <c r="O95" s="132" t="str">
        <f aca="false">IF(IF(ISBLANK(G95),1,(TRIM(G95)="")),"",ROUND(G95/4.184,3))</f>
        <v/>
      </c>
      <c r="P95" s="137" t="str">
        <f aca="false">IF(IF(ISBLANK(H95),1,(TRIM(H95)="")),"",ROUND(H95/4.184,3))</f>
        <v/>
      </c>
      <c r="R95" s="34"/>
      <c r="S95" s="31" t="s">
        <v>121</v>
      </c>
      <c r="T95" s="130" t="str">
        <f aca="false">IF(IF(ISBLANK(C95),1,(TRIM(C95)="")),"",ROUND(C95+$R95*0.1094,3))</f>
        <v/>
      </c>
      <c r="U95" s="101" t="str">
        <f aca="false">IF(IF(ISBLANK(D95),1,(TRIM(D95)="")),"",ROUND(D95+$R95*0.1094,3))</f>
        <v/>
      </c>
      <c r="V95" s="130" t="str">
        <f aca="false">IF(IF(ISBLANK(E95),1,(TRIM(E95)="")),"",ROUND(E95+$R95*0.1094,3))</f>
        <v/>
      </c>
      <c r="W95" s="101" t="str">
        <f aca="false">IF(IF(ISBLANK(F95),1,(TRIM(F95)="")),"",ROUND(F95+$R95*0.1094,3))</f>
        <v/>
      </c>
      <c r="X95" s="130" t="str">
        <f aca="false">IF(IF(ISBLANK(G95),1,(TRIM(G95)="")),"",ROUND(G95+$R95*0.1094,3))</f>
        <v/>
      </c>
      <c r="Y95" s="101" t="str">
        <f aca="false">IF(IF(ISBLANK(H95),1,(TRIM(H95)="")),"",ROUND(H95+$R95*0.1094,3))</f>
        <v/>
      </c>
      <c r="Z95" s="10"/>
      <c r="AA95" s="138" t="s">
        <v>121</v>
      </c>
      <c r="AB95" s="93" t="str">
        <f aca="false">IF(IF(ISBLANK(C95),1,(TRIM(C95)="")),"",ROUND((C95+$R95*0.1094)/4.184,3))</f>
        <v/>
      </c>
      <c r="AC95" s="139" t="str">
        <f aca="false">IF(IF(ISBLANK(D95),1,(TRIM(D95)="")),"",ROUND((D95+$R95*0.1094)/4.184,3))</f>
        <v/>
      </c>
      <c r="AD95" s="93" t="str">
        <f aca="false">IF(IF(ISBLANK(E95),1,(TRIM(E95)="")),"",ROUND((E95+$R95*0.1094)/4.184,3))</f>
        <v/>
      </c>
      <c r="AE95" s="139" t="str">
        <f aca="false">IF(IF(ISBLANK(F95),1,(TRIM(F95)="")),"",ROUND((F95+$R95*0.1094)/4.184,3))</f>
        <v/>
      </c>
      <c r="AF95" s="93" t="str">
        <f aca="false">IF(IF(ISBLANK(G95),1,(TRIM(G95)="")),"",ROUND((G95+$R95*0.1094)/4.184,3))</f>
        <v/>
      </c>
      <c r="AG95" s="137" t="str">
        <f aca="false">IF(IF(ISBLANK(H95),1,(TRIM(H95)="")),"",ROUND((H95+$R95*0.1094)/4.184,3))</f>
        <v/>
      </c>
    </row>
    <row r="96" customFormat="false" ht="12.75" hidden="false" customHeight="false" outlineLevel="0" collapsed="false">
      <c r="B96" s="38" t="s">
        <v>122</v>
      </c>
      <c r="C96" s="136"/>
      <c r="D96" s="63"/>
      <c r="E96" s="62"/>
      <c r="F96" s="63"/>
      <c r="G96" s="62"/>
      <c r="H96" s="63"/>
      <c r="I96" s="58"/>
      <c r="J96" s="38" t="s">
        <v>122</v>
      </c>
      <c r="K96" s="130" t="str">
        <f aca="false">IF(IF(ISBLANK(C96),1,(TRIM(C96)="")),"",ROUND(C96/4.184,3))</f>
        <v/>
      </c>
      <c r="L96" s="137" t="str">
        <f aca="false">IF(IF(ISBLANK(D96),1,(TRIM(D96)="")),"",ROUND(D96/4.184,3))</f>
        <v/>
      </c>
      <c r="M96" s="132" t="str">
        <f aca="false">IF(IF(ISBLANK(E96),1,(TRIM(E96)="")),"",ROUND(E96/4.184,3))</f>
        <v/>
      </c>
      <c r="N96" s="137" t="str">
        <f aca="false">IF(IF(ISBLANK(F96),1,(TRIM(F96)="")),"",ROUND(F96/4.184,3))</f>
        <v/>
      </c>
      <c r="O96" s="132" t="str">
        <f aca="false">IF(IF(ISBLANK(G96),1,(TRIM(G96)="")),"",ROUND(G96/4.184,3))</f>
        <v/>
      </c>
      <c r="P96" s="137" t="str">
        <f aca="false">IF(IF(ISBLANK(H96),1,(TRIM(H96)="")),"",ROUND(H96/4.184,3))</f>
        <v/>
      </c>
      <c r="R96" s="34"/>
      <c r="S96" s="38" t="s">
        <v>122</v>
      </c>
      <c r="T96" s="130" t="str">
        <f aca="false">IF(IF(ISBLANK(C96),1,(TRIM(C96)="")),"",ROUND(C96+$R96*0.1094,3))</f>
        <v/>
      </c>
      <c r="U96" s="101" t="str">
        <f aca="false">IF(IF(ISBLANK(D96),1,(TRIM(D96)="")),"",ROUND(D96+$R96*0.1094,3))</f>
        <v/>
      </c>
      <c r="V96" s="130" t="str">
        <f aca="false">IF(IF(ISBLANK(E96),1,(TRIM(E96)="")),"",ROUND(E96+$R96*0.1094,3))</f>
        <v/>
      </c>
      <c r="W96" s="101" t="str">
        <f aca="false">IF(IF(ISBLANK(F96),1,(TRIM(F96)="")),"",ROUND(F96+$R96*0.1094,3))</f>
        <v/>
      </c>
      <c r="X96" s="130" t="str">
        <f aca="false">IF(IF(ISBLANK(G96),1,(TRIM(G96)="")),"",ROUND(G96+$R96*0.1094,3))</f>
        <v/>
      </c>
      <c r="Y96" s="101" t="str">
        <f aca="false">IF(IF(ISBLANK(H96),1,(TRIM(H96)="")),"",ROUND(H96+$R96*0.1094,3))</f>
        <v/>
      </c>
      <c r="Z96" s="10"/>
      <c r="AA96" s="140" t="s">
        <v>122</v>
      </c>
      <c r="AB96" s="93" t="str">
        <f aca="false">IF(IF(ISBLANK(C96),1,(TRIM(C96)="")),"",ROUND((C96+$R96*0.1094)/4.184,3))</f>
        <v/>
      </c>
      <c r="AC96" s="139" t="str">
        <f aca="false">IF(IF(ISBLANK(D96),1,(TRIM(D96)="")),"",ROUND((D96+$R96*0.1094)/4.184,3))</f>
        <v/>
      </c>
      <c r="AD96" s="93" t="str">
        <f aca="false">IF(IF(ISBLANK(E96),1,(TRIM(E96)="")),"",ROUND((E96+$R96*0.1094)/4.184,3))</f>
        <v/>
      </c>
      <c r="AE96" s="139" t="str">
        <f aca="false">IF(IF(ISBLANK(F96),1,(TRIM(F96)="")),"",ROUND((F96+$R96*0.1094)/4.184,3))</f>
        <v/>
      </c>
      <c r="AF96" s="93" t="str">
        <f aca="false">IF(IF(ISBLANK(G96),1,(TRIM(G96)="")),"",ROUND((G96+$R96*0.1094)/4.184,3))</f>
        <v/>
      </c>
      <c r="AG96" s="137" t="str">
        <f aca="false">IF(IF(ISBLANK(H96),1,(TRIM(H96)="")),"",ROUND((H96+$R96*0.1094)/4.184,3))</f>
        <v/>
      </c>
    </row>
    <row r="97" customFormat="false" ht="12.75" hidden="false" customHeight="false" outlineLevel="0" collapsed="false">
      <c r="B97" s="31" t="s">
        <v>123</v>
      </c>
      <c r="C97" s="136"/>
      <c r="D97" s="63"/>
      <c r="E97" s="62"/>
      <c r="F97" s="63"/>
      <c r="G97" s="62"/>
      <c r="H97" s="63"/>
      <c r="I97" s="58"/>
      <c r="J97" s="31" t="s">
        <v>123</v>
      </c>
      <c r="K97" s="130" t="str">
        <f aca="false">IF(IF(ISBLANK(C97),1,(TRIM(C97)="")),"",ROUND(C97/4.184,3))</f>
        <v/>
      </c>
      <c r="L97" s="137" t="str">
        <f aca="false">IF(IF(ISBLANK(D97),1,(TRIM(D97)="")),"",ROUND(D97/4.184,3))</f>
        <v/>
      </c>
      <c r="M97" s="132" t="str">
        <f aca="false">IF(IF(ISBLANK(E97),1,(TRIM(E97)="")),"",ROUND(E97/4.184,3))</f>
        <v/>
      </c>
      <c r="N97" s="137" t="str">
        <f aca="false">IF(IF(ISBLANK(F97),1,(TRIM(F97)="")),"",ROUND(F97/4.184,3))</f>
        <v/>
      </c>
      <c r="O97" s="132" t="str">
        <f aca="false">IF(IF(ISBLANK(G97),1,(TRIM(G97)="")),"",ROUND(G97/4.184,3))</f>
        <v/>
      </c>
      <c r="P97" s="137" t="str">
        <f aca="false">IF(IF(ISBLANK(H97),1,(TRIM(H97)="")),"",ROUND(H97/4.184,3))</f>
        <v/>
      </c>
      <c r="Q97" s="45"/>
      <c r="R97" s="34" t="n">
        <v>1</v>
      </c>
      <c r="S97" s="31" t="s">
        <v>123</v>
      </c>
      <c r="T97" s="130" t="str">
        <f aca="false">IF(IF(ISBLANK(C97),1,(TRIM(C97)="")),"",ROUND(C97+$R97*0.1094,3))</f>
        <v/>
      </c>
      <c r="U97" s="101" t="str">
        <f aca="false">IF(IF(ISBLANK(D97),1,(TRIM(D97)="")),"",ROUND(D97+$R97*0.1094,3))</f>
        <v/>
      </c>
      <c r="V97" s="130" t="str">
        <f aca="false">IF(IF(ISBLANK(E97),1,(TRIM(E97)="")),"",ROUND(E97+$R97*0.1094,3))</f>
        <v/>
      </c>
      <c r="W97" s="101" t="str">
        <f aca="false">IF(IF(ISBLANK(F97),1,(TRIM(F97)="")),"",ROUND(F97+$R97*0.1094,3))</f>
        <v/>
      </c>
      <c r="X97" s="130" t="str">
        <f aca="false">IF(IF(ISBLANK(G97),1,(TRIM(G97)="")),"",ROUND(G97+$R97*0.1094,3))</f>
        <v/>
      </c>
      <c r="Y97" s="101" t="str">
        <f aca="false">IF(IF(ISBLANK(H97),1,(TRIM(H97)="")),"",ROUND(H97+$R97*0.1094,3))</f>
        <v/>
      </c>
      <c r="Z97" s="10"/>
      <c r="AA97" s="138" t="s">
        <v>123</v>
      </c>
      <c r="AB97" s="93" t="str">
        <f aca="false">IF(IF(ISBLANK(C97),1,(TRIM(C97)="")),"",ROUND((C97+$R97*0.1094)/4.184,3))</f>
        <v/>
      </c>
      <c r="AC97" s="139" t="str">
        <f aca="false">IF(IF(ISBLANK(D97),1,(TRIM(D97)="")),"",ROUND((D97+$R97*0.1094)/4.184,3))</f>
        <v/>
      </c>
      <c r="AD97" s="93" t="str">
        <f aca="false">IF(IF(ISBLANK(E97),1,(TRIM(E97)="")),"",ROUND((E97+$R97*0.1094)/4.184,3))</f>
        <v/>
      </c>
      <c r="AE97" s="139" t="str">
        <f aca="false">IF(IF(ISBLANK(F97),1,(TRIM(F97)="")),"",ROUND((F97+$R97*0.1094)/4.184,3))</f>
        <v/>
      </c>
      <c r="AF97" s="93" t="str">
        <f aca="false">IF(IF(ISBLANK(G97),1,(TRIM(G97)="")),"",ROUND((G97+$R97*0.1094)/4.184,3))</f>
        <v/>
      </c>
      <c r="AG97" s="137" t="str">
        <f aca="false">IF(IF(ISBLANK(H97),1,(TRIM(H97)="")),"",ROUND((H97+$R97*0.1094)/4.184,3))</f>
        <v/>
      </c>
    </row>
    <row r="98" customFormat="false" ht="12.75" hidden="false" customHeight="false" outlineLevel="0" collapsed="false">
      <c r="B98" s="38" t="s">
        <v>124</v>
      </c>
      <c r="C98" s="136"/>
      <c r="D98" s="63"/>
      <c r="E98" s="62"/>
      <c r="F98" s="63"/>
      <c r="G98" s="62"/>
      <c r="H98" s="63"/>
      <c r="I98" s="58"/>
      <c r="J98" s="38" t="s">
        <v>124</v>
      </c>
      <c r="K98" s="130" t="str">
        <f aca="false">IF(IF(ISBLANK(C98),1,(TRIM(C98)="")),"",ROUND(C98/4.184,3))</f>
        <v/>
      </c>
      <c r="L98" s="137" t="str">
        <f aca="false">IF(IF(ISBLANK(D98),1,(TRIM(D98)="")),"",ROUND(D98/4.184,3))</f>
        <v/>
      </c>
      <c r="M98" s="132" t="str">
        <f aca="false">IF(IF(ISBLANK(E98),1,(TRIM(E98)="")),"",ROUND(E98/4.184,3))</f>
        <v/>
      </c>
      <c r="N98" s="137" t="str">
        <f aca="false">IF(IF(ISBLANK(F98),1,(TRIM(F98)="")),"",ROUND(F98/4.184,3))</f>
        <v/>
      </c>
      <c r="O98" s="132" t="str">
        <f aca="false">IF(IF(ISBLANK(G98),1,(TRIM(G98)="")),"",ROUND(G98/4.184,3))</f>
        <v/>
      </c>
      <c r="P98" s="137" t="str">
        <f aca="false">IF(IF(ISBLANK(H98),1,(TRIM(H98)="")),"",ROUND(H98/4.184,3))</f>
        <v/>
      </c>
      <c r="Q98" s="45"/>
      <c r="R98" s="34"/>
      <c r="S98" s="38" t="s">
        <v>124</v>
      </c>
      <c r="T98" s="130" t="str">
        <f aca="false">IF(IF(ISBLANK(C98),1,(TRIM(C98)="")),"",ROUND(C98+$R98*0.1094,3))</f>
        <v/>
      </c>
      <c r="U98" s="101" t="str">
        <f aca="false">IF(IF(ISBLANK(D98),1,(TRIM(D98)="")),"",ROUND(D98+$R98*0.1094,3))</f>
        <v/>
      </c>
      <c r="V98" s="130" t="str">
        <f aca="false">IF(IF(ISBLANK(E98),1,(TRIM(E98)="")),"",ROUND(E98+$R98*0.1094,3))</f>
        <v/>
      </c>
      <c r="W98" s="101" t="str">
        <f aca="false">IF(IF(ISBLANK(F98),1,(TRIM(F98)="")),"",ROUND(F98+$R98*0.1094,3))</f>
        <v/>
      </c>
      <c r="X98" s="130" t="str">
        <f aca="false">IF(IF(ISBLANK(G98),1,(TRIM(G98)="")),"",ROUND(G98+$R98*0.1094,3))</f>
        <v/>
      </c>
      <c r="Y98" s="101" t="str">
        <f aca="false">IF(IF(ISBLANK(H98),1,(TRIM(H98)="")),"",ROUND(H98+$R98*0.1094,3))</f>
        <v/>
      </c>
      <c r="Z98" s="10"/>
      <c r="AA98" s="140" t="s">
        <v>124</v>
      </c>
      <c r="AB98" s="93" t="str">
        <f aca="false">IF(IF(ISBLANK(C98),1,(TRIM(C98)="")),"",ROUND((C98+$R98*0.1094)/4.184,3))</f>
        <v/>
      </c>
      <c r="AC98" s="139" t="str">
        <f aca="false">IF(IF(ISBLANK(D98),1,(TRIM(D98)="")),"",ROUND((D98+$R98*0.1094)/4.184,3))</f>
        <v/>
      </c>
      <c r="AD98" s="93" t="str">
        <f aca="false">IF(IF(ISBLANK(E98),1,(TRIM(E98)="")),"",ROUND((E98+$R98*0.1094)/4.184,3))</f>
        <v/>
      </c>
      <c r="AE98" s="139" t="str">
        <f aca="false">IF(IF(ISBLANK(F98),1,(TRIM(F98)="")),"",ROUND((F98+$R98*0.1094)/4.184,3))</f>
        <v/>
      </c>
      <c r="AF98" s="93" t="str">
        <f aca="false">IF(IF(ISBLANK(G98),1,(TRIM(G98)="")),"",ROUND((G98+$R98*0.1094)/4.184,3))</f>
        <v/>
      </c>
      <c r="AG98" s="137" t="str">
        <f aca="false">IF(IF(ISBLANK(H98),1,(TRIM(H98)="")),"",ROUND((H98+$R98*0.1094)/4.184,3))</f>
        <v/>
      </c>
    </row>
    <row r="99" customFormat="false" ht="12.75" hidden="false" customHeight="false" outlineLevel="0" collapsed="false">
      <c r="B99" s="38" t="s">
        <v>125</v>
      </c>
      <c r="C99" s="136"/>
      <c r="D99" s="63"/>
      <c r="E99" s="62"/>
      <c r="F99" s="63"/>
      <c r="G99" s="62" t="n">
        <v>32.054</v>
      </c>
      <c r="H99" s="63" t="n">
        <v>32.054</v>
      </c>
      <c r="I99" s="58"/>
      <c r="J99" s="38" t="s">
        <v>125</v>
      </c>
      <c r="K99" s="130" t="str">
        <f aca="false">IF(IF(ISBLANK(C99),1,(TRIM(C99)="")),"",ROUND(C99/4.184,3))</f>
        <v/>
      </c>
      <c r="L99" s="137" t="str">
        <f aca="false">IF(IF(ISBLANK(D99),1,(TRIM(D99)="")),"",ROUND(D99/4.184,3))</f>
        <v/>
      </c>
      <c r="M99" s="132" t="str">
        <f aca="false">IF(IF(ISBLANK(E99),1,(TRIM(E99)="")),"",ROUND(E99/4.184,3))</f>
        <v/>
      </c>
      <c r="N99" s="137" t="str">
        <f aca="false">IF(IF(ISBLANK(F99),1,(TRIM(F99)="")),"",ROUND(F99/4.184,3))</f>
        <v/>
      </c>
      <c r="O99" s="132" t="n">
        <f aca="false">IF(IF(ISBLANK(G99),1,(TRIM(G99)="")),"",ROUND(G99/4.184,3))</f>
        <v>7.661</v>
      </c>
      <c r="P99" s="137" t="n">
        <f aca="false">IF(IF(ISBLANK(H99),1,(TRIM(H99)="")),"",ROUND(H99/4.184,3))</f>
        <v>7.661</v>
      </c>
      <c r="Q99" s="45"/>
      <c r="R99" s="34"/>
      <c r="S99" s="38" t="s">
        <v>125</v>
      </c>
      <c r="T99" s="130" t="str">
        <f aca="false">IF(IF(ISBLANK(C99),1,(TRIM(C99)="")),"",ROUND(C99+$R99*0.1094,3))</f>
        <v/>
      </c>
      <c r="U99" s="101" t="str">
        <f aca="false">IF(IF(ISBLANK(D99),1,(TRIM(D99)="")),"",ROUND(D99+$R99*0.1094,3))</f>
        <v/>
      </c>
      <c r="V99" s="130" t="str">
        <f aca="false">IF(IF(ISBLANK(E99),1,(TRIM(E99)="")),"",ROUND(E99+$R99*0.1094,3))</f>
        <v/>
      </c>
      <c r="W99" s="101" t="str">
        <f aca="false">IF(IF(ISBLANK(F99),1,(TRIM(F99)="")),"",ROUND(F99+$R99*0.1094,3))</f>
        <v/>
      </c>
      <c r="X99" s="130" t="n">
        <f aca="false">IF(IF(ISBLANK(G99),1,(TRIM(G99)="")),"",ROUND(G99+$R99*0.1094,3))</f>
        <v>32.054</v>
      </c>
      <c r="Y99" s="101" t="n">
        <f aca="false">IF(IF(ISBLANK(H99),1,(TRIM(H99)="")),"",ROUND(H99+$R99*0.1094,3))</f>
        <v>32.054</v>
      </c>
      <c r="AA99" s="140" t="s">
        <v>125</v>
      </c>
      <c r="AB99" s="93" t="str">
        <f aca="false">IF(IF(ISBLANK(C99),1,(TRIM(C99)="")),"",ROUND((C99+$R99*0.1094)/4.184,3))</f>
        <v/>
      </c>
      <c r="AC99" s="139" t="str">
        <f aca="false">IF(IF(ISBLANK(D99),1,(TRIM(D99)="")),"",ROUND((D99+$R99*0.1094)/4.184,3))</f>
        <v/>
      </c>
      <c r="AD99" s="93" t="str">
        <f aca="false">IF(IF(ISBLANK(E99),1,(TRIM(E99)="")),"",ROUND((E99+$R99*0.1094)/4.184,3))</f>
        <v/>
      </c>
      <c r="AE99" s="139" t="str">
        <f aca="false">IF(IF(ISBLANK(F99),1,(TRIM(F99)="")),"",ROUND((F99+$R99*0.1094)/4.184,3))</f>
        <v/>
      </c>
      <c r="AF99" s="93" t="n">
        <f aca="false">IF(IF(ISBLANK(G99),1,(TRIM(G99)="")),"",ROUND((G99+$R99*0.1094)/4.184,3))</f>
        <v>7.661</v>
      </c>
      <c r="AG99" s="137" t="n">
        <f aca="false">IF(IF(ISBLANK(H99),1,(TRIM(H99)="")),"",ROUND((H99+$R99*0.1094)/4.184,3))</f>
        <v>7.661</v>
      </c>
    </row>
    <row r="100" customFormat="false" ht="12.75" hidden="false" customHeight="false" outlineLevel="0" collapsed="false">
      <c r="B100" s="31" t="s">
        <v>126</v>
      </c>
      <c r="C100" s="136"/>
      <c r="D100" s="63"/>
      <c r="E100" s="62"/>
      <c r="F100" s="63"/>
      <c r="G100" s="62"/>
      <c r="H100" s="63"/>
      <c r="I100" s="58"/>
      <c r="J100" s="31" t="s">
        <v>126</v>
      </c>
      <c r="K100" s="130" t="str">
        <f aca="false">IF(IF(ISBLANK(C100),1,(TRIM(C100)="")),"",ROUND(C100/4.184,3))</f>
        <v/>
      </c>
      <c r="L100" s="137" t="str">
        <f aca="false">IF(IF(ISBLANK(D100),1,(TRIM(D100)="")),"",ROUND(D100/4.184,3))</f>
        <v/>
      </c>
      <c r="M100" s="132" t="str">
        <f aca="false">IF(IF(ISBLANK(E100),1,(TRIM(E100)="")),"",ROUND(E100/4.184,3))</f>
        <v/>
      </c>
      <c r="N100" s="137" t="str">
        <f aca="false">IF(IF(ISBLANK(F100),1,(TRIM(F100)="")),"",ROUND(F100/4.184,3))</f>
        <v/>
      </c>
      <c r="O100" s="132" t="str">
        <f aca="false">IF(IF(ISBLANK(G100),1,(TRIM(G100)="")),"",ROUND(G100/4.184,3))</f>
        <v/>
      </c>
      <c r="P100" s="137" t="str">
        <f aca="false">IF(IF(ISBLANK(H100),1,(TRIM(H100)="")),"",ROUND(H100/4.184,3))</f>
        <v/>
      </c>
      <c r="Q100" s="45"/>
      <c r="R100" s="34"/>
      <c r="S100" s="31" t="s">
        <v>126</v>
      </c>
      <c r="T100" s="130" t="str">
        <f aca="false">IF(IF(ISBLANK(C100),1,(TRIM(C100)="")),"",ROUND(C100+$R100*0.1094,3))</f>
        <v/>
      </c>
      <c r="U100" s="101" t="str">
        <f aca="false">IF(IF(ISBLANK(D100),1,(TRIM(D100)="")),"",ROUND(D100+$R100*0.1094,3))</f>
        <v/>
      </c>
      <c r="V100" s="130" t="str">
        <f aca="false">IF(IF(ISBLANK(E100),1,(TRIM(E100)="")),"",ROUND(E100+$R100*0.1094,3))</f>
        <v/>
      </c>
      <c r="W100" s="101" t="str">
        <f aca="false">IF(IF(ISBLANK(F100),1,(TRIM(F100)="")),"",ROUND(F100+$R100*0.1094,3))</f>
        <v/>
      </c>
      <c r="X100" s="130" t="str">
        <f aca="false">IF(IF(ISBLANK(G100),1,(TRIM(G100)="")),"",ROUND(G100+$R100*0.1094,3))</f>
        <v/>
      </c>
      <c r="Y100" s="101" t="str">
        <f aca="false">IF(IF(ISBLANK(H100),1,(TRIM(H100)="")),"",ROUND(H100+$R100*0.1094,3))</f>
        <v/>
      </c>
      <c r="AA100" s="138" t="s">
        <v>126</v>
      </c>
      <c r="AB100" s="93" t="str">
        <f aca="false">IF(IF(ISBLANK(C100),1,(TRIM(C100)="")),"",ROUND((C100+$R100*0.1094)/4.184,3))</f>
        <v/>
      </c>
      <c r="AC100" s="139" t="str">
        <f aca="false">IF(IF(ISBLANK(D100),1,(TRIM(D100)="")),"",ROUND((D100+$R100*0.1094)/4.184,3))</f>
        <v/>
      </c>
      <c r="AD100" s="93" t="str">
        <f aca="false">IF(IF(ISBLANK(E100),1,(TRIM(E100)="")),"",ROUND((E100+$R100*0.1094)/4.184,3))</f>
        <v/>
      </c>
      <c r="AE100" s="139" t="str">
        <f aca="false">IF(IF(ISBLANK(F100),1,(TRIM(F100)="")),"",ROUND((F100+$R100*0.1094)/4.184,3))</f>
        <v/>
      </c>
      <c r="AF100" s="93" t="str">
        <f aca="false">IF(IF(ISBLANK(G100),1,(TRIM(G100)="")),"",ROUND((G100+$R100*0.1094)/4.184,3))</f>
        <v/>
      </c>
      <c r="AG100" s="137" t="str">
        <f aca="false">IF(IF(ISBLANK(H100),1,(TRIM(H100)="")),"",ROUND((H100+$R100*0.1094)/4.184,3))</f>
        <v/>
      </c>
    </row>
    <row r="101" customFormat="false" ht="12.75" hidden="false" customHeight="false" outlineLevel="0" collapsed="false">
      <c r="B101" s="31" t="s">
        <v>127</v>
      </c>
      <c r="C101" s="136"/>
      <c r="D101" s="63"/>
      <c r="E101" s="62"/>
      <c r="F101" s="63"/>
      <c r="G101" s="62"/>
      <c r="H101" s="63"/>
      <c r="I101" s="58"/>
      <c r="J101" s="31" t="s">
        <v>127</v>
      </c>
      <c r="K101" s="130" t="str">
        <f aca="false">IF(IF(ISBLANK(C101),1,(TRIM(C101)="")),"",ROUND(C101/4.184,3))</f>
        <v/>
      </c>
      <c r="L101" s="137" t="str">
        <f aca="false">IF(IF(ISBLANK(D101),1,(TRIM(D101)="")),"",ROUND(D101/4.184,3))</f>
        <v/>
      </c>
      <c r="M101" s="132" t="str">
        <f aca="false">IF(IF(ISBLANK(E101),1,(TRIM(E101)="")),"",ROUND(E101/4.184,3))</f>
        <v/>
      </c>
      <c r="N101" s="137" t="str">
        <f aca="false">IF(IF(ISBLANK(F101),1,(TRIM(F101)="")),"",ROUND(F101/4.184,3))</f>
        <v/>
      </c>
      <c r="O101" s="132" t="str">
        <f aca="false">IF(IF(ISBLANK(G101),1,(TRIM(G101)="")),"",ROUND(G101/4.184,3))</f>
        <v/>
      </c>
      <c r="P101" s="137" t="str">
        <f aca="false">IF(IF(ISBLANK(H101),1,(TRIM(H101)="")),"",ROUND(H101/4.184,3))</f>
        <v/>
      </c>
      <c r="R101" s="34"/>
      <c r="S101" s="31" t="s">
        <v>127</v>
      </c>
      <c r="T101" s="130" t="str">
        <f aca="false">IF(IF(ISBLANK(C101),1,(TRIM(C101)="")),"",ROUND(C101+$R101*0.1094,3))</f>
        <v/>
      </c>
      <c r="U101" s="101" t="str">
        <f aca="false">IF(IF(ISBLANK(D101),1,(TRIM(D101)="")),"",ROUND(D101+$R101*0.1094,3))</f>
        <v/>
      </c>
      <c r="V101" s="130" t="str">
        <f aca="false">IF(IF(ISBLANK(E101),1,(TRIM(E101)="")),"",ROUND(E101+$R101*0.1094,3))</f>
        <v/>
      </c>
      <c r="W101" s="101" t="str">
        <f aca="false">IF(IF(ISBLANK(F101),1,(TRIM(F101)="")),"",ROUND(F101+$R101*0.1094,3))</f>
        <v/>
      </c>
      <c r="X101" s="130" t="str">
        <f aca="false">IF(IF(ISBLANK(G101),1,(TRIM(G101)="")),"",ROUND(G101+$R101*0.1094,3))</f>
        <v/>
      </c>
      <c r="Y101" s="101" t="str">
        <f aca="false">IF(IF(ISBLANK(H101),1,(TRIM(H101)="")),"",ROUND(H101+$R101*0.1094,3))</f>
        <v/>
      </c>
      <c r="AA101" s="138" t="s">
        <v>127</v>
      </c>
      <c r="AB101" s="93" t="str">
        <f aca="false">IF(IF(ISBLANK(C101),1,(TRIM(C101)="")),"",ROUND((C101+$R101*0.1094)/4.184,3))</f>
        <v/>
      </c>
      <c r="AC101" s="139" t="str">
        <f aca="false">IF(IF(ISBLANK(D101),1,(TRIM(D101)="")),"",ROUND((D101+$R101*0.1094)/4.184,3))</f>
        <v/>
      </c>
      <c r="AD101" s="93" t="str">
        <f aca="false">IF(IF(ISBLANK(E101),1,(TRIM(E101)="")),"",ROUND((E101+$R101*0.1094)/4.184,3))</f>
        <v/>
      </c>
      <c r="AE101" s="139" t="str">
        <f aca="false">IF(IF(ISBLANK(F101),1,(TRIM(F101)="")),"",ROUND((F101+$R101*0.1094)/4.184,3))</f>
        <v/>
      </c>
      <c r="AF101" s="93" t="str">
        <f aca="false">IF(IF(ISBLANK(G101),1,(TRIM(G101)="")),"",ROUND((G101+$R101*0.1094)/4.184,3))</f>
        <v/>
      </c>
      <c r="AG101" s="137" t="str">
        <f aca="false">IF(IF(ISBLANK(H101),1,(TRIM(H101)="")),"",ROUND((H101+$R101*0.1094)/4.184,3))</f>
        <v/>
      </c>
    </row>
    <row r="102" customFormat="false" ht="12.75" hidden="false" customHeight="false" outlineLevel="0" collapsed="false">
      <c r="B102" s="38" t="s">
        <v>128</v>
      </c>
      <c r="C102" s="136"/>
      <c r="D102" s="63"/>
      <c r="E102" s="62"/>
      <c r="F102" s="63"/>
      <c r="G102" s="62"/>
      <c r="H102" s="63"/>
      <c r="I102" s="58"/>
      <c r="J102" s="38" t="s">
        <v>128</v>
      </c>
      <c r="K102" s="130" t="str">
        <f aca="false">IF(IF(ISBLANK(C102),1,(TRIM(C102)="")),"",ROUND(C102/4.184,3))</f>
        <v/>
      </c>
      <c r="L102" s="137" t="str">
        <f aca="false">IF(IF(ISBLANK(D102),1,(TRIM(D102)="")),"",ROUND(D102/4.184,3))</f>
        <v/>
      </c>
      <c r="M102" s="132" t="str">
        <f aca="false">IF(IF(ISBLANK(E102),1,(TRIM(E102)="")),"",ROUND(E102/4.184,3))</f>
        <v/>
      </c>
      <c r="N102" s="137" t="str">
        <f aca="false">IF(IF(ISBLANK(F102),1,(TRIM(F102)="")),"",ROUND(F102/4.184,3))</f>
        <v/>
      </c>
      <c r="O102" s="132" t="str">
        <f aca="false">IF(IF(ISBLANK(G102),1,(TRIM(G102)="")),"",ROUND(G102/4.184,3))</f>
        <v/>
      </c>
      <c r="P102" s="137" t="str">
        <f aca="false">IF(IF(ISBLANK(H102),1,(TRIM(H102)="")),"",ROUND(H102/4.184,3))</f>
        <v/>
      </c>
      <c r="R102" s="34"/>
      <c r="S102" s="38" t="s">
        <v>128</v>
      </c>
      <c r="T102" s="130" t="str">
        <f aca="false">IF(IF(ISBLANK(C102),1,(TRIM(C102)="")),"",ROUND(C102+$R102*0.1094,3))</f>
        <v/>
      </c>
      <c r="U102" s="101" t="str">
        <f aca="false">IF(IF(ISBLANK(D102),1,(TRIM(D102)="")),"",ROUND(D102+$R102*0.1094,3))</f>
        <v/>
      </c>
      <c r="V102" s="130" t="str">
        <f aca="false">IF(IF(ISBLANK(E102),1,(TRIM(E102)="")),"",ROUND(E102+$R102*0.1094,3))</f>
        <v/>
      </c>
      <c r="W102" s="101" t="str">
        <f aca="false">IF(IF(ISBLANK(F102),1,(TRIM(F102)="")),"",ROUND(F102+$R102*0.1094,3))</f>
        <v/>
      </c>
      <c r="X102" s="130" t="str">
        <f aca="false">IF(IF(ISBLANK(G102),1,(TRIM(G102)="")),"",ROUND(G102+$R102*0.1094,3))</f>
        <v/>
      </c>
      <c r="Y102" s="101" t="str">
        <f aca="false">IF(IF(ISBLANK(H102),1,(TRIM(H102)="")),"",ROUND(H102+$R102*0.1094,3))</f>
        <v/>
      </c>
      <c r="AA102" s="140" t="s">
        <v>128</v>
      </c>
      <c r="AB102" s="93" t="str">
        <f aca="false">IF(IF(ISBLANK(C102),1,(TRIM(C102)="")),"",ROUND((C102+$R102*0.1094)/4.184,3))</f>
        <v/>
      </c>
      <c r="AC102" s="139" t="str">
        <f aca="false">IF(IF(ISBLANK(D102),1,(TRIM(D102)="")),"",ROUND((D102+$R102*0.1094)/4.184,3))</f>
        <v/>
      </c>
      <c r="AD102" s="93" t="str">
        <f aca="false">IF(IF(ISBLANK(E102),1,(TRIM(E102)="")),"",ROUND((E102+$R102*0.1094)/4.184,3))</f>
        <v/>
      </c>
      <c r="AE102" s="139" t="str">
        <f aca="false">IF(IF(ISBLANK(F102),1,(TRIM(F102)="")),"",ROUND((F102+$R102*0.1094)/4.184,3))</f>
        <v/>
      </c>
      <c r="AF102" s="93" t="str">
        <f aca="false">IF(IF(ISBLANK(G102),1,(TRIM(G102)="")),"",ROUND((G102+$R102*0.1094)/4.184,3))</f>
        <v/>
      </c>
      <c r="AG102" s="137" t="str">
        <f aca="false">IF(IF(ISBLANK(H102),1,(TRIM(H102)="")),"",ROUND((H102+$R102*0.1094)/4.184,3))</f>
        <v/>
      </c>
    </row>
    <row r="103" customFormat="false" ht="12.75" hidden="false" customHeight="false" outlineLevel="0" collapsed="false">
      <c r="B103" s="31" t="s">
        <v>129</v>
      </c>
      <c r="C103" s="136"/>
      <c r="D103" s="63"/>
      <c r="E103" s="62" t="n">
        <v>18.81</v>
      </c>
      <c r="F103" s="63" t="n">
        <v>18.81</v>
      </c>
      <c r="G103" s="62" t="n">
        <v>18.81</v>
      </c>
      <c r="H103" s="63" t="n">
        <v>18.81</v>
      </c>
      <c r="I103" s="58"/>
      <c r="J103" s="31" t="s">
        <v>129</v>
      </c>
      <c r="K103" s="130" t="str">
        <f aca="false">IF(IF(ISBLANK(C103),1,(TRIM(C103)="")),"",ROUND(C103/4.184,3))</f>
        <v/>
      </c>
      <c r="L103" s="137" t="str">
        <f aca="false">IF(IF(ISBLANK(D103),1,(TRIM(D103)="")),"",ROUND(D103/4.184,3))</f>
        <v/>
      </c>
      <c r="M103" s="132" t="n">
        <f aca="false">IF(IF(ISBLANK(E103),1,(TRIM(E103)="")),"",ROUND(E103/4.184,3))</f>
        <v>4.496</v>
      </c>
      <c r="N103" s="137" t="n">
        <f aca="false">IF(IF(ISBLANK(F103),1,(TRIM(F103)="")),"",ROUND(F103/4.184,3))</f>
        <v>4.496</v>
      </c>
      <c r="O103" s="132" t="n">
        <f aca="false">IF(IF(ISBLANK(G103),1,(TRIM(G103)="")),"",ROUND(G103/4.184,3))</f>
        <v>4.496</v>
      </c>
      <c r="P103" s="137" t="n">
        <f aca="false">IF(IF(ISBLANK(H103),1,(TRIM(H103)="")),"",ROUND(H103/4.184,3))</f>
        <v>4.496</v>
      </c>
      <c r="R103" s="34"/>
      <c r="S103" s="31" t="s">
        <v>129</v>
      </c>
      <c r="T103" s="130" t="str">
        <f aca="false">IF(IF(ISBLANK(C103),1,(TRIM(C103)="")),"",ROUND(C103+$R103*0.1094,3))</f>
        <v/>
      </c>
      <c r="U103" s="101" t="str">
        <f aca="false">IF(IF(ISBLANK(D103),1,(TRIM(D103)="")),"",ROUND(D103+$R103*0.1094,3))</f>
        <v/>
      </c>
      <c r="V103" s="130" t="n">
        <f aca="false">IF(IF(ISBLANK(E103),1,(TRIM(E103)="")),"",ROUND(E103+$R103*0.1094,3))</f>
        <v>18.81</v>
      </c>
      <c r="W103" s="101" t="n">
        <f aca="false">IF(IF(ISBLANK(F103),1,(TRIM(F103)="")),"",ROUND(F103+$R103*0.1094,3))</f>
        <v>18.81</v>
      </c>
      <c r="X103" s="130" t="n">
        <f aca="false">IF(IF(ISBLANK(G103),1,(TRIM(G103)="")),"",ROUND(G103+$R103*0.1094,3))</f>
        <v>18.81</v>
      </c>
      <c r="Y103" s="101" t="n">
        <f aca="false">IF(IF(ISBLANK(H103),1,(TRIM(H103)="")),"",ROUND(H103+$R103*0.1094,3))</f>
        <v>18.81</v>
      </c>
      <c r="Z103" s="10"/>
      <c r="AA103" s="138" t="s">
        <v>129</v>
      </c>
      <c r="AB103" s="93" t="str">
        <f aca="false">IF(IF(ISBLANK(C103),1,(TRIM(C103)="")),"",ROUND((C103+$R103*0.1094)/4.184,3))</f>
        <v/>
      </c>
      <c r="AC103" s="139" t="str">
        <f aca="false">IF(IF(ISBLANK(D103),1,(TRIM(D103)="")),"",ROUND((D103+$R103*0.1094)/4.184,3))</f>
        <v/>
      </c>
      <c r="AD103" s="93" t="n">
        <f aca="false">IF(IF(ISBLANK(E103),1,(TRIM(E103)="")),"",ROUND((E103+$R103*0.1094)/4.184,3))</f>
        <v>4.496</v>
      </c>
      <c r="AE103" s="139" t="n">
        <f aca="false">IF(IF(ISBLANK(F103),1,(TRIM(F103)="")),"",ROUND((F103+$R103*0.1094)/4.184,3))</f>
        <v>4.496</v>
      </c>
      <c r="AF103" s="93" t="n">
        <f aca="false">IF(IF(ISBLANK(G103),1,(TRIM(G103)="")),"",ROUND((G103+$R103*0.1094)/4.184,3))</f>
        <v>4.496</v>
      </c>
      <c r="AG103" s="137" t="n">
        <f aca="false">IF(IF(ISBLANK(H103),1,(TRIM(H103)="")),"",ROUND((H103+$R103*0.1094)/4.184,3))</f>
        <v>4.496</v>
      </c>
    </row>
    <row r="104" customFormat="false" ht="12.75" hidden="false" customHeight="false" outlineLevel="0" collapsed="false">
      <c r="B104" s="31" t="s">
        <v>130</v>
      </c>
      <c r="C104" s="136"/>
      <c r="D104" s="63"/>
      <c r="E104" s="62"/>
      <c r="F104" s="63"/>
      <c r="G104" s="62"/>
      <c r="H104" s="63"/>
      <c r="I104" s="58"/>
      <c r="J104" s="31" t="s">
        <v>130</v>
      </c>
      <c r="K104" s="130" t="str">
        <f aca="false">IF(IF(ISBLANK(C104),1,(TRIM(C104)="")),"",ROUND(C104/4.184,3))</f>
        <v/>
      </c>
      <c r="L104" s="137" t="str">
        <f aca="false">IF(IF(ISBLANK(D104),1,(TRIM(D104)="")),"",ROUND(D104/4.184,3))</f>
        <v/>
      </c>
      <c r="M104" s="132" t="str">
        <f aca="false">IF(IF(ISBLANK(E104),1,(TRIM(E104)="")),"",ROUND(E104/4.184,3))</f>
        <v/>
      </c>
      <c r="N104" s="137" t="str">
        <f aca="false">IF(IF(ISBLANK(F104),1,(TRIM(F104)="")),"",ROUND(F104/4.184,3))</f>
        <v/>
      </c>
      <c r="O104" s="132" t="str">
        <f aca="false">IF(IF(ISBLANK(G104),1,(TRIM(G104)="")),"",ROUND(G104/4.184,3))</f>
        <v/>
      </c>
      <c r="P104" s="137" t="str">
        <f aca="false">IF(IF(ISBLANK(H104),1,(TRIM(H104)="")),"",ROUND(H104/4.184,3))</f>
        <v/>
      </c>
      <c r="R104" s="34"/>
      <c r="S104" s="31" t="s">
        <v>130</v>
      </c>
      <c r="T104" s="130" t="str">
        <f aca="false">IF(IF(ISBLANK(C104),1,(TRIM(C104)="")),"",ROUND(C104+$R104*0.1094,3))</f>
        <v/>
      </c>
      <c r="U104" s="101" t="str">
        <f aca="false">IF(IF(ISBLANK(D104),1,(TRIM(D104)="")),"",ROUND(D104+$R104*0.1094,3))</f>
        <v/>
      </c>
      <c r="V104" s="130" t="str">
        <f aca="false">IF(IF(ISBLANK(E104),1,(TRIM(E104)="")),"",ROUND(E104+$R104*0.1094,3))</f>
        <v/>
      </c>
      <c r="W104" s="101" t="str">
        <f aca="false">IF(IF(ISBLANK(F104),1,(TRIM(F104)="")),"",ROUND(F104+$R104*0.1094,3))</f>
        <v/>
      </c>
      <c r="X104" s="130" t="str">
        <f aca="false">IF(IF(ISBLANK(G104),1,(TRIM(G104)="")),"",ROUND(G104+$R104*0.1094,3))</f>
        <v/>
      </c>
      <c r="Y104" s="101" t="str">
        <f aca="false">IF(IF(ISBLANK(H104),1,(TRIM(H104)="")),"",ROUND(H104+$R104*0.1094,3))</f>
        <v/>
      </c>
      <c r="Z104" s="10"/>
      <c r="AA104" s="138" t="s">
        <v>130</v>
      </c>
      <c r="AB104" s="93" t="str">
        <f aca="false">IF(IF(ISBLANK(C104),1,(TRIM(C104)="")),"",ROUND((C104+$R104*0.1094)/4.184,3))</f>
        <v/>
      </c>
      <c r="AC104" s="139" t="str">
        <f aca="false">IF(IF(ISBLANK(D104),1,(TRIM(D104)="")),"",ROUND((D104+$R104*0.1094)/4.184,3))</f>
        <v/>
      </c>
      <c r="AD104" s="93" t="str">
        <f aca="false">IF(IF(ISBLANK(E104),1,(TRIM(E104)="")),"",ROUND((E104+$R104*0.1094)/4.184,3))</f>
        <v/>
      </c>
      <c r="AE104" s="139" t="str">
        <f aca="false">IF(IF(ISBLANK(F104),1,(TRIM(F104)="")),"",ROUND((F104+$R104*0.1094)/4.184,3))</f>
        <v/>
      </c>
      <c r="AF104" s="93" t="str">
        <f aca="false">IF(IF(ISBLANK(G104),1,(TRIM(G104)="")),"",ROUND((G104+$R104*0.1094)/4.184,3))</f>
        <v/>
      </c>
      <c r="AG104" s="137" t="str">
        <f aca="false">IF(IF(ISBLANK(H104),1,(TRIM(H104)="")),"",ROUND((H104+$R104*0.1094)/4.184,3))</f>
        <v/>
      </c>
    </row>
    <row r="105" customFormat="false" ht="12.75" hidden="false" customHeight="false" outlineLevel="0" collapsed="false">
      <c r="B105" s="31" t="s">
        <v>131</v>
      </c>
      <c r="C105" s="136"/>
      <c r="D105" s="63"/>
      <c r="E105" s="62"/>
      <c r="F105" s="63"/>
      <c r="G105" s="62" t="n">
        <v>51.18</v>
      </c>
      <c r="H105" s="63" t="n">
        <v>51.18</v>
      </c>
      <c r="I105" s="58"/>
      <c r="J105" s="31" t="s">
        <v>131</v>
      </c>
      <c r="K105" s="130" t="str">
        <f aca="false">IF(IF(ISBLANK(C105),1,(TRIM(C105)="")),"",ROUND(C105/4.184,3))</f>
        <v/>
      </c>
      <c r="L105" s="137" t="str">
        <f aca="false">IF(IF(ISBLANK(D105),1,(TRIM(D105)="")),"",ROUND(D105/4.184,3))</f>
        <v/>
      </c>
      <c r="M105" s="132" t="str">
        <f aca="false">IF(IF(ISBLANK(E105),1,(TRIM(E105)="")),"",ROUND(E105/4.184,3))</f>
        <v/>
      </c>
      <c r="N105" s="137" t="str">
        <f aca="false">IF(IF(ISBLANK(F105),1,(TRIM(F105)="")),"",ROUND(F105/4.184,3))</f>
        <v/>
      </c>
      <c r="O105" s="132" t="n">
        <f aca="false">IF(IF(ISBLANK(G105),1,(TRIM(G105)="")),"",ROUND(G105/4.184,3))</f>
        <v>12.232</v>
      </c>
      <c r="P105" s="137" t="n">
        <f aca="false">IF(IF(ISBLANK(H105),1,(TRIM(H105)="")),"",ROUND(H105/4.184,3))</f>
        <v>12.232</v>
      </c>
      <c r="R105" s="34"/>
      <c r="S105" s="31" t="s">
        <v>131</v>
      </c>
      <c r="T105" s="130" t="str">
        <f aca="false">IF(IF(ISBLANK(C105),1,(TRIM(C105)="")),"",ROUND(C105+$R105*0.1094,3))</f>
        <v/>
      </c>
      <c r="U105" s="101" t="str">
        <f aca="false">IF(IF(ISBLANK(D105),1,(TRIM(D105)="")),"",ROUND(D105+$R105*0.1094,3))</f>
        <v/>
      </c>
      <c r="V105" s="130" t="str">
        <f aca="false">IF(IF(ISBLANK(E105),1,(TRIM(E105)="")),"",ROUND(E105+$R105*0.1094,3))</f>
        <v/>
      </c>
      <c r="W105" s="101" t="str">
        <f aca="false">IF(IF(ISBLANK(F105),1,(TRIM(F105)="")),"",ROUND(F105+$R105*0.1094,3))</f>
        <v/>
      </c>
      <c r="X105" s="130" t="n">
        <f aca="false">IF(IF(ISBLANK(G105),1,(TRIM(G105)="")),"",ROUND(G105+$R105*0.1094,3))</f>
        <v>51.18</v>
      </c>
      <c r="Y105" s="101" t="n">
        <f aca="false">IF(IF(ISBLANK(H105),1,(TRIM(H105)="")),"",ROUND(H105+$R105*0.1094,3))</f>
        <v>51.18</v>
      </c>
      <c r="Z105" s="10"/>
      <c r="AA105" s="138" t="s">
        <v>131</v>
      </c>
      <c r="AB105" s="93" t="str">
        <f aca="false">IF(IF(ISBLANK(C105),1,(TRIM(C105)="")),"",ROUND((C105+$R105*0.1094)/4.184,3))</f>
        <v/>
      </c>
      <c r="AC105" s="139" t="str">
        <f aca="false">IF(IF(ISBLANK(D105),1,(TRIM(D105)="")),"",ROUND((D105+$R105*0.1094)/4.184,3))</f>
        <v/>
      </c>
      <c r="AD105" s="93" t="str">
        <f aca="false">IF(IF(ISBLANK(E105),1,(TRIM(E105)="")),"",ROUND((E105+$R105*0.1094)/4.184,3))</f>
        <v/>
      </c>
      <c r="AE105" s="139" t="str">
        <f aca="false">IF(IF(ISBLANK(F105),1,(TRIM(F105)="")),"",ROUND((F105+$R105*0.1094)/4.184,3))</f>
        <v/>
      </c>
      <c r="AF105" s="93" t="n">
        <f aca="false">IF(IF(ISBLANK(G105),1,(TRIM(G105)="")),"",ROUND((G105+$R105*0.1094)/4.184,3))</f>
        <v>12.232</v>
      </c>
      <c r="AG105" s="137" t="n">
        <f aca="false">IF(IF(ISBLANK(H105),1,(TRIM(H105)="")),"",ROUND((H105+$R105*0.1094)/4.184,3))</f>
        <v>12.232</v>
      </c>
    </row>
    <row r="106" customFormat="false" ht="12.75" hidden="false" customHeight="false" outlineLevel="0" collapsed="false">
      <c r="B106" s="38" t="s">
        <v>132</v>
      </c>
      <c r="C106" s="136"/>
      <c r="D106" s="63"/>
      <c r="E106" s="62"/>
      <c r="F106" s="63"/>
      <c r="G106" s="62"/>
      <c r="H106" s="63"/>
      <c r="I106" s="58"/>
      <c r="J106" s="38" t="s">
        <v>132</v>
      </c>
      <c r="K106" s="130" t="str">
        <f aca="false">IF(IF(ISBLANK(C106),1,(TRIM(C106)="")),"",ROUND(C106/4.184,3))</f>
        <v/>
      </c>
      <c r="L106" s="137" t="str">
        <f aca="false">IF(IF(ISBLANK(D106),1,(TRIM(D106)="")),"",ROUND(D106/4.184,3))</f>
        <v/>
      </c>
      <c r="M106" s="132" t="str">
        <f aca="false">IF(IF(ISBLANK(E106),1,(TRIM(E106)="")),"",ROUND(E106/4.184,3))</f>
        <v/>
      </c>
      <c r="N106" s="137" t="str">
        <f aca="false">IF(IF(ISBLANK(F106),1,(TRIM(F106)="")),"",ROUND(F106/4.184,3))</f>
        <v/>
      </c>
      <c r="O106" s="132" t="str">
        <f aca="false">IF(IF(ISBLANK(G106),1,(TRIM(G106)="")),"",ROUND(G106/4.184,3))</f>
        <v/>
      </c>
      <c r="P106" s="137" t="str">
        <f aca="false">IF(IF(ISBLANK(H106),1,(TRIM(H106)="")),"",ROUND(H106/4.184,3))</f>
        <v/>
      </c>
      <c r="R106" s="34"/>
      <c r="S106" s="38" t="s">
        <v>132</v>
      </c>
      <c r="T106" s="130" t="str">
        <f aca="false">IF(IF(ISBLANK(C106),1,(TRIM(C106)="")),"",ROUND(C106+$R106*0.1094,3))</f>
        <v/>
      </c>
      <c r="U106" s="101" t="str">
        <f aca="false">IF(IF(ISBLANK(D106),1,(TRIM(D106)="")),"",ROUND(D106+$R106*0.1094,3))</f>
        <v/>
      </c>
      <c r="V106" s="130" t="str">
        <f aca="false">IF(IF(ISBLANK(E106),1,(TRIM(E106)="")),"",ROUND(E106+$R106*0.1094,3))</f>
        <v/>
      </c>
      <c r="W106" s="101" t="str">
        <f aca="false">IF(IF(ISBLANK(F106),1,(TRIM(F106)="")),"",ROUND(F106+$R106*0.1094,3))</f>
        <v/>
      </c>
      <c r="X106" s="130" t="str">
        <f aca="false">IF(IF(ISBLANK(G106),1,(TRIM(G106)="")),"",ROUND(G106+$R106*0.1094,3))</f>
        <v/>
      </c>
      <c r="Y106" s="101" t="str">
        <f aca="false">IF(IF(ISBLANK(H106),1,(TRIM(H106)="")),"",ROUND(H106+$R106*0.1094,3))</f>
        <v/>
      </c>
      <c r="Z106" s="10"/>
      <c r="AA106" s="140" t="s">
        <v>132</v>
      </c>
      <c r="AB106" s="93" t="str">
        <f aca="false">IF(IF(ISBLANK(C106),1,(TRIM(C106)="")),"",ROUND((C106+$R106*0.1094)/4.184,3))</f>
        <v/>
      </c>
      <c r="AC106" s="139" t="str">
        <f aca="false">IF(IF(ISBLANK(D106),1,(TRIM(D106)="")),"",ROUND((D106+$R106*0.1094)/4.184,3))</f>
        <v/>
      </c>
      <c r="AD106" s="93" t="str">
        <f aca="false">IF(IF(ISBLANK(E106),1,(TRIM(E106)="")),"",ROUND((E106+$R106*0.1094)/4.184,3))</f>
        <v/>
      </c>
      <c r="AE106" s="139" t="str">
        <f aca="false">IF(IF(ISBLANK(F106),1,(TRIM(F106)="")),"",ROUND((F106+$R106*0.1094)/4.184,3))</f>
        <v/>
      </c>
      <c r="AF106" s="93" t="str">
        <f aca="false">IF(IF(ISBLANK(G106),1,(TRIM(G106)="")),"",ROUND((G106+$R106*0.1094)/4.184,3))</f>
        <v/>
      </c>
      <c r="AG106" s="137" t="str">
        <f aca="false">IF(IF(ISBLANK(H106),1,(TRIM(H106)="")),"",ROUND((H106+$R106*0.1094)/4.184,3))</f>
        <v/>
      </c>
    </row>
    <row r="107" customFormat="false" ht="12.75" hidden="false" customHeight="false" outlineLevel="0" collapsed="false">
      <c r="B107" s="31" t="s">
        <v>133</v>
      </c>
      <c r="C107" s="136"/>
      <c r="D107" s="63"/>
      <c r="E107" s="62"/>
      <c r="F107" s="63"/>
      <c r="G107" s="62"/>
      <c r="H107" s="63"/>
      <c r="I107" s="58"/>
      <c r="J107" s="31" t="s">
        <v>133</v>
      </c>
      <c r="K107" s="130" t="str">
        <f aca="false">IF(IF(ISBLANK(C107),1,(TRIM(C107)="")),"",ROUND(C107/4.184,3))</f>
        <v/>
      </c>
      <c r="L107" s="137" t="str">
        <f aca="false">IF(IF(ISBLANK(D107),1,(TRIM(D107)="")),"",ROUND(D107/4.184,3))</f>
        <v/>
      </c>
      <c r="M107" s="132" t="str">
        <f aca="false">IF(IF(ISBLANK(E107),1,(TRIM(E107)="")),"",ROUND(E107/4.184,3))</f>
        <v/>
      </c>
      <c r="N107" s="137" t="str">
        <f aca="false">IF(IF(ISBLANK(F107),1,(TRIM(F107)="")),"",ROUND(F107/4.184,3))</f>
        <v/>
      </c>
      <c r="O107" s="132" t="str">
        <f aca="false">IF(IF(ISBLANK(G107),1,(TRIM(G107)="")),"",ROUND(G107/4.184,3))</f>
        <v/>
      </c>
      <c r="P107" s="137" t="str">
        <f aca="false">IF(IF(ISBLANK(H107),1,(TRIM(H107)="")),"",ROUND(H107/4.184,3))</f>
        <v/>
      </c>
      <c r="R107" s="34"/>
      <c r="S107" s="31" t="s">
        <v>133</v>
      </c>
      <c r="T107" s="130" t="str">
        <f aca="false">IF(IF(ISBLANK(C107),1,(TRIM(C107)="")),"",ROUND(C107+$R107*0.1094,3))</f>
        <v/>
      </c>
      <c r="U107" s="101" t="str">
        <f aca="false">IF(IF(ISBLANK(D107),1,(TRIM(D107)="")),"",ROUND(D107+$R107*0.1094,3))</f>
        <v/>
      </c>
      <c r="V107" s="130" t="str">
        <f aca="false">IF(IF(ISBLANK(E107),1,(TRIM(E107)="")),"",ROUND(E107+$R107*0.1094,3))</f>
        <v/>
      </c>
      <c r="W107" s="101" t="str">
        <f aca="false">IF(IF(ISBLANK(F107),1,(TRIM(F107)="")),"",ROUND(F107+$R107*0.1094,3))</f>
        <v/>
      </c>
      <c r="X107" s="130" t="str">
        <f aca="false">IF(IF(ISBLANK(G107),1,(TRIM(G107)="")),"",ROUND(G107+$R107*0.1094,3))</f>
        <v/>
      </c>
      <c r="Y107" s="101" t="str">
        <f aca="false">IF(IF(ISBLANK(H107),1,(TRIM(H107)="")),"",ROUND(H107+$R107*0.1094,3))</f>
        <v/>
      </c>
      <c r="Z107" s="10"/>
      <c r="AA107" s="138" t="s">
        <v>133</v>
      </c>
      <c r="AB107" s="93" t="str">
        <f aca="false">IF(IF(ISBLANK(C107),1,(TRIM(C107)="")),"",ROUND((C107+$R107*0.1094)/4.184,3))</f>
        <v/>
      </c>
      <c r="AC107" s="139" t="str">
        <f aca="false">IF(IF(ISBLANK(D107),1,(TRIM(D107)="")),"",ROUND((D107+$R107*0.1094)/4.184,3))</f>
        <v/>
      </c>
      <c r="AD107" s="93" t="str">
        <f aca="false">IF(IF(ISBLANK(E107),1,(TRIM(E107)="")),"",ROUND((E107+$R107*0.1094)/4.184,3))</f>
        <v/>
      </c>
      <c r="AE107" s="139" t="str">
        <f aca="false">IF(IF(ISBLANK(F107),1,(TRIM(F107)="")),"",ROUND((F107+$R107*0.1094)/4.184,3))</f>
        <v/>
      </c>
      <c r="AF107" s="93" t="str">
        <f aca="false">IF(IF(ISBLANK(G107),1,(TRIM(G107)="")),"",ROUND((G107+$R107*0.1094)/4.184,3))</f>
        <v/>
      </c>
      <c r="AG107" s="137" t="str">
        <f aca="false">IF(IF(ISBLANK(H107),1,(TRIM(H107)="")),"",ROUND((H107+$R107*0.1094)/4.184,3))</f>
        <v/>
      </c>
    </row>
    <row r="108" customFormat="false" ht="12.75" hidden="false" customHeight="false" outlineLevel="0" collapsed="false">
      <c r="B108" s="31" t="s">
        <v>134</v>
      </c>
      <c r="C108" s="136"/>
      <c r="D108" s="63"/>
      <c r="E108" s="62"/>
      <c r="F108" s="63"/>
      <c r="G108" s="62"/>
      <c r="H108" s="63"/>
      <c r="I108" s="58"/>
      <c r="J108" s="31" t="s">
        <v>134</v>
      </c>
      <c r="K108" s="130" t="str">
        <f aca="false">IF(IF(ISBLANK(C108),1,(TRIM(C108)="")),"",ROUND(C108/4.184,3))</f>
        <v/>
      </c>
      <c r="L108" s="137" t="str">
        <f aca="false">IF(IF(ISBLANK(D108),1,(TRIM(D108)="")),"",ROUND(D108/4.184,3))</f>
        <v/>
      </c>
      <c r="M108" s="132" t="str">
        <f aca="false">IF(IF(ISBLANK(E108),1,(TRIM(E108)="")),"",ROUND(E108/4.184,3))</f>
        <v/>
      </c>
      <c r="N108" s="137" t="str">
        <f aca="false">IF(IF(ISBLANK(F108),1,(TRIM(F108)="")),"",ROUND(F108/4.184,3))</f>
        <v/>
      </c>
      <c r="O108" s="132" t="str">
        <f aca="false">IF(IF(ISBLANK(G108),1,(TRIM(G108)="")),"",ROUND(G108/4.184,3))</f>
        <v/>
      </c>
      <c r="P108" s="137" t="str">
        <f aca="false">IF(IF(ISBLANK(H108),1,(TRIM(H108)="")),"",ROUND(H108/4.184,3))</f>
        <v/>
      </c>
      <c r="Q108" s="45"/>
      <c r="R108" s="34"/>
      <c r="S108" s="31" t="s">
        <v>134</v>
      </c>
      <c r="T108" s="130" t="str">
        <f aca="false">IF(IF(ISBLANK(C108),1,(TRIM(C108)="")),"",ROUND(C108+$R108*0.1094,3))</f>
        <v/>
      </c>
      <c r="U108" s="101" t="str">
        <f aca="false">IF(IF(ISBLANK(D108),1,(TRIM(D108)="")),"",ROUND(D108+$R108*0.1094,3))</f>
        <v/>
      </c>
      <c r="V108" s="130" t="str">
        <f aca="false">IF(IF(ISBLANK(E108),1,(TRIM(E108)="")),"",ROUND(E108+$R108*0.1094,3))</f>
        <v/>
      </c>
      <c r="W108" s="101" t="str">
        <f aca="false">IF(IF(ISBLANK(F108),1,(TRIM(F108)="")),"",ROUND(F108+$R108*0.1094,3))</f>
        <v/>
      </c>
      <c r="X108" s="130" t="str">
        <f aca="false">IF(IF(ISBLANK(G108),1,(TRIM(G108)="")),"",ROUND(G108+$R108*0.1094,3))</f>
        <v/>
      </c>
      <c r="Y108" s="101" t="str">
        <f aca="false">IF(IF(ISBLANK(H108),1,(TRIM(H108)="")),"",ROUND(H108+$R108*0.1094,3))</f>
        <v/>
      </c>
      <c r="Z108" s="10"/>
      <c r="AA108" s="138" t="s">
        <v>134</v>
      </c>
      <c r="AB108" s="93" t="str">
        <f aca="false">IF(IF(ISBLANK(C108),1,(TRIM(C108)="")),"",ROUND((C108+$R108*0.1094)/4.184,3))</f>
        <v/>
      </c>
      <c r="AC108" s="139" t="str">
        <f aca="false">IF(IF(ISBLANK(D108),1,(TRIM(D108)="")),"",ROUND((D108+$R108*0.1094)/4.184,3))</f>
        <v/>
      </c>
      <c r="AD108" s="93" t="str">
        <f aca="false">IF(IF(ISBLANK(E108),1,(TRIM(E108)="")),"",ROUND((E108+$R108*0.1094)/4.184,3))</f>
        <v/>
      </c>
      <c r="AE108" s="139" t="str">
        <f aca="false">IF(IF(ISBLANK(F108),1,(TRIM(F108)="")),"",ROUND((F108+$R108*0.1094)/4.184,3))</f>
        <v/>
      </c>
      <c r="AF108" s="93" t="str">
        <f aca="false">IF(IF(ISBLANK(G108),1,(TRIM(G108)="")),"",ROUND((G108+$R108*0.1094)/4.184,3))</f>
        <v/>
      </c>
      <c r="AG108" s="137" t="str">
        <f aca="false">IF(IF(ISBLANK(H108),1,(TRIM(H108)="")),"",ROUND((H108+$R108*0.1094)/4.184,3))</f>
        <v/>
      </c>
    </row>
    <row r="109" customFormat="false" ht="12.75" hidden="false" customHeight="false" outlineLevel="0" collapsed="false">
      <c r="B109" s="31" t="s">
        <v>135</v>
      </c>
      <c r="C109" s="136"/>
      <c r="D109" s="63"/>
      <c r="E109" s="62"/>
      <c r="F109" s="63"/>
      <c r="G109" s="62"/>
      <c r="H109" s="63"/>
      <c r="I109" s="58"/>
      <c r="J109" s="31" t="s">
        <v>135</v>
      </c>
      <c r="K109" s="130" t="str">
        <f aca="false">IF(IF(ISBLANK(C109),1,(TRIM(C109)="")),"",ROUND(C109/4.184,3))</f>
        <v/>
      </c>
      <c r="L109" s="137" t="str">
        <f aca="false">IF(IF(ISBLANK(D109),1,(TRIM(D109)="")),"",ROUND(D109/4.184,3))</f>
        <v/>
      </c>
      <c r="M109" s="132" t="str">
        <f aca="false">IF(IF(ISBLANK(E109),1,(TRIM(E109)="")),"",ROUND(E109/4.184,3))</f>
        <v/>
      </c>
      <c r="N109" s="137" t="str">
        <f aca="false">IF(IF(ISBLANK(F109),1,(TRIM(F109)="")),"",ROUND(F109/4.184,3))</f>
        <v/>
      </c>
      <c r="O109" s="132" t="str">
        <f aca="false">IF(IF(ISBLANK(G109),1,(TRIM(G109)="")),"",ROUND(G109/4.184,3))</f>
        <v/>
      </c>
      <c r="P109" s="137" t="str">
        <f aca="false">IF(IF(ISBLANK(H109),1,(TRIM(H109)="")),"",ROUND(H109/4.184,3))</f>
        <v/>
      </c>
      <c r="Q109" s="45"/>
      <c r="R109" s="34"/>
      <c r="S109" s="31" t="s">
        <v>135</v>
      </c>
      <c r="T109" s="130" t="str">
        <f aca="false">IF(IF(ISBLANK(C109),1,(TRIM(C109)="")),"",ROUND(C109+$R109*0.1094,3))</f>
        <v/>
      </c>
      <c r="U109" s="101" t="str">
        <f aca="false">IF(IF(ISBLANK(D109),1,(TRIM(D109)="")),"",ROUND(D109+$R109*0.1094,3))</f>
        <v/>
      </c>
      <c r="V109" s="130" t="str">
        <f aca="false">IF(IF(ISBLANK(E109),1,(TRIM(E109)="")),"",ROUND(E109+$R109*0.1094,3))</f>
        <v/>
      </c>
      <c r="W109" s="101" t="str">
        <f aca="false">IF(IF(ISBLANK(F109),1,(TRIM(F109)="")),"",ROUND(F109+$R109*0.1094,3))</f>
        <v/>
      </c>
      <c r="X109" s="130" t="str">
        <f aca="false">IF(IF(ISBLANK(G109),1,(TRIM(G109)="")),"",ROUND(G109+$R109*0.1094,3))</f>
        <v/>
      </c>
      <c r="Y109" s="101" t="str">
        <f aca="false">IF(IF(ISBLANK(H109),1,(TRIM(H109)="")),"",ROUND(H109+$R109*0.1094,3))</f>
        <v/>
      </c>
      <c r="Z109" s="10"/>
      <c r="AA109" s="138" t="s">
        <v>135</v>
      </c>
      <c r="AB109" s="93" t="str">
        <f aca="false">IF(IF(ISBLANK(C109),1,(TRIM(C109)="")),"",ROUND((C109+$R109*0.1094)/4.184,3))</f>
        <v/>
      </c>
      <c r="AC109" s="139" t="str">
        <f aca="false">IF(IF(ISBLANK(D109),1,(TRIM(D109)="")),"",ROUND((D109+$R109*0.1094)/4.184,3))</f>
        <v/>
      </c>
      <c r="AD109" s="93" t="str">
        <f aca="false">IF(IF(ISBLANK(E109),1,(TRIM(E109)="")),"",ROUND((E109+$R109*0.1094)/4.184,3))</f>
        <v/>
      </c>
      <c r="AE109" s="139" t="str">
        <f aca="false">IF(IF(ISBLANK(F109),1,(TRIM(F109)="")),"",ROUND((F109+$R109*0.1094)/4.184,3))</f>
        <v/>
      </c>
      <c r="AF109" s="93" t="str">
        <f aca="false">IF(IF(ISBLANK(G109),1,(TRIM(G109)="")),"",ROUND((G109+$R109*0.1094)/4.184,3))</f>
        <v/>
      </c>
      <c r="AG109" s="137" t="str">
        <f aca="false">IF(IF(ISBLANK(H109),1,(TRIM(H109)="")),"",ROUND((H109+$R109*0.1094)/4.184,3))</f>
        <v/>
      </c>
    </row>
    <row r="110" customFormat="false" ht="12.75" hidden="false" customHeight="false" outlineLevel="0" collapsed="false">
      <c r="B110" s="38" t="s">
        <v>136</v>
      </c>
      <c r="C110" s="141"/>
      <c r="D110" s="63"/>
      <c r="E110" s="62"/>
      <c r="F110" s="63"/>
      <c r="G110" s="62"/>
      <c r="H110" s="63"/>
      <c r="I110" s="58"/>
      <c r="J110" s="38" t="s">
        <v>136</v>
      </c>
      <c r="K110" s="130" t="str">
        <f aca="false">IF(IF(ISBLANK(C110),1,(TRIM(C110)="")),"",ROUND(C110/4.184,3))</f>
        <v/>
      </c>
      <c r="L110" s="137" t="str">
        <f aca="false">IF(IF(ISBLANK(D110),1,(TRIM(D110)="")),"",ROUND(D110/4.184,3))</f>
        <v/>
      </c>
      <c r="M110" s="132" t="str">
        <f aca="false">IF(IF(ISBLANK(E110),1,(TRIM(E110)="")),"",ROUND(E110/4.184,3))</f>
        <v/>
      </c>
      <c r="N110" s="137" t="str">
        <f aca="false">IF(IF(ISBLANK(F110),1,(TRIM(F110)="")),"",ROUND(F110/4.184,3))</f>
        <v/>
      </c>
      <c r="O110" s="132" t="str">
        <f aca="false">IF(IF(ISBLANK(G110),1,(TRIM(G110)="")),"",ROUND(G110/4.184,3))</f>
        <v/>
      </c>
      <c r="P110" s="137" t="str">
        <f aca="false">IF(IF(ISBLANK(H110),1,(TRIM(H110)="")),"",ROUND(H110/4.184,3))</f>
        <v/>
      </c>
      <c r="Q110" s="45"/>
      <c r="R110" s="34"/>
      <c r="S110" s="38" t="s">
        <v>136</v>
      </c>
      <c r="T110" s="130" t="str">
        <f aca="false">IF(IF(ISBLANK(C110),1,(TRIM(C110)="")),"",ROUND(C110+$R110*0.1094,3))</f>
        <v/>
      </c>
      <c r="U110" s="101" t="str">
        <f aca="false">IF(IF(ISBLANK(D110),1,(TRIM(D110)="")),"",ROUND(D110+$R110*0.1094,3))</f>
        <v/>
      </c>
      <c r="V110" s="130" t="str">
        <f aca="false">IF(IF(ISBLANK(E110),1,(TRIM(E110)="")),"",ROUND(E110+$R110*0.1094,3))</f>
        <v/>
      </c>
      <c r="W110" s="101" t="str">
        <f aca="false">IF(IF(ISBLANK(F110),1,(TRIM(F110)="")),"",ROUND(F110+$R110*0.1094,3))</f>
        <v/>
      </c>
      <c r="X110" s="130" t="str">
        <f aca="false">IF(IF(ISBLANK(G110),1,(TRIM(G110)="")),"",ROUND(G110+$R110*0.1094,3))</f>
        <v/>
      </c>
      <c r="Y110" s="101" t="str">
        <f aca="false">IF(IF(ISBLANK(H110),1,(TRIM(H110)="")),"",ROUND(H110+$R110*0.1094,3))</f>
        <v/>
      </c>
      <c r="AA110" s="140" t="s">
        <v>136</v>
      </c>
      <c r="AB110" s="93" t="str">
        <f aca="false">IF(IF(ISBLANK(C110),1,(TRIM(C110)="")),"",ROUND((C110+$R110*0.1094)/4.184,3))</f>
        <v/>
      </c>
      <c r="AC110" s="139" t="str">
        <f aca="false">IF(IF(ISBLANK(D110),1,(TRIM(D110)="")),"",ROUND((D110+$R110*0.1094)/4.184,3))</f>
        <v/>
      </c>
      <c r="AD110" s="93" t="str">
        <f aca="false">IF(IF(ISBLANK(E110),1,(TRIM(E110)="")),"",ROUND((E110+$R110*0.1094)/4.184,3))</f>
        <v/>
      </c>
      <c r="AE110" s="139" t="str">
        <f aca="false">IF(IF(ISBLANK(F110),1,(TRIM(F110)="")),"",ROUND((F110+$R110*0.1094)/4.184,3))</f>
        <v/>
      </c>
      <c r="AF110" s="93" t="str">
        <f aca="false">IF(IF(ISBLANK(G110),1,(TRIM(G110)="")),"",ROUND((G110+$R110*0.1094)/4.184,3))</f>
        <v/>
      </c>
      <c r="AG110" s="137" t="str">
        <f aca="false">IF(IF(ISBLANK(H110),1,(TRIM(H110)="")),"",ROUND((H110+$R110*0.1094)/4.184,3))</f>
        <v/>
      </c>
    </row>
    <row r="111" customFormat="false" ht="12.75" hidden="false" customHeight="false" outlineLevel="0" collapsed="false">
      <c r="B111" s="38" t="s">
        <v>137</v>
      </c>
      <c r="C111" s="136"/>
      <c r="D111" s="63"/>
      <c r="E111" s="62"/>
      <c r="F111" s="63" t="n">
        <v>53.39</v>
      </c>
      <c r="G111" s="62" t="n">
        <v>53.39</v>
      </c>
      <c r="H111" s="63" t="n">
        <v>51.8</v>
      </c>
      <c r="I111" s="58"/>
      <c r="J111" s="38" t="s">
        <v>137</v>
      </c>
      <c r="K111" s="130" t="str">
        <f aca="false">IF(IF(ISBLANK(C111),1,(TRIM(C111)="")),"",ROUND(C111/4.184,3))</f>
        <v/>
      </c>
      <c r="L111" s="137" t="str">
        <f aca="false">IF(IF(ISBLANK(D111),1,(TRIM(D111)="")),"",ROUND(D111/4.184,3))</f>
        <v/>
      </c>
      <c r="M111" s="132" t="str">
        <f aca="false">IF(IF(ISBLANK(E111),1,(TRIM(E111)="")),"",ROUND(E111/4.184,3))</f>
        <v/>
      </c>
      <c r="N111" s="137" t="n">
        <f aca="false">IF(IF(ISBLANK(F111),1,(TRIM(F111)="")),"",ROUND(F111/4.184,3))</f>
        <v>12.761</v>
      </c>
      <c r="O111" s="132" t="n">
        <f aca="false">IF(IF(ISBLANK(G111),1,(TRIM(G111)="")),"",ROUND(G111/4.184,3))</f>
        <v>12.761</v>
      </c>
      <c r="P111" s="137" t="n">
        <f aca="false">IF(IF(ISBLANK(H111),1,(TRIM(H111)="")),"",ROUND(H111/4.184,3))</f>
        <v>12.38</v>
      </c>
      <c r="Q111" s="45"/>
      <c r="R111" s="34"/>
      <c r="S111" s="38" t="s">
        <v>137</v>
      </c>
      <c r="T111" s="130" t="str">
        <f aca="false">IF(IF(ISBLANK(C111),1,(TRIM(C111)="")),"",ROUND(C111+$R111*0.1094,3))</f>
        <v/>
      </c>
      <c r="U111" s="101" t="str">
        <f aca="false">IF(IF(ISBLANK(D111),1,(TRIM(D111)="")),"",ROUND(D111+$R111*0.1094,3))</f>
        <v/>
      </c>
      <c r="V111" s="130" t="str">
        <f aca="false">IF(IF(ISBLANK(E111),1,(TRIM(E111)="")),"",ROUND(E111+$R111*0.1094,3))</f>
        <v/>
      </c>
      <c r="W111" s="101" t="n">
        <f aca="false">IF(IF(ISBLANK(F111),1,(TRIM(F111)="")),"",ROUND(F111+$R111*0.1094,3))</f>
        <v>53.39</v>
      </c>
      <c r="X111" s="130" t="n">
        <f aca="false">IF(IF(ISBLANK(G111),1,(TRIM(G111)="")),"",ROUND(G111+$R111*0.1094,3))</f>
        <v>53.39</v>
      </c>
      <c r="Y111" s="101" t="n">
        <f aca="false">IF(IF(ISBLANK(H111),1,(TRIM(H111)="")),"",ROUND(H111+$R111*0.1094,3))</f>
        <v>51.8</v>
      </c>
      <c r="AA111" s="140" t="s">
        <v>137</v>
      </c>
      <c r="AB111" s="93" t="str">
        <f aca="false">IF(IF(ISBLANK(C111),1,(TRIM(C111)="")),"",ROUND((C111+$R111*0.1094)/4.184,3))</f>
        <v/>
      </c>
      <c r="AC111" s="139" t="str">
        <f aca="false">IF(IF(ISBLANK(D111),1,(TRIM(D111)="")),"",ROUND((D111+$R111*0.1094)/4.184,3))</f>
        <v/>
      </c>
      <c r="AD111" s="93" t="str">
        <f aca="false">IF(IF(ISBLANK(E111),1,(TRIM(E111)="")),"",ROUND((E111+$R111*0.1094)/4.184,3))</f>
        <v/>
      </c>
      <c r="AE111" s="139" t="n">
        <f aca="false">IF(IF(ISBLANK(F111),1,(TRIM(F111)="")),"",ROUND((F111+$R111*0.1094)/4.184,3))</f>
        <v>12.761</v>
      </c>
      <c r="AF111" s="93" t="n">
        <f aca="false">IF(IF(ISBLANK(G111),1,(TRIM(G111)="")),"",ROUND((G111+$R111*0.1094)/4.184,3))</f>
        <v>12.761</v>
      </c>
      <c r="AG111" s="137" t="n">
        <f aca="false">IF(IF(ISBLANK(H111),1,(TRIM(H111)="")),"",ROUND((H111+$R111*0.1094)/4.184,3))</f>
        <v>12.38</v>
      </c>
    </row>
    <row r="112" customFormat="false" ht="12.75" hidden="false" customHeight="false" outlineLevel="0" collapsed="false">
      <c r="B112" s="31" t="s">
        <v>138</v>
      </c>
      <c r="C112" s="136"/>
      <c r="D112" s="63"/>
      <c r="E112" s="62"/>
      <c r="F112" s="63"/>
      <c r="G112" s="62"/>
      <c r="H112" s="63" t="n">
        <v>30.72</v>
      </c>
      <c r="I112" s="58"/>
      <c r="J112" s="31" t="s">
        <v>138</v>
      </c>
      <c r="K112" s="130" t="str">
        <f aca="false">IF(IF(ISBLANK(C112),1,(TRIM(C112)="")),"",ROUND(C112/4.184,3))</f>
        <v/>
      </c>
      <c r="L112" s="137" t="str">
        <f aca="false">IF(IF(ISBLANK(D112),1,(TRIM(D112)="")),"",ROUND(D112/4.184,3))</f>
        <v/>
      </c>
      <c r="M112" s="132" t="str">
        <f aca="false">IF(IF(ISBLANK(E112),1,(TRIM(E112)="")),"",ROUND(E112/4.184,3))</f>
        <v/>
      </c>
      <c r="N112" s="137" t="str">
        <f aca="false">IF(IF(ISBLANK(F112),1,(TRIM(F112)="")),"",ROUND(F112/4.184,3))</f>
        <v/>
      </c>
      <c r="O112" s="132" t="str">
        <f aca="false">IF(IF(ISBLANK(G112),1,(TRIM(G112)="")),"",ROUND(G112/4.184,3))</f>
        <v/>
      </c>
      <c r="P112" s="137" t="n">
        <f aca="false">IF(IF(ISBLANK(H112),1,(TRIM(H112)="")),"",ROUND(H112/4.184,3))</f>
        <v>7.342</v>
      </c>
      <c r="R112" s="34"/>
      <c r="S112" s="31" t="s">
        <v>138</v>
      </c>
      <c r="T112" s="130" t="str">
        <f aca="false">IF(IF(ISBLANK(C112),1,(TRIM(C112)="")),"",ROUND(C112+$R112*0.1094,3))</f>
        <v/>
      </c>
      <c r="U112" s="101" t="str">
        <f aca="false">IF(IF(ISBLANK(D112),1,(TRIM(D112)="")),"",ROUND(D112+$R112*0.1094,3))</f>
        <v/>
      </c>
      <c r="V112" s="130" t="str">
        <f aca="false">IF(IF(ISBLANK(E112),1,(TRIM(E112)="")),"",ROUND(E112+$R112*0.1094,3))</f>
        <v/>
      </c>
      <c r="W112" s="101" t="str">
        <f aca="false">IF(IF(ISBLANK(F112),1,(TRIM(F112)="")),"",ROUND(F112+$R112*0.1094,3))</f>
        <v/>
      </c>
      <c r="X112" s="130" t="str">
        <f aca="false">IF(IF(ISBLANK(G112),1,(TRIM(G112)="")),"",ROUND(G112+$R112*0.1094,3))</f>
        <v/>
      </c>
      <c r="Y112" s="101" t="n">
        <f aca="false">IF(IF(ISBLANK(H112),1,(TRIM(H112)="")),"",ROUND(H112+$R112*0.1094,3))</f>
        <v>30.72</v>
      </c>
      <c r="AA112" s="138" t="s">
        <v>138</v>
      </c>
      <c r="AB112" s="93" t="str">
        <f aca="false">IF(IF(ISBLANK(C112),1,(TRIM(C112)="")),"",ROUND((C112+$R112*0.1094)/4.184,3))</f>
        <v/>
      </c>
      <c r="AC112" s="139" t="str">
        <f aca="false">IF(IF(ISBLANK(D112),1,(TRIM(D112)="")),"",ROUND((D112+$R112*0.1094)/4.184,3))</f>
        <v/>
      </c>
      <c r="AD112" s="93" t="str">
        <f aca="false">IF(IF(ISBLANK(E112),1,(TRIM(E112)="")),"",ROUND((E112+$R112*0.1094)/4.184,3))</f>
        <v/>
      </c>
      <c r="AE112" s="139" t="str">
        <f aca="false">IF(IF(ISBLANK(F112),1,(TRIM(F112)="")),"",ROUND((F112+$R112*0.1094)/4.184,3))</f>
        <v/>
      </c>
      <c r="AF112" s="93" t="str">
        <f aca="false">IF(IF(ISBLANK(G112),1,(TRIM(G112)="")),"",ROUND((G112+$R112*0.1094)/4.184,3))</f>
        <v/>
      </c>
      <c r="AG112" s="137" t="n">
        <f aca="false">IF(IF(ISBLANK(H112),1,(TRIM(H112)="")),"",ROUND((H112+$R112*0.1094)/4.184,3))</f>
        <v>7.342</v>
      </c>
    </row>
    <row r="113" customFormat="false" ht="12.75" hidden="false" customHeight="false" outlineLevel="0" collapsed="false">
      <c r="B113" s="31" t="s">
        <v>139</v>
      </c>
      <c r="C113" s="136"/>
      <c r="D113" s="63"/>
      <c r="E113" s="62"/>
      <c r="F113" s="63"/>
      <c r="G113" s="62"/>
      <c r="H113" s="63"/>
      <c r="I113" s="58"/>
      <c r="J113" s="31" t="s">
        <v>139</v>
      </c>
      <c r="K113" s="130" t="str">
        <f aca="false">IF(IF(ISBLANK(C113),1,(TRIM(C113)="")),"",ROUND(C113/4.184,3))</f>
        <v/>
      </c>
      <c r="L113" s="137" t="str">
        <f aca="false">IF(IF(ISBLANK(D113),1,(TRIM(D113)="")),"",ROUND(D113/4.184,3))</f>
        <v/>
      </c>
      <c r="M113" s="132" t="str">
        <f aca="false">IF(IF(ISBLANK(E113),1,(TRIM(E113)="")),"",ROUND(E113/4.184,3))</f>
        <v/>
      </c>
      <c r="N113" s="137" t="str">
        <f aca="false">IF(IF(ISBLANK(F113),1,(TRIM(F113)="")),"",ROUND(F113/4.184,3))</f>
        <v/>
      </c>
      <c r="O113" s="132" t="str">
        <f aca="false">IF(IF(ISBLANK(G113),1,(TRIM(G113)="")),"",ROUND(G113/4.184,3))</f>
        <v/>
      </c>
      <c r="P113" s="137" t="str">
        <f aca="false">IF(IF(ISBLANK(H113),1,(TRIM(H113)="")),"",ROUND(H113/4.184,3))</f>
        <v/>
      </c>
      <c r="R113" s="34"/>
      <c r="S113" s="31" t="s">
        <v>139</v>
      </c>
      <c r="T113" s="130" t="str">
        <f aca="false">IF(IF(ISBLANK(C113),1,(TRIM(C113)="")),"",ROUND(C113+$R113*0.1094,3))</f>
        <v/>
      </c>
      <c r="U113" s="101" t="str">
        <f aca="false">IF(IF(ISBLANK(D113),1,(TRIM(D113)="")),"",ROUND(D113+$R113*0.1094,3))</f>
        <v/>
      </c>
      <c r="V113" s="130" t="str">
        <f aca="false">IF(IF(ISBLANK(E113),1,(TRIM(E113)="")),"",ROUND(E113+$R113*0.1094,3))</f>
        <v/>
      </c>
      <c r="W113" s="101" t="str">
        <f aca="false">IF(IF(ISBLANK(F113),1,(TRIM(F113)="")),"",ROUND(F113+$R113*0.1094,3))</f>
        <v/>
      </c>
      <c r="X113" s="130" t="str">
        <f aca="false">IF(IF(ISBLANK(G113),1,(TRIM(G113)="")),"",ROUND(G113+$R113*0.1094,3))</f>
        <v/>
      </c>
      <c r="Y113" s="101" t="str">
        <f aca="false">IF(IF(ISBLANK(H113),1,(TRIM(H113)="")),"",ROUND(H113+$R113*0.1094,3))</f>
        <v/>
      </c>
      <c r="AA113" s="138" t="s">
        <v>139</v>
      </c>
      <c r="AB113" s="93" t="str">
        <f aca="false">IF(IF(ISBLANK(C113),1,(TRIM(C113)="")),"",ROUND((C113+$R113*0.1094)/4.184,3))</f>
        <v/>
      </c>
      <c r="AC113" s="139" t="str">
        <f aca="false">IF(IF(ISBLANK(D113),1,(TRIM(D113)="")),"",ROUND((D113+$R113*0.1094)/4.184,3))</f>
        <v/>
      </c>
      <c r="AD113" s="93" t="str">
        <f aca="false">IF(IF(ISBLANK(E113),1,(TRIM(E113)="")),"",ROUND((E113+$R113*0.1094)/4.184,3))</f>
        <v/>
      </c>
      <c r="AE113" s="139" t="str">
        <f aca="false">IF(IF(ISBLANK(F113),1,(TRIM(F113)="")),"",ROUND((F113+$R113*0.1094)/4.184,3))</f>
        <v/>
      </c>
      <c r="AF113" s="93" t="str">
        <f aca="false">IF(IF(ISBLANK(G113),1,(TRIM(G113)="")),"",ROUND((G113+$R113*0.1094)/4.184,3))</f>
        <v/>
      </c>
      <c r="AG113" s="137" t="str">
        <f aca="false">IF(IF(ISBLANK(H113),1,(TRIM(H113)="")),"",ROUND((H113+$R113*0.1094)/4.184,3))</f>
        <v/>
      </c>
    </row>
    <row r="114" customFormat="false" ht="12.75" hidden="false" customHeight="false" outlineLevel="0" collapsed="false">
      <c r="B114" s="31" t="s">
        <v>140</v>
      </c>
      <c r="C114" s="136"/>
      <c r="D114" s="63"/>
      <c r="E114" s="62"/>
      <c r="F114" s="63"/>
      <c r="G114" s="62"/>
      <c r="H114" s="63"/>
      <c r="I114" s="58"/>
      <c r="J114" s="31" t="s">
        <v>140</v>
      </c>
      <c r="K114" s="130" t="str">
        <f aca="false">IF(IF(ISBLANK(C114),1,(TRIM(C114)="")),"",ROUND(C114/4.184,3))</f>
        <v/>
      </c>
      <c r="L114" s="137" t="str">
        <f aca="false">IF(IF(ISBLANK(D114),1,(TRIM(D114)="")),"",ROUND(D114/4.184,3))</f>
        <v/>
      </c>
      <c r="M114" s="132" t="str">
        <f aca="false">IF(IF(ISBLANK(E114),1,(TRIM(E114)="")),"",ROUND(E114/4.184,3))</f>
        <v/>
      </c>
      <c r="N114" s="137" t="str">
        <f aca="false">IF(IF(ISBLANK(F114),1,(TRIM(F114)="")),"",ROUND(F114/4.184,3))</f>
        <v/>
      </c>
      <c r="O114" s="132" t="str">
        <f aca="false">IF(IF(ISBLANK(G114),1,(TRIM(G114)="")),"",ROUND(G114/4.184,3))</f>
        <v/>
      </c>
      <c r="P114" s="137" t="str">
        <f aca="false">IF(IF(ISBLANK(H114),1,(TRIM(H114)="")),"",ROUND(H114/4.184,3))</f>
        <v/>
      </c>
      <c r="R114" s="34"/>
      <c r="S114" s="31" t="s">
        <v>140</v>
      </c>
      <c r="T114" s="130" t="str">
        <f aca="false">IF(IF(ISBLANK(C114),1,(TRIM(C114)="")),"",ROUND(C114+$R114*0.1094,3))</f>
        <v/>
      </c>
      <c r="U114" s="101" t="str">
        <f aca="false">IF(IF(ISBLANK(D114),1,(TRIM(D114)="")),"",ROUND(D114+$R114*0.1094,3))</f>
        <v/>
      </c>
      <c r="V114" s="130" t="str">
        <f aca="false">IF(IF(ISBLANK(E114),1,(TRIM(E114)="")),"",ROUND(E114+$R114*0.1094,3))</f>
        <v/>
      </c>
      <c r="W114" s="101" t="str">
        <f aca="false">IF(IF(ISBLANK(F114),1,(TRIM(F114)="")),"",ROUND(F114+$R114*0.1094,3))</f>
        <v/>
      </c>
      <c r="X114" s="130" t="str">
        <f aca="false">IF(IF(ISBLANK(G114),1,(TRIM(G114)="")),"",ROUND(G114+$R114*0.1094,3))</f>
        <v/>
      </c>
      <c r="Y114" s="101" t="str">
        <f aca="false">IF(IF(ISBLANK(H114),1,(TRIM(H114)="")),"",ROUND(H114+$R114*0.1094,3))</f>
        <v/>
      </c>
      <c r="Z114" s="10"/>
      <c r="AA114" s="138" t="s">
        <v>140</v>
      </c>
      <c r="AB114" s="93" t="str">
        <f aca="false">IF(IF(ISBLANK(C114),1,(TRIM(C114)="")),"",ROUND((C114+$R114*0.1094)/4.184,3))</f>
        <v/>
      </c>
      <c r="AC114" s="139" t="str">
        <f aca="false">IF(IF(ISBLANK(D114),1,(TRIM(D114)="")),"",ROUND((D114+$R114*0.1094)/4.184,3))</f>
        <v/>
      </c>
      <c r="AD114" s="93" t="str">
        <f aca="false">IF(IF(ISBLANK(E114),1,(TRIM(E114)="")),"",ROUND((E114+$R114*0.1094)/4.184,3))</f>
        <v/>
      </c>
      <c r="AE114" s="139" t="str">
        <f aca="false">IF(IF(ISBLANK(F114),1,(TRIM(F114)="")),"",ROUND((F114+$R114*0.1094)/4.184,3))</f>
        <v/>
      </c>
      <c r="AF114" s="93" t="str">
        <f aca="false">IF(IF(ISBLANK(G114),1,(TRIM(G114)="")),"",ROUND((G114+$R114*0.1094)/4.184,3))</f>
        <v/>
      </c>
      <c r="AG114" s="137" t="str">
        <f aca="false">IF(IF(ISBLANK(H114),1,(TRIM(H114)="")),"",ROUND((H114+$R114*0.1094)/4.184,3))</f>
        <v/>
      </c>
    </row>
    <row r="115" customFormat="false" ht="12.75" hidden="false" customHeight="false" outlineLevel="0" collapsed="false">
      <c r="B115" s="31" t="s">
        <v>141</v>
      </c>
      <c r="C115" s="136"/>
      <c r="D115" s="63"/>
      <c r="E115" s="62"/>
      <c r="F115" s="65" t="s">
        <v>552</v>
      </c>
      <c r="G115" s="62" t="s">
        <v>552</v>
      </c>
      <c r="H115" s="65" t="s">
        <v>552</v>
      </c>
      <c r="I115" s="66"/>
      <c r="J115" s="31" t="s">
        <v>141</v>
      </c>
      <c r="K115" s="130" t="str">
        <f aca="false">IF(IF(ISBLANK(C115),1,(TRIM(C115)="")),"",ROUND(C115/4.184,3))</f>
        <v/>
      </c>
      <c r="L115" s="137" t="str">
        <f aca="false">IF(IF(ISBLANK(D115),1,(TRIM(D115)="")),"",ROUND(D115/4.184,3))</f>
        <v/>
      </c>
      <c r="M115" s="132" t="str">
        <f aca="false">IF(IF(ISBLANK(E115),1,(TRIM(E115)="")),"",ROUND(E115/4.184,3))</f>
        <v/>
      </c>
      <c r="N115" s="137" t="n">
        <f aca="false">IF(IF(ISBLANK(F115),1,(TRIM(F115)="")),"",ROUND(F115/4.184,3))</f>
        <v>11.998</v>
      </c>
      <c r="O115" s="132" t="n">
        <f aca="false">IF(IF(ISBLANK(G115),1,(TRIM(G115)="")),"",ROUND(G115/4.184,3))</f>
        <v>11.998</v>
      </c>
      <c r="P115" s="137" t="n">
        <f aca="false">IF(IF(ISBLANK(H115),1,(TRIM(H115)="")),"",ROUND(H115/4.184,3))</f>
        <v>11.998</v>
      </c>
      <c r="R115" s="34"/>
      <c r="S115" s="31" t="s">
        <v>141</v>
      </c>
      <c r="T115" s="130" t="str">
        <f aca="false">IF(IF(ISBLANK(C115),1,(TRIM(C115)="")),"",ROUND(C115+$R115*0.1094,3))</f>
        <v/>
      </c>
      <c r="U115" s="101" t="str">
        <f aca="false">IF(IF(ISBLANK(D115),1,(TRIM(D115)="")),"",ROUND(D115+$R115*0.1094,3))</f>
        <v/>
      </c>
      <c r="V115" s="130" t="str">
        <f aca="false">IF(IF(ISBLANK(E115),1,(TRIM(E115)="")),"",ROUND(E115+$R115*0.1094,3))</f>
        <v/>
      </c>
      <c r="W115" s="101" t="n">
        <f aca="false">IF(IF(ISBLANK(F115),1,(TRIM(F115)="")),"",ROUND(F115+$R115*0.1094,3))</f>
        <v>50.2</v>
      </c>
      <c r="X115" s="130" t="n">
        <f aca="false">IF(IF(ISBLANK(G115),1,(TRIM(G115)="")),"",ROUND(G115+$R115*0.1094,3))</f>
        <v>50.2</v>
      </c>
      <c r="Y115" s="101" t="n">
        <f aca="false">IF(IF(ISBLANK(H115),1,(TRIM(H115)="")),"",ROUND(H115+$R115*0.1094,3))</f>
        <v>50.2</v>
      </c>
      <c r="Z115" s="10"/>
      <c r="AA115" s="138" t="s">
        <v>141</v>
      </c>
      <c r="AB115" s="93" t="str">
        <f aca="false">IF(IF(ISBLANK(C115),1,(TRIM(C115)="")),"",ROUND((C115+$R115*0.1094)/4.184,3))</f>
        <v/>
      </c>
      <c r="AC115" s="139" t="str">
        <f aca="false">IF(IF(ISBLANK(D115),1,(TRIM(D115)="")),"",ROUND((D115+$R115*0.1094)/4.184,3))</f>
        <v/>
      </c>
      <c r="AD115" s="93" t="str">
        <f aca="false">IF(IF(ISBLANK(E115),1,(TRIM(E115)="")),"",ROUND((E115+$R115*0.1094)/4.184,3))</f>
        <v/>
      </c>
      <c r="AE115" s="139" t="n">
        <f aca="false">IF(IF(ISBLANK(F115),1,(TRIM(F115)="")),"",ROUND((F115+$R115*0.1094)/4.184,3))</f>
        <v>11.998</v>
      </c>
      <c r="AF115" s="93" t="n">
        <f aca="false">IF(IF(ISBLANK(G115),1,(TRIM(G115)="")),"",ROUND((G115+$R115*0.1094)/4.184,3))</f>
        <v>11.998</v>
      </c>
      <c r="AG115" s="137" t="n">
        <f aca="false">IF(IF(ISBLANK(H115),1,(TRIM(H115)="")),"",ROUND((H115+$R115*0.1094)/4.184,3))</f>
        <v>11.998</v>
      </c>
    </row>
    <row r="116" customFormat="false" ht="12.75" hidden="false" customHeight="false" outlineLevel="0" collapsed="false">
      <c r="B116" s="31" t="s">
        <v>142</v>
      </c>
      <c r="C116" s="136"/>
      <c r="D116" s="63"/>
      <c r="E116" s="62"/>
      <c r="F116" s="63"/>
      <c r="G116" s="62"/>
      <c r="H116" s="63"/>
      <c r="I116" s="58"/>
      <c r="J116" s="31" t="s">
        <v>142</v>
      </c>
      <c r="K116" s="130" t="str">
        <f aca="false">IF(IF(ISBLANK(C116),1,(TRIM(C116)="")),"",ROUND(C116/4.184,3))</f>
        <v/>
      </c>
      <c r="L116" s="137" t="str">
        <f aca="false">IF(IF(ISBLANK(D116),1,(TRIM(D116)="")),"",ROUND(D116/4.184,3))</f>
        <v/>
      </c>
      <c r="M116" s="132" t="str">
        <f aca="false">IF(IF(ISBLANK(E116),1,(TRIM(E116)="")),"",ROUND(E116/4.184,3))</f>
        <v/>
      </c>
      <c r="N116" s="137" t="str">
        <f aca="false">IF(IF(ISBLANK(F116),1,(TRIM(F116)="")),"",ROUND(F116/4.184,3))</f>
        <v/>
      </c>
      <c r="O116" s="132" t="str">
        <f aca="false">IF(IF(ISBLANK(G116),1,(TRIM(G116)="")),"",ROUND(G116/4.184,3))</f>
        <v/>
      </c>
      <c r="P116" s="137" t="str">
        <f aca="false">IF(IF(ISBLANK(H116),1,(TRIM(H116)="")),"",ROUND(H116/4.184,3))</f>
        <v/>
      </c>
      <c r="R116" s="34"/>
      <c r="S116" s="31" t="s">
        <v>142</v>
      </c>
      <c r="T116" s="130" t="str">
        <f aca="false">IF(IF(ISBLANK(C116),1,(TRIM(C116)="")),"",ROUND(C116+$R116*0.1094,3))</f>
        <v/>
      </c>
      <c r="U116" s="101" t="str">
        <f aca="false">IF(IF(ISBLANK(D116),1,(TRIM(D116)="")),"",ROUND(D116+$R116*0.1094,3))</f>
        <v/>
      </c>
      <c r="V116" s="130" t="str">
        <f aca="false">IF(IF(ISBLANK(E116),1,(TRIM(E116)="")),"",ROUND(E116+$R116*0.1094,3))</f>
        <v/>
      </c>
      <c r="W116" s="101" t="str">
        <f aca="false">IF(IF(ISBLANK(F116),1,(TRIM(F116)="")),"",ROUND(F116+$R116*0.1094,3))</f>
        <v/>
      </c>
      <c r="X116" s="130" t="str">
        <f aca="false">IF(IF(ISBLANK(G116),1,(TRIM(G116)="")),"",ROUND(G116+$R116*0.1094,3))</f>
        <v/>
      </c>
      <c r="Y116" s="101" t="str">
        <f aca="false">IF(IF(ISBLANK(H116),1,(TRIM(H116)="")),"",ROUND(H116+$R116*0.1094,3))</f>
        <v/>
      </c>
      <c r="Z116" s="10"/>
      <c r="AA116" s="138" t="s">
        <v>142</v>
      </c>
      <c r="AB116" s="93" t="str">
        <f aca="false">IF(IF(ISBLANK(C116),1,(TRIM(C116)="")),"",ROUND((C116+$R116*0.1094)/4.184,3))</f>
        <v/>
      </c>
      <c r="AC116" s="139" t="str">
        <f aca="false">IF(IF(ISBLANK(D116),1,(TRIM(D116)="")),"",ROUND((D116+$R116*0.1094)/4.184,3))</f>
        <v/>
      </c>
      <c r="AD116" s="93" t="str">
        <f aca="false">IF(IF(ISBLANK(E116),1,(TRIM(E116)="")),"",ROUND((E116+$R116*0.1094)/4.184,3))</f>
        <v/>
      </c>
      <c r="AE116" s="139" t="str">
        <f aca="false">IF(IF(ISBLANK(F116),1,(TRIM(F116)="")),"",ROUND((F116+$R116*0.1094)/4.184,3))</f>
        <v/>
      </c>
      <c r="AF116" s="93" t="str">
        <f aca="false">IF(IF(ISBLANK(G116),1,(TRIM(G116)="")),"",ROUND((G116+$R116*0.1094)/4.184,3))</f>
        <v/>
      </c>
      <c r="AG116" s="137" t="str">
        <f aca="false">IF(IF(ISBLANK(H116),1,(TRIM(H116)="")),"",ROUND((H116+$R116*0.1094)/4.184,3))</f>
        <v/>
      </c>
    </row>
    <row r="117" customFormat="false" ht="12.75" hidden="false" customHeight="false" outlineLevel="0" collapsed="false">
      <c r="A117" s="87"/>
      <c r="B117" s="31" t="s">
        <v>143</v>
      </c>
      <c r="C117" s="136"/>
      <c r="D117" s="63"/>
      <c r="E117" s="62"/>
      <c r="F117" s="63"/>
      <c r="G117" s="62"/>
      <c r="H117" s="63"/>
      <c r="I117" s="58"/>
      <c r="J117" s="31" t="s">
        <v>143</v>
      </c>
      <c r="K117" s="130" t="str">
        <f aca="false">IF(IF(ISBLANK(C117),1,(TRIM(C117)="")),"",ROUND(C117/4.184,3))</f>
        <v/>
      </c>
      <c r="L117" s="137" t="str">
        <f aca="false">IF(IF(ISBLANK(D117),1,(TRIM(D117)="")),"",ROUND(D117/4.184,3))</f>
        <v/>
      </c>
      <c r="M117" s="132" t="str">
        <f aca="false">IF(IF(ISBLANK(E117),1,(TRIM(E117)="")),"",ROUND(E117/4.184,3))</f>
        <v/>
      </c>
      <c r="N117" s="137" t="str">
        <f aca="false">IF(IF(ISBLANK(F117),1,(TRIM(F117)="")),"",ROUND(F117/4.184,3))</f>
        <v/>
      </c>
      <c r="O117" s="132" t="str">
        <f aca="false">IF(IF(ISBLANK(G117),1,(TRIM(G117)="")),"",ROUND(G117/4.184,3))</f>
        <v/>
      </c>
      <c r="P117" s="137" t="str">
        <f aca="false">IF(IF(ISBLANK(H117),1,(TRIM(H117)="")),"",ROUND(H117/4.184,3))</f>
        <v/>
      </c>
      <c r="R117" s="34"/>
      <c r="S117" s="31" t="s">
        <v>143</v>
      </c>
      <c r="T117" s="130" t="str">
        <f aca="false">IF(IF(ISBLANK(C117),1,(TRIM(C117)="")),"",ROUND(C117+$R117*0.1094,3))</f>
        <v/>
      </c>
      <c r="U117" s="101" t="str">
        <f aca="false">IF(IF(ISBLANK(D117),1,(TRIM(D117)="")),"",ROUND(D117+$R117*0.1094,3))</f>
        <v/>
      </c>
      <c r="V117" s="130" t="str">
        <f aca="false">IF(IF(ISBLANK(E117),1,(TRIM(E117)="")),"",ROUND(E117+$R117*0.1094,3))</f>
        <v/>
      </c>
      <c r="W117" s="101" t="str">
        <f aca="false">IF(IF(ISBLANK(F117),1,(TRIM(F117)="")),"",ROUND(F117+$R117*0.1094,3))</f>
        <v/>
      </c>
      <c r="X117" s="130" t="str">
        <f aca="false">IF(IF(ISBLANK(G117),1,(TRIM(G117)="")),"",ROUND(G117+$R117*0.1094,3))</f>
        <v/>
      </c>
      <c r="Y117" s="101" t="str">
        <f aca="false">IF(IF(ISBLANK(H117),1,(TRIM(H117)="")),"",ROUND(H117+$R117*0.1094,3))</f>
        <v/>
      </c>
      <c r="Z117" s="10"/>
      <c r="AA117" s="138" t="s">
        <v>143</v>
      </c>
      <c r="AB117" s="93" t="str">
        <f aca="false">IF(IF(ISBLANK(C117),1,(TRIM(C117)="")),"",ROUND((C117+$R117*0.1094)/4.184,3))</f>
        <v/>
      </c>
      <c r="AC117" s="139" t="str">
        <f aca="false">IF(IF(ISBLANK(D117),1,(TRIM(D117)="")),"",ROUND((D117+$R117*0.1094)/4.184,3))</f>
        <v/>
      </c>
      <c r="AD117" s="93" t="str">
        <f aca="false">IF(IF(ISBLANK(E117),1,(TRIM(E117)="")),"",ROUND((E117+$R117*0.1094)/4.184,3))</f>
        <v/>
      </c>
      <c r="AE117" s="139" t="str">
        <f aca="false">IF(IF(ISBLANK(F117),1,(TRIM(F117)="")),"",ROUND((F117+$R117*0.1094)/4.184,3))</f>
        <v/>
      </c>
      <c r="AF117" s="93" t="str">
        <f aca="false">IF(IF(ISBLANK(G117),1,(TRIM(G117)="")),"",ROUND((G117+$R117*0.1094)/4.184,3))</f>
        <v/>
      </c>
      <c r="AG117" s="137" t="str">
        <f aca="false">IF(IF(ISBLANK(H117),1,(TRIM(H117)="")),"",ROUND((H117+$R117*0.1094)/4.184,3))</f>
        <v/>
      </c>
    </row>
    <row r="118" customFormat="false" ht="12.75" hidden="false" customHeight="false" outlineLevel="0" collapsed="false">
      <c r="B118" s="31" t="s">
        <v>144</v>
      </c>
      <c r="C118" s="136" t="n">
        <v>169.573</v>
      </c>
      <c r="D118" s="63" t="n">
        <v>169.573</v>
      </c>
      <c r="E118" s="62" t="n">
        <v>169.573</v>
      </c>
      <c r="F118" s="63" t="n">
        <v>169.573</v>
      </c>
      <c r="G118" s="62" t="n">
        <v>169.573</v>
      </c>
      <c r="H118" s="65" t="s">
        <v>553</v>
      </c>
      <c r="I118" s="58"/>
      <c r="J118" s="31" t="s">
        <v>144</v>
      </c>
      <c r="K118" s="130" t="n">
        <f aca="false">IF(IF(ISBLANK(C118),1,(TRIM(C118)="")),"",ROUND(C118/4.184,3))</f>
        <v>40.529</v>
      </c>
      <c r="L118" s="137" t="n">
        <f aca="false">IF(IF(ISBLANK(D118),1,(TRIM(D118)="")),"",ROUND(D118/4.184,3))</f>
        <v>40.529</v>
      </c>
      <c r="M118" s="132" t="n">
        <f aca="false">IF(IF(ISBLANK(E118),1,(TRIM(E118)="")),"",ROUND(E118/4.184,3))</f>
        <v>40.529</v>
      </c>
      <c r="N118" s="137" t="n">
        <f aca="false">IF(IF(ISBLANK(F118),1,(TRIM(F118)="")),"",ROUND(F118/4.184,3))</f>
        <v>40.529</v>
      </c>
      <c r="O118" s="132" t="n">
        <f aca="false">IF(IF(ISBLANK(G118),1,(TRIM(G118)="")),"",ROUND(G118/4.184,3))</f>
        <v>40.529</v>
      </c>
      <c r="P118" s="137" t="n">
        <f aca="false">IF(IF(ISBLANK(H118),1,(TRIM(H118)="")),"",ROUND(H118/4.184,3))</f>
        <v>40.53</v>
      </c>
      <c r="R118" s="34" t="n">
        <v>1</v>
      </c>
      <c r="S118" s="31" t="s">
        <v>144</v>
      </c>
      <c r="T118" s="130" t="n">
        <f aca="false">IF(IF(ISBLANK(C118),1,(TRIM(C118)="")),"",ROUND(C118+$R118*0.1094,3))</f>
        <v>169.682</v>
      </c>
      <c r="U118" s="101" t="n">
        <f aca="false">IF(IF(ISBLANK(D118),1,(TRIM(D118)="")),"",ROUND(D118+$R118*0.1094,3))</f>
        <v>169.682</v>
      </c>
      <c r="V118" s="130" t="n">
        <f aca="false">IF(IF(ISBLANK(E118),1,(TRIM(E118)="")),"",ROUND(E118+$R118*0.1094,3))</f>
        <v>169.682</v>
      </c>
      <c r="W118" s="101" t="n">
        <f aca="false">IF(IF(ISBLANK(F118),1,(TRIM(F118)="")),"",ROUND(F118+$R118*0.1094,3))</f>
        <v>169.682</v>
      </c>
      <c r="X118" s="130" t="n">
        <f aca="false">IF(IF(ISBLANK(G118),1,(TRIM(G118)="")),"",ROUND(G118+$R118*0.1094,3))</f>
        <v>169.682</v>
      </c>
      <c r="Y118" s="101" t="n">
        <f aca="false">IF(IF(ISBLANK(H118),1,(TRIM(H118)="")),"",ROUND(H118+$R118*0.1094,3))</f>
        <v>169.685</v>
      </c>
      <c r="Z118" s="10"/>
      <c r="AA118" s="138" t="s">
        <v>144</v>
      </c>
      <c r="AB118" s="93" t="n">
        <f aca="false">IF(IF(ISBLANK(C118),1,(TRIM(C118)="")),"",ROUND((C118+$R118*0.1094)/4.184,3))</f>
        <v>40.555</v>
      </c>
      <c r="AC118" s="139" t="n">
        <f aca="false">IF(IF(ISBLANK(D118),1,(TRIM(D118)="")),"",ROUND((D118+$R118*0.1094)/4.184,3))</f>
        <v>40.555</v>
      </c>
      <c r="AD118" s="93" t="n">
        <f aca="false">IF(IF(ISBLANK(E118),1,(TRIM(E118)="")),"",ROUND((E118+$R118*0.1094)/4.184,3))</f>
        <v>40.555</v>
      </c>
      <c r="AE118" s="139" t="n">
        <f aca="false">IF(IF(ISBLANK(F118),1,(TRIM(F118)="")),"",ROUND((F118+$R118*0.1094)/4.184,3))</f>
        <v>40.555</v>
      </c>
      <c r="AF118" s="93" t="n">
        <f aca="false">IF(IF(ISBLANK(G118),1,(TRIM(G118)="")),"",ROUND((G118+$R118*0.1094)/4.184,3))</f>
        <v>40.555</v>
      </c>
      <c r="AG118" s="137" t="n">
        <f aca="false">IF(IF(ISBLANK(H118),1,(TRIM(H118)="")),"",ROUND((H118+$R118*0.1094)/4.184,3))</f>
        <v>40.556</v>
      </c>
    </row>
    <row r="119" customFormat="false" ht="12.75" hidden="false" customHeight="false" outlineLevel="0" collapsed="false">
      <c r="B119" s="31" t="s">
        <v>145</v>
      </c>
      <c r="C119" s="136"/>
      <c r="D119" s="63"/>
      <c r="E119" s="62"/>
      <c r="F119" s="63"/>
      <c r="G119" s="62"/>
      <c r="H119" s="63"/>
      <c r="I119" s="58"/>
      <c r="J119" s="31" t="s">
        <v>145</v>
      </c>
      <c r="K119" s="130" t="str">
        <f aca="false">IF(IF(ISBLANK(C119),1,(TRIM(C119)="")),"",ROUND(C119/4.184,3))</f>
        <v/>
      </c>
      <c r="L119" s="137" t="str">
        <f aca="false">IF(IF(ISBLANK(D119),1,(TRIM(D119)="")),"",ROUND(D119/4.184,3))</f>
        <v/>
      </c>
      <c r="M119" s="132" t="str">
        <f aca="false">IF(IF(ISBLANK(E119),1,(TRIM(E119)="")),"",ROUND(E119/4.184,3))</f>
        <v/>
      </c>
      <c r="N119" s="137" t="str">
        <f aca="false">IF(IF(ISBLANK(F119),1,(TRIM(F119)="")),"",ROUND(F119/4.184,3))</f>
        <v/>
      </c>
      <c r="O119" s="132" t="str">
        <f aca="false">IF(IF(ISBLANK(G119),1,(TRIM(G119)="")),"",ROUND(G119/4.184,3))</f>
        <v/>
      </c>
      <c r="P119" s="137" t="str">
        <f aca="false">IF(IF(ISBLANK(H119),1,(TRIM(H119)="")),"",ROUND(H119/4.184,3))</f>
        <v/>
      </c>
      <c r="Q119" s="45"/>
      <c r="R119" s="34"/>
      <c r="S119" s="31" t="s">
        <v>145</v>
      </c>
      <c r="T119" s="130" t="str">
        <f aca="false">IF(IF(ISBLANK(C119),1,(TRIM(C119)="")),"",ROUND(C119+$R119*0.1094,3))</f>
        <v/>
      </c>
      <c r="U119" s="101" t="str">
        <f aca="false">IF(IF(ISBLANK(D119),1,(TRIM(D119)="")),"",ROUND(D119+$R119*0.1094,3))</f>
        <v/>
      </c>
      <c r="V119" s="130" t="str">
        <f aca="false">IF(IF(ISBLANK(E119),1,(TRIM(E119)="")),"",ROUND(E119+$R119*0.1094,3))</f>
        <v/>
      </c>
      <c r="W119" s="101" t="str">
        <f aca="false">IF(IF(ISBLANK(F119),1,(TRIM(F119)="")),"",ROUND(F119+$R119*0.1094,3))</f>
        <v/>
      </c>
      <c r="X119" s="130" t="str">
        <f aca="false">IF(IF(ISBLANK(G119),1,(TRIM(G119)="")),"",ROUND(G119+$R119*0.1094,3))</f>
        <v/>
      </c>
      <c r="Y119" s="101" t="str">
        <f aca="false">IF(IF(ISBLANK(H119),1,(TRIM(H119)="")),"",ROUND(H119+$R119*0.1094,3))</f>
        <v/>
      </c>
      <c r="Z119" s="10"/>
      <c r="AA119" s="138" t="s">
        <v>145</v>
      </c>
      <c r="AB119" s="93" t="str">
        <f aca="false">IF(IF(ISBLANK(C119),1,(TRIM(C119)="")),"",ROUND((C119+$R119*0.1094)/4.184,3))</f>
        <v/>
      </c>
      <c r="AC119" s="139" t="str">
        <f aca="false">IF(IF(ISBLANK(D119),1,(TRIM(D119)="")),"",ROUND((D119+$R119*0.1094)/4.184,3))</f>
        <v/>
      </c>
      <c r="AD119" s="93" t="str">
        <f aca="false">IF(IF(ISBLANK(E119),1,(TRIM(E119)="")),"",ROUND((E119+$R119*0.1094)/4.184,3))</f>
        <v/>
      </c>
      <c r="AE119" s="139" t="str">
        <f aca="false">IF(IF(ISBLANK(F119),1,(TRIM(F119)="")),"",ROUND((F119+$R119*0.1094)/4.184,3))</f>
        <v/>
      </c>
      <c r="AF119" s="93" t="str">
        <f aca="false">IF(IF(ISBLANK(G119),1,(TRIM(G119)="")),"",ROUND((G119+$R119*0.1094)/4.184,3))</f>
        <v/>
      </c>
      <c r="AG119" s="137" t="str">
        <f aca="false">IF(IF(ISBLANK(H119),1,(TRIM(H119)="")),"",ROUND((H119+$R119*0.1094)/4.184,3))</f>
        <v/>
      </c>
    </row>
    <row r="120" customFormat="false" ht="12.75" hidden="false" customHeight="false" outlineLevel="0" collapsed="false">
      <c r="B120" s="31" t="s">
        <v>146</v>
      </c>
      <c r="C120" s="136"/>
      <c r="D120" s="63"/>
      <c r="E120" s="62"/>
      <c r="F120" s="63"/>
      <c r="G120" s="62"/>
      <c r="H120" s="63"/>
      <c r="I120" s="58"/>
      <c r="J120" s="31" t="s">
        <v>146</v>
      </c>
      <c r="K120" s="130" t="str">
        <f aca="false">IF(IF(ISBLANK(C120),1,(TRIM(C120)="")),"",ROUND(C120/4.184,3))</f>
        <v/>
      </c>
      <c r="L120" s="137" t="str">
        <f aca="false">IF(IF(ISBLANK(D120),1,(TRIM(D120)="")),"",ROUND(D120/4.184,3))</f>
        <v/>
      </c>
      <c r="M120" s="132" t="str">
        <f aca="false">IF(IF(ISBLANK(E120),1,(TRIM(E120)="")),"",ROUND(E120/4.184,3))</f>
        <v/>
      </c>
      <c r="N120" s="137" t="str">
        <f aca="false">IF(IF(ISBLANK(F120),1,(TRIM(F120)="")),"",ROUND(F120/4.184,3))</f>
        <v/>
      </c>
      <c r="O120" s="132" t="str">
        <f aca="false">IF(IF(ISBLANK(G120),1,(TRIM(G120)="")),"",ROUND(G120/4.184,3))</f>
        <v/>
      </c>
      <c r="P120" s="137" t="str">
        <f aca="false">IF(IF(ISBLANK(H120),1,(TRIM(H120)="")),"",ROUND(H120/4.184,3))</f>
        <v/>
      </c>
      <c r="Q120" s="45"/>
      <c r="R120" s="34"/>
      <c r="S120" s="31" t="s">
        <v>146</v>
      </c>
      <c r="T120" s="130" t="str">
        <f aca="false">IF(IF(ISBLANK(C120),1,(TRIM(C120)="")),"",ROUND(C120+$R120*0.1094,3))</f>
        <v/>
      </c>
      <c r="U120" s="101" t="str">
        <f aca="false">IF(IF(ISBLANK(D120),1,(TRIM(D120)="")),"",ROUND(D120+$R120*0.1094,3))</f>
        <v/>
      </c>
      <c r="V120" s="130" t="str">
        <f aca="false">IF(IF(ISBLANK(E120),1,(TRIM(E120)="")),"",ROUND(E120+$R120*0.1094,3))</f>
        <v/>
      </c>
      <c r="W120" s="101" t="str">
        <f aca="false">IF(IF(ISBLANK(F120),1,(TRIM(F120)="")),"",ROUND(F120+$R120*0.1094,3))</f>
        <v/>
      </c>
      <c r="X120" s="130" t="str">
        <f aca="false">IF(IF(ISBLANK(G120),1,(TRIM(G120)="")),"",ROUND(G120+$R120*0.1094,3))</f>
        <v/>
      </c>
      <c r="Y120" s="101" t="str">
        <f aca="false">IF(IF(ISBLANK(H120),1,(TRIM(H120)="")),"",ROUND(H120+$R120*0.1094,3))</f>
        <v/>
      </c>
      <c r="Z120" s="10"/>
      <c r="AA120" s="138" t="s">
        <v>146</v>
      </c>
      <c r="AB120" s="93" t="str">
        <f aca="false">IF(IF(ISBLANK(C120),1,(TRIM(C120)="")),"",ROUND((C120+$R120*0.1094)/4.184,3))</f>
        <v/>
      </c>
      <c r="AC120" s="139" t="str">
        <f aca="false">IF(IF(ISBLANK(D120),1,(TRIM(D120)="")),"",ROUND((D120+$R120*0.1094)/4.184,3))</f>
        <v/>
      </c>
      <c r="AD120" s="93" t="str">
        <f aca="false">IF(IF(ISBLANK(E120),1,(TRIM(E120)="")),"",ROUND((E120+$R120*0.1094)/4.184,3))</f>
        <v/>
      </c>
      <c r="AE120" s="139" t="str">
        <f aca="false">IF(IF(ISBLANK(F120),1,(TRIM(F120)="")),"",ROUND((F120+$R120*0.1094)/4.184,3))</f>
        <v/>
      </c>
      <c r="AF120" s="93" t="str">
        <f aca="false">IF(IF(ISBLANK(G120),1,(TRIM(G120)="")),"",ROUND((G120+$R120*0.1094)/4.184,3))</f>
        <v/>
      </c>
      <c r="AG120" s="137" t="str">
        <f aca="false">IF(IF(ISBLANK(H120),1,(TRIM(H120)="")),"",ROUND((H120+$R120*0.1094)/4.184,3))</f>
        <v/>
      </c>
    </row>
    <row r="121" customFormat="false" ht="12.75" hidden="false" customHeight="false" outlineLevel="0" collapsed="false">
      <c r="B121" s="31" t="s">
        <v>147</v>
      </c>
      <c r="C121" s="136"/>
      <c r="D121" s="63" t="n">
        <v>41.63</v>
      </c>
      <c r="E121" s="62" t="n">
        <v>41.63</v>
      </c>
      <c r="F121" s="63" t="n">
        <v>41.63</v>
      </c>
      <c r="G121" s="62" t="n">
        <v>41.63</v>
      </c>
      <c r="H121" s="63" t="n">
        <v>41.63</v>
      </c>
      <c r="I121" s="58"/>
      <c r="J121" s="31" t="s">
        <v>147</v>
      </c>
      <c r="K121" s="130" t="str">
        <f aca="false">IF(IF(ISBLANK(C121),1,(TRIM(C121)="")),"",ROUND(C121/4.184,3))</f>
        <v/>
      </c>
      <c r="L121" s="137" t="n">
        <f aca="false">IF(IF(ISBLANK(D121),1,(TRIM(D121)="")),"",ROUND(D121/4.184,3))</f>
        <v>9.95</v>
      </c>
      <c r="M121" s="132" t="n">
        <f aca="false">IF(IF(ISBLANK(E121),1,(TRIM(E121)="")),"",ROUND(E121/4.184,3))</f>
        <v>9.95</v>
      </c>
      <c r="N121" s="137" t="n">
        <f aca="false">IF(IF(ISBLANK(F121),1,(TRIM(F121)="")),"",ROUND(F121/4.184,3))</f>
        <v>9.95</v>
      </c>
      <c r="O121" s="132" t="n">
        <f aca="false">IF(IF(ISBLANK(G121),1,(TRIM(G121)="")),"",ROUND(G121/4.184,3))</f>
        <v>9.95</v>
      </c>
      <c r="P121" s="137" t="n">
        <f aca="false">IF(IF(ISBLANK(H121),1,(TRIM(H121)="")),"",ROUND(H121/4.184,3))</f>
        <v>9.95</v>
      </c>
      <c r="Q121" s="45"/>
      <c r="R121" s="34"/>
      <c r="S121" s="31" t="s">
        <v>147</v>
      </c>
      <c r="T121" s="130" t="str">
        <f aca="false">IF(IF(ISBLANK(C121),1,(TRIM(C121)="")),"",ROUND(C121+$R121*0.1094,3))</f>
        <v/>
      </c>
      <c r="U121" s="101" t="n">
        <f aca="false">IF(IF(ISBLANK(D121),1,(TRIM(D121)="")),"",ROUND(D121+$R121*0.1094,3))</f>
        <v>41.63</v>
      </c>
      <c r="V121" s="130" t="n">
        <f aca="false">IF(IF(ISBLANK(E121),1,(TRIM(E121)="")),"",ROUND(E121+$R121*0.1094,3))</f>
        <v>41.63</v>
      </c>
      <c r="W121" s="101" t="n">
        <f aca="false">IF(IF(ISBLANK(F121),1,(TRIM(F121)="")),"",ROUND(F121+$R121*0.1094,3))</f>
        <v>41.63</v>
      </c>
      <c r="X121" s="130" t="n">
        <f aca="false">IF(IF(ISBLANK(G121),1,(TRIM(G121)="")),"",ROUND(G121+$R121*0.1094,3))</f>
        <v>41.63</v>
      </c>
      <c r="Y121" s="101" t="n">
        <f aca="false">IF(IF(ISBLANK(H121),1,(TRIM(H121)="")),"",ROUND(H121+$R121*0.1094,3))</f>
        <v>41.63</v>
      </c>
      <c r="AA121" s="138" t="s">
        <v>147</v>
      </c>
      <c r="AB121" s="93" t="str">
        <f aca="false">IF(IF(ISBLANK(C121),1,(TRIM(C121)="")),"",ROUND((C121+$R121*0.1094)/4.184,3))</f>
        <v/>
      </c>
      <c r="AC121" s="139" t="n">
        <f aca="false">IF(IF(ISBLANK(D121),1,(TRIM(D121)="")),"",ROUND((D121+$R121*0.1094)/4.184,3))</f>
        <v>9.95</v>
      </c>
      <c r="AD121" s="93" t="n">
        <f aca="false">IF(IF(ISBLANK(E121),1,(TRIM(E121)="")),"",ROUND((E121+$R121*0.1094)/4.184,3))</f>
        <v>9.95</v>
      </c>
      <c r="AE121" s="139" t="n">
        <f aca="false">IF(IF(ISBLANK(F121),1,(TRIM(F121)="")),"",ROUND((F121+$R121*0.1094)/4.184,3))</f>
        <v>9.95</v>
      </c>
      <c r="AF121" s="93" t="n">
        <f aca="false">IF(IF(ISBLANK(G121),1,(TRIM(G121)="")),"",ROUND((G121+$R121*0.1094)/4.184,3))</f>
        <v>9.95</v>
      </c>
      <c r="AG121" s="137" t="n">
        <f aca="false">IF(IF(ISBLANK(H121),1,(TRIM(H121)="")),"",ROUND((H121+$R121*0.1094)/4.184,3))</f>
        <v>9.95</v>
      </c>
    </row>
    <row r="122" customFormat="false" ht="13.5" hidden="false" customHeight="false" outlineLevel="0" collapsed="false">
      <c r="B122" s="39" t="s">
        <v>148</v>
      </c>
      <c r="C122" s="142"/>
      <c r="D122" s="68"/>
      <c r="E122" s="67"/>
      <c r="F122" s="68"/>
      <c r="G122" s="67"/>
      <c r="H122" s="143"/>
      <c r="I122" s="58"/>
      <c r="J122" s="39" t="s">
        <v>148</v>
      </c>
      <c r="K122" s="130" t="str">
        <f aca="false">IF(IF(ISBLANK(C122),1,(TRIM(C122)="")),"",ROUND(C122/4.184,3))</f>
        <v/>
      </c>
      <c r="L122" s="137" t="str">
        <f aca="false">IF(IF(ISBLANK(D122),1,(TRIM(D122)="")),"",ROUND(D122/4.184,3))</f>
        <v/>
      </c>
      <c r="M122" s="132" t="str">
        <f aca="false">IF(IF(ISBLANK(E122),1,(TRIM(E122)="")),"",ROUND(E122/4.184,3))</f>
        <v/>
      </c>
      <c r="N122" s="137" t="str">
        <f aca="false">IF(IF(ISBLANK(F122),1,(TRIM(F122)="")),"",ROUND(F122/4.184,3))</f>
        <v/>
      </c>
      <c r="O122" s="132" t="str">
        <f aca="false">IF(IF(ISBLANK(G122),1,(TRIM(G122)="")),"",ROUND(G122/4.184,3))</f>
        <v/>
      </c>
      <c r="P122" s="137" t="str">
        <f aca="false">IF(IF(ISBLANK(H122),1,(TRIM(H122)="")),"",ROUND(H122/4.184,3))</f>
        <v/>
      </c>
      <c r="Q122" s="45"/>
      <c r="R122" s="42"/>
      <c r="S122" s="39" t="s">
        <v>148</v>
      </c>
      <c r="T122" s="130" t="str">
        <f aca="false">IF(IF(ISBLANK(C122),1,(TRIM(C122)="")),"",ROUND(C122+$R122*0.1094,3))</f>
        <v/>
      </c>
      <c r="U122" s="101" t="str">
        <f aca="false">IF(IF(ISBLANK(D122),1,(TRIM(D122)="")),"",ROUND(D122+$R122*0.1094,3))</f>
        <v/>
      </c>
      <c r="V122" s="130" t="str">
        <f aca="false">IF(IF(ISBLANK(E122),1,(TRIM(E122)="")),"",ROUND(E122+$R122*0.1094,3))</f>
        <v/>
      </c>
      <c r="W122" s="101" t="str">
        <f aca="false">IF(IF(ISBLANK(F122),1,(TRIM(F122)="")),"",ROUND(F122+$R122*0.1094,3))</f>
        <v/>
      </c>
      <c r="X122" s="130" t="str">
        <f aca="false">IF(IF(ISBLANK(G122),1,(TRIM(G122)="")),"",ROUND(G122+$R122*0.1094,3))</f>
        <v/>
      </c>
      <c r="Y122" s="101" t="str">
        <f aca="false">IF(IF(ISBLANK(H122),1,(TRIM(H122)="")),"",ROUND(H122+$R122*0.1094,3))</f>
        <v/>
      </c>
      <c r="AA122" s="144" t="s">
        <v>148</v>
      </c>
      <c r="AB122" s="93" t="str">
        <f aca="false">IF(IF(ISBLANK(C122),1,(TRIM(C122)="")),"",ROUND((C122+$R122*0.1094)/4.184,3))</f>
        <v/>
      </c>
      <c r="AC122" s="139" t="str">
        <f aca="false">IF(IF(ISBLANK(D122),1,(TRIM(D122)="")),"",ROUND((D122+$R122*0.1094)/4.184,3))</f>
        <v/>
      </c>
      <c r="AD122" s="93" t="str">
        <f aca="false">IF(IF(ISBLANK(E122),1,(TRIM(E122)="")),"",ROUND((E122+$R122*0.1094)/4.184,3))</f>
        <v/>
      </c>
      <c r="AE122" s="139" t="str">
        <f aca="false">IF(IF(ISBLANK(F122),1,(TRIM(F122)="")),"",ROUND((F122+$R122*0.1094)/4.184,3))</f>
        <v/>
      </c>
      <c r="AF122" s="93" t="str">
        <f aca="false">IF(IF(ISBLANK(G122),1,(TRIM(G122)="")),"",ROUND((G122+$R122*0.1094)/4.184,3))</f>
        <v/>
      </c>
      <c r="AG122" s="145" t="str">
        <f aca="false">IF(IF(ISBLANK(H122),1,(TRIM(H122)="")),"",ROUND((H122+$R122*0.1094)/4.184,3))</f>
        <v/>
      </c>
    </row>
    <row r="123" customFormat="false" ht="13.5" hidden="false" customHeight="false" outlineLevel="0" collapsed="false">
      <c r="B123" s="146" t="s">
        <v>185</v>
      </c>
      <c r="C123" s="106" t="n">
        <f aca="false">COUNTA(C20:C122)</f>
        <v>12</v>
      </c>
      <c r="D123" s="70" t="n">
        <f aca="false">COUNTA(D20:D122)</f>
        <v>19</v>
      </c>
      <c r="E123" s="106" t="n">
        <f aca="false">COUNTA(E20:E122)</f>
        <v>24</v>
      </c>
      <c r="F123" s="70" t="n">
        <f aca="false">COUNTA(F20:F122)</f>
        <v>30</v>
      </c>
      <c r="G123" s="107" t="n">
        <f aca="false">COUNTA(G20:G122)</f>
        <v>36</v>
      </c>
      <c r="H123" s="70" t="n">
        <f aca="false">COUNTA(H20:H122)</f>
        <v>37</v>
      </c>
      <c r="I123" s="73"/>
      <c r="J123" s="146" t="s">
        <v>185</v>
      </c>
      <c r="K123" s="106" t="n">
        <f aca="false">COUNT(K20:K122)</f>
        <v>12</v>
      </c>
      <c r="L123" s="106" t="n">
        <f aca="false">COUNT(L20:L122)</f>
        <v>19</v>
      </c>
      <c r="M123" s="106" t="n">
        <f aca="false">COUNT(M20:M122)</f>
        <v>24</v>
      </c>
      <c r="N123" s="106" t="n">
        <f aca="false">COUNT(N20:N122)</f>
        <v>30</v>
      </c>
      <c r="O123" s="106" t="n">
        <f aca="false">COUNT(O20:O122)</f>
        <v>36</v>
      </c>
      <c r="P123" s="106" t="n">
        <f aca="false">COUNT(P20:P122)</f>
        <v>37</v>
      </c>
      <c r="S123" s="146" t="s">
        <v>185</v>
      </c>
      <c r="T123" s="106" t="n">
        <f aca="false">COUNT(T20:T122)</f>
        <v>12</v>
      </c>
      <c r="U123" s="70" t="n">
        <f aca="false">COUNT(U20:U122)</f>
        <v>19</v>
      </c>
      <c r="V123" s="106" t="n">
        <f aca="false">COUNT(V20:V122)</f>
        <v>24</v>
      </c>
      <c r="W123" s="70" t="n">
        <f aca="false">COUNT(W20:W122)</f>
        <v>30</v>
      </c>
      <c r="X123" s="106" t="n">
        <f aca="false">COUNT(X20:X122)</f>
        <v>36</v>
      </c>
      <c r="Y123" s="70" t="n">
        <f aca="false">COUNTA(Y20:Y122)</f>
        <v>103</v>
      </c>
      <c r="AA123" s="146" t="s">
        <v>185</v>
      </c>
      <c r="AB123" s="147" t="n">
        <f aca="false">COUNT(AB20:AB122)</f>
        <v>12</v>
      </c>
      <c r="AC123" s="70" t="n">
        <f aca="false">COUNT(AC20:AC122)</f>
        <v>19</v>
      </c>
      <c r="AD123" s="106" t="n">
        <f aca="false">COUNT(AD20:AD122)</f>
        <v>24</v>
      </c>
      <c r="AE123" s="70" t="n">
        <f aca="false">COUNT(AE20:AE122)</f>
        <v>30</v>
      </c>
      <c r="AF123" s="106" t="n">
        <f aca="false">COUNT(AF20:AF122)</f>
        <v>36</v>
      </c>
      <c r="AG123" s="70" t="n">
        <f aca="false">COUNTA(AG20:AG122)</f>
        <v>103</v>
      </c>
    </row>
    <row r="124" customFormat="false" ht="12.75" hidden="false" customHeight="false" outlineLevel="0" collapsed="false">
      <c r="I124" s="90"/>
    </row>
    <row r="125" customFormat="false" ht="12.75" hidden="false" customHeight="false" outlineLevel="0" collapsed="false">
      <c r="I125" s="90"/>
      <c r="Z125" s="10"/>
    </row>
    <row r="126" customFormat="false" ht="13.5" hidden="false" customHeight="false" outlineLevel="0" collapsed="false">
      <c r="I126" s="90"/>
      <c r="Z126" s="10"/>
    </row>
    <row r="127" customFormat="false" ht="13.5" hidden="false" customHeight="false" outlineLevel="0" collapsed="false">
      <c r="B127" s="47" t="s">
        <v>186</v>
      </c>
      <c r="C127" s="48" t="s">
        <v>531</v>
      </c>
      <c r="D127" s="48" t="s">
        <v>531</v>
      </c>
      <c r="E127" s="48" t="s">
        <v>531</v>
      </c>
      <c r="F127" s="48" t="s">
        <v>531</v>
      </c>
      <c r="G127" s="48" t="s">
        <v>531</v>
      </c>
      <c r="H127" s="48" t="s">
        <v>529</v>
      </c>
      <c r="I127" s="52"/>
      <c r="J127" s="47" t="s">
        <v>186</v>
      </c>
      <c r="K127" s="48" t="s">
        <v>531</v>
      </c>
      <c r="L127" s="48" t="s">
        <v>531</v>
      </c>
      <c r="M127" s="48" t="s">
        <v>531</v>
      </c>
      <c r="N127" s="48" t="s">
        <v>531</v>
      </c>
      <c r="O127" s="48" t="s">
        <v>531</v>
      </c>
      <c r="P127" s="48" t="s">
        <v>529</v>
      </c>
      <c r="Q127" s="45"/>
      <c r="R127" s="10"/>
      <c r="S127" s="47" t="s">
        <v>186</v>
      </c>
      <c r="T127" s="48" t="s">
        <v>531</v>
      </c>
      <c r="U127" s="48" t="s">
        <v>531</v>
      </c>
      <c r="V127" s="48" t="s">
        <v>531</v>
      </c>
      <c r="W127" s="48" t="s">
        <v>531</v>
      </c>
      <c r="X127" s="48" t="s">
        <v>531</v>
      </c>
      <c r="Y127" s="48" t="s">
        <v>531</v>
      </c>
      <c r="AA127" s="47" t="s">
        <v>186</v>
      </c>
      <c r="AB127" s="48" t="s">
        <v>531</v>
      </c>
      <c r="AC127" s="48" t="s">
        <v>531</v>
      </c>
      <c r="AD127" s="48" t="s">
        <v>531</v>
      </c>
      <c r="AE127" s="48" t="s">
        <v>531</v>
      </c>
      <c r="AF127" s="48" t="s">
        <v>531</v>
      </c>
      <c r="AG127" s="48" t="s">
        <v>531</v>
      </c>
    </row>
    <row r="128" customFormat="false" ht="12.75" hidden="false" customHeight="false" outlineLevel="0" collapsed="false">
      <c r="B128" s="11"/>
      <c r="C128" s="51"/>
      <c r="D128" s="123"/>
      <c r="E128" s="123"/>
      <c r="F128" s="123"/>
      <c r="G128" s="123"/>
      <c r="H128" s="51" t="s">
        <v>530</v>
      </c>
      <c r="I128" s="52"/>
      <c r="J128" s="11"/>
      <c r="K128" s="51"/>
      <c r="L128" s="123"/>
      <c r="M128" s="123"/>
      <c r="N128" s="123"/>
      <c r="O128" s="123"/>
      <c r="P128" s="51" t="s">
        <v>530</v>
      </c>
      <c r="Q128" s="45"/>
      <c r="R128" s="14"/>
      <c r="S128" s="11"/>
      <c r="T128" s="51"/>
      <c r="U128" s="123"/>
      <c r="V128" s="123"/>
      <c r="W128" s="123"/>
      <c r="X128" s="123"/>
      <c r="Y128" s="51" t="s">
        <v>530</v>
      </c>
      <c r="AA128" s="11"/>
      <c r="AB128" s="51"/>
      <c r="AC128" s="123"/>
      <c r="AD128" s="123"/>
      <c r="AE128" s="123"/>
      <c r="AF128" s="123"/>
      <c r="AG128" s="51" t="s">
        <v>530</v>
      </c>
    </row>
    <row r="129" customFormat="false" ht="12.75" hidden="false" customHeight="false" outlineLevel="0" collapsed="false">
      <c r="B129" s="16" t="s">
        <v>20</v>
      </c>
      <c r="C129" s="54" t="s">
        <v>531</v>
      </c>
      <c r="D129" s="54" t="s">
        <v>531</v>
      </c>
      <c r="E129" s="54" t="s">
        <v>531</v>
      </c>
      <c r="F129" s="54" t="s">
        <v>531</v>
      </c>
      <c r="G129" s="54" t="s">
        <v>531</v>
      </c>
      <c r="H129" s="54" t="s">
        <v>165</v>
      </c>
      <c r="I129" s="52"/>
      <c r="J129" s="16" t="s">
        <v>20</v>
      </c>
      <c r="K129" s="54" t="s">
        <v>531</v>
      </c>
      <c r="L129" s="54" t="s">
        <v>531</v>
      </c>
      <c r="M129" s="54" t="s">
        <v>531</v>
      </c>
      <c r="N129" s="54" t="s">
        <v>531</v>
      </c>
      <c r="O129" s="54" t="s">
        <v>531</v>
      </c>
      <c r="P129" s="54" t="s">
        <v>165</v>
      </c>
      <c r="R129" s="19"/>
      <c r="S129" s="16" t="s">
        <v>20</v>
      </c>
      <c r="T129" s="54" t="s">
        <v>531</v>
      </c>
      <c r="U129" s="54" t="s">
        <v>531</v>
      </c>
      <c r="V129" s="54" t="s">
        <v>531</v>
      </c>
      <c r="W129" s="54" t="s">
        <v>531</v>
      </c>
      <c r="X129" s="54" t="s">
        <v>531</v>
      </c>
      <c r="Y129" s="54" t="s">
        <v>165</v>
      </c>
      <c r="AA129" s="16" t="s">
        <v>20</v>
      </c>
      <c r="AB129" s="54" t="s">
        <v>531</v>
      </c>
      <c r="AC129" s="54" t="s">
        <v>531</v>
      </c>
      <c r="AD129" s="54" t="s">
        <v>531</v>
      </c>
      <c r="AE129" s="54" t="s">
        <v>531</v>
      </c>
      <c r="AF129" s="54" t="s">
        <v>531</v>
      </c>
      <c r="AG129" s="54" t="s">
        <v>165</v>
      </c>
    </row>
    <row r="130" customFormat="false" ht="12.75" hidden="false" customHeight="false" outlineLevel="0" collapsed="false">
      <c r="B130" s="16" t="s">
        <v>17</v>
      </c>
      <c r="C130" s="54" t="n">
        <v>1972</v>
      </c>
      <c r="D130" s="54" t="n">
        <v>1975</v>
      </c>
      <c r="E130" s="54" t="n">
        <v>1976</v>
      </c>
      <c r="F130" s="54" t="n">
        <v>1977</v>
      </c>
      <c r="G130" s="54" t="n">
        <v>1978</v>
      </c>
      <c r="H130" s="54" t="n">
        <v>1989</v>
      </c>
      <c r="I130" s="52"/>
      <c r="J130" s="16" t="s">
        <v>17</v>
      </c>
      <c r="K130" s="54" t="n">
        <v>1972</v>
      </c>
      <c r="L130" s="54" t="n">
        <v>1975</v>
      </c>
      <c r="M130" s="54" t="n">
        <v>1976</v>
      </c>
      <c r="N130" s="54" t="n">
        <v>1977</v>
      </c>
      <c r="O130" s="54" t="n">
        <v>1978</v>
      </c>
      <c r="P130" s="54" t="n">
        <v>1989</v>
      </c>
      <c r="R130" s="19" t="s">
        <v>24</v>
      </c>
      <c r="S130" s="16" t="s">
        <v>17</v>
      </c>
      <c r="T130" s="54" t="n">
        <v>1972</v>
      </c>
      <c r="U130" s="54" t="n">
        <v>1975</v>
      </c>
      <c r="V130" s="54" t="n">
        <v>1976</v>
      </c>
      <c r="W130" s="54" t="n">
        <v>1977</v>
      </c>
      <c r="X130" s="54" t="n">
        <v>1978</v>
      </c>
      <c r="Y130" s="54" t="n">
        <v>1989</v>
      </c>
      <c r="AA130" s="16" t="s">
        <v>17</v>
      </c>
      <c r="AB130" s="54" t="n">
        <v>1972</v>
      </c>
      <c r="AC130" s="54" t="n">
        <v>1975</v>
      </c>
      <c r="AD130" s="54" t="n">
        <v>1976</v>
      </c>
      <c r="AE130" s="54" t="n">
        <v>1977</v>
      </c>
      <c r="AF130" s="54" t="n">
        <v>1978</v>
      </c>
      <c r="AG130" s="54" t="n">
        <v>1989</v>
      </c>
    </row>
    <row r="131" customFormat="false" ht="15" hidden="false" customHeight="false" outlineLevel="0" collapsed="false">
      <c r="B131" s="21" t="s">
        <v>29</v>
      </c>
      <c r="C131" s="55" t="s">
        <v>167</v>
      </c>
      <c r="D131" s="55" t="s">
        <v>167</v>
      </c>
      <c r="E131" s="55" t="s">
        <v>167</v>
      </c>
      <c r="F131" s="55" t="s">
        <v>167</v>
      </c>
      <c r="G131" s="55" t="s">
        <v>167</v>
      </c>
      <c r="H131" s="55" t="s">
        <v>167</v>
      </c>
      <c r="I131" s="52"/>
      <c r="J131" s="21" t="s">
        <v>29</v>
      </c>
      <c r="K131" s="55" t="s">
        <v>166</v>
      </c>
      <c r="L131" s="55" t="s">
        <v>166</v>
      </c>
      <c r="M131" s="55" t="s">
        <v>166</v>
      </c>
      <c r="N131" s="55" t="s">
        <v>166</v>
      </c>
      <c r="O131" s="55" t="s">
        <v>166</v>
      </c>
      <c r="P131" s="55" t="s">
        <v>166</v>
      </c>
      <c r="R131" s="24" t="s">
        <v>28</v>
      </c>
      <c r="S131" s="21" t="s">
        <v>29</v>
      </c>
      <c r="T131" s="55" t="s">
        <v>167</v>
      </c>
      <c r="U131" s="55" t="s">
        <v>167</v>
      </c>
      <c r="V131" s="55" t="s">
        <v>167</v>
      </c>
      <c r="W131" s="55" t="s">
        <v>167</v>
      </c>
      <c r="X131" s="55" t="s">
        <v>167</v>
      </c>
      <c r="Y131" s="55" t="s">
        <v>167</v>
      </c>
      <c r="Z131" s="10"/>
      <c r="AA131" s="21" t="s">
        <v>29</v>
      </c>
      <c r="AB131" s="55" t="s">
        <v>166</v>
      </c>
      <c r="AC131" s="55" t="s">
        <v>166</v>
      </c>
      <c r="AD131" s="55" t="s">
        <v>166</v>
      </c>
      <c r="AE131" s="55" t="s">
        <v>166</v>
      </c>
      <c r="AF131" s="55" t="s">
        <v>166</v>
      </c>
      <c r="AG131" s="55" t="s">
        <v>166</v>
      </c>
    </row>
    <row r="132" customFormat="false" ht="12.75" hidden="false" customHeight="false" outlineLevel="0" collapsed="false">
      <c r="B132" s="74" t="s">
        <v>187</v>
      </c>
      <c r="C132" s="148"/>
      <c r="D132" s="63"/>
      <c r="E132" s="62"/>
      <c r="F132" s="63" t="n">
        <v>41.09</v>
      </c>
      <c r="G132" s="62" t="n">
        <v>41.09</v>
      </c>
      <c r="H132" s="56" t="s">
        <v>554</v>
      </c>
      <c r="I132" s="58"/>
      <c r="J132" s="149" t="s">
        <v>187</v>
      </c>
      <c r="K132" s="150" t="str">
        <f aca="false">IF(IF(ISBLANK(C132),1,(TRIM(C132)="")),"",ROUND(C132/4.184,3))</f>
        <v/>
      </c>
      <c r="L132" s="131" t="str">
        <f aca="false">IF(IF(ISBLANK(D132),1,(TRIM(D132)="")),"",ROUND(D132/4.184,3))</f>
        <v/>
      </c>
      <c r="M132" s="150" t="str">
        <f aca="false">IF(IF(ISBLANK(E132),1,(TRIM(E132)="")),"",ROUND(E132/4.184,3))</f>
        <v/>
      </c>
      <c r="N132" s="131" t="n">
        <f aca="false">IF(IF(ISBLANK(F132),1,(TRIM(F132)="")),"",ROUND(F132/4.184,3))</f>
        <v>9.821</v>
      </c>
      <c r="O132" s="150" t="n">
        <f aca="false">IF(IF(ISBLANK(G132),1,(TRIM(G132)="")),"",ROUND(G132/4.184,3))</f>
        <v>9.821</v>
      </c>
      <c r="P132" s="131" t="n">
        <f aca="false">IF(IF(ISBLANK(H132),1,(TRIM(H132)="")),"",ROUND(H132/4.184,3))</f>
        <v>9.821</v>
      </c>
      <c r="R132" s="34"/>
      <c r="S132" s="74" t="s">
        <v>187</v>
      </c>
      <c r="T132" s="130" t="str">
        <f aca="false">IF(IF(ISBLANK(C132),1,(TRIM(C132)="")),"",ROUND(C132+$R132*0.1094,3))</f>
        <v/>
      </c>
      <c r="U132" s="131" t="str">
        <f aca="false">IF(IF(ISBLANK(D132),1,(TRIM(D132)="")),"",ROUND(D132+$R132*0.1094,3))</f>
        <v/>
      </c>
      <c r="V132" s="130" t="str">
        <f aca="false">IF(IF(ISBLANK(E132),1,(TRIM(E132)="")),"",ROUND(E132+$R132*0.1094,3))</f>
        <v/>
      </c>
      <c r="W132" s="131" t="n">
        <f aca="false">IF(IF(ISBLANK(F132),1,(TRIM(F132)="")),"",ROUND(F132+$R132*0.1094,3))</f>
        <v>41.09</v>
      </c>
      <c r="X132" s="130" t="n">
        <f aca="false">IF(IF(ISBLANK(G132),1,(TRIM(G132)="")),"",ROUND(G132+$R132*0.1094,3))</f>
        <v>41.09</v>
      </c>
      <c r="Y132" s="131" t="n">
        <f aca="false">IF(IF(ISBLANK(H132),1,(TRIM(H132)="")),"",ROUND(H132+$R132*0.1094,3))</f>
        <v>41.09</v>
      </c>
      <c r="Z132" s="10"/>
      <c r="AA132" s="149" t="s">
        <v>187</v>
      </c>
      <c r="AB132" s="151" t="str">
        <f aca="false">IF(IF(ISBLANK(C132),1,(TRIM(C132)="")),"",ROUND((C132+$R132*0.1094)/4.184,3))</f>
        <v/>
      </c>
      <c r="AC132" s="152" t="str">
        <f aca="false">IF(IF(ISBLANK(D132),1,(TRIM(D132)="")),"",ROUND((D132+$R132*0.1094)/4.184,3))</f>
        <v/>
      </c>
      <c r="AD132" s="151" t="str">
        <f aca="false">IF(IF(ISBLANK(E132),1,(TRIM(E132)="")),"",ROUND((E132+$R132*0.1094)/4.184,3))</f>
        <v/>
      </c>
      <c r="AE132" s="152" t="n">
        <f aca="false">IF(IF(ISBLANK(F132),1,(TRIM(F132)="")),"",ROUND((F132+$R132*0.1094)/4.184,3))</f>
        <v>9.821</v>
      </c>
      <c r="AF132" s="151" t="n">
        <f aca="false">IF(IF(ISBLANK(G132),1,(TRIM(G132)="")),"",ROUND((G132+$R132*0.1094)/4.184,3))</f>
        <v>9.821</v>
      </c>
      <c r="AG132" s="131" t="n">
        <f aca="false">IF(IF(ISBLANK(H132),1,(TRIM(H132)="")),"",ROUND((H132+$R132*0.1094)/4.184,3))</f>
        <v>9.821</v>
      </c>
    </row>
    <row r="133" customFormat="false" ht="13.5" hidden="false" customHeight="false" outlineLevel="0" collapsed="false">
      <c r="B133" s="39" t="s">
        <v>188</v>
      </c>
      <c r="C133" s="148"/>
      <c r="D133" s="63"/>
      <c r="E133" s="62"/>
      <c r="F133" s="63"/>
      <c r="G133" s="62"/>
      <c r="H133" s="153"/>
      <c r="I133" s="58"/>
      <c r="J133" s="144" t="s">
        <v>188</v>
      </c>
      <c r="K133" s="154" t="str">
        <f aca="false">IF(IF(ISBLANK(C133),1,(TRIM(C133)="")),"",ROUND(C133/4.184,3))</f>
        <v/>
      </c>
      <c r="L133" s="145" t="str">
        <f aca="false">IF(IF(ISBLANK(D133),1,(TRIM(D133)="")),"",ROUND(D133/4.184,3))</f>
        <v/>
      </c>
      <c r="M133" s="154" t="str">
        <f aca="false">IF(IF(ISBLANK(E133),1,(TRIM(E133)="")),"",ROUND(E133/4.184,3))</f>
        <v/>
      </c>
      <c r="N133" s="145" t="str">
        <f aca="false">IF(IF(ISBLANK(F133),1,(TRIM(F133)="")),"",ROUND(F133/4.184,3))</f>
        <v/>
      </c>
      <c r="O133" s="154" t="str">
        <f aca="false">IF(IF(ISBLANK(G133),1,(TRIM(G133)="")),"",ROUND(G133/4.184,3))</f>
        <v/>
      </c>
      <c r="P133" s="145" t="str">
        <f aca="false">IF(IF(ISBLANK(H133),1,(TRIM(H133)="")),"",ROUND(H133/4.184,3))</f>
        <v/>
      </c>
      <c r="R133" s="42"/>
      <c r="S133" s="39" t="s">
        <v>188</v>
      </c>
      <c r="T133" s="130" t="str">
        <f aca="false">IF(IF(ISBLANK(C133),1,(TRIM(C133)="")),"",ROUND(C133+$R133*0.1094,3))</f>
        <v/>
      </c>
      <c r="U133" s="155" t="str">
        <f aca="false">IF(IF(ISBLANK(D133),1,(TRIM(D133)="")),"",ROUND(D133+$R133*0.1094,3))</f>
        <v/>
      </c>
      <c r="V133" s="130" t="str">
        <f aca="false">IF(IF(ISBLANK(E133),1,(TRIM(E133)="")),"",ROUND(E133+$R133*0.1094,3))</f>
        <v/>
      </c>
      <c r="W133" s="155" t="str">
        <f aca="false">IF(IF(ISBLANK(F133),1,(TRIM(F133)="")),"",ROUND(F133+$R133*0.1094,3))</f>
        <v/>
      </c>
      <c r="X133" s="130" t="str">
        <f aca="false">IF(IF(ISBLANK(G133),1,(TRIM(G133)="")),"",ROUND(G133+$R133*0.1094,3))</f>
        <v/>
      </c>
      <c r="Y133" s="155" t="str">
        <f aca="false">IF(IF(ISBLANK(H133),1,(TRIM(H133)="")),"",ROUND(H133+$R133*0.1094,3))</f>
        <v/>
      </c>
      <c r="Z133" s="10"/>
      <c r="AA133" s="144" t="s">
        <v>188</v>
      </c>
      <c r="AB133" s="156" t="str">
        <f aca="false">IF(IF(ISBLANK(C133),1,(TRIM(C133)="")),"",ROUND((C133+$R133*0.1094)/4.184,3))</f>
        <v/>
      </c>
      <c r="AC133" s="157" t="str">
        <f aca="false">IF(IF(ISBLANK(D133),1,(TRIM(D133)="")),"",ROUND((D133+$R133*0.1094)/4.184,3))</f>
        <v/>
      </c>
      <c r="AD133" s="156" t="str">
        <f aca="false">IF(IF(ISBLANK(E133),1,(TRIM(E133)="")),"",ROUND((E133+$R133*0.1094)/4.184,3))</f>
        <v/>
      </c>
      <c r="AE133" s="157" t="str">
        <f aca="false">IF(IF(ISBLANK(F133),1,(TRIM(F133)="")),"",ROUND((F133+$R133*0.1094)/4.184,3))</f>
        <v/>
      </c>
      <c r="AF133" s="156" t="str">
        <f aca="false">IF(IF(ISBLANK(G133),1,(TRIM(G133)="")),"",ROUND((G133+$R133*0.1094)/4.184,3))</f>
        <v/>
      </c>
      <c r="AG133" s="145" t="str">
        <f aca="false">IF(IF(ISBLANK(H133),1,(TRIM(H133)="")),"",ROUND((H133+$R133*0.1094)/4.184,3))</f>
        <v/>
      </c>
    </row>
    <row r="134" customFormat="false" ht="13.5" hidden="false" customHeight="false" outlineLevel="0" collapsed="false">
      <c r="B134" s="80" t="s">
        <v>16</v>
      </c>
      <c r="C134" s="82" t="s">
        <v>189</v>
      </c>
      <c r="D134" s="82" t="s">
        <v>189</v>
      </c>
      <c r="E134" s="82" t="s">
        <v>189</v>
      </c>
      <c r="F134" s="82" t="s">
        <v>505</v>
      </c>
      <c r="G134" s="82" t="s">
        <v>505</v>
      </c>
      <c r="H134" s="82" t="s">
        <v>505</v>
      </c>
      <c r="I134" s="94"/>
      <c r="J134" s="80" t="s">
        <v>16</v>
      </c>
      <c r="K134" s="158" t="s">
        <v>189</v>
      </c>
      <c r="L134" s="158" t="s">
        <v>189</v>
      </c>
      <c r="M134" s="158" t="s">
        <v>189</v>
      </c>
      <c r="N134" s="158" t="s">
        <v>505</v>
      </c>
      <c r="O134" s="158" t="s">
        <v>505</v>
      </c>
      <c r="P134" s="158" t="s">
        <v>505</v>
      </c>
      <c r="S134" s="80" t="s">
        <v>16</v>
      </c>
      <c r="T134" s="82" t="s">
        <v>189</v>
      </c>
      <c r="U134" s="82" t="s">
        <v>189</v>
      </c>
      <c r="V134" s="82" t="s">
        <v>189</v>
      </c>
      <c r="W134" s="82" t="s">
        <v>505</v>
      </c>
      <c r="X134" s="82" t="s">
        <v>505</v>
      </c>
      <c r="Y134" s="82" t="s">
        <v>505</v>
      </c>
      <c r="Z134" s="10"/>
      <c r="AA134" s="80" t="s">
        <v>16</v>
      </c>
      <c r="AB134" s="158" t="s">
        <v>189</v>
      </c>
      <c r="AC134" s="158" t="s">
        <v>189</v>
      </c>
      <c r="AD134" s="158" t="s">
        <v>189</v>
      </c>
      <c r="AE134" s="158" t="s">
        <v>505</v>
      </c>
      <c r="AF134" s="158" t="s">
        <v>505</v>
      </c>
      <c r="AG134" s="158" t="s">
        <v>505</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Z13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8" activeCellId="2" sqref="B16:B122 E16:F122 B8"/>
    </sheetView>
  </sheetViews>
  <sheetFormatPr defaultRowHeight="12.75" zeroHeight="false" outlineLevelRow="0" outlineLevelCol="0"/>
  <cols>
    <col collapsed="false" customWidth="true" hidden="false" outlineLevel="0" max="13" min="1" style="0" width="11.42"/>
    <col collapsed="false" customWidth="true" hidden="false" outlineLevel="0" max="14" min="14" style="44" width="11.42"/>
    <col collapsed="false" customWidth="true" hidden="false" outlineLevel="0" max="1025" min="15" style="0" width="11.42"/>
  </cols>
  <sheetData>
    <row r="1" customFormat="false" ht="12.75" hidden="false" customHeight="false" outlineLevel="0" collapsed="false">
      <c r="A1" s="9" t="str">
        <f aca="true">MID(CELL("filename",$A$1),   FIND("\[",CELL("filename",$A$1))+2,   FIND("]",CELL("filename",$A$1),FIND("\[",CELL("filename",$A$1))+2)-FIND("\[",CELL("filename",$A$1))-2)</f>
        <v>TDProperties_Rev0_v69.xlsx</v>
      </c>
    </row>
    <row r="2" customFormat="false" ht="12.75" hidden="false" customHeight="false" outlineLevel="0" collapsed="false">
      <c r="A2" s="0" t="str">
        <f aca="true">MID(CELL("filename",A1),FIND("]",CELL("filename",A1))+1,256)</f>
        <v>Elements Modern</v>
      </c>
    </row>
    <row r="4" customFormat="false" ht="12.75" hidden="false" customHeight="false" outlineLevel="0" collapsed="false">
      <c r="A4" s="9" t="s">
        <v>555</v>
      </c>
      <c r="B4" s="10"/>
      <c r="C4" s="10"/>
    </row>
    <row r="5" customFormat="false" ht="12.75" hidden="false" customHeight="false" outlineLevel="0" collapsed="false">
      <c r="B5" s="10"/>
      <c r="C5" s="10"/>
      <c r="N5" s="45"/>
    </row>
    <row r="6" customFormat="false" ht="12.75" hidden="false" customHeight="false" outlineLevel="0" collapsed="false">
      <c r="A6" s="10" t="s">
        <v>150</v>
      </c>
      <c r="O6" s="10"/>
    </row>
    <row r="7" customFormat="false" ht="12.75" hidden="false" customHeight="false" outlineLevel="0" collapsed="false">
      <c r="A7" s="10"/>
      <c r="O7" s="10"/>
    </row>
    <row r="8" customFormat="false" ht="12.75" hidden="false" customHeight="false" outlineLevel="0" collapsed="false">
      <c r="A8" s="10"/>
      <c r="O8" s="10"/>
    </row>
    <row r="9" customFormat="false" ht="12.75" hidden="false" customHeight="false" outlineLevel="0" collapsed="false">
      <c r="A9" s="9"/>
      <c r="O9" s="10"/>
    </row>
    <row r="10" customFormat="false" ht="12.75" hidden="false" customHeight="false" outlineLevel="0" collapsed="false">
      <c r="A10" s="9"/>
      <c r="O10" s="10"/>
    </row>
    <row r="11" customFormat="false" ht="12.75" hidden="false" customHeight="false" outlineLevel="0" collapsed="false">
      <c r="B11" s="9" t="s">
        <v>152</v>
      </c>
      <c r="O11" s="9" t="s">
        <v>153</v>
      </c>
    </row>
    <row r="12" customFormat="false" ht="12.75" hidden="false" customHeight="false" outlineLevel="0" collapsed="false">
      <c r="B12" s="46" t="s">
        <v>155</v>
      </c>
      <c r="C12" s="10"/>
      <c r="J12" s="10"/>
      <c r="O12" s="46" t="s">
        <v>158</v>
      </c>
      <c r="P12" s="10"/>
      <c r="W12" s="10"/>
    </row>
    <row r="13" customFormat="false" ht="12.75" hidden="false" customHeight="false" outlineLevel="0" collapsed="false">
      <c r="B13" s="9" t="s">
        <v>157</v>
      </c>
      <c r="C13" s="10"/>
      <c r="J13" s="10"/>
      <c r="O13" s="9"/>
      <c r="P13" s="10"/>
      <c r="W13" s="10"/>
    </row>
    <row r="14" customFormat="false" ht="13.5" hidden="false" customHeight="false" outlineLevel="0" collapsed="false">
      <c r="B14" s="10"/>
      <c r="C14" s="10"/>
      <c r="D14" s="10"/>
      <c r="E14" s="10"/>
      <c r="F14" s="10"/>
      <c r="G14" s="10"/>
      <c r="H14" s="10"/>
      <c r="I14" s="10"/>
      <c r="J14" s="10"/>
      <c r="K14" s="10"/>
      <c r="L14" s="10"/>
      <c r="M14" s="10"/>
      <c r="O14" s="10"/>
      <c r="P14" s="10"/>
      <c r="Q14" s="10"/>
      <c r="R14" s="10"/>
      <c r="S14" s="10"/>
      <c r="T14" s="10"/>
      <c r="U14" s="10"/>
      <c r="V14" s="10"/>
      <c r="W14" s="10"/>
      <c r="X14" s="10"/>
      <c r="Y14" s="10"/>
      <c r="Z14" s="10"/>
    </row>
    <row r="15" customFormat="false" ht="13.5" hidden="false" customHeight="false" outlineLevel="0" collapsed="false">
      <c r="A15" s="73"/>
      <c r="B15" s="120" t="s">
        <v>160</v>
      </c>
      <c r="C15" s="48" t="s">
        <v>556</v>
      </c>
      <c r="D15" s="95" t="s">
        <v>557</v>
      </c>
      <c r="E15" s="95" t="s">
        <v>558</v>
      </c>
      <c r="F15" s="48" t="s">
        <v>529</v>
      </c>
      <c r="G15" s="48" t="s">
        <v>559</v>
      </c>
      <c r="H15" s="95" t="s">
        <v>560</v>
      </c>
      <c r="I15" s="48" t="s">
        <v>561</v>
      </c>
      <c r="J15" s="95" t="s">
        <v>562</v>
      </c>
      <c r="K15" s="48" t="s">
        <v>563</v>
      </c>
      <c r="L15" s="121" t="s">
        <v>564</v>
      </c>
      <c r="M15" s="121" t="s">
        <v>565</v>
      </c>
      <c r="O15" s="120" t="s">
        <v>160</v>
      </c>
      <c r="P15" s="48" t="s">
        <v>556</v>
      </c>
      <c r="Q15" s="95" t="s">
        <v>557</v>
      </c>
      <c r="R15" s="95" t="s">
        <v>558</v>
      </c>
      <c r="S15" s="48" t="s">
        <v>529</v>
      </c>
      <c r="T15" s="48" t="s">
        <v>559</v>
      </c>
      <c r="U15" s="95" t="s">
        <v>560</v>
      </c>
      <c r="V15" s="48" t="s">
        <v>561</v>
      </c>
      <c r="W15" s="95" t="s">
        <v>562</v>
      </c>
      <c r="X15" s="48" t="s">
        <v>563</v>
      </c>
      <c r="Y15" s="121" t="s">
        <v>564</v>
      </c>
      <c r="Z15" s="121" t="s">
        <v>565</v>
      </c>
    </row>
    <row r="16" customFormat="false" ht="12.75" hidden="false" customHeight="false" outlineLevel="0" collapsed="false">
      <c r="A16" s="46"/>
      <c r="B16" s="11"/>
      <c r="C16" s="51" t="s">
        <v>566</v>
      </c>
      <c r="D16" s="50" t="s">
        <v>567</v>
      </c>
      <c r="E16" s="50" t="s">
        <v>568</v>
      </c>
      <c r="F16" s="96" t="s">
        <v>530</v>
      </c>
      <c r="G16" s="51" t="s">
        <v>569</v>
      </c>
      <c r="H16" s="50" t="s">
        <v>560</v>
      </c>
      <c r="I16" s="96" t="s">
        <v>570</v>
      </c>
      <c r="J16" s="51" t="s">
        <v>571</v>
      </c>
      <c r="K16" s="96" t="s">
        <v>218</v>
      </c>
      <c r="L16" s="51" t="s">
        <v>572</v>
      </c>
      <c r="M16" s="51" t="s">
        <v>573</v>
      </c>
      <c r="O16" s="11"/>
      <c r="P16" s="51" t="s">
        <v>566</v>
      </c>
      <c r="Q16" s="50" t="s">
        <v>567</v>
      </c>
      <c r="R16" s="50" t="s">
        <v>568</v>
      </c>
      <c r="S16" s="96" t="s">
        <v>530</v>
      </c>
      <c r="T16" s="51" t="s">
        <v>569</v>
      </c>
      <c r="U16" s="50" t="s">
        <v>560</v>
      </c>
      <c r="V16" s="96" t="s">
        <v>570</v>
      </c>
      <c r="W16" s="51" t="s">
        <v>571</v>
      </c>
      <c r="X16" s="96" t="s">
        <v>218</v>
      </c>
      <c r="Y16" s="51" t="s">
        <v>572</v>
      </c>
      <c r="Z16" s="51" t="s">
        <v>573</v>
      </c>
    </row>
    <row r="17" customFormat="false" ht="12.75" hidden="false" customHeight="false" outlineLevel="0" collapsed="false">
      <c r="A17" s="46"/>
      <c r="B17" s="16" t="s">
        <v>20</v>
      </c>
      <c r="C17" s="54" t="s">
        <v>165</v>
      </c>
      <c r="D17" s="53" t="s">
        <v>165</v>
      </c>
      <c r="E17" s="53" t="s">
        <v>165</v>
      </c>
      <c r="F17" s="52" t="s">
        <v>165</v>
      </c>
      <c r="G17" s="54" t="s">
        <v>165</v>
      </c>
      <c r="H17" s="54" t="s">
        <v>574</v>
      </c>
      <c r="I17" s="52" t="n">
        <v>1995</v>
      </c>
      <c r="J17" s="54" t="s">
        <v>575</v>
      </c>
      <c r="K17" s="52" t="s">
        <v>576</v>
      </c>
      <c r="L17" s="54" t="s">
        <v>165</v>
      </c>
      <c r="M17" s="54" t="s">
        <v>577</v>
      </c>
      <c r="O17" s="16" t="s">
        <v>20</v>
      </c>
      <c r="P17" s="54" t="s">
        <v>165</v>
      </c>
      <c r="Q17" s="53" t="s">
        <v>165</v>
      </c>
      <c r="R17" s="53" t="s">
        <v>165</v>
      </c>
      <c r="S17" s="52" t="s">
        <v>165</v>
      </c>
      <c r="T17" s="54" t="s">
        <v>165</v>
      </c>
      <c r="U17" s="54" t="s">
        <v>574</v>
      </c>
      <c r="V17" s="52" t="n">
        <v>1995</v>
      </c>
      <c r="W17" s="54" t="s">
        <v>575</v>
      </c>
      <c r="X17" s="52" t="s">
        <v>576</v>
      </c>
      <c r="Y17" s="54" t="s">
        <v>165</v>
      </c>
      <c r="Z17" s="54" t="s">
        <v>577</v>
      </c>
    </row>
    <row r="18" customFormat="false" ht="12.75" hidden="false" customHeight="false" outlineLevel="0" collapsed="false">
      <c r="A18" s="46"/>
      <c r="B18" s="16" t="s">
        <v>17</v>
      </c>
      <c r="C18" s="54" t="n">
        <v>1978</v>
      </c>
      <c r="D18" s="53" t="n">
        <v>1982</v>
      </c>
      <c r="E18" s="53" t="n">
        <v>1985</v>
      </c>
      <c r="F18" s="52" t="n">
        <v>1989</v>
      </c>
      <c r="G18" s="54" t="s">
        <v>578</v>
      </c>
      <c r="H18" s="53" t="s">
        <v>579</v>
      </c>
      <c r="I18" s="52"/>
      <c r="J18" s="54" t="n">
        <v>1998</v>
      </c>
      <c r="K18" s="52" t="n">
        <v>1995</v>
      </c>
      <c r="L18" s="54" t="n">
        <v>2001</v>
      </c>
      <c r="M18" s="54" t="n">
        <v>2005</v>
      </c>
      <c r="O18" s="16" t="s">
        <v>17</v>
      </c>
      <c r="P18" s="54" t="n">
        <v>1978</v>
      </c>
      <c r="Q18" s="53" t="n">
        <v>1982</v>
      </c>
      <c r="R18" s="53" t="n">
        <v>1985</v>
      </c>
      <c r="S18" s="52" t="n">
        <v>1989</v>
      </c>
      <c r="T18" s="54" t="s">
        <v>580</v>
      </c>
      <c r="U18" s="53" t="s">
        <v>579</v>
      </c>
      <c r="V18" s="52"/>
      <c r="W18" s="54" t="n">
        <v>1998</v>
      </c>
      <c r="X18" s="52" t="n">
        <v>1995</v>
      </c>
      <c r="Y18" s="54" t="n">
        <v>2001</v>
      </c>
      <c r="Z18" s="54" t="n">
        <v>2005</v>
      </c>
    </row>
    <row r="19" customFormat="false" ht="15" hidden="false" customHeight="false" outlineLevel="0" collapsed="false">
      <c r="A19" s="46"/>
      <c r="B19" s="21" t="s">
        <v>29</v>
      </c>
      <c r="C19" s="55" t="s">
        <v>167</v>
      </c>
      <c r="D19" s="55" t="s">
        <v>167</v>
      </c>
      <c r="E19" s="55" t="s">
        <v>167</v>
      </c>
      <c r="F19" s="55" t="s">
        <v>167</v>
      </c>
      <c r="G19" s="55" t="s">
        <v>167</v>
      </c>
      <c r="H19" s="55" t="s">
        <v>167</v>
      </c>
      <c r="I19" s="55" t="s">
        <v>167</v>
      </c>
      <c r="J19" s="55" t="s">
        <v>167</v>
      </c>
      <c r="K19" s="55" t="s">
        <v>167</v>
      </c>
      <c r="L19" s="55" t="s">
        <v>167</v>
      </c>
      <c r="M19" s="55" t="s">
        <v>167</v>
      </c>
      <c r="O19" s="21" t="s">
        <v>29</v>
      </c>
      <c r="P19" s="55" t="s">
        <v>166</v>
      </c>
      <c r="Q19" s="55" t="s">
        <v>166</v>
      </c>
      <c r="R19" s="55" t="s">
        <v>166</v>
      </c>
      <c r="S19" s="55" t="s">
        <v>166</v>
      </c>
      <c r="T19" s="55" t="s">
        <v>166</v>
      </c>
      <c r="U19" s="55" t="s">
        <v>166</v>
      </c>
      <c r="V19" s="55" t="s">
        <v>166</v>
      </c>
      <c r="W19" s="55" t="s">
        <v>166</v>
      </c>
      <c r="X19" s="55" t="s">
        <v>166</v>
      </c>
      <c r="Y19" s="55" t="s">
        <v>166</v>
      </c>
      <c r="Z19" s="55" t="s">
        <v>166</v>
      </c>
    </row>
    <row r="20" customFormat="false" ht="12.75" hidden="false" customHeight="false" outlineLevel="0" collapsed="false">
      <c r="A20" s="73"/>
      <c r="B20" s="159" t="s">
        <v>30</v>
      </c>
      <c r="C20" s="59"/>
      <c r="D20" s="57" t="n">
        <v>56.5</v>
      </c>
      <c r="E20" s="99"/>
      <c r="F20" s="98"/>
      <c r="G20" s="99"/>
      <c r="H20" s="97"/>
      <c r="I20" s="129"/>
      <c r="J20" s="57"/>
      <c r="K20" s="129"/>
      <c r="L20" s="100"/>
      <c r="M20" s="99" t="n">
        <v>56.5</v>
      </c>
      <c r="N20" s="87" t="n">
        <f aca="false">J20-E20</f>
        <v>0</v>
      </c>
      <c r="O20" s="159" t="s">
        <v>30</v>
      </c>
      <c r="P20" s="85" t="str">
        <f aca="false">IF(IF(ISBLANK(C20),1,(TRIM(C20)="")),"",ROUND(C20/4.184,3))</f>
        <v/>
      </c>
      <c r="Q20" s="101" t="n">
        <f aca="false">IF(IF(ISBLANK(D20),1,(TRIM(D20)="")),"",ROUND(D20/4.184,3))</f>
        <v>13.504</v>
      </c>
      <c r="R20" s="85" t="str">
        <f aca="false">IF(IF(ISBLANK(E20),1,(TRIM(E20)="")),"",ROUND(E20/4.184,3))</f>
        <v/>
      </c>
      <c r="S20" s="101" t="str">
        <f aca="false">IF(IF(ISBLANK(F20),1,(TRIM(F20)="")),"",ROUND(F20/4.184,3))</f>
        <v/>
      </c>
      <c r="T20" s="85" t="str">
        <f aca="false">IF(IF(ISBLANK(G20),1,(TRIM(G20)="")),"",ROUND(G20/4.184,3))</f>
        <v/>
      </c>
      <c r="U20" s="101" t="str">
        <f aca="false">IF(IF(ISBLANK(H20),1,(TRIM(H20)="")),"",ROUND(H20/4.184,3))</f>
        <v/>
      </c>
      <c r="V20" s="85" t="str">
        <f aca="false">IF(IF(ISBLANK(I20),1,(TRIM(I20)="")),"",ROUND(I20/4.184,3))</f>
        <v/>
      </c>
      <c r="W20" s="101" t="str">
        <f aca="false">IF(IF(ISBLANK(J20),1,(TRIM(J20)="")),"",ROUND(J20/4.184,3))</f>
        <v/>
      </c>
      <c r="X20" s="85" t="str">
        <f aca="false">IF(IF(ISBLANK(K20),1,(TRIM(K20)="")),"",ROUND(K20/4.184,3))</f>
        <v/>
      </c>
      <c r="Y20" s="101" t="str">
        <f aca="false">IF(IF(ISBLANK(L20),1,(TRIM(L20)="")),"",ROUND(L20/4.184,3))</f>
        <v/>
      </c>
      <c r="Z20" s="85" t="n">
        <f aca="false">IF(IF(ISBLANK(M20),1,(TRIM(M20)="")),"",ROUND(M20/4.184,3))</f>
        <v>13.504</v>
      </c>
    </row>
    <row r="21" customFormat="false" ht="12.75" hidden="false" customHeight="false" outlineLevel="0" collapsed="false">
      <c r="A21" s="73"/>
      <c r="B21" s="160" t="s">
        <v>31</v>
      </c>
      <c r="C21" s="62" t="n">
        <v>42.55</v>
      </c>
      <c r="D21" s="63" t="n">
        <v>42.55</v>
      </c>
      <c r="E21" s="62"/>
      <c r="F21" s="102" t="n">
        <v>42.55</v>
      </c>
      <c r="G21" s="62"/>
      <c r="H21" s="65" t="s">
        <v>581</v>
      </c>
      <c r="I21" s="136" t="n">
        <v>42.677</v>
      </c>
      <c r="J21" s="63"/>
      <c r="K21" s="136" t="n">
        <v>42.55</v>
      </c>
      <c r="L21" s="65" t="s">
        <v>581</v>
      </c>
      <c r="M21" s="62" t="n">
        <v>42.55</v>
      </c>
      <c r="N21" s="87" t="n">
        <f aca="false">J21-E21</f>
        <v>0</v>
      </c>
      <c r="O21" s="160" t="s">
        <v>31</v>
      </c>
      <c r="P21" s="85" t="n">
        <f aca="false">IF(IF(ISBLANK(C21),1,(TRIM(C21)="")),"",ROUND(C21/4.184,3))</f>
        <v>10.17</v>
      </c>
      <c r="Q21" s="101" t="n">
        <f aca="false">IF(IF(ISBLANK(D21),1,(TRIM(D21)="")),"",ROUND(D21/4.184,3))</f>
        <v>10.17</v>
      </c>
      <c r="R21" s="85" t="str">
        <f aca="false">IF(IF(ISBLANK(E21),1,(TRIM(E21)="")),"",ROUND(E21/4.184,3))</f>
        <v/>
      </c>
      <c r="S21" s="101" t="n">
        <f aca="false">IF(IF(ISBLANK(F21),1,(TRIM(F21)="")),"",ROUND(F21/4.184,3))</f>
        <v>10.17</v>
      </c>
      <c r="T21" s="85" t="str">
        <f aca="false">IF(IF(ISBLANK(G21),1,(TRIM(G21)="")),"",ROUND(G21/4.184,3))</f>
        <v/>
      </c>
      <c r="U21" s="101" t="n">
        <f aca="false">IF(IF(ISBLANK(H21),1,(TRIM(H21)="")),"",ROUND(H21/4.184,3))</f>
        <v>10.17</v>
      </c>
      <c r="V21" s="85" t="n">
        <f aca="false">IF(IF(ISBLANK(I21),1,(TRIM(I21)="")),"",ROUND(I21/4.184,3))</f>
        <v>10.2</v>
      </c>
      <c r="W21" s="101" t="str">
        <f aca="false">IF(IF(ISBLANK(J21),1,(TRIM(J21)="")),"",ROUND(J21/4.184,3))</f>
        <v/>
      </c>
      <c r="X21" s="85" t="n">
        <f aca="false">IF(IF(ISBLANK(K21),1,(TRIM(K21)="")),"",ROUND(K21/4.184,3))</f>
        <v>10.17</v>
      </c>
      <c r="Y21" s="101" t="n">
        <f aca="false">IF(IF(ISBLANK(L21),1,(TRIM(L21)="")),"",ROUND(L21/4.184,3))</f>
        <v>10.17</v>
      </c>
      <c r="Z21" s="85" t="n">
        <f aca="false">IF(IF(ISBLANK(M21),1,(TRIM(M21)="")),"",ROUND(M21/4.184,3))</f>
        <v>10.17</v>
      </c>
    </row>
    <row r="22" customFormat="false" ht="12.75" hidden="false" customHeight="false" outlineLevel="0" collapsed="false">
      <c r="A22" s="73"/>
      <c r="B22" s="160" t="s">
        <v>32</v>
      </c>
      <c r="C22" s="62" t="n">
        <v>28.35</v>
      </c>
      <c r="D22" s="63" t="n">
        <v>28.33</v>
      </c>
      <c r="E22" s="62" t="n">
        <v>28.275</v>
      </c>
      <c r="F22" s="103" t="s">
        <v>532</v>
      </c>
      <c r="G22" s="64" t="s">
        <v>582</v>
      </c>
      <c r="H22" s="65" t="s">
        <v>582</v>
      </c>
      <c r="I22" s="136" t="n">
        <v>28.275</v>
      </c>
      <c r="J22" s="63" t="n">
        <v>28.275</v>
      </c>
      <c r="K22" s="141" t="s">
        <v>532</v>
      </c>
      <c r="L22" s="65" t="s">
        <v>582</v>
      </c>
      <c r="M22" s="64" t="s">
        <v>532</v>
      </c>
      <c r="N22" s="87" t="n">
        <f aca="false">J22-E22</f>
        <v>0</v>
      </c>
      <c r="O22" s="160" t="s">
        <v>32</v>
      </c>
      <c r="P22" s="85" t="n">
        <f aca="false">IF(IF(ISBLANK(C22),1,(TRIM(C22)="")),"",ROUND(C22/4.184,3))</f>
        <v>6.776</v>
      </c>
      <c r="Q22" s="101" t="n">
        <f aca="false">IF(IF(ISBLANK(D22),1,(TRIM(D22)="")),"",ROUND(D22/4.184,3))</f>
        <v>6.771</v>
      </c>
      <c r="R22" s="85" t="n">
        <f aca="false">IF(IF(ISBLANK(E22),1,(TRIM(E22)="")),"",ROUND(E22/4.184,3))</f>
        <v>6.758</v>
      </c>
      <c r="S22" s="101" t="n">
        <f aca="false">IF(IF(ISBLANK(F22),1,(TRIM(F22)="")),"",ROUND(F22/4.184,3))</f>
        <v>6.764</v>
      </c>
      <c r="T22" s="85" t="n">
        <f aca="false">IF(IF(ISBLANK(G22),1,(TRIM(G22)="")),"",ROUND(G22/4.184,3))</f>
        <v>6.764</v>
      </c>
      <c r="U22" s="101" t="n">
        <f aca="false">IF(IF(ISBLANK(H22),1,(TRIM(H22)="")),"",ROUND(H22/4.184,3))</f>
        <v>6.764</v>
      </c>
      <c r="V22" s="85" t="n">
        <f aca="false">IF(IF(ISBLANK(I22),1,(TRIM(I22)="")),"",ROUND(I22/4.184,3))</f>
        <v>6.758</v>
      </c>
      <c r="W22" s="101" t="n">
        <f aca="false">IF(IF(ISBLANK(J22),1,(TRIM(J22)="")),"",ROUND(J22/4.184,3))</f>
        <v>6.758</v>
      </c>
      <c r="X22" s="85" t="n">
        <f aca="false">IF(IF(ISBLANK(K22),1,(TRIM(K22)="")),"",ROUND(K22/4.184,3))</f>
        <v>6.764</v>
      </c>
      <c r="Y22" s="101" t="n">
        <f aca="false">IF(IF(ISBLANK(L22),1,(TRIM(L22)="")),"",ROUND(L22/4.184,3))</f>
        <v>6.764</v>
      </c>
      <c r="Z22" s="85" t="n">
        <f aca="false">IF(IF(ISBLANK(M22),1,(TRIM(M22)="")),"",ROUND(M22/4.184,3))</f>
        <v>6.764</v>
      </c>
    </row>
    <row r="23" customFormat="false" ht="12.75" hidden="false" customHeight="false" outlineLevel="0" collapsed="false">
      <c r="A23" s="73"/>
      <c r="B23" s="160" t="s">
        <v>33</v>
      </c>
      <c r="C23" s="62"/>
      <c r="D23" s="65"/>
      <c r="E23" s="64"/>
      <c r="F23" s="102"/>
      <c r="G23" s="62"/>
      <c r="H23" s="65" t="s">
        <v>583</v>
      </c>
      <c r="I23" s="136" t="n">
        <v>54.488</v>
      </c>
      <c r="J23" s="63"/>
      <c r="K23" s="136"/>
      <c r="L23" s="63"/>
      <c r="M23" s="62" t="n">
        <v>62.7</v>
      </c>
      <c r="N23" s="87" t="n">
        <f aca="false">J23-E23</f>
        <v>0</v>
      </c>
      <c r="O23" s="160" t="s">
        <v>33</v>
      </c>
      <c r="P23" s="85" t="str">
        <f aca="false">IF(IF(ISBLANK(C23),1,(TRIM(C23)="")),"",ROUND(C23/4.184,3))</f>
        <v/>
      </c>
      <c r="Q23" s="101" t="str">
        <f aca="false">IF(IF(ISBLANK(D23),1,(TRIM(D23)="")),"",ROUND(D23/4.184,3))</f>
        <v/>
      </c>
      <c r="R23" s="85" t="str">
        <f aca="false">IF(IF(ISBLANK(E23),1,(TRIM(E23)="")),"",ROUND(E23/4.184,3))</f>
        <v/>
      </c>
      <c r="S23" s="101" t="str">
        <f aca="false">IF(IF(ISBLANK(F23),1,(TRIM(F23)="")),"",ROUND(F23/4.184,3))</f>
        <v/>
      </c>
      <c r="T23" s="85" t="str">
        <f aca="false">IF(IF(ISBLANK(G23),1,(TRIM(G23)="")),"",ROUND(G23/4.184,3))</f>
        <v/>
      </c>
      <c r="U23" s="101" t="n">
        <f aca="false">IF(IF(ISBLANK(H23),1,(TRIM(H23)="")),"",ROUND(H23/4.184,3))</f>
        <v>13.241</v>
      </c>
      <c r="V23" s="85" t="n">
        <f aca="false">IF(IF(ISBLANK(I23),1,(TRIM(I23)="")),"",ROUND(I23/4.184,3))</f>
        <v>13.023</v>
      </c>
      <c r="W23" s="101" t="str">
        <f aca="false">IF(IF(ISBLANK(J23),1,(TRIM(J23)="")),"",ROUND(J23/4.184,3))</f>
        <v/>
      </c>
      <c r="X23" s="85" t="str">
        <f aca="false">IF(IF(ISBLANK(K23),1,(TRIM(K23)="")),"",ROUND(K23/4.184,3))</f>
        <v/>
      </c>
      <c r="Y23" s="101" t="str">
        <f aca="false">IF(IF(ISBLANK(L23),1,(TRIM(L23)="")),"",ROUND(L23/4.184,3))</f>
        <v/>
      </c>
      <c r="Z23" s="85" t="n">
        <f aca="false">IF(IF(ISBLANK(M23),1,(TRIM(M23)="")),"",ROUND(M23/4.184,3))</f>
        <v>14.986</v>
      </c>
    </row>
    <row r="24" customFormat="false" ht="12.75" hidden="false" customHeight="false" outlineLevel="0" collapsed="false">
      <c r="A24" s="73"/>
      <c r="B24" s="160" t="s">
        <v>34</v>
      </c>
      <c r="C24" s="62" t="n">
        <v>154.84</v>
      </c>
      <c r="D24" s="63" t="n">
        <v>154.843</v>
      </c>
      <c r="E24" s="62" t="n">
        <v>154.845</v>
      </c>
      <c r="F24" s="102" t="n">
        <v>154.846</v>
      </c>
      <c r="G24" s="62" t="s">
        <v>584</v>
      </c>
      <c r="H24" s="65" t="n">
        <v>154.846</v>
      </c>
      <c r="I24" s="136" t="n">
        <v>154.845</v>
      </c>
      <c r="J24" s="63" t="n">
        <v>154.845</v>
      </c>
      <c r="K24" s="136"/>
      <c r="L24" s="65" t="s">
        <v>585</v>
      </c>
      <c r="M24" s="62" t="n">
        <v>154.846</v>
      </c>
      <c r="N24" s="87" t="n">
        <f aca="false">J24-E24</f>
        <v>0</v>
      </c>
      <c r="O24" s="160" t="s">
        <v>34</v>
      </c>
      <c r="P24" s="85" t="n">
        <f aca="false">IF(IF(ISBLANK(C24),1,(TRIM(C24)="")),"",ROUND(C24/4.184,3))</f>
        <v>37.008</v>
      </c>
      <c r="Q24" s="101" t="n">
        <f aca="false">IF(IF(ISBLANK(D24),1,(TRIM(D24)="")),"",ROUND(D24/4.184,3))</f>
        <v>37.008</v>
      </c>
      <c r="R24" s="85" t="n">
        <f aca="false">IF(IF(ISBLANK(E24),1,(TRIM(E24)="")),"",ROUND(E24/4.184,3))</f>
        <v>37.009</v>
      </c>
      <c r="S24" s="101" t="n">
        <f aca="false">IF(IF(ISBLANK(F24),1,(TRIM(F24)="")),"",ROUND(F24/4.184,3))</f>
        <v>37.009</v>
      </c>
      <c r="T24" s="85" t="n">
        <f aca="false">IF(IF(ISBLANK(G24),1,(TRIM(G24)="")),"",ROUND(G24/4.184,3))</f>
        <v>37.009</v>
      </c>
      <c r="U24" s="101" t="n">
        <f aca="false">IF(IF(ISBLANK(H24),1,(TRIM(H24)="")),"",ROUND(H24/4.184,3))</f>
        <v>37.009</v>
      </c>
      <c r="V24" s="85" t="n">
        <f aca="false">IF(IF(ISBLANK(I24),1,(TRIM(I24)="")),"",ROUND(I24/4.184,3))</f>
        <v>37.009</v>
      </c>
      <c r="W24" s="101" t="n">
        <f aca="false">IF(IF(ISBLANK(J24),1,(TRIM(J24)="")),"",ROUND(J24/4.184,3))</f>
        <v>37.009</v>
      </c>
      <c r="X24" s="85" t="str">
        <f aca="false">IF(IF(ISBLANK(K24),1,(TRIM(K24)="")),"",ROUND(K24/4.184,3))</f>
        <v/>
      </c>
      <c r="Y24" s="101" t="n">
        <f aca="false">IF(IF(ISBLANK(L24),1,(TRIM(L24)="")),"",ROUND(L24/4.184,3))</f>
        <v>37.009</v>
      </c>
      <c r="Z24" s="85" t="n">
        <f aca="false">IF(IF(ISBLANK(M24),1,(TRIM(M24)="")),"",ROUND(M24/4.184,3))</f>
        <v>37.009</v>
      </c>
    </row>
    <row r="25" customFormat="false" ht="12.75" hidden="false" customHeight="false" outlineLevel="0" collapsed="false">
      <c r="A25" s="73"/>
      <c r="B25" s="160" t="s">
        <v>35</v>
      </c>
      <c r="C25" s="62" t="n">
        <v>35.69</v>
      </c>
      <c r="D25" s="63" t="n">
        <v>35.1</v>
      </c>
      <c r="E25" s="62"/>
      <c r="F25" s="102"/>
      <c r="G25" s="62"/>
      <c r="H25" s="65" t="s">
        <v>586</v>
      </c>
      <c r="I25" s="136" t="n">
        <v>35.706</v>
      </c>
      <c r="J25" s="63"/>
      <c r="K25" s="136" t="n">
        <v>35.69</v>
      </c>
      <c r="L25" s="63"/>
      <c r="M25" s="62" t="n">
        <v>35.1</v>
      </c>
      <c r="N25" s="87" t="n">
        <f aca="false">J25-E25</f>
        <v>0</v>
      </c>
      <c r="O25" s="160" t="s">
        <v>35</v>
      </c>
      <c r="P25" s="85" t="n">
        <f aca="false">IF(IF(ISBLANK(C25),1,(TRIM(C25)="")),"",ROUND(C25/4.184,3))</f>
        <v>8.53</v>
      </c>
      <c r="Q25" s="101" t="n">
        <f aca="false">IF(IF(ISBLANK(D25),1,(TRIM(D25)="")),"",ROUND(D25/4.184,3))</f>
        <v>8.389</v>
      </c>
      <c r="R25" s="85" t="str">
        <f aca="false">IF(IF(ISBLANK(E25),1,(TRIM(E25)="")),"",ROUND(E25/4.184,3))</f>
        <v/>
      </c>
      <c r="S25" s="101" t="str">
        <f aca="false">IF(IF(ISBLANK(F25),1,(TRIM(F25)="")),"",ROUND(F25/4.184,3))</f>
        <v/>
      </c>
      <c r="T25" s="85" t="str">
        <f aca="false">IF(IF(ISBLANK(G25),1,(TRIM(G25)="")),"",ROUND(G25/4.184,3))</f>
        <v/>
      </c>
      <c r="U25" s="101" t="n">
        <f aca="false">IF(IF(ISBLANK(H25),1,(TRIM(H25)="")),"",ROUND(H25/4.184,3))</f>
        <v>8.389</v>
      </c>
      <c r="V25" s="85" t="n">
        <f aca="false">IF(IF(ISBLANK(I25),1,(TRIM(I25)="")),"",ROUND(I25/4.184,3))</f>
        <v>8.534</v>
      </c>
      <c r="W25" s="101" t="str">
        <f aca="false">IF(IF(ISBLANK(J25),1,(TRIM(J25)="")),"",ROUND(J25/4.184,3))</f>
        <v/>
      </c>
      <c r="X25" s="85" t="n">
        <f aca="false">IF(IF(ISBLANK(K25),1,(TRIM(K25)="")),"",ROUND(K25/4.184,3))</f>
        <v>8.53</v>
      </c>
      <c r="Y25" s="101" t="str">
        <f aca="false">IF(IF(ISBLANK(L25),1,(TRIM(L25)="")),"",ROUND(L25/4.184,3))</f>
        <v/>
      </c>
      <c r="Z25" s="85" t="n">
        <f aca="false">IF(IF(ISBLANK(M25),1,(TRIM(M25)="")),"",ROUND(M25/4.184,3))</f>
        <v>8.389</v>
      </c>
    </row>
    <row r="26" customFormat="false" ht="12.75" hidden="false" customHeight="false" outlineLevel="0" collapsed="false">
      <c r="A26" s="73"/>
      <c r="B26" s="160" t="s">
        <v>37</v>
      </c>
      <c r="C26" s="62"/>
      <c r="D26" s="65"/>
      <c r="E26" s="64"/>
      <c r="F26" s="102"/>
      <c r="G26" s="62"/>
      <c r="H26" s="65"/>
      <c r="I26" s="136"/>
      <c r="J26" s="63"/>
      <c r="K26" s="136"/>
      <c r="L26" s="63"/>
      <c r="M26" s="62" t="n">
        <v>121.3</v>
      </c>
      <c r="N26" s="87" t="n">
        <f aca="false">J26-E26</f>
        <v>0</v>
      </c>
      <c r="O26" s="160" t="s">
        <v>37</v>
      </c>
      <c r="P26" s="85" t="str">
        <f aca="false">IF(IF(ISBLANK(C26),1,(TRIM(C26)="")),"",ROUND(C26/4.184,3))</f>
        <v/>
      </c>
      <c r="Q26" s="101" t="str">
        <f aca="false">IF(IF(ISBLANK(D26),1,(TRIM(D26)="")),"",ROUND(D26/4.184,3))</f>
        <v/>
      </c>
      <c r="R26" s="85" t="str">
        <f aca="false">IF(IF(ISBLANK(E26),1,(TRIM(E26)="")),"",ROUND(E26/4.184,3))</f>
        <v/>
      </c>
      <c r="S26" s="101" t="str">
        <f aca="false">IF(IF(ISBLANK(F26),1,(TRIM(F26)="")),"",ROUND(F26/4.184,3))</f>
        <v/>
      </c>
      <c r="T26" s="85" t="str">
        <f aca="false">IF(IF(ISBLANK(G26),1,(TRIM(G26)="")),"",ROUND(G26/4.184,3))</f>
        <v/>
      </c>
      <c r="U26" s="101" t="str">
        <f aca="false">IF(IF(ISBLANK(H26),1,(TRIM(H26)="")),"",ROUND(H26/4.184,3))</f>
        <v/>
      </c>
      <c r="V26" s="85" t="str">
        <f aca="false">IF(IF(ISBLANK(I26),1,(TRIM(I26)="")),"",ROUND(I26/4.184,3))</f>
        <v/>
      </c>
      <c r="W26" s="101" t="str">
        <f aca="false">IF(IF(ISBLANK(J26),1,(TRIM(J26)="")),"",ROUND(J26/4.184,3))</f>
        <v/>
      </c>
      <c r="X26" s="85" t="str">
        <f aca="false">IF(IF(ISBLANK(K26),1,(TRIM(K26)="")),"",ROUND(K26/4.184,3))</f>
        <v/>
      </c>
      <c r="Y26" s="101" t="str">
        <f aca="false">IF(IF(ISBLANK(L26),1,(TRIM(L26)="")),"",ROUND(L26/4.184,3))</f>
        <v/>
      </c>
      <c r="Z26" s="85" t="n">
        <f aca="false">IF(IF(ISBLANK(M26),1,(TRIM(M26)="")),"",ROUND(M26/4.184,3))</f>
        <v>28.991</v>
      </c>
    </row>
    <row r="27" customFormat="false" ht="12.75" hidden="false" customHeight="false" outlineLevel="0" collapsed="false">
      <c r="A27" s="73"/>
      <c r="B27" s="160" t="s">
        <v>39</v>
      </c>
      <c r="C27" s="62" t="n">
        <v>47.49</v>
      </c>
      <c r="D27" s="65" t="s">
        <v>587</v>
      </c>
      <c r="E27" s="62"/>
      <c r="F27" s="102"/>
      <c r="G27" s="62"/>
      <c r="H27" s="65"/>
      <c r="I27" s="136" t="n">
        <v>47.497</v>
      </c>
      <c r="J27" s="63"/>
      <c r="K27" s="136" t="n">
        <v>47.49</v>
      </c>
      <c r="L27" s="63"/>
      <c r="M27" s="62" t="n">
        <v>47.4</v>
      </c>
      <c r="N27" s="87" t="n">
        <f aca="false">J27-E27</f>
        <v>0</v>
      </c>
      <c r="O27" s="160" t="s">
        <v>39</v>
      </c>
      <c r="P27" s="85" t="n">
        <f aca="false">IF(IF(ISBLANK(C27),1,(TRIM(C27)="")),"",ROUND(C27/4.184,3))</f>
        <v>11.35</v>
      </c>
      <c r="Q27" s="101" t="n">
        <f aca="false">IF(IF(ISBLANK(D27),1,(TRIM(D27)="")),"",ROUND(D27/4.184,3))</f>
        <v>11.329</v>
      </c>
      <c r="R27" s="85" t="str">
        <f aca="false">IF(IF(ISBLANK(E27),1,(TRIM(E27)="")),"",ROUND(E27/4.184,3))</f>
        <v/>
      </c>
      <c r="S27" s="101" t="str">
        <f aca="false">IF(IF(ISBLANK(F27),1,(TRIM(F27)="")),"",ROUND(F27/4.184,3))</f>
        <v/>
      </c>
      <c r="T27" s="85" t="str">
        <f aca="false">IF(IF(ISBLANK(G27),1,(TRIM(G27)="")),"",ROUND(G27/4.184,3))</f>
        <v/>
      </c>
      <c r="U27" s="101" t="str">
        <f aca="false">IF(IF(ISBLANK(H27),1,(TRIM(H27)="")),"",ROUND(H27/4.184,3))</f>
        <v/>
      </c>
      <c r="V27" s="85" t="n">
        <f aca="false">IF(IF(ISBLANK(I27),1,(TRIM(I27)="")),"",ROUND(I27/4.184,3))</f>
        <v>11.352</v>
      </c>
      <c r="W27" s="101" t="str">
        <f aca="false">IF(IF(ISBLANK(J27),1,(TRIM(J27)="")),"",ROUND(J27/4.184,3))</f>
        <v/>
      </c>
      <c r="X27" s="85" t="n">
        <f aca="false">IF(IF(ISBLANK(K27),1,(TRIM(K27)="")),"",ROUND(K27/4.184,3))</f>
        <v>11.35</v>
      </c>
      <c r="Y27" s="101" t="str">
        <f aca="false">IF(IF(ISBLANK(L27),1,(TRIM(L27)="")),"",ROUND(L27/4.184,3))</f>
        <v/>
      </c>
      <c r="Z27" s="85" t="n">
        <f aca="false">IF(IF(ISBLANK(M27),1,(TRIM(M27)="")),"",ROUND(M27/4.184,3))</f>
        <v>11.329</v>
      </c>
    </row>
    <row r="28" customFormat="false" ht="12.75" hidden="false" customHeight="false" outlineLevel="0" collapsed="false">
      <c r="A28" s="73"/>
      <c r="B28" s="160" t="s">
        <v>40</v>
      </c>
      <c r="C28" s="64" t="s">
        <v>534</v>
      </c>
      <c r="D28" s="63" t="n">
        <v>5.86</v>
      </c>
      <c r="E28" s="62" t="n">
        <v>5.834</v>
      </c>
      <c r="F28" s="103" t="s">
        <v>534</v>
      </c>
      <c r="G28" s="64" t="s">
        <v>588</v>
      </c>
      <c r="H28" s="65" t="s">
        <v>588</v>
      </c>
      <c r="I28" s="141" t="s">
        <v>589</v>
      </c>
      <c r="J28" s="63" t="n">
        <v>5.834</v>
      </c>
      <c r="K28" s="136" t="n">
        <v>5.83</v>
      </c>
      <c r="L28" s="65" t="s">
        <v>590</v>
      </c>
      <c r="M28" s="64" t="s">
        <v>534</v>
      </c>
      <c r="N28" s="87" t="n">
        <f aca="false">J28-E28</f>
        <v>0</v>
      </c>
      <c r="O28" s="160" t="s">
        <v>40</v>
      </c>
      <c r="P28" s="85" t="n">
        <f aca="false">IF(IF(ISBLANK(C28),1,(TRIM(C28)="")),"",ROUND(C28/4.184,3))</f>
        <v>1.41</v>
      </c>
      <c r="Q28" s="101" t="n">
        <f aca="false">IF(IF(ISBLANK(D28),1,(TRIM(D28)="")),"",ROUND(D28/4.184,3))</f>
        <v>1.401</v>
      </c>
      <c r="R28" s="85" t="n">
        <f aca="false">IF(IF(ISBLANK(E28),1,(TRIM(E28)="")),"",ROUND(E28/4.184,3))</f>
        <v>1.394</v>
      </c>
      <c r="S28" s="101" t="n">
        <f aca="false">IF(IF(ISBLANK(F28),1,(TRIM(F28)="")),"",ROUND(F28/4.184,3))</f>
        <v>1.41</v>
      </c>
      <c r="T28" s="85" t="n">
        <f aca="false">IF(IF(ISBLANK(G28),1,(TRIM(G28)="")),"",ROUND(G28/4.184,3))</f>
        <v>1.41</v>
      </c>
      <c r="U28" s="101" t="n">
        <f aca="false">IF(IF(ISBLANK(H28),1,(TRIM(H28)="")),"",ROUND(H28/4.184,3))</f>
        <v>1.41</v>
      </c>
      <c r="V28" s="85" t="n">
        <f aca="false">IF(IF(ISBLANK(I28),1,(TRIM(I28)="")),"",ROUND(I28/4.184,3))</f>
        <v>1.393</v>
      </c>
      <c r="W28" s="101" t="n">
        <f aca="false">IF(IF(ISBLANK(J28),1,(TRIM(J28)="")),"",ROUND(J28/4.184,3))</f>
        <v>1.394</v>
      </c>
      <c r="X28" s="85" t="n">
        <f aca="false">IF(IF(ISBLANK(K28),1,(TRIM(K28)="")),"",ROUND(K28/4.184,3))</f>
        <v>1.393</v>
      </c>
      <c r="Y28" s="101" t="n">
        <f aca="false">IF(IF(ISBLANK(L28),1,(TRIM(L28)="")),"",ROUND(L28/4.184,3))</f>
        <v>1.394</v>
      </c>
      <c r="Z28" s="85" t="n">
        <f aca="false">IF(IF(ISBLANK(M28),1,(TRIM(M28)="")),"",ROUND(M28/4.184,3))</f>
        <v>1.41</v>
      </c>
    </row>
    <row r="29" customFormat="false" ht="12.75" hidden="false" customHeight="false" outlineLevel="0" collapsed="false">
      <c r="A29" s="73"/>
      <c r="B29" s="161" t="s">
        <v>41</v>
      </c>
      <c r="C29" s="64" t="s">
        <v>591</v>
      </c>
      <c r="D29" s="63" t="n">
        <v>62.8</v>
      </c>
      <c r="E29" s="62" t="n">
        <v>62.475</v>
      </c>
      <c r="F29" s="102"/>
      <c r="G29" s="62" t="s">
        <v>592</v>
      </c>
      <c r="H29" s="65" t="s">
        <v>593</v>
      </c>
      <c r="I29" s="136" t="n">
        <v>62.417</v>
      </c>
      <c r="J29" s="63" t="n">
        <v>62.475</v>
      </c>
      <c r="K29" s="136" t="n">
        <v>62.42</v>
      </c>
      <c r="L29" s="65" t="s">
        <v>594</v>
      </c>
      <c r="M29" s="62" t="n">
        <v>62.48</v>
      </c>
      <c r="N29" s="87" t="n">
        <f aca="false">J29-E29</f>
        <v>0</v>
      </c>
      <c r="O29" s="161" t="s">
        <v>41</v>
      </c>
      <c r="P29" s="85" t="n">
        <f aca="false">IF(IF(ISBLANK(C29),1,(TRIM(C29)="")),"",ROUND(C29/4.184,3))</f>
        <v>14.919</v>
      </c>
      <c r="Q29" s="101" t="n">
        <f aca="false">IF(IF(ISBLANK(D29),1,(TRIM(D29)="")),"",ROUND(D29/4.184,3))</f>
        <v>15.01</v>
      </c>
      <c r="R29" s="85" t="n">
        <f aca="false">IF(IF(ISBLANK(E29),1,(TRIM(E29)="")),"",ROUND(E29/4.184,3))</f>
        <v>14.932</v>
      </c>
      <c r="S29" s="101" t="str">
        <f aca="false">IF(IF(ISBLANK(F29),1,(TRIM(F29)="")),"",ROUND(F29/4.184,3))</f>
        <v/>
      </c>
      <c r="T29" s="85" t="n">
        <f aca="false">IF(IF(ISBLANK(G29),1,(TRIM(G29)="")),"",ROUND(G29/4.184,3))</f>
        <v>14.938</v>
      </c>
      <c r="U29" s="101" t="n">
        <f aca="false">IF(IF(ISBLANK(H29),1,(TRIM(H29)="")),"",ROUND(H29/4.184,3))</f>
        <v>14.919</v>
      </c>
      <c r="V29" s="85" t="n">
        <f aca="false">IF(IF(ISBLANK(I29),1,(TRIM(I29)="")),"",ROUND(I29/4.184,3))</f>
        <v>14.918</v>
      </c>
      <c r="W29" s="101" t="n">
        <f aca="false">IF(IF(ISBLANK(J29),1,(TRIM(J29)="")),"",ROUND(J29/4.184,3))</f>
        <v>14.932</v>
      </c>
      <c r="X29" s="85" t="n">
        <f aca="false">IF(IF(ISBLANK(K29),1,(TRIM(K29)="")),"",ROUND(K29/4.184,3))</f>
        <v>14.919</v>
      </c>
      <c r="Y29" s="101" t="n">
        <f aca="false">IF(IF(ISBLANK(L29),1,(TRIM(L29)="")),"",ROUND(L29/4.184,3))</f>
        <v>14.902</v>
      </c>
      <c r="Z29" s="85" t="n">
        <f aca="false">IF(IF(ISBLANK(M29),1,(TRIM(M29)="")),"",ROUND(M29/4.184,3))</f>
        <v>14.933</v>
      </c>
    </row>
    <row r="30" customFormat="false" ht="12.75" hidden="false" customHeight="false" outlineLevel="0" collapsed="false">
      <c r="A30" s="73"/>
      <c r="B30" s="160" t="s">
        <v>42</v>
      </c>
      <c r="C30" s="62" t="n">
        <v>9.54</v>
      </c>
      <c r="D30" s="65" t="s">
        <v>535</v>
      </c>
      <c r="E30" s="64" t="s">
        <v>595</v>
      </c>
      <c r="F30" s="103" t="s">
        <v>535</v>
      </c>
      <c r="G30" s="64" t="s">
        <v>596</v>
      </c>
      <c r="H30" s="65" t="s">
        <v>596</v>
      </c>
      <c r="I30" s="141" t="s">
        <v>595</v>
      </c>
      <c r="J30" s="65" t="s">
        <v>595</v>
      </c>
      <c r="K30" s="141" t="s">
        <v>535</v>
      </c>
      <c r="L30" s="65" t="s">
        <v>597</v>
      </c>
      <c r="M30" s="64" t="s">
        <v>535</v>
      </c>
      <c r="N30" s="87" t="n">
        <f aca="false">J30-E30</f>
        <v>0</v>
      </c>
      <c r="O30" s="160" t="s">
        <v>42</v>
      </c>
      <c r="P30" s="85" t="n">
        <f aca="false">IF(IF(ISBLANK(C30),1,(TRIM(C30)="")),"",ROUND(C30/4.184,3))</f>
        <v>2.28</v>
      </c>
      <c r="Q30" s="101" t="n">
        <f aca="false">IF(IF(ISBLANK(D30),1,(TRIM(D30)="")),"",ROUND(D30/4.184,3))</f>
        <v>2.271</v>
      </c>
      <c r="R30" s="85" t="n">
        <f aca="false">IF(IF(ISBLANK(E30),1,(TRIM(E30)="")),"",ROUND(E30/4.184,3))</f>
        <v>2.256</v>
      </c>
      <c r="S30" s="101" t="n">
        <f aca="false">IF(IF(ISBLANK(F30),1,(TRIM(F30)="")),"",ROUND(F30/4.184,3))</f>
        <v>2.271</v>
      </c>
      <c r="T30" s="85" t="n">
        <f aca="false">IF(IF(ISBLANK(G30),1,(TRIM(G30)="")),"",ROUND(G30/4.184,3))</f>
        <v>2.271</v>
      </c>
      <c r="U30" s="101" t="n">
        <f aca="false">IF(IF(ISBLANK(H30),1,(TRIM(H30)="")),"",ROUND(H30/4.184,3))</f>
        <v>2.271</v>
      </c>
      <c r="V30" s="85" t="n">
        <f aca="false">IF(IF(ISBLANK(I30),1,(TRIM(I30)="")),"",ROUND(I30/4.184,3))</f>
        <v>2.256</v>
      </c>
      <c r="W30" s="101" t="n">
        <f aca="false">IF(IF(ISBLANK(J30),1,(TRIM(J30)="")),"",ROUND(J30/4.184,3))</f>
        <v>2.256</v>
      </c>
      <c r="X30" s="85" t="n">
        <f aca="false">IF(IF(ISBLANK(K30),1,(TRIM(K30)="")),"",ROUND(K30/4.184,3))</f>
        <v>2.271</v>
      </c>
      <c r="Y30" s="101" t="n">
        <f aca="false">IF(IF(ISBLANK(L30),1,(TRIM(L30)="")),"",ROUND(L30/4.184,3))</f>
        <v>2.271</v>
      </c>
      <c r="Z30" s="85" t="n">
        <f aca="false">IF(IF(ISBLANK(M30),1,(TRIM(M30)="")),"",ROUND(M30/4.184,3))</f>
        <v>2.271</v>
      </c>
    </row>
    <row r="31" customFormat="false" ht="12.75" hidden="false" customHeight="false" outlineLevel="0" collapsed="false">
      <c r="A31" s="73"/>
      <c r="B31" s="160" t="s">
        <v>43</v>
      </c>
      <c r="C31" s="62" t="n">
        <v>56.74</v>
      </c>
      <c r="D31" s="63" t="n">
        <v>56.74</v>
      </c>
      <c r="E31" s="62"/>
      <c r="F31" s="102"/>
      <c r="G31" s="62"/>
      <c r="H31" s="65" t="s">
        <v>598</v>
      </c>
      <c r="I31" s="136" t="n">
        <v>56.735</v>
      </c>
      <c r="J31" s="63"/>
      <c r="K31" s="136" t="n">
        <v>56.74</v>
      </c>
      <c r="L31" s="63"/>
      <c r="M31" s="62" t="n">
        <v>56.7</v>
      </c>
      <c r="N31" s="87" t="n">
        <f aca="false">J31-E31</f>
        <v>0</v>
      </c>
      <c r="O31" s="160" t="s">
        <v>43</v>
      </c>
      <c r="P31" s="85" t="n">
        <f aca="false">IF(IF(ISBLANK(C31),1,(TRIM(C31)="")),"",ROUND(C31/4.184,3))</f>
        <v>13.561</v>
      </c>
      <c r="Q31" s="101" t="n">
        <f aca="false">IF(IF(ISBLANK(D31),1,(TRIM(D31)="")),"",ROUND(D31/4.184,3))</f>
        <v>13.561</v>
      </c>
      <c r="R31" s="85" t="str">
        <f aca="false">IF(IF(ISBLANK(E31),1,(TRIM(E31)="")),"",ROUND(E31/4.184,3))</f>
        <v/>
      </c>
      <c r="S31" s="101" t="str">
        <f aca="false">IF(IF(ISBLANK(F31),1,(TRIM(F31)="")),"",ROUND(F31/4.184,3))</f>
        <v/>
      </c>
      <c r="T31" s="85" t="str">
        <f aca="false">IF(IF(ISBLANK(G31),1,(TRIM(G31)="")),"",ROUND(G31/4.184,3))</f>
        <v/>
      </c>
      <c r="U31" s="101" t="n">
        <f aca="false">IF(IF(ISBLANK(H31),1,(TRIM(H31)="")),"",ROUND(H31/4.184,3))</f>
        <v>13.561</v>
      </c>
      <c r="V31" s="85" t="n">
        <f aca="false">IF(IF(ISBLANK(I31),1,(TRIM(I31)="")),"",ROUND(I31/4.184,3))</f>
        <v>13.56</v>
      </c>
      <c r="W31" s="101" t="str">
        <f aca="false">IF(IF(ISBLANK(J31),1,(TRIM(J31)="")),"",ROUND(J31/4.184,3))</f>
        <v/>
      </c>
      <c r="X31" s="85" t="n">
        <f aca="false">IF(IF(ISBLANK(K31),1,(TRIM(K31)="")),"",ROUND(K31/4.184,3))</f>
        <v>13.561</v>
      </c>
      <c r="Y31" s="101" t="str">
        <f aca="false">IF(IF(ISBLANK(L31),1,(TRIM(L31)="")),"",ROUND(L31/4.184,3))</f>
        <v/>
      </c>
      <c r="Z31" s="85" t="n">
        <f aca="false">IF(IF(ISBLANK(M31),1,(TRIM(M31)="")),"",ROUND(M31/4.184,3))</f>
        <v>13.552</v>
      </c>
    </row>
    <row r="32" customFormat="false" ht="12.75" hidden="false" customHeight="false" outlineLevel="0" collapsed="false">
      <c r="A32" s="73"/>
      <c r="B32" s="160" t="s">
        <v>44</v>
      </c>
      <c r="C32" s="62"/>
      <c r="D32" s="65"/>
      <c r="E32" s="64"/>
      <c r="F32" s="102"/>
      <c r="G32" s="62"/>
      <c r="H32" s="65"/>
      <c r="I32" s="136"/>
      <c r="J32" s="63"/>
      <c r="K32" s="136"/>
      <c r="L32" s="63"/>
      <c r="M32" s="62"/>
      <c r="N32" s="87" t="n">
        <f aca="false">J32-E32</f>
        <v>0</v>
      </c>
      <c r="O32" s="160" t="s">
        <v>44</v>
      </c>
      <c r="P32" s="85" t="str">
        <f aca="false">IF(IF(ISBLANK(C32),1,(TRIM(C32)="")),"",ROUND(C32/4.184,3))</f>
        <v/>
      </c>
      <c r="Q32" s="101" t="str">
        <f aca="false">IF(IF(ISBLANK(D32),1,(TRIM(D32)="")),"",ROUND(D32/4.184,3))</f>
        <v/>
      </c>
      <c r="R32" s="85" t="str">
        <f aca="false">IF(IF(ISBLANK(E32),1,(TRIM(E32)="")),"",ROUND(E32/4.184,3))</f>
        <v/>
      </c>
      <c r="S32" s="101" t="str">
        <f aca="false">IF(IF(ISBLANK(F32),1,(TRIM(F32)="")),"",ROUND(F32/4.184,3))</f>
        <v/>
      </c>
      <c r="T32" s="85" t="str">
        <f aca="false">IF(IF(ISBLANK(G32),1,(TRIM(G32)="")),"",ROUND(G32/4.184,3))</f>
        <v/>
      </c>
      <c r="U32" s="101" t="str">
        <f aca="false">IF(IF(ISBLANK(H32),1,(TRIM(H32)="")),"",ROUND(H32/4.184,3))</f>
        <v/>
      </c>
      <c r="V32" s="85" t="str">
        <f aca="false">IF(IF(ISBLANK(I32),1,(TRIM(I32)="")),"",ROUND(I32/4.184,3))</f>
        <v/>
      </c>
      <c r="W32" s="101" t="str">
        <f aca="false">IF(IF(ISBLANK(J32),1,(TRIM(J32)="")),"",ROUND(J32/4.184,3))</f>
        <v/>
      </c>
      <c r="X32" s="85" t="str">
        <f aca="false">IF(IF(ISBLANK(K32),1,(TRIM(K32)="")),"",ROUND(K32/4.184,3))</f>
        <v/>
      </c>
      <c r="Y32" s="101" t="str">
        <f aca="false">IF(IF(ISBLANK(L32),1,(TRIM(L32)="")),"",ROUND(L32/4.184,3))</f>
        <v/>
      </c>
      <c r="Z32" s="85" t="str">
        <f aca="false">IF(IF(ISBLANK(M32),1,(TRIM(M32)="")),"",ROUND(M32/4.184,3))</f>
        <v/>
      </c>
    </row>
    <row r="33" customFormat="false" ht="12.75" hidden="false" customHeight="false" outlineLevel="0" collapsed="false">
      <c r="A33" s="73"/>
      <c r="B33" s="160" t="s">
        <v>46</v>
      </c>
      <c r="C33" s="62" t="n">
        <v>152.32</v>
      </c>
      <c r="D33" s="63" t="n">
        <v>152.231</v>
      </c>
      <c r="E33" s="62" t="n">
        <v>152.206</v>
      </c>
      <c r="F33" s="103" t="s">
        <v>537</v>
      </c>
      <c r="G33" s="64" t="s">
        <v>536</v>
      </c>
      <c r="H33" s="65" t="s">
        <v>536</v>
      </c>
      <c r="I33" s="141" t="s">
        <v>536</v>
      </c>
      <c r="J33" s="63" t="n">
        <v>152.206</v>
      </c>
      <c r="K33" s="141" t="s">
        <v>599</v>
      </c>
      <c r="L33" s="65" t="s">
        <v>536</v>
      </c>
      <c r="M33" s="62" t="n">
        <v>152.21</v>
      </c>
      <c r="N33" s="87" t="n">
        <f aca="false">J33-E33</f>
        <v>0</v>
      </c>
      <c r="O33" s="160" t="s">
        <v>46</v>
      </c>
      <c r="P33" s="85" t="n">
        <f aca="false">IF(IF(ISBLANK(C33),1,(TRIM(C33)="")),"",ROUND(C33/4.184,3))</f>
        <v>36.405</v>
      </c>
      <c r="Q33" s="101" t="n">
        <f aca="false">IF(IF(ISBLANK(D33),1,(TRIM(D33)="")),"",ROUND(D33/4.184,3))</f>
        <v>36.384</v>
      </c>
      <c r="R33" s="85" t="n">
        <f aca="false">IF(IF(ISBLANK(E33),1,(TRIM(E33)="")),"",ROUND(E33/4.184,3))</f>
        <v>36.378</v>
      </c>
      <c r="S33" s="101" t="n">
        <f aca="false">IF(IF(ISBLANK(F33),1,(TRIM(F33)="")),"",ROUND(F33/4.184,3))</f>
        <v>36.379</v>
      </c>
      <c r="T33" s="85" t="n">
        <f aca="false">IF(IF(ISBLANK(G33),1,(TRIM(G33)="")),"",ROUND(G33/4.184,3))</f>
        <v>36.379</v>
      </c>
      <c r="U33" s="101" t="n">
        <f aca="false">IF(IF(ISBLANK(H33),1,(TRIM(H33)="")),"",ROUND(H33/4.184,3))</f>
        <v>36.379</v>
      </c>
      <c r="V33" s="85" t="n">
        <f aca="false">IF(IF(ISBLANK(I33),1,(TRIM(I33)="")),"",ROUND(I33/4.184,3))</f>
        <v>36.379</v>
      </c>
      <c r="W33" s="101" t="n">
        <f aca="false">IF(IF(ISBLANK(J33),1,(TRIM(J33)="")),"",ROUND(J33/4.184,3))</f>
        <v>36.378</v>
      </c>
      <c r="X33" s="85" t="n">
        <f aca="false">IF(IF(ISBLANK(K33),1,(TRIM(K33)="")),"",ROUND(K33/4.184,3))</f>
        <v>36.377</v>
      </c>
      <c r="Y33" s="101" t="n">
        <f aca="false">IF(IF(ISBLANK(L33),1,(TRIM(L33)="")),"",ROUND(L33/4.184,3))</f>
        <v>36.379</v>
      </c>
      <c r="Z33" s="85" t="n">
        <f aca="false">IF(IF(ISBLANK(M33),1,(TRIM(M33)="")),"",ROUND(M33/4.184,3))</f>
        <v>36.379</v>
      </c>
    </row>
    <row r="34" customFormat="false" ht="12.75" hidden="false" customHeight="false" outlineLevel="0" collapsed="false">
      <c r="A34" s="73"/>
      <c r="B34" s="160" t="s">
        <v>48</v>
      </c>
      <c r="C34" s="62" t="n">
        <v>5.74</v>
      </c>
      <c r="D34" s="65" t="s">
        <v>600</v>
      </c>
      <c r="E34" s="64" t="s">
        <v>600</v>
      </c>
      <c r="F34" s="102" t="n">
        <v>5.74</v>
      </c>
      <c r="G34" s="62" t="s">
        <v>600</v>
      </c>
      <c r="H34" s="65" t="s">
        <v>600</v>
      </c>
      <c r="I34" s="141" t="s">
        <v>600</v>
      </c>
      <c r="J34" s="65" t="s">
        <v>600</v>
      </c>
      <c r="K34" s="136" t="n">
        <v>5.74</v>
      </c>
      <c r="L34" s="65" t="s">
        <v>601</v>
      </c>
      <c r="M34" s="62" t="n">
        <v>5.74</v>
      </c>
      <c r="N34" s="87" t="n">
        <f aca="false">J34-E34</f>
        <v>0</v>
      </c>
      <c r="O34" s="160" t="s">
        <v>48</v>
      </c>
      <c r="P34" s="85" t="n">
        <f aca="false">IF(IF(ISBLANK(C34),1,(TRIM(C34)="")),"",ROUND(C34/4.184,3))</f>
        <v>1.372</v>
      </c>
      <c r="Q34" s="101" t="n">
        <f aca="false">IF(IF(ISBLANK(D34),1,(TRIM(D34)="")),"",ROUND(D34/4.184,3))</f>
        <v>1.372</v>
      </c>
      <c r="R34" s="85" t="n">
        <f aca="false">IF(IF(ISBLANK(E34),1,(TRIM(E34)="")),"",ROUND(E34/4.184,3))</f>
        <v>1.372</v>
      </c>
      <c r="S34" s="101" t="n">
        <f aca="false">IF(IF(ISBLANK(F34),1,(TRIM(F34)="")),"",ROUND(F34/4.184,3))</f>
        <v>1.372</v>
      </c>
      <c r="T34" s="85" t="n">
        <f aca="false">IF(IF(ISBLANK(G34),1,(TRIM(G34)="")),"",ROUND(G34/4.184,3))</f>
        <v>1.372</v>
      </c>
      <c r="U34" s="101" t="n">
        <f aca="false">IF(IF(ISBLANK(H34),1,(TRIM(H34)="")),"",ROUND(H34/4.184,3))</f>
        <v>1.372</v>
      </c>
      <c r="V34" s="85" t="n">
        <f aca="false">IF(IF(ISBLANK(I34),1,(TRIM(I34)="")),"",ROUND(I34/4.184,3))</f>
        <v>1.372</v>
      </c>
      <c r="W34" s="101" t="n">
        <f aca="false">IF(IF(ISBLANK(J34),1,(TRIM(J34)="")),"",ROUND(J34/4.184,3))</f>
        <v>1.372</v>
      </c>
      <c r="X34" s="85" t="n">
        <f aca="false">IF(IF(ISBLANK(K34),1,(TRIM(K34)="")),"",ROUND(K34/4.184,3))</f>
        <v>1.372</v>
      </c>
      <c r="Y34" s="101" t="n">
        <f aca="false">IF(IF(ISBLANK(L34),1,(TRIM(L34)="")),"",ROUND(L34/4.184,3))</f>
        <v>1.37</v>
      </c>
      <c r="Z34" s="85" t="n">
        <f aca="false">IF(IF(ISBLANK(M34),1,(TRIM(M34)="")),"",ROUND(M34/4.184,3))</f>
        <v>1.372</v>
      </c>
    </row>
    <row r="35" customFormat="false" ht="12.75" hidden="false" customHeight="false" outlineLevel="0" collapsed="false">
      <c r="A35" s="73"/>
      <c r="B35" s="160" t="s">
        <v>49</v>
      </c>
      <c r="C35" s="62" t="n">
        <v>41.63</v>
      </c>
      <c r="D35" s="63" t="n">
        <v>41.42</v>
      </c>
      <c r="E35" s="62" t="n">
        <v>41.588</v>
      </c>
      <c r="F35" s="102" t="n">
        <v>41.59</v>
      </c>
      <c r="G35" s="64" t="s">
        <v>602</v>
      </c>
      <c r="H35" s="65" t="s">
        <v>602</v>
      </c>
      <c r="I35" s="136" t="n">
        <v>41.422</v>
      </c>
      <c r="J35" s="63" t="n">
        <v>41.588</v>
      </c>
      <c r="K35" s="141" t="s">
        <v>603</v>
      </c>
      <c r="L35" s="65" t="s">
        <v>604</v>
      </c>
      <c r="M35" s="62" t="n">
        <v>41.59</v>
      </c>
      <c r="N35" s="87" t="n">
        <f aca="false">J35-E35</f>
        <v>0</v>
      </c>
      <c r="O35" s="160" t="s">
        <v>49</v>
      </c>
      <c r="P35" s="85" t="n">
        <f aca="false">IF(IF(ISBLANK(C35),1,(TRIM(C35)="")),"",ROUND(C35/4.184,3))</f>
        <v>9.95</v>
      </c>
      <c r="Q35" s="101" t="n">
        <f aca="false">IF(IF(ISBLANK(D35),1,(TRIM(D35)="")),"",ROUND(D35/4.184,3))</f>
        <v>9.9</v>
      </c>
      <c r="R35" s="85" t="n">
        <f aca="false">IF(IF(ISBLANK(E35),1,(TRIM(E35)="")),"",ROUND(E35/4.184,3))</f>
        <v>9.94</v>
      </c>
      <c r="S35" s="101" t="n">
        <f aca="false">IF(IF(ISBLANK(F35),1,(TRIM(F35)="")),"",ROUND(F35/4.184,3))</f>
        <v>9.94</v>
      </c>
      <c r="T35" s="85" t="n">
        <f aca="false">IF(IF(ISBLANK(G35),1,(TRIM(G35)="")),"",ROUND(G35/4.184,3))</f>
        <v>9.94</v>
      </c>
      <c r="U35" s="101" t="n">
        <f aca="false">IF(IF(ISBLANK(H35),1,(TRIM(H35)="")),"",ROUND(H35/4.184,3))</f>
        <v>9.94</v>
      </c>
      <c r="V35" s="85" t="n">
        <f aca="false">IF(IF(ISBLANK(I35),1,(TRIM(I35)="")),"",ROUND(I35/4.184,3))</f>
        <v>9.9</v>
      </c>
      <c r="W35" s="101" t="n">
        <f aca="false">IF(IF(ISBLANK(J35),1,(TRIM(J35)="")),"",ROUND(J35/4.184,3))</f>
        <v>9.94</v>
      </c>
      <c r="X35" s="85" t="n">
        <f aca="false">IF(IF(ISBLANK(K35),1,(TRIM(K35)="")),"",ROUND(K35/4.184,3))</f>
        <v>10.253</v>
      </c>
      <c r="Y35" s="101" t="n">
        <f aca="false">IF(IF(ISBLANK(L35),1,(TRIM(L35)="")),"",ROUND(L35/4.184,3))</f>
        <v>10.166</v>
      </c>
      <c r="Z35" s="85" t="n">
        <f aca="false">IF(IF(ISBLANK(M35),1,(TRIM(M35)="")),"",ROUND(M35/4.184,3))</f>
        <v>9.94</v>
      </c>
    </row>
    <row r="36" customFormat="false" ht="12.75" hidden="false" customHeight="false" outlineLevel="0" collapsed="false">
      <c r="A36" s="73"/>
      <c r="B36" s="160" t="s">
        <v>50</v>
      </c>
      <c r="C36" s="64" t="s">
        <v>538</v>
      </c>
      <c r="D36" s="63" t="n">
        <v>51.76</v>
      </c>
      <c r="E36" s="62"/>
      <c r="F36" s="103" t="s">
        <v>538</v>
      </c>
      <c r="G36" s="64"/>
      <c r="H36" s="65" t="s">
        <v>605</v>
      </c>
      <c r="I36" s="136" t="n">
        <v>51.798</v>
      </c>
      <c r="J36" s="63"/>
      <c r="K36" s="141" t="s">
        <v>538</v>
      </c>
      <c r="L36" s="65" t="s">
        <v>605</v>
      </c>
      <c r="M36" s="64" t="s">
        <v>538</v>
      </c>
      <c r="N36" s="87" t="n">
        <f aca="false">J36-E36</f>
        <v>0</v>
      </c>
      <c r="O36" s="160" t="s">
        <v>50</v>
      </c>
      <c r="P36" s="85" t="n">
        <f aca="false">IF(IF(ISBLANK(C36),1,(TRIM(C36)="")),"",ROUND(C36/4.184,3))</f>
        <v>12.38</v>
      </c>
      <c r="Q36" s="101" t="n">
        <f aca="false">IF(IF(ISBLANK(D36),1,(TRIM(D36)="")),"",ROUND(D36/4.184,3))</f>
        <v>12.371</v>
      </c>
      <c r="R36" s="85" t="str">
        <f aca="false">IF(IF(ISBLANK(E36),1,(TRIM(E36)="")),"",ROUND(E36/4.184,3))</f>
        <v/>
      </c>
      <c r="S36" s="101" t="n">
        <f aca="false">IF(IF(ISBLANK(F36),1,(TRIM(F36)="")),"",ROUND(F36/4.184,3))</f>
        <v>12.38</v>
      </c>
      <c r="T36" s="85" t="str">
        <f aca="false">IF(IF(ISBLANK(G36),1,(TRIM(G36)="")),"",ROUND(G36/4.184,3))</f>
        <v/>
      </c>
      <c r="U36" s="101" t="n">
        <f aca="false">IF(IF(ISBLANK(H36),1,(TRIM(H36)="")),"",ROUND(H36/4.184,3))</f>
        <v>12.38</v>
      </c>
      <c r="V36" s="85" t="n">
        <f aca="false">IF(IF(ISBLANK(I36),1,(TRIM(I36)="")),"",ROUND(I36/4.184,3))</f>
        <v>12.38</v>
      </c>
      <c r="W36" s="101" t="str">
        <f aca="false">IF(IF(ISBLANK(J36),1,(TRIM(J36)="")),"",ROUND(J36/4.184,3))</f>
        <v/>
      </c>
      <c r="X36" s="85" t="n">
        <f aca="false">IF(IF(ISBLANK(K36),1,(TRIM(K36)="")),"",ROUND(K36/4.184,3))</f>
        <v>12.38</v>
      </c>
      <c r="Y36" s="101" t="n">
        <f aca="false">IF(IF(ISBLANK(L36),1,(TRIM(L36)="")),"",ROUND(L36/4.184,3))</f>
        <v>12.38</v>
      </c>
      <c r="Z36" s="85" t="n">
        <f aca="false">IF(IF(ISBLANK(M36),1,(TRIM(M36)="")),"",ROUND(M36/4.184,3))</f>
        <v>12.38</v>
      </c>
    </row>
    <row r="37" customFormat="false" ht="12.75" hidden="false" customHeight="false" outlineLevel="0" collapsed="false">
      <c r="A37" s="73"/>
      <c r="B37" s="160" t="s">
        <v>51</v>
      </c>
      <c r="C37" s="62" t="n">
        <v>69.46</v>
      </c>
      <c r="D37" s="65" t="s">
        <v>606</v>
      </c>
      <c r="E37" s="62"/>
      <c r="F37" s="102"/>
      <c r="G37" s="62"/>
      <c r="H37" s="65"/>
      <c r="I37" s="136" t="n">
        <v>69.454</v>
      </c>
      <c r="J37" s="63"/>
      <c r="K37" s="141" t="s">
        <v>606</v>
      </c>
      <c r="L37" s="65"/>
      <c r="M37" s="64" t="s">
        <v>606</v>
      </c>
      <c r="N37" s="87" t="n">
        <f aca="false">J37-E37</f>
        <v>0</v>
      </c>
      <c r="O37" s="160" t="s">
        <v>51</v>
      </c>
      <c r="P37" s="85" t="n">
        <f aca="false">IF(IF(ISBLANK(C37),1,(TRIM(C37)="")),"",ROUND(C37/4.184,3))</f>
        <v>16.601</v>
      </c>
      <c r="Q37" s="101" t="n">
        <f aca="false">IF(IF(ISBLANK(D37),1,(TRIM(D37)="")),"",ROUND(D37/4.184,3))</f>
        <v>17.208</v>
      </c>
      <c r="R37" s="85" t="str">
        <f aca="false">IF(IF(ISBLANK(E37),1,(TRIM(E37)="")),"",ROUND(E37/4.184,3))</f>
        <v/>
      </c>
      <c r="S37" s="101" t="str">
        <f aca="false">IF(IF(ISBLANK(F37),1,(TRIM(F37)="")),"",ROUND(F37/4.184,3))</f>
        <v/>
      </c>
      <c r="T37" s="85" t="str">
        <f aca="false">IF(IF(ISBLANK(G37),1,(TRIM(G37)="")),"",ROUND(G37/4.184,3))</f>
        <v/>
      </c>
      <c r="U37" s="101" t="str">
        <f aca="false">IF(IF(ISBLANK(H37),1,(TRIM(H37)="")),"",ROUND(H37/4.184,3))</f>
        <v/>
      </c>
      <c r="V37" s="85" t="n">
        <f aca="false">IF(IF(ISBLANK(I37),1,(TRIM(I37)="")),"",ROUND(I37/4.184,3))</f>
        <v>16.6</v>
      </c>
      <c r="W37" s="101" t="str">
        <f aca="false">IF(IF(ISBLANK(J37),1,(TRIM(J37)="")),"",ROUND(J37/4.184,3))</f>
        <v/>
      </c>
      <c r="X37" s="85" t="n">
        <f aca="false">IF(IF(ISBLANK(K37),1,(TRIM(K37)="")),"",ROUND(K37/4.184,3))</f>
        <v>17.208</v>
      </c>
      <c r="Y37" s="101" t="str">
        <f aca="false">IF(IF(ISBLANK(L37),1,(TRIM(L37)="")),"",ROUND(L37/4.184,3))</f>
        <v/>
      </c>
      <c r="Z37" s="85" t="n">
        <f aca="false">IF(IF(ISBLANK(M37),1,(TRIM(M37)="")),"",ROUND(M37/4.184,3))</f>
        <v>17.208</v>
      </c>
    </row>
    <row r="38" customFormat="false" ht="12.75" hidden="false" customHeight="false" outlineLevel="0" collapsed="false">
      <c r="A38" s="73"/>
      <c r="B38" s="160" t="s">
        <v>52</v>
      </c>
      <c r="C38" s="62"/>
      <c r="D38" s="65"/>
      <c r="E38" s="64"/>
      <c r="F38" s="102"/>
      <c r="G38" s="62"/>
      <c r="H38" s="65"/>
      <c r="I38" s="136"/>
      <c r="J38" s="63"/>
      <c r="K38" s="136"/>
      <c r="L38" s="63"/>
      <c r="M38" s="62"/>
      <c r="N38" s="87" t="n">
        <f aca="false">J38-E38</f>
        <v>0</v>
      </c>
      <c r="O38" s="160" t="s">
        <v>52</v>
      </c>
      <c r="P38" s="85" t="str">
        <f aca="false">IF(IF(ISBLANK(C38),1,(TRIM(C38)="")),"",ROUND(C38/4.184,3))</f>
        <v/>
      </c>
      <c r="Q38" s="101" t="str">
        <f aca="false">IF(IF(ISBLANK(D38),1,(TRIM(D38)="")),"",ROUND(D38/4.184,3))</f>
        <v/>
      </c>
      <c r="R38" s="85" t="str">
        <f aca="false">IF(IF(ISBLANK(E38),1,(TRIM(E38)="")),"",ROUND(E38/4.184,3))</f>
        <v/>
      </c>
      <c r="S38" s="101" t="str">
        <f aca="false">IF(IF(ISBLANK(F38),1,(TRIM(F38)="")),"",ROUND(F38/4.184,3))</f>
        <v/>
      </c>
      <c r="T38" s="85" t="str">
        <f aca="false">IF(IF(ISBLANK(G38),1,(TRIM(G38)="")),"",ROUND(G38/4.184,3))</f>
        <v/>
      </c>
      <c r="U38" s="101" t="str">
        <f aca="false">IF(IF(ISBLANK(H38),1,(TRIM(H38)="")),"",ROUND(H38/4.184,3))</f>
        <v/>
      </c>
      <c r="V38" s="85" t="str">
        <f aca="false">IF(IF(ISBLANK(I38),1,(TRIM(I38)="")),"",ROUND(I38/4.184,3))</f>
        <v/>
      </c>
      <c r="W38" s="101" t="str">
        <f aca="false">IF(IF(ISBLANK(J38),1,(TRIM(J38)="")),"",ROUND(J38/4.184,3))</f>
        <v/>
      </c>
      <c r="X38" s="85" t="str">
        <f aca="false">IF(IF(ISBLANK(K38),1,(TRIM(K38)="")),"",ROUND(K38/4.184,3))</f>
        <v/>
      </c>
      <c r="Y38" s="101" t="str">
        <f aca="false">IF(IF(ISBLANK(L38),1,(TRIM(L38)="")),"",ROUND(L38/4.184,3))</f>
        <v/>
      </c>
      <c r="Z38" s="85" t="str">
        <f aca="false">IF(IF(ISBLANK(M38),1,(TRIM(M38)="")),"",ROUND(M38/4.184,3))</f>
        <v/>
      </c>
    </row>
    <row r="39" customFormat="false" ht="12.75" hidden="false" customHeight="false" outlineLevel="0" collapsed="false">
      <c r="A39" s="73"/>
      <c r="B39" s="160" t="s">
        <v>54</v>
      </c>
      <c r="C39" s="62" t="n">
        <v>223.08</v>
      </c>
      <c r="D39" s="63" t="n">
        <v>223.066</v>
      </c>
      <c r="E39" s="62" t="n">
        <v>223.079</v>
      </c>
      <c r="F39" s="102" t="n">
        <v>223.081</v>
      </c>
      <c r="G39" s="64" t="s">
        <v>607</v>
      </c>
      <c r="H39" s="65" t="n">
        <v>223.081</v>
      </c>
      <c r="I39" s="136" t="n">
        <v>223.117</v>
      </c>
      <c r="J39" s="63" t="n">
        <v>223.079</v>
      </c>
      <c r="K39" s="136" t="n">
        <v>223.08</v>
      </c>
      <c r="L39" s="65" t="s">
        <v>608</v>
      </c>
      <c r="M39" s="62" t="n">
        <v>233.08</v>
      </c>
      <c r="N39" s="87" t="n">
        <f aca="false">J39-E39</f>
        <v>0</v>
      </c>
      <c r="O39" s="160" t="s">
        <v>54</v>
      </c>
      <c r="P39" s="85" t="n">
        <f aca="false">IF(IF(ISBLANK(C39),1,(TRIM(C39)="")),"",ROUND(C39/4.184,3))</f>
        <v>53.317</v>
      </c>
      <c r="Q39" s="101" t="n">
        <f aca="false">IF(IF(ISBLANK(D39),1,(TRIM(D39)="")),"",ROUND(D39/4.184,3))</f>
        <v>53.314</v>
      </c>
      <c r="R39" s="85" t="n">
        <f aca="false">IF(IF(ISBLANK(E39),1,(TRIM(E39)="")),"",ROUND(E39/4.184,3))</f>
        <v>53.317</v>
      </c>
      <c r="S39" s="101" t="n">
        <f aca="false">IF(IF(ISBLANK(F39),1,(TRIM(F39)="")),"",ROUND(F39/4.184,3))</f>
        <v>53.318</v>
      </c>
      <c r="T39" s="85" t="n">
        <f aca="false">IF(IF(ISBLANK(G39),1,(TRIM(G39)="")),"",ROUND(G39/4.184,3))</f>
        <v>53.317</v>
      </c>
      <c r="U39" s="101" t="n">
        <f aca="false">IF(IF(ISBLANK(H39),1,(TRIM(H39)="")),"",ROUND(H39/4.184,3))</f>
        <v>53.318</v>
      </c>
      <c r="V39" s="85" t="n">
        <f aca="false">IF(IF(ISBLANK(I39),1,(TRIM(I39)="")),"",ROUND(I39/4.184,3))</f>
        <v>53.326</v>
      </c>
      <c r="W39" s="101" t="n">
        <f aca="false">IF(IF(ISBLANK(J39),1,(TRIM(J39)="")),"",ROUND(J39/4.184,3))</f>
        <v>53.317</v>
      </c>
      <c r="X39" s="85" t="n">
        <f aca="false">IF(IF(ISBLANK(K39),1,(TRIM(K39)="")),"",ROUND(K39/4.184,3))</f>
        <v>53.317</v>
      </c>
      <c r="Y39" s="101" t="n">
        <f aca="false">IF(IF(ISBLANK(L39),1,(TRIM(L39)="")),"",ROUND(L39/4.184,3))</f>
        <v>53.318</v>
      </c>
      <c r="Z39" s="85" t="n">
        <f aca="false">IF(IF(ISBLANK(M39),1,(TRIM(M39)="")),"",ROUND(M39/4.184,3))</f>
        <v>55.707</v>
      </c>
    </row>
    <row r="40" customFormat="false" ht="12.75" hidden="false" customHeight="false" outlineLevel="0" collapsed="false">
      <c r="A40" s="73"/>
      <c r="B40" s="160" t="s">
        <v>56</v>
      </c>
      <c r="C40" s="62"/>
      <c r="D40" s="65"/>
      <c r="E40" s="64"/>
      <c r="F40" s="102"/>
      <c r="G40" s="62"/>
      <c r="H40" s="65"/>
      <c r="I40" s="136"/>
      <c r="J40" s="63"/>
      <c r="K40" s="136"/>
      <c r="L40" s="63"/>
      <c r="M40" s="62"/>
      <c r="N40" s="87" t="n">
        <f aca="false">J40-E40</f>
        <v>0</v>
      </c>
      <c r="O40" s="160" t="s">
        <v>56</v>
      </c>
      <c r="P40" s="85" t="str">
        <f aca="false">IF(IF(ISBLANK(C40),1,(TRIM(C40)="")),"",ROUND(C40/4.184,3))</f>
        <v/>
      </c>
      <c r="Q40" s="101" t="str">
        <f aca="false">IF(IF(ISBLANK(D40),1,(TRIM(D40)="")),"",ROUND(D40/4.184,3))</f>
        <v/>
      </c>
      <c r="R40" s="85" t="str">
        <f aca="false">IF(IF(ISBLANK(E40),1,(TRIM(E40)="")),"",ROUND(E40/4.184,3))</f>
        <v/>
      </c>
      <c r="S40" s="101" t="str">
        <f aca="false">IF(IF(ISBLANK(F40),1,(TRIM(F40)="")),"",ROUND(F40/4.184,3))</f>
        <v/>
      </c>
      <c r="T40" s="85" t="str">
        <f aca="false">IF(IF(ISBLANK(G40),1,(TRIM(G40)="")),"",ROUND(G40/4.184,3))</f>
        <v/>
      </c>
      <c r="U40" s="101" t="str">
        <f aca="false">IF(IF(ISBLANK(H40),1,(TRIM(H40)="")),"",ROUND(H40/4.184,3))</f>
        <v/>
      </c>
      <c r="V40" s="85" t="str">
        <f aca="false">IF(IF(ISBLANK(I40),1,(TRIM(I40)="")),"",ROUND(I40/4.184,3))</f>
        <v/>
      </c>
      <c r="W40" s="101" t="str">
        <f aca="false">IF(IF(ISBLANK(J40),1,(TRIM(J40)="")),"",ROUND(J40/4.184,3))</f>
        <v/>
      </c>
      <c r="X40" s="85" t="str">
        <f aca="false">IF(IF(ISBLANK(K40),1,(TRIM(K40)="")),"",ROUND(K40/4.184,3))</f>
        <v/>
      </c>
      <c r="Y40" s="101" t="str">
        <f aca="false">IF(IF(ISBLANK(L40),1,(TRIM(L40)="")),"",ROUND(L40/4.184,3))</f>
        <v/>
      </c>
      <c r="Z40" s="85" t="str">
        <f aca="false">IF(IF(ISBLANK(M40),1,(TRIM(M40)="")),"",ROUND(M40/4.184,3))</f>
        <v/>
      </c>
    </row>
    <row r="41" customFormat="false" ht="12.75" hidden="false" customHeight="false" outlineLevel="0" collapsed="false">
      <c r="A41" s="73"/>
      <c r="B41" s="160" t="s">
        <v>57</v>
      </c>
      <c r="C41" s="62" t="n">
        <v>30.04</v>
      </c>
      <c r="D41" s="63" t="n">
        <v>30.04</v>
      </c>
      <c r="E41" s="62" t="n">
        <v>30.067</v>
      </c>
      <c r="F41" s="102"/>
      <c r="G41" s="62"/>
      <c r="H41" s="65"/>
      <c r="I41" s="136" t="n">
        <v>30.041</v>
      </c>
      <c r="J41" s="63" t="n">
        <v>30.067</v>
      </c>
      <c r="K41" s="136" t="n">
        <v>30.04</v>
      </c>
      <c r="L41" s="65" t="s">
        <v>609</v>
      </c>
      <c r="M41" s="64" t="s">
        <v>610</v>
      </c>
      <c r="N41" s="87" t="n">
        <f aca="false">J41-E41</f>
        <v>0</v>
      </c>
      <c r="O41" s="160" t="s">
        <v>57</v>
      </c>
      <c r="P41" s="85" t="n">
        <f aca="false">IF(IF(ISBLANK(C41),1,(TRIM(C41)="")),"",ROUND(C41/4.184,3))</f>
        <v>7.18</v>
      </c>
      <c r="Q41" s="101" t="n">
        <f aca="false">IF(IF(ISBLANK(D41),1,(TRIM(D41)="")),"",ROUND(D41/4.184,3))</f>
        <v>7.18</v>
      </c>
      <c r="R41" s="85" t="n">
        <f aca="false">IF(IF(ISBLANK(E41),1,(TRIM(E41)="")),"",ROUND(E41/4.184,3))</f>
        <v>7.186</v>
      </c>
      <c r="S41" s="101" t="str">
        <f aca="false">IF(IF(ISBLANK(F41),1,(TRIM(F41)="")),"",ROUND(F41/4.184,3))</f>
        <v/>
      </c>
      <c r="T41" s="85" t="str">
        <f aca="false">IF(IF(ISBLANK(G41),1,(TRIM(G41)="")),"",ROUND(G41/4.184,3))</f>
        <v/>
      </c>
      <c r="U41" s="101" t="str">
        <f aca="false">IF(IF(ISBLANK(H41),1,(TRIM(H41)="")),"",ROUND(H41/4.184,3))</f>
        <v/>
      </c>
      <c r="V41" s="85" t="n">
        <f aca="false">IF(IF(ISBLANK(I41),1,(TRIM(I41)="")),"",ROUND(I41/4.184,3))</f>
        <v>7.18</v>
      </c>
      <c r="W41" s="101" t="n">
        <f aca="false">IF(IF(ISBLANK(J41),1,(TRIM(J41)="")),"",ROUND(J41/4.184,3))</f>
        <v>7.186</v>
      </c>
      <c r="X41" s="85" t="n">
        <f aca="false">IF(IF(ISBLANK(K41),1,(TRIM(K41)="")),"",ROUND(K41/4.184,3))</f>
        <v>7.18</v>
      </c>
      <c r="Y41" s="101" t="n">
        <f aca="false">IF(IF(ISBLANK(L41),1,(TRIM(L41)="")),"",ROUND(L41/4.184,3))</f>
        <v>7.186</v>
      </c>
      <c r="Z41" s="85" t="n">
        <f aca="false">IF(IF(ISBLANK(M41),1,(TRIM(M41)="")),"",ROUND(M41/4.184,3))</f>
        <v>7.17</v>
      </c>
    </row>
    <row r="42" customFormat="false" ht="12.75" hidden="false" customHeight="false" outlineLevel="0" collapsed="false">
      <c r="A42" s="73"/>
      <c r="B42" s="160" t="s">
        <v>58</v>
      </c>
      <c r="C42" s="62" t="n">
        <v>23.64</v>
      </c>
      <c r="D42" s="63" t="n">
        <v>23.77</v>
      </c>
      <c r="E42" s="62" t="n">
        <v>23.618</v>
      </c>
      <c r="F42" s="102"/>
      <c r="G42" s="62"/>
      <c r="H42" s="65"/>
      <c r="I42" s="141" t="s">
        <v>611</v>
      </c>
      <c r="J42" s="63" t="n">
        <v>23.618</v>
      </c>
      <c r="K42" s="136" t="n">
        <v>23.62</v>
      </c>
      <c r="L42" s="65" t="s">
        <v>612</v>
      </c>
      <c r="M42" s="62" t="n">
        <v>23.8</v>
      </c>
      <c r="N42" s="87" t="n">
        <f aca="false">J42-E42</f>
        <v>0</v>
      </c>
      <c r="O42" s="160" t="s">
        <v>58</v>
      </c>
      <c r="P42" s="85" t="n">
        <f aca="false">IF(IF(ISBLANK(C42),1,(TRIM(C42)="")),"",ROUND(C42/4.184,3))</f>
        <v>5.65</v>
      </c>
      <c r="Q42" s="101" t="n">
        <f aca="false">IF(IF(ISBLANK(D42),1,(TRIM(D42)="")),"",ROUND(D42/4.184,3))</f>
        <v>5.681</v>
      </c>
      <c r="R42" s="85" t="n">
        <f aca="false">IF(IF(ISBLANK(E42),1,(TRIM(E42)="")),"",ROUND(E42/4.184,3))</f>
        <v>5.645</v>
      </c>
      <c r="S42" s="101" t="str">
        <f aca="false">IF(IF(ISBLANK(F42),1,(TRIM(F42)="")),"",ROUND(F42/4.184,3))</f>
        <v/>
      </c>
      <c r="T42" s="85" t="str">
        <f aca="false">IF(IF(ISBLANK(G42),1,(TRIM(G42)="")),"",ROUND(G42/4.184,3))</f>
        <v/>
      </c>
      <c r="U42" s="101" t="str">
        <f aca="false">IF(IF(ISBLANK(H42),1,(TRIM(H42)="")),"",ROUND(H42/4.184,3))</f>
        <v/>
      </c>
      <c r="V42" s="85" t="n">
        <f aca="false">IF(IF(ISBLANK(I42),1,(TRIM(I42)="")),"",ROUND(I42/4.184,3))</f>
        <v>5.65</v>
      </c>
      <c r="W42" s="101" t="n">
        <f aca="false">IF(IF(ISBLANK(J42),1,(TRIM(J42)="")),"",ROUND(J42/4.184,3))</f>
        <v>5.645</v>
      </c>
      <c r="X42" s="85" t="n">
        <f aca="false">IF(IF(ISBLANK(K42),1,(TRIM(K42)="")),"",ROUND(K42/4.184,3))</f>
        <v>5.645</v>
      </c>
      <c r="Y42" s="101" t="n">
        <f aca="false">IF(IF(ISBLANK(L42),1,(TRIM(L42)="")),"",ROUND(L42/4.184,3))</f>
        <v>5.645</v>
      </c>
      <c r="Z42" s="85" t="n">
        <f aca="false">IF(IF(ISBLANK(M42),1,(TRIM(M42)="")),"",ROUND(M42/4.184,3))</f>
        <v>5.688</v>
      </c>
    </row>
    <row r="43" customFormat="false" ht="12.75" hidden="false" customHeight="false" outlineLevel="0" collapsed="false">
      <c r="A43" s="73"/>
      <c r="B43" s="161" t="s">
        <v>59</v>
      </c>
      <c r="C43" s="62" t="n">
        <v>85.23</v>
      </c>
      <c r="D43" s="63" t="n">
        <v>85.23</v>
      </c>
      <c r="E43" s="62" t="n">
        <v>85.147</v>
      </c>
      <c r="F43" s="102" t="n">
        <v>85.23</v>
      </c>
      <c r="G43" s="62"/>
      <c r="H43" s="65" t="s">
        <v>613</v>
      </c>
      <c r="I43" s="136" t="n">
        <v>85.147</v>
      </c>
      <c r="J43" s="63" t="n">
        <v>85.147</v>
      </c>
      <c r="K43" s="136" t="n">
        <v>85.23</v>
      </c>
      <c r="L43" s="65" t="s">
        <v>613</v>
      </c>
      <c r="M43" s="62" t="n">
        <v>85.23</v>
      </c>
      <c r="N43" s="87" t="n">
        <f aca="false">J43-E43</f>
        <v>0</v>
      </c>
      <c r="O43" s="161" t="s">
        <v>59</v>
      </c>
      <c r="P43" s="85" t="n">
        <f aca="false">IF(IF(ISBLANK(C43),1,(TRIM(C43)="")),"",ROUND(C43/4.184,3))</f>
        <v>20.37</v>
      </c>
      <c r="Q43" s="101" t="n">
        <f aca="false">IF(IF(ISBLANK(D43),1,(TRIM(D43)="")),"",ROUND(D43/4.184,3))</f>
        <v>20.37</v>
      </c>
      <c r="R43" s="85" t="n">
        <f aca="false">IF(IF(ISBLANK(E43),1,(TRIM(E43)="")),"",ROUND(E43/4.184,3))</f>
        <v>20.351</v>
      </c>
      <c r="S43" s="101" t="n">
        <f aca="false">IF(IF(ISBLANK(F43),1,(TRIM(F43)="")),"",ROUND(F43/4.184,3))</f>
        <v>20.37</v>
      </c>
      <c r="T43" s="85" t="str">
        <f aca="false">IF(IF(ISBLANK(G43),1,(TRIM(G43)="")),"",ROUND(G43/4.184,3))</f>
        <v/>
      </c>
      <c r="U43" s="101" t="n">
        <f aca="false">IF(IF(ISBLANK(H43),1,(TRIM(H43)="")),"",ROUND(H43/4.184,3))</f>
        <v>20.37</v>
      </c>
      <c r="V43" s="85" t="n">
        <f aca="false">IF(IF(ISBLANK(I43),1,(TRIM(I43)="")),"",ROUND(I43/4.184,3))</f>
        <v>20.351</v>
      </c>
      <c r="W43" s="101" t="n">
        <f aca="false">IF(IF(ISBLANK(J43),1,(TRIM(J43)="")),"",ROUND(J43/4.184,3))</f>
        <v>20.351</v>
      </c>
      <c r="X43" s="85" t="n">
        <f aca="false">IF(IF(ISBLANK(K43),1,(TRIM(K43)="")),"",ROUND(K43/4.184,3))</f>
        <v>20.37</v>
      </c>
      <c r="Y43" s="101" t="n">
        <f aca="false">IF(IF(ISBLANK(L43),1,(TRIM(L43)="")),"",ROUND(L43/4.184,3))</f>
        <v>20.37</v>
      </c>
      <c r="Z43" s="85" t="n">
        <f aca="false">IF(IF(ISBLANK(M43),1,(TRIM(M43)="")),"",ROUND(M43/4.184,3))</f>
        <v>20.37</v>
      </c>
    </row>
    <row r="44" customFormat="false" ht="12.75" hidden="false" customHeight="false" outlineLevel="0" collapsed="false">
      <c r="A44" s="73"/>
      <c r="B44" s="160" t="s">
        <v>60</v>
      </c>
      <c r="C44" s="62" t="n">
        <v>33.15</v>
      </c>
      <c r="D44" s="65" t="s">
        <v>614</v>
      </c>
      <c r="E44" s="62" t="n">
        <v>33.164</v>
      </c>
      <c r="F44" s="102" t="n">
        <v>33.15</v>
      </c>
      <c r="G44" s="62"/>
      <c r="H44" s="65" t="s">
        <v>614</v>
      </c>
      <c r="I44" s="136" t="n">
        <v>33.164</v>
      </c>
      <c r="J44" s="63" t="n">
        <v>33.164</v>
      </c>
      <c r="K44" s="136" t="n">
        <v>33.14</v>
      </c>
      <c r="L44" s="65" t="s">
        <v>614</v>
      </c>
      <c r="M44" s="62" t="n">
        <v>33.15</v>
      </c>
      <c r="N44" s="87" t="n">
        <f aca="false">J44-E44</f>
        <v>0</v>
      </c>
      <c r="O44" s="160" t="s">
        <v>60</v>
      </c>
      <c r="P44" s="85" t="n">
        <f aca="false">IF(IF(ISBLANK(C44),1,(TRIM(C44)="")),"",ROUND(C44/4.184,3))</f>
        <v>7.923</v>
      </c>
      <c r="Q44" s="101" t="n">
        <f aca="false">IF(IF(ISBLANK(D44),1,(TRIM(D44)="")),"",ROUND(D44/4.184,3))</f>
        <v>7.923</v>
      </c>
      <c r="R44" s="85" t="n">
        <f aca="false">IF(IF(ISBLANK(E44),1,(TRIM(E44)="")),"",ROUND(E44/4.184,3))</f>
        <v>7.926</v>
      </c>
      <c r="S44" s="101" t="n">
        <f aca="false">IF(IF(ISBLANK(F44),1,(TRIM(F44)="")),"",ROUND(F44/4.184,3))</f>
        <v>7.923</v>
      </c>
      <c r="T44" s="85" t="str">
        <f aca="false">IF(IF(ISBLANK(G44),1,(TRIM(G44)="")),"",ROUND(G44/4.184,3))</f>
        <v/>
      </c>
      <c r="U44" s="101" t="n">
        <f aca="false">IF(IF(ISBLANK(H44),1,(TRIM(H44)="")),"",ROUND(H44/4.184,3))</f>
        <v>7.923</v>
      </c>
      <c r="V44" s="85" t="n">
        <f aca="false">IF(IF(ISBLANK(I44),1,(TRIM(I44)="")),"",ROUND(I44/4.184,3))</f>
        <v>7.926</v>
      </c>
      <c r="W44" s="101" t="n">
        <f aca="false">IF(IF(ISBLANK(J44),1,(TRIM(J44)="")),"",ROUND(J44/4.184,3))</f>
        <v>7.926</v>
      </c>
      <c r="X44" s="85" t="n">
        <f aca="false">IF(IF(ISBLANK(K44),1,(TRIM(K44)="")),"",ROUND(K44/4.184,3))</f>
        <v>7.921</v>
      </c>
      <c r="Y44" s="101" t="n">
        <f aca="false">IF(IF(ISBLANK(L44),1,(TRIM(L44)="")),"",ROUND(L44/4.184,3))</f>
        <v>7.923</v>
      </c>
      <c r="Z44" s="85" t="n">
        <f aca="false">IF(IF(ISBLANK(M44),1,(TRIM(M44)="")),"",ROUND(M44/4.184,3))</f>
        <v>7.923</v>
      </c>
    </row>
    <row r="45" customFormat="false" ht="12.75" hidden="false" customHeight="false" outlineLevel="0" collapsed="false">
      <c r="A45" s="73"/>
      <c r="B45" s="160" t="s">
        <v>61</v>
      </c>
      <c r="C45" s="62" t="n">
        <v>74.89</v>
      </c>
      <c r="D45" s="63" t="n">
        <v>74.77</v>
      </c>
      <c r="E45" s="62"/>
      <c r="F45" s="102"/>
      <c r="G45" s="62"/>
      <c r="H45" s="65"/>
      <c r="I45" s="136" t="n">
        <v>74.894</v>
      </c>
      <c r="J45" s="63"/>
      <c r="K45" s="136"/>
      <c r="L45" s="63"/>
      <c r="M45" s="62" t="n">
        <v>75.6</v>
      </c>
      <c r="N45" s="87" t="n">
        <f aca="false">J45-E45</f>
        <v>0</v>
      </c>
      <c r="O45" s="160" t="s">
        <v>61</v>
      </c>
      <c r="P45" s="85" t="n">
        <f aca="false">IF(IF(ISBLANK(C45),1,(TRIM(C45)="")),"",ROUND(C45/4.184,3))</f>
        <v>17.899</v>
      </c>
      <c r="Q45" s="101" t="n">
        <f aca="false">IF(IF(ISBLANK(D45),1,(TRIM(D45)="")),"",ROUND(D45/4.184,3))</f>
        <v>17.87</v>
      </c>
      <c r="R45" s="85" t="str">
        <f aca="false">IF(IF(ISBLANK(E45),1,(TRIM(E45)="")),"",ROUND(E45/4.184,3))</f>
        <v/>
      </c>
      <c r="S45" s="101" t="str">
        <f aca="false">IF(IF(ISBLANK(F45),1,(TRIM(F45)="")),"",ROUND(F45/4.184,3))</f>
        <v/>
      </c>
      <c r="T45" s="85" t="str">
        <f aca="false">IF(IF(ISBLANK(G45),1,(TRIM(G45)="")),"",ROUND(G45/4.184,3))</f>
        <v/>
      </c>
      <c r="U45" s="101" t="str">
        <f aca="false">IF(IF(ISBLANK(H45),1,(TRIM(H45)="")),"",ROUND(H45/4.184,3))</f>
        <v/>
      </c>
      <c r="V45" s="85" t="n">
        <f aca="false">IF(IF(ISBLANK(I45),1,(TRIM(I45)="")),"",ROUND(I45/4.184,3))</f>
        <v>17.9</v>
      </c>
      <c r="W45" s="101" t="str">
        <f aca="false">IF(IF(ISBLANK(J45),1,(TRIM(J45)="")),"",ROUND(J45/4.184,3))</f>
        <v/>
      </c>
      <c r="X45" s="85" t="str">
        <f aca="false">IF(IF(ISBLANK(K45),1,(TRIM(K45)="")),"",ROUND(K45/4.184,3))</f>
        <v/>
      </c>
      <c r="Y45" s="101" t="str">
        <f aca="false">IF(IF(ISBLANK(L45),1,(TRIM(L45)="")),"",ROUND(L45/4.184,3))</f>
        <v/>
      </c>
      <c r="Z45" s="85" t="n">
        <f aca="false">IF(IF(ISBLANK(M45),1,(TRIM(M45)="")),"",ROUND(M45/4.184,3))</f>
        <v>18.069</v>
      </c>
    </row>
    <row r="46" customFormat="false" ht="12.75" hidden="false" customHeight="false" outlineLevel="0" collapsed="false">
      <c r="A46" s="73"/>
      <c r="B46" s="160" t="s">
        <v>62</v>
      </c>
      <c r="C46" s="62" t="n">
        <v>73.18</v>
      </c>
      <c r="D46" s="63" t="n">
        <v>73.18</v>
      </c>
      <c r="E46" s="62"/>
      <c r="F46" s="102"/>
      <c r="G46" s="62"/>
      <c r="H46" s="65"/>
      <c r="I46" s="136" t="n">
        <v>73.178</v>
      </c>
      <c r="J46" s="63"/>
      <c r="K46" s="136"/>
      <c r="L46" s="63"/>
      <c r="M46" s="62" t="n">
        <v>73.18</v>
      </c>
      <c r="N46" s="87" t="n">
        <f aca="false">J46-E46</f>
        <v>0</v>
      </c>
      <c r="O46" s="160" t="s">
        <v>62</v>
      </c>
      <c r="P46" s="85" t="n">
        <f aca="false">IF(IF(ISBLANK(C46),1,(TRIM(C46)="")),"",ROUND(C46/4.184,3))</f>
        <v>17.49</v>
      </c>
      <c r="Q46" s="101" t="n">
        <f aca="false">IF(IF(ISBLANK(D46),1,(TRIM(D46)="")),"",ROUND(D46/4.184,3))</f>
        <v>17.49</v>
      </c>
      <c r="R46" s="85" t="str">
        <f aca="false">IF(IF(ISBLANK(E46),1,(TRIM(E46)="")),"",ROUND(E46/4.184,3))</f>
        <v/>
      </c>
      <c r="S46" s="101" t="str">
        <f aca="false">IF(IF(ISBLANK(F46),1,(TRIM(F46)="")),"",ROUND(F46/4.184,3))</f>
        <v/>
      </c>
      <c r="T46" s="85" t="str">
        <f aca="false">IF(IF(ISBLANK(G46),1,(TRIM(G46)="")),"",ROUND(G46/4.184,3))</f>
        <v/>
      </c>
      <c r="U46" s="101" t="str">
        <f aca="false">IF(IF(ISBLANK(H46),1,(TRIM(H46)="")),"",ROUND(H46/4.184,3))</f>
        <v/>
      </c>
      <c r="V46" s="85" t="n">
        <f aca="false">IF(IF(ISBLANK(I46),1,(TRIM(I46)="")),"",ROUND(I46/4.184,3))</f>
        <v>17.49</v>
      </c>
      <c r="W46" s="101" t="str">
        <f aca="false">IF(IF(ISBLANK(J46),1,(TRIM(J46)="")),"",ROUND(J46/4.184,3))</f>
        <v/>
      </c>
      <c r="X46" s="85" t="str">
        <f aca="false">IF(IF(ISBLANK(K46),1,(TRIM(K46)="")),"",ROUND(K46/4.184,3))</f>
        <v/>
      </c>
      <c r="Y46" s="101" t="str">
        <f aca="false">IF(IF(ISBLANK(L46),1,(TRIM(L46)="")),"",ROUND(L46/4.184,3))</f>
        <v/>
      </c>
      <c r="Z46" s="85" t="n">
        <f aca="false">IF(IF(ISBLANK(M46),1,(TRIM(M46)="")),"",ROUND(M46/4.184,3))</f>
        <v>17.49</v>
      </c>
    </row>
    <row r="47" customFormat="false" ht="12.75" hidden="false" customHeight="false" outlineLevel="0" collapsed="false">
      <c r="A47" s="73"/>
      <c r="B47" s="160" t="s">
        <v>63</v>
      </c>
      <c r="C47" s="62"/>
      <c r="D47" s="65"/>
      <c r="E47" s="64"/>
      <c r="F47" s="102"/>
      <c r="G47" s="62"/>
      <c r="H47" s="65"/>
      <c r="I47" s="136"/>
      <c r="J47" s="63"/>
      <c r="K47" s="136"/>
      <c r="L47" s="63"/>
      <c r="M47" s="62"/>
      <c r="N47" s="87" t="n">
        <f aca="false">J47-E47</f>
        <v>0</v>
      </c>
      <c r="O47" s="160" t="s">
        <v>63</v>
      </c>
      <c r="P47" s="85" t="str">
        <f aca="false">IF(IF(ISBLANK(C47),1,(TRIM(C47)="")),"",ROUND(C47/4.184,3))</f>
        <v/>
      </c>
      <c r="Q47" s="101" t="str">
        <f aca="false">IF(IF(ISBLANK(D47),1,(TRIM(D47)="")),"",ROUND(D47/4.184,3))</f>
        <v/>
      </c>
      <c r="R47" s="85" t="str">
        <f aca="false">IF(IF(ISBLANK(E47),1,(TRIM(E47)="")),"",ROUND(E47/4.184,3))</f>
        <v/>
      </c>
      <c r="S47" s="101" t="str">
        <f aca="false">IF(IF(ISBLANK(F47),1,(TRIM(F47)="")),"",ROUND(F47/4.184,3))</f>
        <v/>
      </c>
      <c r="T47" s="85" t="str">
        <f aca="false">IF(IF(ISBLANK(G47),1,(TRIM(G47)="")),"",ROUND(G47/4.184,3))</f>
        <v/>
      </c>
      <c r="U47" s="101" t="str">
        <f aca="false">IF(IF(ISBLANK(H47),1,(TRIM(H47)="")),"",ROUND(H47/4.184,3))</f>
        <v/>
      </c>
      <c r="V47" s="85" t="str">
        <f aca="false">IF(IF(ISBLANK(I47),1,(TRIM(I47)="")),"",ROUND(I47/4.184,3))</f>
        <v/>
      </c>
      <c r="W47" s="101" t="str">
        <f aca="false">IF(IF(ISBLANK(J47),1,(TRIM(J47)="")),"",ROUND(J47/4.184,3))</f>
        <v/>
      </c>
      <c r="X47" s="85" t="str">
        <f aca="false">IF(IF(ISBLANK(K47),1,(TRIM(K47)="")),"",ROUND(K47/4.184,3))</f>
        <v/>
      </c>
      <c r="Y47" s="101" t="str">
        <f aca="false">IF(IF(ISBLANK(L47),1,(TRIM(L47)="")),"",ROUND(L47/4.184,3))</f>
        <v/>
      </c>
      <c r="Z47" s="85" t="str">
        <f aca="false">IF(IF(ISBLANK(M47),1,(TRIM(M47)="")),"",ROUND(M47/4.184,3))</f>
        <v/>
      </c>
    </row>
    <row r="48" customFormat="false" ht="12.75" hidden="false" customHeight="false" outlineLevel="0" collapsed="false">
      <c r="A48" s="73"/>
      <c r="B48" s="160" t="s">
        <v>64</v>
      </c>
      <c r="C48" s="62" t="n">
        <v>80.79</v>
      </c>
      <c r="D48" s="63" t="n">
        <v>77.78</v>
      </c>
      <c r="E48" s="62"/>
      <c r="F48" s="102"/>
      <c r="G48" s="62"/>
      <c r="H48" s="65"/>
      <c r="I48" s="136" t="n">
        <v>77.822</v>
      </c>
      <c r="J48" s="63"/>
      <c r="K48" s="136"/>
      <c r="L48" s="63"/>
      <c r="M48" s="62" t="n">
        <v>77.78</v>
      </c>
      <c r="N48" s="87" t="n">
        <f aca="false">J48-E48</f>
        <v>0</v>
      </c>
      <c r="O48" s="160" t="s">
        <v>64</v>
      </c>
      <c r="P48" s="85" t="n">
        <f aca="false">IF(IF(ISBLANK(C48),1,(TRIM(C48)="")),"",ROUND(C48/4.184,3))</f>
        <v>19.309</v>
      </c>
      <c r="Q48" s="101" t="n">
        <f aca="false">IF(IF(ISBLANK(D48),1,(TRIM(D48)="")),"",ROUND(D48/4.184,3))</f>
        <v>18.59</v>
      </c>
      <c r="R48" s="85" t="str">
        <f aca="false">IF(IF(ISBLANK(E48),1,(TRIM(E48)="")),"",ROUND(E48/4.184,3))</f>
        <v/>
      </c>
      <c r="S48" s="101" t="str">
        <f aca="false">IF(IF(ISBLANK(F48),1,(TRIM(F48)="")),"",ROUND(F48/4.184,3))</f>
        <v/>
      </c>
      <c r="T48" s="85" t="str">
        <f aca="false">IF(IF(ISBLANK(G48),1,(TRIM(G48)="")),"",ROUND(G48/4.184,3))</f>
        <v/>
      </c>
      <c r="U48" s="101" t="str">
        <f aca="false">IF(IF(ISBLANK(H48),1,(TRIM(H48)="")),"",ROUND(H48/4.184,3))</f>
        <v/>
      </c>
      <c r="V48" s="85" t="n">
        <f aca="false">IF(IF(ISBLANK(I48),1,(TRIM(I48)="")),"",ROUND(I48/4.184,3))</f>
        <v>18.6</v>
      </c>
      <c r="W48" s="101" t="str">
        <f aca="false">IF(IF(ISBLANK(J48),1,(TRIM(J48)="")),"",ROUND(J48/4.184,3))</f>
        <v/>
      </c>
      <c r="X48" s="85" t="str">
        <f aca="false">IF(IF(ISBLANK(K48),1,(TRIM(K48)="")),"",ROUND(K48/4.184,3))</f>
        <v/>
      </c>
      <c r="Y48" s="101" t="str">
        <f aca="false">IF(IF(ISBLANK(L48),1,(TRIM(L48)="")),"",ROUND(L48/4.184,3))</f>
        <v/>
      </c>
      <c r="Z48" s="85" t="n">
        <f aca="false">IF(IF(ISBLANK(M48),1,(TRIM(M48)="")),"",ROUND(M48/4.184,3))</f>
        <v>18.59</v>
      </c>
    </row>
    <row r="49" customFormat="false" ht="12.75" hidden="false" customHeight="false" outlineLevel="0" collapsed="false">
      <c r="A49" s="73"/>
      <c r="B49" s="160" t="s">
        <v>66</v>
      </c>
      <c r="C49" s="64" t="n">
        <v>202.79</v>
      </c>
      <c r="D49" s="63" t="n">
        <v>202.78</v>
      </c>
      <c r="E49" s="62" t="n">
        <v>202.789</v>
      </c>
      <c r="F49" s="102" t="n">
        <v>202.791</v>
      </c>
      <c r="G49" s="64" t="s">
        <v>615</v>
      </c>
      <c r="H49" s="65" t="n">
        <v>202.791</v>
      </c>
      <c r="I49" s="136" t="n">
        <v>202.795</v>
      </c>
      <c r="J49" s="65" t="n">
        <v>202.789</v>
      </c>
      <c r="K49" s="141" t="n">
        <v>202.79</v>
      </c>
      <c r="L49" s="65" t="s">
        <v>616</v>
      </c>
      <c r="M49" s="64" t="n">
        <v>202.791</v>
      </c>
      <c r="N49" s="87" t="n">
        <f aca="false">J49-E49</f>
        <v>0</v>
      </c>
      <c r="O49" s="160" t="s">
        <v>66</v>
      </c>
      <c r="P49" s="85" t="n">
        <f aca="false">IF(IF(ISBLANK(C49),1,(TRIM(C49)="")),"",ROUND(C49/4.184,3))</f>
        <v>48.468</v>
      </c>
      <c r="Q49" s="101" t="n">
        <f aca="false">IF(IF(ISBLANK(D49),1,(TRIM(D49)="")),"",ROUND(D49/4.184,3))</f>
        <v>48.466</v>
      </c>
      <c r="R49" s="85" t="n">
        <f aca="false">IF(IF(ISBLANK(E49),1,(TRIM(E49)="")),"",ROUND(E49/4.184,3))</f>
        <v>48.468</v>
      </c>
      <c r="S49" s="101" t="n">
        <f aca="false">IF(IF(ISBLANK(F49),1,(TRIM(F49)="")),"",ROUND(F49/4.184,3))</f>
        <v>48.468</v>
      </c>
      <c r="T49" s="85" t="n">
        <f aca="false">IF(IF(ISBLANK(G49),1,(TRIM(G49)="")),"",ROUND(G49/4.184,3))</f>
        <v>48.468</v>
      </c>
      <c r="U49" s="101" t="n">
        <f aca="false">IF(IF(ISBLANK(H49),1,(TRIM(H49)="")),"",ROUND(H49/4.184,3))</f>
        <v>48.468</v>
      </c>
      <c r="V49" s="85" t="n">
        <f aca="false">IF(IF(ISBLANK(I49),1,(TRIM(I49)="")),"",ROUND(I49/4.184,3))</f>
        <v>48.469</v>
      </c>
      <c r="W49" s="101" t="n">
        <f aca="false">IF(IF(ISBLANK(J49),1,(TRIM(J49)="")),"",ROUND(J49/4.184,3))</f>
        <v>48.468</v>
      </c>
      <c r="X49" s="85" t="n">
        <f aca="false">IF(IF(ISBLANK(K49),1,(TRIM(K49)="")),"",ROUND(K49/4.184,3))</f>
        <v>48.468</v>
      </c>
      <c r="Y49" s="101" t="n">
        <f aca="false">IF(IF(ISBLANK(L49),1,(TRIM(L49)="")),"",ROUND(L49/4.184,3))</f>
        <v>48.468</v>
      </c>
      <c r="Z49" s="85" t="n">
        <f aca="false">IF(IF(ISBLANK(M49),1,(TRIM(M49)="")),"",ROUND(M49/4.184,3))</f>
        <v>48.468</v>
      </c>
    </row>
    <row r="50" customFormat="false" ht="12.75" hidden="false" customHeight="false" outlineLevel="0" collapsed="false">
      <c r="A50" s="73"/>
      <c r="B50" s="161" t="s">
        <v>68</v>
      </c>
      <c r="C50" s="62" t="n">
        <v>27.28</v>
      </c>
      <c r="D50" s="63" t="n">
        <v>27.28</v>
      </c>
      <c r="E50" s="62" t="n">
        <v>27.321</v>
      </c>
      <c r="F50" s="102"/>
      <c r="G50" s="62"/>
      <c r="H50" s="65" t="s">
        <v>617</v>
      </c>
      <c r="I50" s="141" t="s">
        <v>618</v>
      </c>
      <c r="J50" s="63" t="n">
        <v>27.321</v>
      </c>
      <c r="K50" s="136" t="n">
        <v>27.09</v>
      </c>
      <c r="L50" s="65" t="s">
        <v>619</v>
      </c>
      <c r="M50" s="62" t="n">
        <v>27.32</v>
      </c>
      <c r="N50" s="87" t="n">
        <f aca="false">J50-E50</f>
        <v>0</v>
      </c>
      <c r="O50" s="161" t="s">
        <v>68</v>
      </c>
      <c r="P50" s="85" t="n">
        <f aca="false">IF(IF(ISBLANK(C50),1,(TRIM(C50)="")),"",ROUND(C50/4.184,3))</f>
        <v>6.52</v>
      </c>
      <c r="Q50" s="101" t="n">
        <f aca="false">IF(IF(ISBLANK(D50),1,(TRIM(D50)="")),"",ROUND(D50/4.184,3))</f>
        <v>6.52</v>
      </c>
      <c r="R50" s="85" t="n">
        <f aca="false">IF(IF(ISBLANK(E50),1,(TRIM(E50)="")),"",ROUND(E50/4.184,3))</f>
        <v>6.53</v>
      </c>
      <c r="S50" s="101" t="str">
        <f aca="false">IF(IF(ISBLANK(F50),1,(TRIM(F50)="")),"",ROUND(F50/4.184,3))</f>
        <v/>
      </c>
      <c r="T50" s="85" t="str">
        <f aca="false">IF(IF(ISBLANK(G50),1,(TRIM(G50)="")),"",ROUND(G50/4.184,3))</f>
        <v/>
      </c>
      <c r="U50" s="101" t="n">
        <f aca="false">IF(IF(ISBLANK(H50),1,(TRIM(H50)="")),"",ROUND(H50/4.184,3))</f>
        <v>6.473</v>
      </c>
      <c r="V50" s="85" t="n">
        <f aca="false">IF(IF(ISBLANK(I50),1,(TRIM(I50)="")),"",ROUND(I50/4.184,3))</f>
        <v>6.52</v>
      </c>
      <c r="W50" s="101" t="n">
        <f aca="false">IF(IF(ISBLANK(J50),1,(TRIM(J50)="")),"",ROUND(J50/4.184,3))</f>
        <v>6.53</v>
      </c>
      <c r="X50" s="85" t="n">
        <f aca="false">IF(IF(ISBLANK(K50),1,(TRIM(K50)="")),"",ROUND(K50/4.184,3))</f>
        <v>6.475</v>
      </c>
      <c r="Y50" s="101" t="n">
        <f aca="false">IF(IF(ISBLANK(L50),1,(TRIM(L50)="")),"",ROUND(L50/4.184,3))</f>
        <v>6.53</v>
      </c>
      <c r="Z50" s="85" t="n">
        <f aca="false">IF(IF(ISBLANK(M50),1,(TRIM(M50)="")),"",ROUND(M50/4.184,3))</f>
        <v>6.53</v>
      </c>
    </row>
    <row r="51" customFormat="false" ht="12.75" hidden="false" customHeight="false" outlineLevel="0" collapsed="false">
      <c r="A51" s="73"/>
      <c r="B51" s="160" t="s">
        <v>69</v>
      </c>
      <c r="C51" s="62"/>
      <c r="D51" s="65"/>
      <c r="E51" s="64"/>
      <c r="F51" s="102"/>
      <c r="G51" s="62"/>
      <c r="H51" s="65"/>
      <c r="I51" s="136"/>
      <c r="J51" s="63"/>
      <c r="K51" s="136"/>
      <c r="L51" s="63"/>
      <c r="M51" s="62"/>
      <c r="N51" s="87" t="n">
        <f aca="false">J51-E51</f>
        <v>0</v>
      </c>
      <c r="O51" s="160" t="s">
        <v>69</v>
      </c>
      <c r="P51" s="85" t="str">
        <f aca="false">IF(IF(ISBLANK(C51),1,(TRIM(C51)="")),"",ROUND(C51/4.184,3))</f>
        <v/>
      </c>
      <c r="Q51" s="101" t="str">
        <f aca="false">IF(IF(ISBLANK(D51),1,(TRIM(D51)="")),"",ROUND(D51/4.184,3))</f>
        <v/>
      </c>
      <c r="R51" s="85" t="str">
        <f aca="false">IF(IF(ISBLANK(E51),1,(TRIM(E51)="")),"",ROUND(E51/4.184,3))</f>
        <v/>
      </c>
      <c r="S51" s="101" t="str">
        <f aca="false">IF(IF(ISBLANK(F51),1,(TRIM(F51)="")),"",ROUND(F51/4.184,3))</f>
        <v/>
      </c>
      <c r="T51" s="85" t="str">
        <f aca="false">IF(IF(ISBLANK(G51),1,(TRIM(G51)="")),"",ROUND(G51/4.184,3))</f>
        <v/>
      </c>
      <c r="U51" s="101" t="str">
        <f aca="false">IF(IF(ISBLANK(H51),1,(TRIM(H51)="")),"",ROUND(H51/4.184,3))</f>
        <v/>
      </c>
      <c r="V51" s="85" t="str">
        <f aca="false">IF(IF(ISBLANK(I51),1,(TRIM(I51)="")),"",ROUND(I51/4.184,3))</f>
        <v/>
      </c>
      <c r="W51" s="101" t="str">
        <f aca="false">IF(IF(ISBLANK(J51),1,(TRIM(J51)="")),"",ROUND(J51/4.184,3))</f>
        <v/>
      </c>
      <c r="X51" s="85" t="str">
        <f aca="false">IF(IF(ISBLANK(K51),1,(TRIM(K51)="")),"",ROUND(K51/4.184,3))</f>
        <v/>
      </c>
      <c r="Y51" s="101" t="str">
        <f aca="false">IF(IF(ISBLANK(L51),1,(TRIM(L51)="")),"",ROUND(L51/4.184,3))</f>
        <v/>
      </c>
      <c r="Z51" s="85" t="str">
        <f aca="false">IF(IF(ISBLANK(M51),1,(TRIM(M51)="")),"",ROUND(M51/4.184,3))</f>
        <v/>
      </c>
    </row>
    <row r="52" customFormat="false" ht="12.75" hidden="false" customHeight="false" outlineLevel="0" collapsed="false">
      <c r="A52" s="73"/>
      <c r="B52" s="161" t="s">
        <v>70</v>
      </c>
      <c r="C52" s="62"/>
      <c r="D52" s="63" t="n">
        <v>95.4</v>
      </c>
      <c r="E52" s="62"/>
      <c r="F52" s="102"/>
      <c r="G52" s="62"/>
      <c r="H52" s="65"/>
      <c r="I52" s="136"/>
      <c r="J52" s="63"/>
      <c r="K52" s="136"/>
      <c r="L52" s="65"/>
      <c r="M52" s="64" t="s">
        <v>620</v>
      </c>
      <c r="N52" s="87" t="n">
        <f aca="false">J52-E52</f>
        <v>0</v>
      </c>
      <c r="O52" s="161" t="s">
        <v>70</v>
      </c>
      <c r="P52" s="85" t="str">
        <f aca="false">IF(IF(ISBLANK(C52),1,(TRIM(C52)="")),"",ROUND(C52/4.184,3))</f>
        <v/>
      </c>
      <c r="Q52" s="101" t="n">
        <f aca="false">IF(IF(ISBLANK(D52),1,(TRIM(D52)="")),"",ROUND(D52/4.184,3))</f>
        <v>22.801</v>
      </c>
      <c r="R52" s="85" t="str">
        <f aca="false">IF(IF(ISBLANK(E52),1,(TRIM(E52)="")),"",ROUND(E52/4.184,3))</f>
        <v/>
      </c>
      <c r="S52" s="101" t="str">
        <f aca="false">IF(IF(ISBLANK(F52),1,(TRIM(F52)="")),"",ROUND(F52/4.184,3))</f>
        <v/>
      </c>
      <c r="T52" s="85" t="str">
        <f aca="false">IF(IF(ISBLANK(G52),1,(TRIM(G52)="")),"",ROUND(G52/4.184,3))</f>
        <v/>
      </c>
      <c r="U52" s="101" t="str">
        <f aca="false">IF(IF(ISBLANK(H52),1,(TRIM(H52)="")),"",ROUND(H52/4.184,3))</f>
        <v/>
      </c>
      <c r="V52" s="85" t="str">
        <f aca="false">IF(IF(ISBLANK(I52),1,(TRIM(I52)="")),"",ROUND(I52/4.184,3))</f>
        <v/>
      </c>
      <c r="W52" s="101" t="str">
        <f aca="false">IF(IF(ISBLANK(J52),1,(TRIM(J52)="")),"",ROUND(J52/4.184,3))</f>
        <v/>
      </c>
      <c r="X52" s="85" t="str">
        <f aca="false">IF(IF(ISBLANK(K52),1,(TRIM(K52)="")),"",ROUND(K52/4.184,3))</f>
        <v/>
      </c>
      <c r="Y52" s="101" t="str">
        <f aca="false">IF(IF(ISBLANK(L52),1,(TRIM(L52)="")),"",ROUND(L52/4.184,3))</f>
        <v/>
      </c>
      <c r="Z52" s="85" t="n">
        <f aca="false">IF(IF(ISBLANK(M52),1,(TRIM(M52)="")),"",ROUND(M52/4.184,3))</f>
        <v>22.801</v>
      </c>
    </row>
    <row r="53" customFormat="false" ht="12.75" hidden="false" customHeight="false" outlineLevel="0" collapsed="false">
      <c r="A53" s="73"/>
      <c r="B53" s="160" t="s">
        <v>71</v>
      </c>
      <c r="C53" s="62" t="n">
        <v>40.83</v>
      </c>
      <c r="D53" s="63" t="n">
        <v>40.88</v>
      </c>
      <c r="E53" s="62" t="n">
        <v>40.838</v>
      </c>
      <c r="F53" s="102"/>
      <c r="G53" s="62" t="s">
        <v>621</v>
      </c>
      <c r="H53" s="65"/>
      <c r="I53" s="136" t="n">
        <v>40.828</v>
      </c>
      <c r="J53" s="63" t="n">
        <v>40.838</v>
      </c>
      <c r="K53" s="136"/>
      <c r="L53" s="63"/>
      <c r="M53" s="62" t="n">
        <v>40.8</v>
      </c>
      <c r="N53" s="87" t="n">
        <f aca="false">J53-E53</f>
        <v>0</v>
      </c>
      <c r="O53" s="160" t="s">
        <v>71</v>
      </c>
      <c r="P53" s="85" t="n">
        <f aca="false">IF(IF(ISBLANK(C53),1,(TRIM(C53)="")),"",ROUND(C53/4.184,3))</f>
        <v>9.759</v>
      </c>
      <c r="Q53" s="101" t="n">
        <f aca="false">IF(IF(ISBLANK(D53),1,(TRIM(D53)="")),"",ROUND(D53/4.184,3))</f>
        <v>9.771</v>
      </c>
      <c r="R53" s="85" t="n">
        <f aca="false">IF(IF(ISBLANK(E53),1,(TRIM(E53)="")),"",ROUND(E53/4.184,3))</f>
        <v>9.761</v>
      </c>
      <c r="S53" s="101" t="str">
        <f aca="false">IF(IF(ISBLANK(F53),1,(TRIM(F53)="")),"",ROUND(F53/4.184,3))</f>
        <v/>
      </c>
      <c r="T53" s="85" t="n">
        <f aca="false">IF(IF(ISBLANK(G53),1,(TRIM(G53)="")),"",ROUND(G53/4.184,3))</f>
        <v>9.852</v>
      </c>
      <c r="U53" s="101" t="str">
        <f aca="false">IF(IF(ISBLANK(H53),1,(TRIM(H53)="")),"",ROUND(H53/4.184,3))</f>
        <v/>
      </c>
      <c r="V53" s="85" t="n">
        <f aca="false">IF(IF(ISBLANK(I53),1,(TRIM(I53)="")),"",ROUND(I53/4.184,3))</f>
        <v>9.758</v>
      </c>
      <c r="W53" s="101" t="n">
        <f aca="false">IF(IF(ISBLANK(J53),1,(TRIM(J53)="")),"",ROUND(J53/4.184,3))</f>
        <v>9.761</v>
      </c>
      <c r="X53" s="85" t="str">
        <f aca="false">IF(IF(ISBLANK(K53),1,(TRIM(K53)="")),"",ROUND(K53/4.184,3))</f>
        <v/>
      </c>
      <c r="Y53" s="101" t="str">
        <f aca="false">IF(IF(ISBLANK(L53),1,(TRIM(L53)="")),"",ROUND(L53/4.184,3))</f>
        <v/>
      </c>
      <c r="Z53" s="85" t="n">
        <f aca="false">IF(IF(ISBLANK(M53),1,(TRIM(M53)="")),"",ROUND(M53/4.184,3))</f>
        <v>9.751</v>
      </c>
    </row>
    <row r="54" customFormat="false" ht="12.75" hidden="false" customHeight="false" outlineLevel="0" collapsed="false">
      <c r="A54" s="73"/>
      <c r="B54" s="160" t="s">
        <v>72</v>
      </c>
      <c r="C54" s="62" t="n">
        <v>68.45</v>
      </c>
      <c r="D54" s="63" t="n">
        <v>68.07</v>
      </c>
      <c r="E54" s="62"/>
      <c r="F54" s="102"/>
      <c r="G54" s="62"/>
      <c r="H54" s="65"/>
      <c r="I54" s="136" t="n">
        <v>67.948</v>
      </c>
      <c r="J54" s="63"/>
      <c r="K54" s="136"/>
      <c r="L54" s="63"/>
      <c r="M54" s="62" t="n">
        <v>68.07</v>
      </c>
      <c r="N54" s="87" t="n">
        <f aca="false">J54-E54</f>
        <v>0</v>
      </c>
      <c r="O54" s="160" t="s">
        <v>72</v>
      </c>
      <c r="P54" s="85" t="n">
        <f aca="false">IF(IF(ISBLANK(C54),1,(TRIM(C54)="")),"",ROUND(C54/4.184,3))</f>
        <v>16.36</v>
      </c>
      <c r="Q54" s="101" t="n">
        <f aca="false">IF(IF(ISBLANK(D54),1,(TRIM(D54)="")),"",ROUND(D54/4.184,3))</f>
        <v>16.269</v>
      </c>
      <c r="R54" s="85" t="str">
        <f aca="false">IF(IF(ISBLANK(E54),1,(TRIM(E54)="")),"",ROUND(E54/4.184,3))</f>
        <v/>
      </c>
      <c r="S54" s="101" t="str">
        <f aca="false">IF(IF(ISBLANK(F54),1,(TRIM(F54)="")),"",ROUND(F54/4.184,3))</f>
        <v/>
      </c>
      <c r="T54" s="85" t="str">
        <f aca="false">IF(IF(ISBLANK(G54),1,(TRIM(G54)="")),"",ROUND(G54/4.184,3))</f>
        <v/>
      </c>
      <c r="U54" s="101" t="str">
        <f aca="false">IF(IF(ISBLANK(H54),1,(TRIM(H54)="")),"",ROUND(H54/4.184,3))</f>
        <v/>
      </c>
      <c r="V54" s="85" t="n">
        <f aca="false">IF(IF(ISBLANK(I54),1,(TRIM(I54)="")),"",ROUND(I54/4.184,3))</f>
        <v>16.24</v>
      </c>
      <c r="W54" s="101" t="str">
        <f aca="false">IF(IF(ISBLANK(J54),1,(TRIM(J54)="")),"",ROUND(J54/4.184,3))</f>
        <v/>
      </c>
      <c r="X54" s="85" t="str">
        <f aca="false">IF(IF(ISBLANK(K54),1,(TRIM(K54)="")),"",ROUND(K54/4.184,3))</f>
        <v/>
      </c>
      <c r="Y54" s="101" t="str">
        <f aca="false">IF(IF(ISBLANK(L54),1,(TRIM(L54)="")),"",ROUND(L54/4.184,3))</f>
        <v/>
      </c>
      <c r="Z54" s="85" t="n">
        <f aca="false">IF(IF(ISBLANK(M54),1,(TRIM(M54)="")),"",ROUND(M54/4.184,3))</f>
        <v>16.269</v>
      </c>
    </row>
    <row r="55" customFormat="false" ht="12.75" hidden="false" customHeight="false" outlineLevel="0" collapsed="false">
      <c r="A55" s="73"/>
      <c r="B55" s="160" t="s">
        <v>73</v>
      </c>
      <c r="C55" s="62" t="n">
        <v>31.09</v>
      </c>
      <c r="D55" s="63" t="n">
        <v>31.09</v>
      </c>
      <c r="E55" s="62"/>
      <c r="F55" s="102" t="n">
        <v>31.09</v>
      </c>
      <c r="G55" s="62" t="s">
        <v>622</v>
      </c>
      <c r="H55" s="65" t="s">
        <v>622</v>
      </c>
      <c r="I55" s="136" t="n">
        <v>31.087</v>
      </c>
      <c r="J55" s="63"/>
      <c r="K55" s="136" t="n">
        <v>31.09</v>
      </c>
      <c r="L55" s="65" t="s">
        <v>622</v>
      </c>
      <c r="M55" s="62" t="n">
        <v>31.09</v>
      </c>
      <c r="N55" s="87" t="n">
        <f aca="false">J55-E55</f>
        <v>0</v>
      </c>
      <c r="O55" s="160" t="s">
        <v>73</v>
      </c>
      <c r="P55" s="85" t="n">
        <f aca="false">IF(IF(ISBLANK(C55),1,(TRIM(C55)="")),"",ROUND(C55/4.184,3))</f>
        <v>7.431</v>
      </c>
      <c r="Q55" s="101" t="n">
        <f aca="false">IF(IF(ISBLANK(D55),1,(TRIM(D55)="")),"",ROUND(D55/4.184,3))</f>
        <v>7.431</v>
      </c>
      <c r="R55" s="85" t="str">
        <f aca="false">IF(IF(ISBLANK(E55),1,(TRIM(E55)="")),"",ROUND(E55/4.184,3))</f>
        <v/>
      </c>
      <c r="S55" s="101" t="n">
        <f aca="false">IF(IF(ISBLANK(F55),1,(TRIM(F55)="")),"",ROUND(F55/4.184,3))</f>
        <v>7.431</v>
      </c>
      <c r="T55" s="85" t="n">
        <f aca="false">IF(IF(ISBLANK(G55),1,(TRIM(G55)="")),"",ROUND(G55/4.184,3))</f>
        <v>7.431</v>
      </c>
      <c r="U55" s="101" t="n">
        <f aca="false">IF(IF(ISBLANK(H55),1,(TRIM(H55)="")),"",ROUND(H55/4.184,3))</f>
        <v>7.431</v>
      </c>
      <c r="V55" s="85" t="n">
        <f aca="false">IF(IF(ISBLANK(I55),1,(TRIM(I55)="")),"",ROUND(I55/4.184,3))</f>
        <v>7.43</v>
      </c>
      <c r="W55" s="101" t="str">
        <f aca="false">IF(IF(ISBLANK(J55),1,(TRIM(J55)="")),"",ROUND(J55/4.184,3))</f>
        <v/>
      </c>
      <c r="X55" s="85" t="n">
        <f aca="false">IF(IF(ISBLANK(K55),1,(TRIM(K55)="")),"",ROUND(K55/4.184,3))</f>
        <v>7.431</v>
      </c>
      <c r="Y55" s="101" t="n">
        <f aca="false">IF(IF(ISBLANK(L55),1,(TRIM(L55)="")),"",ROUND(L55/4.184,3))</f>
        <v>7.431</v>
      </c>
      <c r="Z55" s="85" t="n">
        <f aca="false">IF(IF(ISBLANK(M55),1,(TRIM(M55)="")),"",ROUND(M55/4.184,3))</f>
        <v>7.431</v>
      </c>
    </row>
    <row r="56" customFormat="false" ht="12.75" hidden="false" customHeight="false" outlineLevel="0" collapsed="false">
      <c r="A56" s="73"/>
      <c r="B56" s="160" t="s">
        <v>75</v>
      </c>
      <c r="C56" s="62" t="n">
        <v>130.68</v>
      </c>
      <c r="D56" s="63" t="n">
        <v>130.684</v>
      </c>
      <c r="E56" s="64" t="s">
        <v>623</v>
      </c>
      <c r="F56" s="102" t="s">
        <v>623</v>
      </c>
      <c r="G56" s="64" t="s">
        <v>623</v>
      </c>
      <c r="H56" s="65" t="s">
        <v>623</v>
      </c>
      <c r="I56" s="136" t="s">
        <v>623</v>
      </c>
      <c r="J56" s="63" t="s">
        <v>623</v>
      </c>
      <c r="K56" s="136" t="n">
        <v>130.68</v>
      </c>
      <c r="L56" s="65" t="s">
        <v>624</v>
      </c>
      <c r="M56" s="62" t="s">
        <v>623</v>
      </c>
      <c r="N56" s="87" t="n">
        <f aca="false">J56-E56</f>
        <v>0</v>
      </c>
      <c r="O56" s="160" t="s">
        <v>75</v>
      </c>
      <c r="P56" s="85" t="n">
        <f aca="false">IF(IF(ISBLANK(C56),1,(TRIM(C56)="")),"",ROUND(C56/4.184,3))</f>
        <v>31.233</v>
      </c>
      <c r="Q56" s="101" t="n">
        <f aca="false">IF(IF(ISBLANK(D56),1,(TRIM(D56)="")),"",ROUND(D56/4.184,3))</f>
        <v>31.234</v>
      </c>
      <c r="R56" s="85" t="n">
        <f aca="false">IF(IF(ISBLANK(E56),1,(TRIM(E56)="")),"",ROUND(E56/4.184,3))</f>
        <v>31.233</v>
      </c>
      <c r="S56" s="101" t="n">
        <f aca="false">IF(IF(ISBLANK(F56),1,(TRIM(F56)="")),"",ROUND(F56/4.184,3))</f>
        <v>31.233</v>
      </c>
      <c r="T56" s="85" t="n">
        <f aca="false">IF(IF(ISBLANK(G56),1,(TRIM(G56)="")),"",ROUND(G56/4.184,3))</f>
        <v>31.233</v>
      </c>
      <c r="U56" s="101" t="n">
        <f aca="false">IF(IF(ISBLANK(H56),1,(TRIM(H56)="")),"",ROUND(H56/4.184,3))</f>
        <v>31.233</v>
      </c>
      <c r="V56" s="85" t="n">
        <f aca="false">IF(IF(ISBLANK(I56),1,(TRIM(I56)="")),"",ROUND(I56/4.184,3))</f>
        <v>31.233</v>
      </c>
      <c r="W56" s="101" t="n">
        <f aca="false">IF(IF(ISBLANK(J56),1,(TRIM(J56)="")),"",ROUND(J56/4.184,3))</f>
        <v>31.233</v>
      </c>
      <c r="X56" s="85" t="n">
        <f aca="false">IF(IF(ISBLANK(K56),1,(TRIM(K56)="")),"",ROUND(K56/4.184,3))</f>
        <v>31.233</v>
      </c>
      <c r="Y56" s="101" t="n">
        <f aca="false">IF(IF(ISBLANK(L56),1,(TRIM(L56)="")),"",ROUND(L56/4.184,3))</f>
        <v>31.234</v>
      </c>
      <c r="Z56" s="85" t="n">
        <f aca="false">IF(IF(ISBLANK(M56),1,(TRIM(M56)="")),"",ROUND(M56/4.184,3))</f>
        <v>31.233</v>
      </c>
    </row>
    <row r="57" customFormat="false" ht="12.75" hidden="false" customHeight="false" outlineLevel="0" collapsed="false">
      <c r="A57" s="73"/>
      <c r="B57" s="160" t="s">
        <v>77</v>
      </c>
      <c r="C57" s="62" t="n">
        <v>126.15</v>
      </c>
      <c r="D57" s="65" t="s">
        <v>625</v>
      </c>
      <c r="E57" s="62" t="n">
        <v>126.152</v>
      </c>
      <c r="F57" s="102" t="n">
        <v>126.153</v>
      </c>
      <c r="G57" s="62" t="s">
        <v>626</v>
      </c>
      <c r="H57" s="65" t="n">
        <v>126.153</v>
      </c>
      <c r="I57" s="136" t="n">
        <v>126.148</v>
      </c>
      <c r="J57" s="63" t="n">
        <v>126.152</v>
      </c>
      <c r="K57" s="136"/>
      <c r="L57" s="65" t="s">
        <v>627</v>
      </c>
      <c r="M57" s="62" t="n">
        <v>126.153</v>
      </c>
      <c r="N57" s="87" t="n">
        <f aca="false">J57-E57</f>
        <v>0</v>
      </c>
      <c r="O57" s="160" t="s">
        <v>77</v>
      </c>
      <c r="P57" s="85" t="n">
        <f aca="false">IF(IF(ISBLANK(C57),1,(TRIM(C57)="")),"",ROUND(C57/4.184,3))</f>
        <v>30.151</v>
      </c>
      <c r="Q57" s="101" t="n">
        <f aca="false">IF(IF(ISBLANK(D57),1,(TRIM(D57)="")),"",ROUND(D57/4.184,3))</f>
        <v>30.151</v>
      </c>
      <c r="R57" s="85" t="n">
        <f aca="false">IF(IF(ISBLANK(E57),1,(TRIM(E57)="")),"",ROUND(E57/4.184,3))</f>
        <v>30.151</v>
      </c>
      <c r="S57" s="101" t="n">
        <f aca="false">IF(IF(ISBLANK(F57),1,(TRIM(F57)="")),"",ROUND(F57/4.184,3))</f>
        <v>30.151</v>
      </c>
      <c r="T57" s="85" t="n">
        <f aca="false">IF(IF(ISBLANK(G57),1,(TRIM(G57)="")),"",ROUND(G57/4.184,3))</f>
        <v>30.151</v>
      </c>
      <c r="U57" s="101" t="n">
        <f aca="false">IF(IF(ISBLANK(H57),1,(TRIM(H57)="")),"",ROUND(H57/4.184,3))</f>
        <v>30.151</v>
      </c>
      <c r="V57" s="85" t="n">
        <f aca="false">IF(IF(ISBLANK(I57),1,(TRIM(I57)="")),"",ROUND(I57/4.184,3))</f>
        <v>30.15</v>
      </c>
      <c r="W57" s="101" t="n">
        <f aca="false">IF(IF(ISBLANK(J57),1,(TRIM(J57)="")),"",ROUND(J57/4.184,3))</f>
        <v>30.151</v>
      </c>
      <c r="X57" s="85" t="str">
        <f aca="false">IF(IF(ISBLANK(K57),1,(TRIM(K57)="")),"",ROUND(K57/4.184,3))</f>
        <v/>
      </c>
      <c r="Y57" s="101" t="n">
        <f aca="false">IF(IF(ISBLANK(L57),1,(TRIM(L57)="")),"",ROUND(L57/4.184,3))</f>
        <v>30.152</v>
      </c>
      <c r="Z57" s="85" t="n">
        <f aca="false">IF(IF(ISBLANK(M57),1,(TRIM(M57)="")),"",ROUND(M57/4.184,3))</f>
        <v>30.151</v>
      </c>
    </row>
    <row r="58" customFormat="false" ht="12.75" hidden="false" customHeight="false" outlineLevel="0" collapsed="false">
      <c r="A58" s="73"/>
      <c r="B58" s="160" t="s">
        <v>78</v>
      </c>
      <c r="C58" s="62" t="n">
        <v>43.56</v>
      </c>
      <c r="D58" s="63" t="n">
        <v>43.56</v>
      </c>
      <c r="E58" s="64" t="s">
        <v>628</v>
      </c>
      <c r="F58" s="102"/>
      <c r="G58" s="62"/>
      <c r="H58" s="65"/>
      <c r="I58" s="136" t="n">
        <v>43.555</v>
      </c>
      <c r="J58" s="65" t="s">
        <v>628</v>
      </c>
      <c r="K58" s="136"/>
      <c r="L58" s="63"/>
      <c r="M58" s="62" t="n">
        <v>43.56</v>
      </c>
      <c r="N58" s="87" t="n">
        <f aca="false">J58-E58</f>
        <v>0</v>
      </c>
      <c r="O58" s="160" t="s">
        <v>78</v>
      </c>
      <c r="P58" s="85" t="n">
        <f aca="false">IF(IF(ISBLANK(C58),1,(TRIM(C58)="")),"",ROUND(C58/4.184,3))</f>
        <v>10.411</v>
      </c>
      <c r="Q58" s="101" t="n">
        <f aca="false">IF(IF(ISBLANK(D58),1,(TRIM(D58)="")),"",ROUND(D58/4.184,3))</f>
        <v>10.411</v>
      </c>
      <c r="R58" s="85" t="n">
        <f aca="false">IF(IF(ISBLANK(E58),1,(TRIM(E58)="")),"",ROUND(E58/4.184,3))</f>
        <v>10.411</v>
      </c>
      <c r="S58" s="101" t="str">
        <f aca="false">IF(IF(ISBLANK(F58),1,(TRIM(F58)="")),"",ROUND(F58/4.184,3))</f>
        <v/>
      </c>
      <c r="T58" s="85" t="str">
        <f aca="false">IF(IF(ISBLANK(G58),1,(TRIM(G58)="")),"",ROUND(G58/4.184,3))</f>
        <v/>
      </c>
      <c r="U58" s="101" t="str">
        <f aca="false">IF(IF(ISBLANK(H58),1,(TRIM(H58)="")),"",ROUND(H58/4.184,3))</f>
        <v/>
      </c>
      <c r="V58" s="85" t="n">
        <f aca="false">IF(IF(ISBLANK(I58),1,(TRIM(I58)="")),"",ROUND(I58/4.184,3))</f>
        <v>10.41</v>
      </c>
      <c r="W58" s="101" t="n">
        <f aca="false">IF(IF(ISBLANK(J58),1,(TRIM(J58)="")),"",ROUND(J58/4.184,3))</f>
        <v>10.411</v>
      </c>
      <c r="X58" s="85" t="str">
        <f aca="false">IF(IF(ISBLANK(K58),1,(TRIM(K58)="")),"",ROUND(K58/4.184,3))</f>
        <v/>
      </c>
      <c r="Y58" s="101" t="str">
        <f aca="false">IF(IF(ISBLANK(L58),1,(TRIM(L58)="")),"",ROUND(L58/4.184,3))</f>
        <v/>
      </c>
      <c r="Z58" s="85" t="n">
        <f aca="false">IF(IF(ISBLANK(M58),1,(TRIM(M58)="")),"",ROUND(M58/4.184,3))</f>
        <v>10.411</v>
      </c>
    </row>
    <row r="59" customFormat="false" ht="12.75" hidden="false" customHeight="false" outlineLevel="0" collapsed="false">
      <c r="A59" s="73"/>
      <c r="B59" s="160" t="s">
        <v>79</v>
      </c>
      <c r="C59" s="64" t="s">
        <v>544</v>
      </c>
      <c r="D59" s="63" t="n">
        <v>76.02</v>
      </c>
      <c r="E59" s="62" t="n">
        <v>76.028</v>
      </c>
      <c r="F59" s="103" t="s">
        <v>544</v>
      </c>
      <c r="G59" s="64"/>
      <c r="H59" s="65" t="s">
        <v>629</v>
      </c>
      <c r="I59" s="136" t="n">
        <v>75.898</v>
      </c>
      <c r="J59" s="63" t="n">
        <v>76.028</v>
      </c>
      <c r="K59" s="141" t="s">
        <v>544</v>
      </c>
      <c r="L59" s="65" t="s">
        <v>630</v>
      </c>
      <c r="M59" s="64" t="s">
        <v>544</v>
      </c>
      <c r="N59" s="87" t="n">
        <f aca="false">J59-E59</f>
        <v>0</v>
      </c>
      <c r="O59" s="160" t="s">
        <v>79</v>
      </c>
      <c r="P59" s="85" t="n">
        <f aca="false">IF(IF(ISBLANK(C59),1,(TRIM(C59)="")),"",ROUND(C59/4.184,3))</f>
        <v>18.141</v>
      </c>
      <c r="Q59" s="101" t="n">
        <f aca="false">IF(IF(ISBLANK(D59),1,(TRIM(D59)="")),"",ROUND(D59/4.184,3))</f>
        <v>18.169</v>
      </c>
      <c r="R59" s="85" t="n">
        <f aca="false">IF(IF(ISBLANK(E59),1,(TRIM(E59)="")),"",ROUND(E59/4.184,3))</f>
        <v>18.171</v>
      </c>
      <c r="S59" s="101" t="n">
        <f aca="false">IF(IF(ISBLANK(F59),1,(TRIM(F59)="")),"",ROUND(F59/4.184,3))</f>
        <v>18.141</v>
      </c>
      <c r="T59" s="85" t="str">
        <f aca="false">IF(IF(ISBLANK(G59),1,(TRIM(G59)="")),"",ROUND(G59/4.184,3))</f>
        <v/>
      </c>
      <c r="U59" s="101" t="n">
        <f aca="false">IF(IF(ISBLANK(H59),1,(TRIM(H59)="")),"",ROUND(H59/4.184,3))</f>
        <v>18.141</v>
      </c>
      <c r="V59" s="85" t="n">
        <f aca="false">IF(IF(ISBLANK(I59),1,(TRIM(I59)="")),"",ROUND(I59/4.184,3))</f>
        <v>18.14</v>
      </c>
      <c r="W59" s="101" t="n">
        <f aca="false">IF(IF(ISBLANK(J59),1,(TRIM(J59)="")),"",ROUND(J59/4.184,3))</f>
        <v>18.171</v>
      </c>
      <c r="X59" s="85" t="n">
        <f aca="false">IF(IF(ISBLANK(K59),1,(TRIM(K59)="")),"",ROUND(K59/4.184,3))</f>
        <v>18.141</v>
      </c>
      <c r="Y59" s="101" t="n">
        <f aca="false">IF(IF(ISBLANK(L59),1,(TRIM(L59)="")),"",ROUND(L59/4.184,3))</f>
        <v>18.171</v>
      </c>
      <c r="Z59" s="85" t="n">
        <f aca="false">IF(IF(ISBLANK(M59),1,(TRIM(M59)="")),"",ROUND(M59/4.184,3))</f>
        <v>18.141</v>
      </c>
    </row>
    <row r="60" customFormat="false" ht="12.75" hidden="false" customHeight="false" outlineLevel="0" collapsed="false">
      <c r="A60" s="73"/>
      <c r="B60" s="160" t="s">
        <v>80</v>
      </c>
      <c r="C60" s="62" t="n">
        <v>75.02</v>
      </c>
      <c r="D60" s="63" t="n">
        <v>75.3</v>
      </c>
      <c r="E60" s="62"/>
      <c r="F60" s="102"/>
      <c r="G60" s="62"/>
      <c r="H60" s="65"/>
      <c r="I60" s="136" t="n">
        <v>75.019</v>
      </c>
      <c r="J60" s="63"/>
      <c r="K60" s="136"/>
      <c r="L60" s="63"/>
      <c r="M60" s="62" t="n">
        <v>75.3</v>
      </c>
      <c r="N60" s="87" t="n">
        <f aca="false">J60-E60</f>
        <v>0</v>
      </c>
      <c r="O60" s="160" t="s">
        <v>80</v>
      </c>
      <c r="P60" s="85" t="n">
        <f aca="false">IF(IF(ISBLANK(C60),1,(TRIM(C60)="")),"",ROUND(C60/4.184,3))</f>
        <v>17.93</v>
      </c>
      <c r="Q60" s="101" t="n">
        <f aca="false">IF(IF(ISBLANK(D60),1,(TRIM(D60)="")),"",ROUND(D60/4.184,3))</f>
        <v>17.997</v>
      </c>
      <c r="R60" s="85" t="str">
        <f aca="false">IF(IF(ISBLANK(E60),1,(TRIM(E60)="")),"",ROUND(E60/4.184,3))</f>
        <v/>
      </c>
      <c r="S60" s="101" t="str">
        <f aca="false">IF(IF(ISBLANK(F60),1,(TRIM(F60)="")),"",ROUND(F60/4.184,3))</f>
        <v/>
      </c>
      <c r="T60" s="85" t="str">
        <f aca="false">IF(IF(ISBLANK(G60),1,(TRIM(G60)="")),"",ROUND(G60/4.184,3))</f>
        <v/>
      </c>
      <c r="U60" s="101" t="str">
        <f aca="false">IF(IF(ISBLANK(H60),1,(TRIM(H60)="")),"",ROUND(H60/4.184,3))</f>
        <v/>
      </c>
      <c r="V60" s="85" t="n">
        <f aca="false">IF(IF(ISBLANK(I60),1,(TRIM(I60)="")),"",ROUND(I60/4.184,3))</f>
        <v>17.93</v>
      </c>
      <c r="W60" s="101" t="str">
        <f aca="false">IF(IF(ISBLANK(J60),1,(TRIM(J60)="")),"",ROUND(J60/4.184,3))</f>
        <v/>
      </c>
      <c r="X60" s="85" t="str">
        <f aca="false">IF(IF(ISBLANK(K60),1,(TRIM(K60)="")),"",ROUND(K60/4.184,3))</f>
        <v/>
      </c>
      <c r="Y60" s="101" t="str">
        <f aca="false">IF(IF(ISBLANK(L60),1,(TRIM(L60)="")),"",ROUND(L60/4.184,3))</f>
        <v/>
      </c>
      <c r="Z60" s="85" t="n">
        <f aca="false">IF(IF(ISBLANK(M60),1,(TRIM(M60)="")),"",ROUND(M60/4.184,3))</f>
        <v>17.997</v>
      </c>
    </row>
    <row r="61" customFormat="false" ht="12.75" hidden="false" customHeight="false" outlineLevel="0" collapsed="false">
      <c r="A61" s="73"/>
      <c r="B61" s="160" t="s">
        <v>82</v>
      </c>
      <c r="C61" s="62" t="n">
        <v>116.15</v>
      </c>
      <c r="D61" s="63" t="n">
        <v>116.135</v>
      </c>
      <c r="E61" s="62" t="n">
        <v>116.142</v>
      </c>
      <c r="F61" s="103" t="s">
        <v>545</v>
      </c>
      <c r="G61" s="64" t="s">
        <v>631</v>
      </c>
      <c r="H61" s="65" t="s">
        <v>631</v>
      </c>
      <c r="I61" s="136" t="n">
        <v>116.142</v>
      </c>
      <c r="J61" s="63" t="n">
        <v>116.142</v>
      </c>
      <c r="K61" s="136" t="n">
        <v>116.14</v>
      </c>
      <c r="L61" s="65" t="s">
        <v>632</v>
      </c>
      <c r="M61" s="62" t="n">
        <v>116.14</v>
      </c>
      <c r="N61" s="87" t="n">
        <f aca="false">J61-E61</f>
        <v>0</v>
      </c>
      <c r="O61" s="160" t="s">
        <v>82</v>
      </c>
      <c r="P61" s="85" t="n">
        <f aca="false">IF(IF(ISBLANK(C61),1,(TRIM(C61)="")),"",ROUND(C61/4.184,3))</f>
        <v>27.761</v>
      </c>
      <c r="Q61" s="101" t="n">
        <f aca="false">IF(IF(ISBLANK(D61),1,(TRIM(D61)="")),"",ROUND(D61/4.184,3))</f>
        <v>27.757</v>
      </c>
      <c r="R61" s="85" t="n">
        <f aca="false">IF(IF(ISBLANK(E61),1,(TRIM(E61)="")),"",ROUND(E61/4.184,3))</f>
        <v>27.759</v>
      </c>
      <c r="S61" s="101" t="n">
        <f aca="false">IF(IF(ISBLANK(F61),1,(TRIM(F61)="")),"",ROUND(F61/4.184,3))</f>
        <v>27.758</v>
      </c>
      <c r="T61" s="85" t="n">
        <f aca="false">IF(IF(ISBLANK(G61),1,(TRIM(G61)="")),"",ROUND(G61/4.184,3))</f>
        <v>27.758</v>
      </c>
      <c r="U61" s="101" t="n">
        <f aca="false">IF(IF(ISBLANK(H61),1,(TRIM(H61)="")),"",ROUND(H61/4.184,3))</f>
        <v>27.758</v>
      </c>
      <c r="V61" s="85" t="n">
        <f aca="false">IF(IF(ISBLANK(I61),1,(TRIM(I61)="")),"",ROUND(I61/4.184,3))</f>
        <v>27.759</v>
      </c>
      <c r="W61" s="101" t="n">
        <f aca="false">IF(IF(ISBLANK(J61),1,(TRIM(J61)="")),"",ROUND(J61/4.184,3))</f>
        <v>27.759</v>
      </c>
      <c r="X61" s="85" t="n">
        <f aca="false">IF(IF(ISBLANK(K61),1,(TRIM(K61)="")),"",ROUND(K61/4.184,3))</f>
        <v>27.758</v>
      </c>
      <c r="Y61" s="101" t="n">
        <f aca="false">IF(IF(ISBLANK(L61),1,(TRIM(L61)="")),"",ROUND(L61/4.184,3))</f>
        <v>27.758</v>
      </c>
      <c r="Z61" s="85" t="n">
        <f aca="false">IF(IF(ISBLANK(M61),1,(TRIM(M61)="")),"",ROUND(M61/4.184,3))</f>
        <v>27.758</v>
      </c>
    </row>
    <row r="62" customFormat="false" ht="12.75" hidden="false" customHeight="false" outlineLevel="0" collapsed="false">
      <c r="A62" s="73"/>
      <c r="B62" s="160" t="s">
        <v>84</v>
      </c>
      <c r="C62" s="62" t="n">
        <v>57.84</v>
      </c>
      <c r="D62" s="63" t="n">
        <v>57.82</v>
      </c>
      <c r="E62" s="62"/>
      <c r="F62" s="102"/>
      <c r="G62" s="62" t="s">
        <v>633</v>
      </c>
      <c r="H62" s="65"/>
      <c r="I62" s="136" t="n">
        <v>57.823</v>
      </c>
      <c r="J62" s="63"/>
      <c r="K62" s="136"/>
      <c r="L62" s="63"/>
      <c r="M62" s="62" t="n">
        <v>57.8</v>
      </c>
      <c r="N62" s="87" t="n">
        <f aca="false">J62-E62</f>
        <v>0</v>
      </c>
      <c r="O62" s="160" t="s">
        <v>84</v>
      </c>
      <c r="P62" s="85" t="n">
        <f aca="false">IF(IF(ISBLANK(C62),1,(TRIM(C62)="")),"",ROUND(C62/4.184,3))</f>
        <v>13.824</v>
      </c>
      <c r="Q62" s="101" t="n">
        <f aca="false">IF(IF(ISBLANK(D62),1,(TRIM(D62)="")),"",ROUND(D62/4.184,3))</f>
        <v>13.819</v>
      </c>
      <c r="R62" s="85" t="str">
        <f aca="false">IF(IF(ISBLANK(E62),1,(TRIM(E62)="")),"",ROUND(E62/4.184,3))</f>
        <v/>
      </c>
      <c r="S62" s="101" t="str">
        <f aca="false">IF(IF(ISBLANK(F62),1,(TRIM(F62)="")),"",ROUND(F62/4.184,3))</f>
        <v/>
      </c>
      <c r="T62" s="85" t="n">
        <f aca="false">IF(IF(ISBLANK(G62),1,(TRIM(G62)="")),"",ROUND(G62/4.184,3))</f>
        <v>13.779</v>
      </c>
      <c r="U62" s="101" t="str">
        <f aca="false">IF(IF(ISBLANK(H62),1,(TRIM(H62)="")),"",ROUND(H62/4.184,3))</f>
        <v/>
      </c>
      <c r="V62" s="85" t="n">
        <f aca="false">IF(IF(ISBLANK(I62),1,(TRIM(I62)="")),"",ROUND(I62/4.184,3))</f>
        <v>13.82</v>
      </c>
      <c r="W62" s="101" t="str">
        <f aca="false">IF(IF(ISBLANK(J62),1,(TRIM(J62)="")),"",ROUND(J62/4.184,3))</f>
        <v/>
      </c>
      <c r="X62" s="85" t="str">
        <f aca="false">IF(IF(ISBLANK(K62),1,(TRIM(K62)="")),"",ROUND(K62/4.184,3))</f>
        <v/>
      </c>
      <c r="Y62" s="101" t="str">
        <f aca="false">IF(IF(ISBLANK(L62),1,(TRIM(L62)="")),"",ROUND(L62/4.184,3))</f>
        <v/>
      </c>
      <c r="Z62" s="85" t="n">
        <f aca="false">IF(IF(ISBLANK(M62),1,(TRIM(M62)="")),"",ROUND(M62/4.184,3))</f>
        <v>13.815</v>
      </c>
    </row>
    <row r="63" customFormat="false" ht="12.75" hidden="false" customHeight="false" outlineLevel="0" collapsed="false">
      <c r="A63" s="73"/>
      <c r="B63" s="160" t="s">
        <v>85</v>
      </c>
      <c r="C63" s="62" t="n">
        <v>35.48</v>
      </c>
      <c r="D63" s="63" t="n">
        <v>35.48</v>
      </c>
      <c r="E63" s="62"/>
      <c r="F63" s="102"/>
      <c r="G63" s="62"/>
      <c r="H63" s="65"/>
      <c r="I63" s="136" t="n">
        <v>35.505</v>
      </c>
      <c r="J63" s="63"/>
      <c r="K63" s="136"/>
      <c r="L63" s="63"/>
      <c r="M63" s="62" t="n">
        <v>35.48</v>
      </c>
      <c r="N63" s="87" t="n">
        <f aca="false">J63-E63</f>
        <v>0</v>
      </c>
      <c r="O63" s="160" t="s">
        <v>85</v>
      </c>
      <c r="P63" s="85" t="n">
        <f aca="false">IF(IF(ISBLANK(C63),1,(TRIM(C63)="")),"",ROUND(C63/4.184,3))</f>
        <v>8.48</v>
      </c>
      <c r="Q63" s="101" t="n">
        <f aca="false">IF(IF(ISBLANK(D63),1,(TRIM(D63)="")),"",ROUND(D63/4.184,3))</f>
        <v>8.48</v>
      </c>
      <c r="R63" s="85" t="str">
        <f aca="false">IF(IF(ISBLANK(E63),1,(TRIM(E63)="")),"",ROUND(E63/4.184,3))</f>
        <v/>
      </c>
      <c r="S63" s="101" t="str">
        <f aca="false">IF(IF(ISBLANK(F63),1,(TRIM(F63)="")),"",ROUND(F63/4.184,3))</f>
        <v/>
      </c>
      <c r="T63" s="85" t="str">
        <f aca="false">IF(IF(ISBLANK(G63),1,(TRIM(G63)="")),"",ROUND(G63/4.184,3))</f>
        <v/>
      </c>
      <c r="U63" s="101" t="str">
        <f aca="false">IF(IF(ISBLANK(H63),1,(TRIM(H63)="")),"",ROUND(H63/4.184,3))</f>
        <v/>
      </c>
      <c r="V63" s="85" t="n">
        <f aca="false">IF(IF(ISBLANK(I63),1,(TRIM(I63)="")),"",ROUND(I63/4.184,3))</f>
        <v>8.486</v>
      </c>
      <c r="W63" s="101" t="str">
        <f aca="false">IF(IF(ISBLANK(J63),1,(TRIM(J63)="")),"",ROUND(J63/4.184,3))</f>
        <v/>
      </c>
      <c r="X63" s="85" t="str">
        <f aca="false">IF(IF(ISBLANK(K63),1,(TRIM(K63)="")),"",ROUND(K63/4.184,3))</f>
        <v/>
      </c>
      <c r="Y63" s="101" t="str">
        <f aca="false">IF(IF(ISBLANK(L63),1,(TRIM(L63)="")),"",ROUND(L63/4.184,3))</f>
        <v/>
      </c>
      <c r="Z63" s="85" t="n">
        <f aca="false">IF(IF(ISBLANK(M63),1,(TRIM(M63)="")),"",ROUND(M63/4.184,3))</f>
        <v>8.48</v>
      </c>
    </row>
    <row r="64" customFormat="false" ht="12.75" hidden="false" customHeight="false" outlineLevel="0" collapsed="false">
      <c r="A64" s="73"/>
      <c r="B64" s="161" t="s">
        <v>86</v>
      </c>
      <c r="C64" s="62" t="n">
        <v>64.68</v>
      </c>
      <c r="D64" s="63" t="n">
        <v>64.18</v>
      </c>
      <c r="E64" s="64" t="s">
        <v>634</v>
      </c>
      <c r="F64" s="102" t="n">
        <v>64.68</v>
      </c>
      <c r="G64" s="62"/>
      <c r="H64" s="65" t="s">
        <v>635</v>
      </c>
      <c r="I64" s="141" t="s">
        <v>634</v>
      </c>
      <c r="J64" s="65" t="s">
        <v>634</v>
      </c>
      <c r="K64" s="136" t="n">
        <v>64.67</v>
      </c>
      <c r="L64" s="65" t="s">
        <v>635</v>
      </c>
      <c r="M64" s="62" t="n">
        <v>64.68</v>
      </c>
      <c r="N64" s="87" t="n">
        <f aca="false">J64-E64</f>
        <v>0</v>
      </c>
      <c r="O64" s="161" t="s">
        <v>86</v>
      </c>
      <c r="P64" s="85" t="n">
        <f aca="false">IF(IF(ISBLANK(C64),1,(TRIM(C64)="")),"",ROUND(C64/4.184,3))</f>
        <v>15.459</v>
      </c>
      <c r="Q64" s="101" t="n">
        <f aca="false">IF(IF(ISBLANK(D64),1,(TRIM(D64)="")),"",ROUND(D64/4.184,3))</f>
        <v>15.339</v>
      </c>
      <c r="R64" s="85" t="n">
        <f aca="false">IF(IF(ISBLANK(E64),1,(TRIM(E64)="")),"",ROUND(E64/4.184,3))</f>
        <v>15.457</v>
      </c>
      <c r="S64" s="101" t="n">
        <f aca="false">IF(IF(ISBLANK(F64),1,(TRIM(F64)="")),"",ROUND(F64/4.184,3))</f>
        <v>15.459</v>
      </c>
      <c r="T64" s="85" t="str">
        <f aca="false">IF(IF(ISBLANK(G64),1,(TRIM(G64)="")),"",ROUND(G64/4.184,3))</f>
        <v/>
      </c>
      <c r="U64" s="101" t="n">
        <f aca="false">IF(IF(ISBLANK(H64),1,(TRIM(H64)="")),"",ROUND(H64/4.184,3))</f>
        <v>15.459</v>
      </c>
      <c r="V64" s="85" t="n">
        <f aca="false">IF(IF(ISBLANK(I64),1,(TRIM(I64)="")),"",ROUND(I64/4.184,3))</f>
        <v>15.457</v>
      </c>
      <c r="W64" s="101" t="n">
        <f aca="false">IF(IF(ISBLANK(J64),1,(TRIM(J64)="")),"",ROUND(J64/4.184,3))</f>
        <v>15.457</v>
      </c>
      <c r="X64" s="85" t="n">
        <f aca="false">IF(IF(ISBLANK(K64),1,(TRIM(K64)="")),"",ROUND(K64/4.184,3))</f>
        <v>15.457</v>
      </c>
      <c r="Y64" s="101" t="n">
        <f aca="false">IF(IF(ISBLANK(L64),1,(TRIM(L64)="")),"",ROUND(L64/4.184,3))</f>
        <v>15.459</v>
      </c>
      <c r="Z64" s="85" t="n">
        <f aca="false">IF(IF(ISBLANK(M64),1,(TRIM(M64)="")),"",ROUND(M64/4.184,3))</f>
        <v>15.459</v>
      </c>
    </row>
    <row r="65" customFormat="false" ht="12.75" hidden="false" customHeight="false" outlineLevel="0" collapsed="false">
      <c r="A65" s="73"/>
      <c r="B65" s="160" t="s">
        <v>87</v>
      </c>
      <c r="C65" s="62" t="n">
        <v>164.08</v>
      </c>
      <c r="D65" s="63" t="n">
        <v>164.082</v>
      </c>
      <c r="E65" s="62" t="n">
        <v>164.084</v>
      </c>
      <c r="F65" s="102" t="n">
        <v>164.085</v>
      </c>
      <c r="G65" s="62" t="s">
        <v>636</v>
      </c>
      <c r="H65" s="65" t="n">
        <v>164.085</v>
      </c>
      <c r="I65" s="136" t="n">
        <v>164.085</v>
      </c>
      <c r="J65" s="63" t="n">
        <v>164.084</v>
      </c>
      <c r="K65" s="136"/>
      <c r="L65" s="65" t="s">
        <v>637</v>
      </c>
      <c r="M65" s="64" t="s">
        <v>638</v>
      </c>
      <c r="N65" s="87" t="n">
        <f aca="false">J65-E65</f>
        <v>0</v>
      </c>
      <c r="O65" s="160" t="s">
        <v>87</v>
      </c>
      <c r="P65" s="85" t="n">
        <f aca="false">IF(IF(ISBLANK(C65),1,(TRIM(C65)="")),"",ROUND(C65/4.184,3))</f>
        <v>39.216</v>
      </c>
      <c r="Q65" s="101" t="n">
        <f aca="false">IF(IF(ISBLANK(D65),1,(TRIM(D65)="")),"",ROUND(D65/4.184,3))</f>
        <v>39.217</v>
      </c>
      <c r="R65" s="85" t="n">
        <f aca="false">IF(IF(ISBLANK(E65),1,(TRIM(E65)="")),"",ROUND(E65/4.184,3))</f>
        <v>39.217</v>
      </c>
      <c r="S65" s="101" t="n">
        <f aca="false">IF(IF(ISBLANK(F65),1,(TRIM(F65)="")),"",ROUND(F65/4.184,3))</f>
        <v>39.217</v>
      </c>
      <c r="T65" s="85" t="n">
        <f aca="false">IF(IF(ISBLANK(G65),1,(TRIM(G65)="")),"",ROUND(G65/4.184,3))</f>
        <v>39.217</v>
      </c>
      <c r="U65" s="101" t="n">
        <f aca="false">IF(IF(ISBLANK(H65),1,(TRIM(H65)="")),"",ROUND(H65/4.184,3))</f>
        <v>39.217</v>
      </c>
      <c r="V65" s="85" t="n">
        <f aca="false">IF(IF(ISBLANK(I65),1,(TRIM(I65)="")),"",ROUND(I65/4.184,3))</f>
        <v>39.217</v>
      </c>
      <c r="W65" s="101" t="n">
        <f aca="false">IF(IF(ISBLANK(J65),1,(TRIM(J65)="")),"",ROUND(J65/4.184,3))</f>
        <v>39.217</v>
      </c>
      <c r="X65" s="85" t="str">
        <f aca="false">IF(IF(ISBLANK(K65),1,(TRIM(K65)="")),"",ROUND(K65/4.184,3))</f>
        <v/>
      </c>
      <c r="Y65" s="101" t="n">
        <f aca="false">IF(IF(ISBLANK(L65),1,(TRIM(L65)="")),"",ROUND(L65/4.184,3))</f>
        <v>39.217</v>
      </c>
      <c r="Z65" s="85" t="n">
        <f aca="false">IF(IF(ISBLANK(M65),1,(TRIM(M65)="")),"",ROUND(M65/4.184,3))</f>
        <v>39.217</v>
      </c>
    </row>
    <row r="66" customFormat="false" ht="12.75" hidden="false" customHeight="false" outlineLevel="0" collapsed="false">
      <c r="A66" s="73"/>
      <c r="B66" s="160" t="s">
        <v>88</v>
      </c>
      <c r="C66" s="64" t="s">
        <v>639</v>
      </c>
      <c r="D66" s="63" t="n">
        <v>56.9</v>
      </c>
      <c r="E66" s="62"/>
      <c r="F66" s="102"/>
      <c r="G66" s="62"/>
      <c r="H66" s="65"/>
      <c r="I66" s="136" t="n">
        <v>56.902</v>
      </c>
      <c r="J66" s="63"/>
      <c r="K66" s="136"/>
      <c r="L66" s="63"/>
      <c r="M66" s="62" t="n">
        <v>56.9</v>
      </c>
      <c r="N66" s="87" t="n">
        <f aca="false">J66-E66</f>
        <v>0</v>
      </c>
      <c r="O66" s="160" t="s">
        <v>88</v>
      </c>
      <c r="P66" s="85" t="n">
        <f aca="false">IF(IF(ISBLANK(C66),1,(TRIM(C66)="")),"",ROUND(C66/4.184,3))</f>
        <v>13.599</v>
      </c>
      <c r="Q66" s="101" t="n">
        <f aca="false">IF(IF(ISBLANK(D66),1,(TRIM(D66)="")),"",ROUND(D66/4.184,3))</f>
        <v>13.599</v>
      </c>
      <c r="R66" s="85" t="str">
        <f aca="false">IF(IF(ISBLANK(E66),1,(TRIM(E66)="")),"",ROUND(E66/4.184,3))</f>
        <v/>
      </c>
      <c r="S66" s="101" t="str">
        <f aca="false">IF(IF(ISBLANK(F66),1,(TRIM(F66)="")),"",ROUND(F66/4.184,3))</f>
        <v/>
      </c>
      <c r="T66" s="85" t="str">
        <f aca="false">IF(IF(ISBLANK(G66),1,(TRIM(G66)="")),"",ROUND(G66/4.184,3))</f>
        <v/>
      </c>
      <c r="U66" s="101" t="str">
        <f aca="false">IF(IF(ISBLANK(H66),1,(TRIM(H66)="")),"",ROUND(H66/4.184,3))</f>
        <v/>
      </c>
      <c r="V66" s="85" t="n">
        <f aca="false">IF(IF(ISBLANK(I66),1,(TRIM(I66)="")),"",ROUND(I66/4.184,3))</f>
        <v>13.6</v>
      </c>
      <c r="W66" s="101" t="str">
        <f aca="false">IF(IF(ISBLANK(J66),1,(TRIM(J66)="")),"",ROUND(J66/4.184,3))</f>
        <v/>
      </c>
      <c r="X66" s="85" t="str">
        <f aca="false">IF(IF(ISBLANK(K66),1,(TRIM(K66)="")),"",ROUND(K66/4.184,3))</f>
        <v/>
      </c>
      <c r="Y66" s="101" t="str">
        <f aca="false">IF(IF(ISBLANK(L66),1,(TRIM(L66)="")),"",ROUND(L66/4.184,3))</f>
        <v/>
      </c>
      <c r="Z66" s="85" t="n">
        <f aca="false">IF(IF(ISBLANK(M66),1,(TRIM(M66)="")),"",ROUND(M66/4.184,3))</f>
        <v>13.599</v>
      </c>
    </row>
    <row r="67" customFormat="false" ht="12.75" hidden="false" customHeight="false" outlineLevel="0" collapsed="false">
      <c r="A67" s="73"/>
      <c r="B67" s="161" t="s">
        <v>89</v>
      </c>
      <c r="C67" s="62" t="n">
        <v>29.12</v>
      </c>
      <c r="D67" s="63" t="n">
        <v>29.12</v>
      </c>
      <c r="E67" s="62" t="n">
        <v>29.085</v>
      </c>
      <c r="F67" s="102" t="n">
        <v>29.12</v>
      </c>
      <c r="G67" s="62"/>
      <c r="H67" s="65" t="s">
        <v>640</v>
      </c>
      <c r="I67" s="141" t="s">
        <v>641</v>
      </c>
      <c r="J67" s="63" t="n">
        <v>29.085</v>
      </c>
      <c r="K67" s="136" t="n">
        <v>29.09</v>
      </c>
      <c r="L67" s="65" t="s">
        <v>640</v>
      </c>
      <c r="M67" s="62" t="n">
        <v>29.12</v>
      </c>
      <c r="N67" s="87" t="n">
        <f aca="false">J67-E67</f>
        <v>0</v>
      </c>
      <c r="O67" s="161" t="s">
        <v>89</v>
      </c>
      <c r="P67" s="85" t="n">
        <f aca="false">IF(IF(ISBLANK(C67),1,(TRIM(C67)="")),"",ROUND(C67/4.184,3))</f>
        <v>6.96</v>
      </c>
      <c r="Q67" s="101" t="n">
        <f aca="false">IF(IF(ISBLANK(D67),1,(TRIM(D67)="")),"",ROUND(D67/4.184,3))</f>
        <v>6.96</v>
      </c>
      <c r="R67" s="85" t="n">
        <f aca="false">IF(IF(ISBLANK(E67),1,(TRIM(E67)="")),"",ROUND(E67/4.184,3))</f>
        <v>6.951</v>
      </c>
      <c r="S67" s="101" t="n">
        <f aca="false">IF(IF(ISBLANK(F67),1,(TRIM(F67)="")),"",ROUND(F67/4.184,3))</f>
        <v>6.96</v>
      </c>
      <c r="T67" s="85" t="str">
        <f aca="false">IF(IF(ISBLANK(G67),1,(TRIM(G67)="")),"",ROUND(G67/4.184,3))</f>
        <v/>
      </c>
      <c r="U67" s="101" t="n">
        <f aca="false">IF(IF(ISBLANK(H67),1,(TRIM(H67)="")),"",ROUND(H67/4.184,3))</f>
        <v>6.96</v>
      </c>
      <c r="V67" s="85" t="n">
        <f aca="false">IF(IF(ISBLANK(I67),1,(TRIM(I67)="")),"",ROUND(I67/4.184,3))</f>
        <v>6.95</v>
      </c>
      <c r="W67" s="101" t="n">
        <f aca="false">IF(IF(ISBLANK(J67),1,(TRIM(J67)="")),"",ROUND(J67/4.184,3))</f>
        <v>6.951</v>
      </c>
      <c r="X67" s="85" t="n">
        <f aca="false">IF(IF(ISBLANK(K67),1,(TRIM(K67)="")),"",ROUND(K67/4.184,3))</f>
        <v>6.953</v>
      </c>
      <c r="Y67" s="101" t="n">
        <f aca="false">IF(IF(ISBLANK(L67),1,(TRIM(L67)="")),"",ROUND(L67/4.184,3))</f>
        <v>6.96</v>
      </c>
      <c r="Z67" s="85" t="n">
        <f aca="false">IF(IF(ISBLANK(M67),1,(TRIM(M67)="")),"",ROUND(M67/4.184,3))</f>
        <v>6.96</v>
      </c>
    </row>
    <row r="68" customFormat="false" ht="12.75" hidden="false" customHeight="false" outlineLevel="0" collapsed="false">
      <c r="A68" s="73"/>
      <c r="B68" s="160" t="s">
        <v>90</v>
      </c>
      <c r="C68" s="62"/>
      <c r="D68" s="65"/>
      <c r="E68" s="64"/>
      <c r="F68" s="102"/>
      <c r="G68" s="62"/>
      <c r="H68" s="65"/>
      <c r="I68" s="136"/>
      <c r="J68" s="63"/>
      <c r="K68" s="136"/>
      <c r="L68" s="63"/>
      <c r="M68" s="62"/>
      <c r="N68" s="87" t="n">
        <f aca="false">J68-E68</f>
        <v>0</v>
      </c>
      <c r="O68" s="160" t="s">
        <v>90</v>
      </c>
      <c r="P68" s="85" t="str">
        <f aca="false">IF(IF(ISBLANK(C68),1,(TRIM(C68)="")),"",ROUND(C68/4.184,3))</f>
        <v/>
      </c>
      <c r="Q68" s="101" t="str">
        <f aca="false">IF(IF(ISBLANK(D68),1,(TRIM(D68)="")),"",ROUND(D68/4.184,3))</f>
        <v/>
      </c>
      <c r="R68" s="85" t="str">
        <f aca="false">IF(IF(ISBLANK(E68),1,(TRIM(E68)="")),"",ROUND(E68/4.184,3))</f>
        <v/>
      </c>
      <c r="S68" s="101" t="str">
        <f aca="false">IF(IF(ISBLANK(F68),1,(TRIM(F68)="")),"",ROUND(F68/4.184,3))</f>
        <v/>
      </c>
      <c r="T68" s="85" t="str">
        <f aca="false">IF(IF(ISBLANK(G68),1,(TRIM(G68)="")),"",ROUND(G68/4.184,3))</f>
        <v/>
      </c>
      <c r="U68" s="101" t="str">
        <f aca="false">IF(IF(ISBLANK(H68),1,(TRIM(H68)="")),"",ROUND(H68/4.184,3))</f>
        <v/>
      </c>
      <c r="V68" s="85" t="str">
        <f aca="false">IF(IF(ISBLANK(I68),1,(TRIM(I68)="")),"",ROUND(I68/4.184,3))</f>
        <v/>
      </c>
      <c r="W68" s="101" t="str">
        <f aca="false">IF(IF(ISBLANK(J68),1,(TRIM(J68)="")),"",ROUND(J68/4.184,3))</f>
        <v/>
      </c>
      <c r="X68" s="85" t="str">
        <f aca="false">IF(IF(ISBLANK(K68),1,(TRIM(K68)="")),"",ROUND(K68/4.184,3))</f>
        <v/>
      </c>
      <c r="Y68" s="101" t="str">
        <f aca="false">IF(IF(ISBLANK(L68),1,(TRIM(L68)="")),"",ROUND(L68/4.184,3))</f>
        <v/>
      </c>
      <c r="Z68" s="85" t="str">
        <f aca="false">IF(IF(ISBLANK(M68),1,(TRIM(M68)="")),"",ROUND(M68/4.184,3))</f>
        <v/>
      </c>
    </row>
    <row r="69" customFormat="false" ht="12.75" hidden="false" customHeight="false" outlineLevel="0" collapsed="false">
      <c r="A69" s="73"/>
      <c r="B69" s="160" t="s">
        <v>91</v>
      </c>
      <c r="C69" s="62" t="n">
        <v>50.96</v>
      </c>
      <c r="D69" s="63" t="n">
        <v>50.96</v>
      </c>
      <c r="E69" s="62"/>
      <c r="F69" s="102"/>
      <c r="G69" s="62"/>
      <c r="H69" s="65"/>
      <c r="I69" s="136" t="n">
        <v>50.961</v>
      </c>
      <c r="J69" s="63"/>
      <c r="K69" s="136"/>
      <c r="L69" s="63"/>
      <c r="M69" s="62" t="n">
        <v>50.96</v>
      </c>
      <c r="N69" s="87" t="n">
        <f aca="false">J69-E69</f>
        <v>0</v>
      </c>
      <c r="O69" s="160" t="s">
        <v>91</v>
      </c>
      <c r="P69" s="85" t="n">
        <f aca="false">IF(IF(ISBLANK(C69),1,(TRIM(C69)="")),"",ROUND(C69/4.184,3))</f>
        <v>12.18</v>
      </c>
      <c r="Q69" s="101" t="n">
        <f aca="false">IF(IF(ISBLANK(D69),1,(TRIM(D69)="")),"",ROUND(D69/4.184,3))</f>
        <v>12.18</v>
      </c>
      <c r="R69" s="85" t="str">
        <f aca="false">IF(IF(ISBLANK(E69),1,(TRIM(E69)="")),"",ROUND(E69/4.184,3))</f>
        <v/>
      </c>
      <c r="S69" s="101" t="str">
        <f aca="false">IF(IF(ISBLANK(F69),1,(TRIM(F69)="")),"",ROUND(F69/4.184,3))</f>
        <v/>
      </c>
      <c r="T69" s="85" t="str">
        <f aca="false">IF(IF(ISBLANK(G69),1,(TRIM(G69)="")),"",ROUND(G69/4.184,3))</f>
        <v/>
      </c>
      <c r="U69" s="101" t="str">
        <f aca="false">IF(IF(ISBLANK(H69),1,(TRIM(H69)="")),"",ROUND(H69/4.184,3))</f>
        <v/>
      </c>
      <c r="V69" s="85" t="n">
        <f aca="false">IF(IF(ISBLANK(I69),1,(TRIM(I69)="")),"",ROUND(I69/4.184,3))</f>
        <v>12.18</v>
      </c>
      <c r="W69" s="101" t="str">
        <f aca="false">IF(IF(ISBLANK(J69),1,(TRIM(J69)="")),"",ROUND(J69/4.184,3))</f>
        <v/>
      </c>
      <c r="X69" s="85" t="str">
        <f aca="false">IF(IF(ISBLANK(K69),1,(TRIM(K69)="")),"",ROUND(K69/4.184,3))</f>
        <v/>
      </c>
      <c r="Y69" s="101" t="str">
        <f aca="false">IF(IF(ISBLANK(L69),1,(TRIM(L69)="")),"",ROUND(L69/4.184,3))</f>
        <v/>
      </c>
      <c r="Z69" s="85" t="n">
        <f aca="false">IF(IF(ISBLANK(M69),1,(TRIM(M69)="")),"",ROUND(M69/4.184,3))</f>
        <v>12.18</v>
      </c>
    </row>
    <row r="70" customFormat="false" ht="12.75" hidden="false" customHeight="false" outlineLevel="0" collapsed="false">
      <c r="A70" s="73"/>
      <c r="B70" s="160" t="s">
        <v>92</v>
      </c>
      <c r="C70" s="62"/>
      <c r="D70" s="65"/>
      <c r="E70" s="64"/>
      <c r="F70" s="102"/>
      <c r="G70" s="62"/>
      <c r="H70" s="65"/>
      <c r="I70" s="136"/>
      <c r="J70" s="63"/>
      <c r="K70" s="136"/>
      <c r="L70" s="63"/>
      <c r="M70" s="62"/>
      <c r="N70" s="87" t="n">
        <f aca="false">J70-E70</f>
        <v>0</v>
      </c>
      <c r="O70" s="160" t="s">
        <v>92</v>
      </c>
      <c r="P70" s="85" t="str">
        <f aca="false">IF(IF(ISBLANK(C70),1,(TRIM(C70)="")),"",ROUND(C70/4.184,3))</f>
        <v/>
      </c>
      <c r="Q70" s="101" t="str">
        <f aca="false">IF(IF(ISBLANK(D70),1,(TRIM(D70)="")),"",ROUND(D70/4.184,3))</f>
        <v/>
      </c>
      <c r="R70" s="85" t="str">
        <f aca="false">IF(IF(ISBLANK(E70),1,(TRIM(E70)="")),"",ROUND(E70/4.184,3))</f>
        <v/>
      </c>
      <c r="S70" s="101" t="str">
        <f aca="false">IF(IF(ISBLANK(F70),1,(TRIM(F70)="")),"",ROUND(F70/4.184,3))</f>
        <v/>
      </c>
      <c r="T70" s="85" t="str">
        <f aca="false">IF(IF(ISBLANK(G70),1,(TRIM(G70)="")),"",ROUND(G70/4.184,3))</f>
        <v/>
      </c>
      <c r="U70" s="101" t="str">
        <f aca="false">IF(IF(ISBLANK(H70),1,(TRIM(H70)="")),"",ROUND(H70/4.184,3))</f>
        <v/>
      </c>
      <c r="V70" s="85" t="str">
        <f aca="false">IF(IF(ISBLANK(I70),1,(TRIM(I70)="")),"",ROUND(I70/4.184,3))</f>
        <v/>
      </c>
      <c r="W70" s="101" t="str">
        <f aca="false">IF(IF(ISBLANK(J70),1,(TRIM(J70)="")),"",ROUND(J70/4.184,3))</f>
        <v/>
      </c>
      <c r="X70" s="85" t="str">
        <f aca="false">IF(IF(ISBLANK(K70),1,(TRIM(K70)="")),"",ROUND(K70/4.184,3))</f>
        <v/>
      </c>
      <c r="Y70" s="101" t="str">
        <f aca="false">IF(IF(ISBLANK(L70),1,(TRIM(L70)="")),"",ROUND(L70/4.184,3))</f>
        <v/>
      </c>
      <c r="Z70" s="85" t="str">
        <f aca="false">IF(IF(ISBLANK(M70),1,(TRIM(M70)="")),"",ROUND(M70/4.184,3))</f>
        <v/>
      </c>
    </row>
    <row r="71" customFormat="false" ht="12.75" hidden="false" customHeight="false" outlineLevel="0" collapsed="false">
      <c r="A71" s="73"/>
      <c r="B71" s="160" t="s">
        <v>93</v>
      </c>
      <c r="C71" s="62" t="n">
        <v>32.68</v>
      </c>
      <c r="D71" s="63" t="n">
        <v>32.68</v>
      </c>
      <c r="E71" s="62" t="n">
        <v>32.671</v>
      </c>
      <c r="F71" s="102" t="n">
        <v>32.67</v>
      </c>
      <c r="G71" s="64" t="s">
        <v>642</v>
      </c>
      <c r="H71" s="65" t="s">
        <v>643</v>
      </c>
      <c r="I71" s="136" t="n">
        <v>32.677</v>
      </c>
      <c r="J71" s="63" t="n">
        <v>32.671</v>
      </c>
      <c r="K71" s="136" t="n">
        <v>32.67</v>
      </c>
      <c r="L71" s="65" t="s">
        <v>644</v>
      </c>
      <c r="M71" s="62" t="n">
        <v>32.67</v>
      </c>
      <c r="N71" s="87" t="n">
        <f aca="false">J71-E71</f>
        <v>0</v>
      </c>
      <c r="O71" s="160" t="s">
        <v>93</v>
      </c>
      <c r="P71" s="85" t="n">
        <f aca="false">IF(IF(ISBLANK(C71),1,(TRIM(C71)="")),"",ROUND(C71/4.184,3))</f>
        <v>7.811</v>
      </c>
      <c r="Q71" s="101" t="n">
        <f aca="false">IF(IF(ISBLANK(D71),1,(TRIM(D71)="")),"",ROUND(D71/4.184,3))</f>
        <v>7.811</v>
      </c>
      <c r="R71" s="85" t="n">
        <f aca="false">IF(IF(ISBLANK(E71),1,(TRIM(E71)="")),"",ROUND(E71/4.184,3))</f>
        <v>7.809</v>
      </c>
      <c r="S71" s="101" t="n">
        <f aca="false">IF(IF(ISBLANK(F71),1,(TRIM(F71)="")),"",ROUND(F71/4.184,3))</f>
        <v>7.808</v>
      </c>
      <c r="T71" s="85" t="n">
        <f aca="false">IF(IF(ISBLANK(G71),1,(TRIM(G71)="")),"",ROUND(G71/4.184,3))</f>
        <v>7.811</v>
      </c>
      <c r="U71" s="101" t="n">
        <f aca="false">IF(IF(ISBLANK(H71),1,(TRIM(H71)="")),"",ROUND(H71/4.184,3))</f>
        <v>7.808</v>
      </c>
      <c r="V71" s="85" t="n">
        <f aca="false">IF(IF(ISBLANK(I71),1,(TRIM(I71)="")),"",ROUND(I71/4.184,3))</f>
        <v>7.81</v>
      </c>
      <c r="W71" s="101" t="n">
        <f aca="false">IF(IF(ISBLANK(J71),1,(TRIM(J71)="")),"",ROUND(J71/4.184,3))</f>
        <v>7.809</v>
      </c>
      <c r="X71" s="85" t="n">
        <f aca="false">IF(IF(ISBLANK(K71),1,(TRIM(K71)="")),"",ROUND(K71/4.184,3))</f>
        <v>7.808</v>
      </c>
      <c r="Y71" s="101" t="n">
        <f aca="false">IF(IF(ISBLANK(L71),1,(TRIM(L71)="")),"",ROUND(L71/4.184,3))</f>
        <v>7.776</v>
      </c>
      <c r="Z71" s="85" t="n">
        <f aca="false">IF(IF(ISBLANK(M71),1,(TRIM(M71)="")),"",ROUND(M71/4.184,3))</f>
        <v>7.808</v>
      </c>
    </row>
    <row r="72" customFormat="false" ht="12.75" hidden="false" customHeight="false" outlineLevel="0" collapsed="false">
      <c r="A72" s="73"/>
      <c r="B72" s="160" t="s">
        <v>94</v>
      </c>
      <c r="C72" s="62" t="n">
        <v>32.01</v>
      </c>
      <c r="D72" s="63" t="n">
        <v>32.01</v>
      </c>
      <c r="E72" s="64" t="s">
        <v>645</v>
      </c>
      <c r="F72" s="102"/>
      <c r="G72" s="62"/>
      <c r="H72" s="65"/>
      <c r="I72" s="136" t="n">
        <v>32.008</v>
      </c>
      <c r="J72" s="65" t="s">
        <v>645</v>
      </c>
      <c r="K72" s="136" t="n">
        <v>32.01</v>
      </c>
      <c r="L72" s="65" t="s">
        <v>645</v>
      </c>
      <c r="M72" s="62" t="n">
        <v>32.01</v>
      </c>
      <c r="N72" s="87" t="n">
        <f aca="false">J72-E72</f>
        <v>0</v>
      </c>
      <c r="O72" s="160" t="s">
        <v>94</v>
      </c>
      <c r="P72" s="85" t="n">
        <f aca="false">IF(IF(ISBLANK(C72),1,(TRIM(C72)="")),"",ROUND(C72/4.184,3))</f>
        <v>7.651</v>
      </c>
      <c r="Q72" s="101" t="n">
        <f aca="false">IF(IF(ISBLANK(D72),1,(TRIM(D72)="")),"",ROUND(D72/4.184,3))</f>
        <v>7.651</v>
      </c>
      <c r="R72" s="85" t="n">
        <f aca="false">IF(IF(ISBLANK(E72),1,(TRIM(E72)="")),"",ROUND(E72/4.184,3))</f>
        <v>7.651</v>
      </c>
      <c r="S72" s="101" t="str">
        <f aca="false">IF(IF(ISBLANK(F72),1,(TRIM(F72)="")),"",ROUND(F72/4.184,3))</f>
        <v/>
      </c>
      <c r="T72" s="85" t="str">
        <f aca="false">IF(IF(ISBLANK(G72),1,(TRIM(G72)="")),"",ROUND(G72/4.184,3))</f>
        <v/>
      </c>
      <c r="U72" s="101" t="str">
        <f aca="false">IF(IF(ISBLANK(H72),1,(TRIM(H72)="")),"",ROUND(H72/4.184,3))</f>
        <v/>
      </c>
      <c r="V72" s="85" t="n">
        <f aca="false">IF(IF(ISBLANK(I72),1,(TRIM(I72)="")),"",ROUND(I72/4.184,3))</f>
        <v>7.65</v>
      </c>
      <c r="W72" s="101" t="n">
        <f aca="false">IF(IF(ISBLANK(J72),1,(TRIM(J72)="")),"",ROUND(J72/4.184,3))</f>
        <v>7.651</v>
      </c>
      <c r="X72" s="85" t="n">
        <f aca="false">IF(IF(ISBLANK(K72),1,(TRIM(K72)="")),"",ROUND(K72/4.184,3))</f>
        <v>7.651</v>
      </c>
      <c r="Y72" s="101" t="n">
        <f aca="false">IF(IF(ISBLANK(L72),1,(TRIM(L72)="")),"",ROUND(L72/4.184,3))</f>
        <v>7.651</v>
      </c>
      <c r="Z72" s="85" t="n">
        <f aca="false">IF(IF(ISBLANK(M72),1,(TRIM(M72)="")),"",ROUND(M72/4.184,3))</f>
        <v>7.651</v>
      </c>
    </row>
    <row r="73" customFormat="false" ht="12.75" hidden="false" customHeight="false" outlineLevel="0" collapsed="false">
      <c r="A73" s="73"/>
      <c r="B73" s="160" t="s">
        <v>95</v>
      </c>
      <c r="C73" s="62" t="n">
        <v>28.66</v>
      </c>
      <c r="D73" s="63" t="n">
        <v>28.66</v>
      </c>
      <c r="E73" s="62" t="n">
        <v>28.605</v>
      </c>
      <c r="F73" s="102"/>
      <c r="G73" s="62"/>
      <c r="H73" s="65"/>
      <c r="I73" s="136" t="n">
        <v>28.593</v>
      </c>
      <c r="J73" s="63" t="n">
        <v>28.605</v>
      </c>
      <c r="K73" s="136" t="n">
        <v>28.66</v>
      </c>
      <c r="L73" s="65" t="s">
        <v>646</v>
      </c>
      <c r="M73" s="62" t="n">
        <v>28.71</v>
      </c>
      <c r="N73" s="87" t="n">
        <f aca="false">J73-E73</f>
        <v>0</v>
      </c>
      <c r="O73" s="160" t="s">
        <v>95</v>
      </c>
      <c r="P73" s="85" t="n">
        <f aca="false">IF(IF(ISBLANK(C73),1,(TRIM(C73)="")),"",ROUND(C73/4.184,3))</f>
        <v>6.85</v>
      </c>
      <c r="Q73" s="101" t="n">
        <f aca="false">IF(IF(ISBLANK(D73),1,(TRIM(D73)="")),"",ROUND(D73/4.184,3))</f>
        <v>6.85</v>
      </c>
      <c r="R73" s="85" t="n">
        <f aca="false">IF(IF(ISBLANK(E73),1,(TRIM(E73)="")),"",ROUND(E73/4.184,3))</f>
        <v>6.837</v>
      </c>
      <c r="S73" s="101" t="str">
        <f aca="false">IF(IF(ISBLANK(F73),1,(TRIM(F73)="")),"",ROUND(F73/4.184,3))</f>
        <v/>
      </c>
      <c r="T73" s="85" t="str">
        <f aca="false">IF(IF(ISBLANK(G73),1,(TRIM(G73)="")),"",ROUND(G73/4.184,3))</f>
        <v/>
      </c>
      <c r="U73" s="101" t="str">
        <f aca="false">IF(IF(ISBLANK(H73),1,(TRIM(H73)="")),"",ROUND(H73/4.184,3))</f>
        <v/>
      </c>
      <c r="V73" s="85" t="n">
        <f aca="false">IF(IF(ISBLANK(I73),1,(TRIM(I73)="")),"",ROUND(I73/4.184,3))</f>
        <v>6.834</v>
      </c>
      <c r="W73" s="101" t="n">
        <f aca="false">IF(IF(ISBLANK(J73),1,(TRIM(J73)="")),"",ROUND(J73/4.184,3))</f>
        <v>6.837</v>
      </c>
      <c r="X73" s="85" t="n">
        <f aca="false">IF(IF(ISBLANK(K73),1,(TRIM(K73)="")),"",ROUND(K73/4.184,3))</f>
        <v>6.85</v>
      </c>
      <c r="Y73" s="101" t="n">
        <f aca="false">IF(IF(ISBLANK(L73),1,(TRIM(L73)="")),"",ROUND(L73/4.184,3))</f>
        <v>6.837</v>
      </c>
      <c r="Z73" s="85" t="n">
        <f aca="false">IF(IF(ISBLANK(M73),1,(TRIM(M73)="")),"",ROUND(M73/4.184,3))</f>
        <v>6.862</v>
      </c>
    </row>
    <row r="74" customFormat="false" ht="12.75" hidden="false" customHeight="false" outlineLevel="0" collapsed="false">
      <c r="A74" s="73"/>
      <c r="B74" s="160" t="s">
        <v>97</v>
      </c>
      <c r="C74" s="62" t="n">
        <v>191.61</v>
      </c>
      <c r="D74" s="65" t="n">
        <v>191.61</v>
      </c>
      <c r="E74" s="64" t="n">
        <v>191.609</v>
      </c>
      <c r="F74" s="102" t="n">
        <v>191.609</v>
      </c>
      <c r="G74" s="64" t="s">
        <v>647</v>
      </c>
      <c r="H74" s="65" t="n">
        <v>191.609</v>
      </c>
      <c r="I74" s="136" t="n">
        <v>191.609</v>
      </c>
      <c r="J74" s="63" t="n">
        <v>191.609</v>
      </c>
      <c r="K74" s="136" t="n">
        <v>191.61</v>
      </c>
      <c r="L74" s="65" t="s">
        <v>648</v>
      </c>
      <c r="M74" s="62" t="n">
        <v>191.609</v>
      </c>
      <c r="N74" s="87" t="n">
        <f aca="false">J74-E74</f>
        <v>0</v>
      </c>
      <c r="O74" s="160" t="s">
        <v>97</v>
      </c>
      <c r="P74" s="85" t="n">
        <f aca="false">IF(IF(ISBLANK(C74),1,(TRIM(C74)="")),"",ROUND(C74/4.184,3))</f>
        <v>45.796</v>
      </c>
      <c r="Q74" s="101" t="n">
        <f aca="false">IF(IF(ISBLANK(D74),1,(TRIM(D74)="")),"",ROUND(D74/4.184,3))</f>
        <v>45.796</v>
      </c>
      <c r="R74" s="85" t="n">
        <f aca="false">IF(IF(ISBLANK(E74),1,(TRIM(E74)="")),"",ROUND(E74/4.184,3))</f>
        <v>45.796</v>
      </c>
      <c r="S74" s="101" t="n">
        <f aca="false">IF(IF(ISBLANK(F74),1,(TRIM(F74)="")),"",ROUND(F74/4.184,3))</f>
        <v>45.796</v>
      </c>
      <c r="T74" s="85" t="n">
        <f aca="false">IF(IF(ISBLANK(G74),1,(TRIM(G74)="")),"",ROUND(G74/4.184,3))</f>
        <v>45.795</v>
      </c>
      <c r="U74" s="101" t="n">
        <f aca="false">IF(IF(ISBLANK(H74),1,(TRIM(H74)="")),"",ROUND(H74/4.184,3))</f>
        <v>45.796</v>
      </c>
      <c r="V74" s="85" t="n">
        <f aca="false">IF(IF(ISBLANK(I74),1,(TRIM(I74)="")),"",ROUND(I74/4.184,3))</f>
        <v>45.796</v>
      </c>
      <c r="W74" s="101" t="n">
        <f aca="false">IF(IF(ISBLANK(J74),1,(TRIM(J74)="")),"",ROUND(J74/4.184,3))</f>
        <v>45.796</v>
      </c>
      <c r="X74" s="85" t="n">
        <f aca="false">IF(IF(ISBLANK(K74),1,(TRIM(K74)="")),"",ROUND(K74/4.184,3))</f>
        <v>45.796</v>
      </c>
      <c r="Y74" s="101" t="n">
        <f aca="false">IF(IF(ISBLANK(L74),1,(TRIM(L74)="")),"",ROUND(L74/4.184,3))</f>
        <v>45.796</v>
      </c>
      <c r="Z74" s="85" t="n">
        <f aca="false">IF(IF(ISBLANK(M74),1,(TRIM(M74)="")),"",ROUND(M74/4.184,3))</f>
        <v>45.796</v>
      </c>
    </row>
    <row r="75" customFormat="false" ht="12.75" hidden="false" customHeight="false" outlineLevel="0" collapsed="false">
      <c r="A75" s="73"/>
      <c r="B75" s="161" t="s">
        <v>99</v>
      </c>
      <c r="C75" s="64" t="s">
        <v>548</v>
      </c>
      <c r="D75" s="63" t="n">
        <v>51.21</v>
      </c>
      <c r="E75" s="62" t="n">
        <v>51.455</v>
      </c>
      <c r="F75" s="103" t="s">
        <v>548</v>
      </c>
      <c r="G75" s="64"/>
      <c r="H75" s="65" t="s">
        <v>649</v>
      </c>
      <c r="I75" s="136" t="n">
        <v>51.455</v>
      </c>
      <c r="J75" s="63" t="n">
        <v>51.455</v>
      </c>
      <c r="K75" s="136" t="n">
        <v>51.46</v>
      </c>
      <c r="L75" s="65" t="s">
        <v>649</v>
      </c>
      <c r="M75" s="64" t="s">
        <v>548</v>
      </c>
      <c r="N75" s="87" t="n">
        <f aca="false">J75-E75</f>
        <v>0</v>
      </c>
      <c r="O75" s="161" t="s">
        <v>99</v>
      </c>
      <c r="P75" s="85" t="n">
        <f aca="false">IF(IF(ISBLANK(C75),1,(TRIM(C75)="")),"",ROUND(C75/4.184,3))</f>
        <v>12.261</v>
      </c>
      <c r="Q75" s="101" t="n">
        <f aca="false">IF(IF(ISBLANK(D75),1,(TRIM(D75)="")),"",ROUND(D75/4.184,3))</f>
        <v>12.239</v>
      </c>
      <c r="R75" s="85" t="n">
        <f aca="false">IF(IF(ISBLANK(E75),1,(TRIM(E75)="")),"",ROUND(E75/4.184,3))</f>
        <v>12.298</v>
      </c>
      <c r="S75" s="101" t="n">
        <f aca="false">IF(IF(ISBLANK(F75),1,(TRIM(F75)="")),"",ROUND(F75/4.184,3))</f>
        <v>12.261</v>
      </c>
      <c r="T75" s="85" t="str">
        <f aca="false">IF(IF(ISBLANK(G75),1,(TRIM(G75)="")),"",ROUND(G75/4.184,3))</f>
        <v/>
      </c>
      <c r="U75" s="101" t="n">
        <f aca="false">IF(IF(ISBLANK(H75),1,(TRIM(H75)="")),"",ROUND(H75/4.184,3))</f>
        <v>12.261</v>
      </c>
      <c r="V75" s="85" t="n">
        <f aca="false">IF(IF(ISBLANK(I75),1,(TRIM(I75)="")),"",ROUND(I75/4.184,3))</f>
        <v>12.298</v>
      </c>
      <c r="W75" s="101" t="n">
        <f aca="false">IF(IF(ISBLANK(J75),1,(TRIM(J75)="")),"",ROUND(J75/4.184,3))</f>
        <v>12.298</v>
      </c>
      <c r="X75" s="85" t="n">
        <f aca="false">IF(IF(ISBLANK(K75),1,(TRIM(K75)="")),"",ROUND(K75/4.184,3))</f>
        <v>12.299</v>
      </c>
      <c r="Y75" s="101" t="n">
        <f aca="false">IF(IF(ISBLANK(L75),1,(TRIM(L75)="")),"",ROUND(L75/4.184,3))</f>
        <v>12.261</v>
      </c>
      <c r="Z75" s="85" t="n">
        <f aca="false">IF(IF(ISBLANK(M75),1,(TRIM(M75)="")),"",ROUND(M75/4.184,3))</f>
        <v>12.261</v>
      </c>
    </row>
    <row r="76" customFormat="false" ht="12.75" hidden="false" customHeight="false" outlineLevel="0" collapsed="false">
      <c r="A76" s="73"/>
      <c r="B76" s="160" t="s">
        <v>100</v>
      </c>
      <c r="C76" s="64" t="s">
        <v>650</v>
      </c>
      <c r="D76" s="65" t="s">
        <v>650</v>
      </c>
      <c r="E76" s="62" t="n">
        <v>36.464</v>
      </c>
      <c r="F76" s="102"/>
      <c r="G76" s="62"/>
      <c r="H76" s="65"/>
      <c r="I76" s="136" t="n">
        <v>36.401</v>
      </c>
      <c r="J76" s="63" t="n">
        <v>36.464</v>
      </c>
      <c r="K76" s="136"/>
      <c r="L76" s="65" t="s">
        <v>651</v>
      </c>
      <c r="M76" s="62" t="n">
        <v>36.4</v>
      </c>
      <c r="N76" s="87" t="n">
        <f aca="false">J76-E76</f>
        <v>0</v>
      </c>
      <c r="O76" s="160" t="s">
        <v>100</v>
      </c>
      <c r="P76" s="85" t="n">
        <f aca="false">IF(IF(ISBLANK(C76),1,(TRIM(C76)="")),"",ROUND(C76/4.184,3))</f>
        <v>8.7</v>
      </c>
      <c r="Q76" s="101" t="n">
        <f aca="false">IF(IF(ISBLANK(D76),1,(TRIM(D76)="")),"",ROUND(D76/4.184,3))</f>
        <v>8.7</v>
      </c>
      <c r="R76" s="85" t="n">
        <f aca="false">IF(IF(ISBLANK(E76),1,(TRIM(E76)="")),"",ROUND(E76/4.184,3))</f>
        <v>8.715</v>
      </c>
      <c r="S76" s="101" t="str">
        <f aca="false">IF(IF(ISBLANK(F76),1,(TRIM(F76)="")),"",ROUND(F76/4.184,3))</f>
        <v/>
      </c>
      <c r="T76" s="85" t="str">
        <f aca="false">IF(IF(ISBLANK(G76),1,(TRIM(G76)="")),"",ROUND(G76/4.184,3))</f>
        <v/>
      </c>
      <c r="U76" s="101" t="str">
        <f aca="false">IF(IF(ISBLANK(H76),1,(TRIM(H76)="")),"",ROUND(H76/4.184,3))</f>
        <v/>
      </c>
      <c r="V76" s="85" t="n">
        <f aca="false">IF(IF(ISBLANK(I76),1,(TRIM(I76)="")),"",ROUND(I76/4.184,3))</f>
        <v>8.7</v>
      </c>
      <c r="W76" s="101" t="n">
        <f aca="false">IF(IF(ISBLANK(J76),1,(TRIM(J76)="")),"",ROUND(J76/4.184,3))</f>
        <v>8.715</v>
      </c>
      <c r="X76" s="85" t="str">
        <f aca="false">IF(IF(ISBLANK(K76),1,(TRIM(K76)="")),"",ROUND(K76/4.184,3))</f>
        <v/>
      </c>
      <c r="Y76" s="101" t="n">
        <f aca="false">IF(IF(ISBLANK(L76),1,(TRIM(L76)="")),"",ROUND(L76/4.184,3))</f>
        <v>8.715</v>
      </c>
      <c r="Z76" s="85" t="n">
        <f aca="false">IF(IF(ISBLANK(M76),1,(TRIM(M76)="")),"",ROUND(M76/4.184,3))</f>
        <v>8.7</v>
      </c>
    </row>
    <row r="77" customFormat="false" ht="12.75" hidden="false" customHeight="false" outlineLevel="0" collapsed="false">
      <c r="A77" s="73"/>
      <c r="B77" s="160" t="s">
        <v>101</v>
      </c>
      <c r="C77" s="62" t="n">
        <v>71.09</v>
      </c>
      <c r="D77" s="63" t="n">
        <v>71.5</v>
      </c>
      <c r="E77" s="62"/>
      <c r="F77" s="102"/>
      <c r="G77" s="62"/>
      <c r="H77" s="65"/>
      <c r="I77" s="136" t="n">
        <v>71.086</v>
      </c>
      <c r="J77" s="63"/>
      <c r="K77" s="136"/>
      <c r="L77" s="65"/>
      <c r="M77" s="64" t="s">
        <v>652</v>
      </c>
      <c r="N77" s="87" t="n">
        <f aca="false">J77-E77</f>
        <v>0</v>
      </c>
      <c r="O77" s="160" t="s">
        <v>101</v>
      </c>
      <c r="P77" s="85" t="n">
        <f aca="false">IF(IF(ISBLANK(C77),1,(TRIM(C77)="")),"",ROUND(C77/4.184,3))</f>
        <v>16.991</v>
      </c>
      <c r="Q77" s="101" t="n">
        <f aca="false">IF(IF(ISBLANK(D77),1,(TRIM(D77)="")),"",ROUND(D77/4.184,3))</f>
        <v>17.089</v>
      </c>
      <c r="R77" s="85" t="str">
        <f aca="false">IF(IF(ISBLANK(E77),1,(TRIM(E77)="")),"",ROUND(E77/4.184,3))</f>
        <v/>
      </c>
      <c r="S77" s="101" t="str">
        <f aca="false">IF(IF(ISBLANK(F77),1,(TRIM(F77)="")),"",ROUND(F77/4.184,3))</f>
        <v/>
      </c>
      <c r="T77" s="85" t="str">
        <f aca="false">IF(IF(ISBLANK(G77),1,(TRIM(G77)="")),"",ROUND(G77/4.184,3))</f>
        <v/>
      </c>
      <c r="U77" s="101" t="str">
        <f aca="false">IF(IF(ISBLANK(H77),1,(TRIM(H77)="")),"",ROUND(H77/4.184,3))</f>
        <v/>
      </c>
      <c r="V77" s="85" t="n">
        <f aca="false">IF(IF(ISBLANK(I77),1,(TRIM(I77)="")),"",ROUND(I77/4.184,3))</f>
        <v>16.99</v>
      </c>
      <c r="W77" s="101" t="str">
        <f aca="false">IF(IF(ISBLANK(J77),1,(TRIM(J77)="")),"",ROUND(J77/4.184,3))</f>
        <v/>
      </c>
      <c r="X77" s="85" t="str">
        <f aca="false">IF(IF(ISBLANK(K77),1,(TRIM(K77)="")),"",ROUND(K77/4.184,3))</f>
        <v/>
      </c>
      <c r="Y77" s="101" t="str">
        <f aca="false">IF(IF(ISBLANK(L77),1,(TRIM(L77)="")),"",ROUND(L77/4.184,3))</f>
        <v/>
      </c>
      <c r="Z77" s="85" t="n">
        <f aca="false">IF(IF(ISBLANK(M77),1,(TRIM(M77)="")),"",ROUND(M77/4.184,3))</f>
        <v>17.113</v>
      </c>
    </row>
    <row r="78" customFormat="false" ht="12.75" hidden="false" customHeight="false" outlineLevel="0" collapsed="false">
      <c r="A78" s="73"/>
      <c r="B78" s="160" t="s">
        <v>102</v>
      </c>
      <c r="C78" s="62" t="n">
        <v>146.32</v>
      </c>
      <c r="D78" s="63" t="n">
        <v>146.328</v>
      </c>
      <c r="E78" s="62" t="n">
        <v>146.327</v>
      </c>
      <c r="F78" s="102" t="n">
        <v>146.328</v>
      </c>
      <c r="G78" s="62" t="s">
        <v>653</v>
      </c>
      <c r="H78" s="65" t="n">
        <v>146.328</v>
      </c>
      <c r="I78" s="136" t="n">
        <v>146.324</v>
      </c>
      <c r="J78" s="63" t="n">
        <v>146.327</v>
      </c>
      <c r="K78" s="136"/>
      <c r="L78" s="65" t="s">
        <v>654</v>
      </c>
      <c r="M78" s="62" t="n">
        <v>146.328</v>
      </c>
      <c r="N78" s="87" t="n">
        <f aca="false">J78-E78</f>
        <v>0</v>
      </c>
      <c r="O78" s="160" t="s">
        <v>102</v>
      </c>
      <c r="P78" s="85" t="n">
        <f aca="false">IF(IF(ISBLANK(C78),1,(TRIM(C78)="")),"",ROUND(C78/4.184,3))</f>
        <v>34.971</v>
      </c>
      <c r="Q78" s="101" t="n">
        <f aca="false">IF(IF(ISBLANK(D78),1,(TRIM(D78)="")),"",ROUND(D78/4.184,3))</f>
        <v>34.973</v>
      </c>
      <c r="R78" s="85" t="n">
        <f aca="false">IF(IF(ISBLANK(E78),1,(TRIM(E78)="")),"",ROUND(E78/4.184,3))</f>
        <v>34.973</v>
      </c>
      <c r="S78" s="101" t="n">
        <f aca="false">IF(IF(ISBLANK(F78),1,(TRIM(F78)="")),"",ROUND(F78/4.184,3))</f>
        <v>34.973</v>
      </c>
      <c r="T78" s="85" t="n">
        <f aca="false">IF(IF(ISBLANK(G78),1,(TRIM(G78)="")),"",ROUND(G78/4.184,3))</f>
        <v>34.973</v>
      </c>
      <c r="U78" s="101" t="n">
        <f aca="false">IF(IF(ISBLANK(H78),1,(TRIM(H78)="")),"",ROUND(H78/4.184,3))</f>
        <v>34.973</v>
      </c>
      <c r="V78" s="85" t="n">
        <f aca="false">IF(IF(ISBLANK(I78),1,(TRIM(I78)="")),"",ROUND(I78/4.184,3))</f>
        <v>34.972</v>
      </c>
      <c r="W78" s="101" t="n">
        <f aca="false">IF(IF(ISBLANK(J78),1,(TRIM(J78)="")),"",ROUND(J78/4.184,3))</f>
        <v>34.973</v>
      </c>
      <c r="X78" s="85" t="str">
        <f aca="false">IF(IF(ISBLANK(K78),1,(TRIM(K78)="")),"",ROUND(K78/4.184,3))</f>
        <v/>
      </c>
      <c r="Y78" s="101" t="n">
        <f aca="false">IF(IF(ISBLANK(L78),1,(TRIM(L78)="")),"",ROUND(L78/4.184,3))</f>
        <v>34.974</v>
      </c>
      <c r="Z78" s="85" t="n">
        <f aca="false">IF(IF(ISBLANK(M78),1,(TRIM(M78)="")),"",ROUND(M78/4.184,3))</f>
        <v>34.973</v>
      </c>
    </row>
    <row r="79" customFormat="false" ht="12.75" hidden="false" customHeight="false" outlineLevel="0" collapsed="false">
      <c r="A79" s="73"/>
      <c r="B79" s="160" t="s">
        <v>103</v>
      </c>
      <c r="C79" s="62" t="n">
        <v>29.87</v>
      </c>
      <c r="D79" s="63" t="n">
        <v>29.87</v>
      </c>
      <c r="E79" s="64" t="s">
        <v>655</v>
      </c>
      <c r="F79" s="102"/>
      <c r="G79" s="62"/>
      <c r="H79" s="65" t="s">
        <v>655</v>
      </c>
      <c r="I79" s="136" t="n">
        <v>29.874</v>
      </c>
      <c r="J79" s="65" t="s">
        <v>655</v>
      </c>
      <c r="K79" s="136" t="n">
        <v>29.87</v>
      </c>
      <c r="L79" s="65" t="s">
        <v>655</v>
      </c>
      <c r="M79" s="62" t="n">
        <v>29.87</v>
      </c>
      <c r="N79" s="87" t="n">
        <f aca="false">J79-E79</f>
        <v>0</v>
      </c>
      <c r="O79" s="160" t="s">
        <v>103</v>
      </c>
      <c r="P79" s="85" t="n">
        <f aca="false">IF(IF(ISBLANK(C79),1,(TRIM(C79)="")),"",ROUND(C79/4.184,3))</f>
        <v>7.139</v>
      </c>
      <c r="Q79" s="101" t="n">
        <f aca="false">IF(IF(ISBLANK(D79),1,(TRIM(D79)="")),"",ROUND(D79/4.184,3))</f>
        <v>7.139</v>
      </c>
      <c r="R79" s="85" t="n">
        <f aca="false">IF(IF(ISBLANK(E79),1,(TRIM(E79)="")),"",ROUND(E79/4.184,3))</f>
        <v>7.139</v>
      </c>
      <c r="S79" s="101" t="str">
        <f aca="false">IF(IF(ISBLANK(F79),1,(TRIM(F79)="")),"",ROUND(F79/4.184,3))</f>
        <v/>
      </c>
      <c r="T79" s="85" t="str">
        <f aca="false">IF(IF(ISBLANK(G79),1,(TRIM(G79)="")),"",ROUND(G79/4.184,3))</f>
        <v/>
      </c>
      <c r="U79" s="101" t="n">
        <f aca="false">IF(IF(ISBLANK(H79),1,(TRIM(H79)="")),"",ROUND(H79/4.184,3))</f>
        <v>7.139</v>
      </c>
      <c r="V79" s="85" t="n">
        <f aca="false">IF(IF(ISBLANK(I79),1,(TRIM(I79)="")),"",ROUND(I79/4.184,3))</f>
        <v>7.14</v>
      </c>
      <c r="W79" s="101" t="n">
        <f aca="false">IF(IF(ISBLANK(J79),1,(TRIM(J79)="")),"",ROUND(J79/4.184,3))</f>
        <v>7.139</v>
      </c>
      <c r="X79" s="85" t="n">
        <f aca="false">IF(IF(ISBLANK(K79),1,(TRIM(K79)="")),"",ROUND(K79/4.184,3))</f>
        <v>7.139</v>
      </c>
      <c r="Y79" s="101" t="n">
        <f aca="false">IF(IF(ISBLANK(L79),1,(TRIM(L79)="")),"",ROUND(L79/4.184,3))</f>
        <v>7.139</v>
      </c>
      <c r="Z79" s="85" t="n">
        <f aca="false">IF(IF(ISBLANK(M79),1,(TRIM(M79)="")),"",ROUND(M79/4.184,3))</f>
        <v>7.139</v>
      </c>
    </row>
    <row r="80" customFormat="false" ht="12.75" hidden="false" customHeight="false" outlineLevel="0" collapsed="false">
      <c r="A80" s="73"/>
      <c r="B80" s="160" t="s">
        <v>104</v>
      </c>
      <c r="C80" s="62"/>
      <c r="D80" s="65"/>
      <c r="E80" s="64"/>
      <c r="F80" s="102"/>
      <c r="G80" s="62"/>
      <c r="H80" s="65"/>
      <c r="I80" s="136"/>
      <c r="J80" s="63"/>
      <c r="K80" s="136"/>
      <c r="L80" s="63"/>
      <c r="M80" s="62"/>
      <c r="N80" s="87" t="n">
        <f aca="false">J80-E80</f>
        <v>0</v>
      </c>
      <c r="O80" s="160" t="s">
        <v>104</v>
      </c>
      <c r="P80" s="85" t="str">
        <f aca="false">IF(IF(ISBLANK(C80),1,(TRIM(C80)="")),"",ROUND(C80/4.184,3))</f>
        <v/>
      </c>
      <c r="Q80" s="101" t="str">
        <f aca="false">IF(IF(ISBLANK(D80),1,(TRIM(D80)="")),"",ROUND(D80/4.184,3))</f>
        <v/>
      </c>
      <c r="R80" s="85" t="str">
        <f aca="false">IF(IF(ISBLANK(E80),1,(TRIM(E80)="")),"",ROUND(E80/4.184,3))</f>
        <v/>
      </c>
      <c r="S80" s="101" t="str">
        <f aca="false">IF(IF(ISBLANK(F80),1,(TRIM(F80)="")),"",ROUND(F80/4.184,3))</f>
        <v/>
      </c>
      <c r="T80" s="85" t="str">
        <f aca="false">IF(IF(ISBLANK(G80),1,(TRIM(G80)="")),"",ROUND(G80/4.184,3))</f>
        <v/>
      </c>
      <c r="U80" s="101" t="str">
        <f aca="false">IF(IF(ISBLANK(H80),1,(TRIM(H80)="")),"",ROUND(H80/4.184,3))</f>
        <v/>
      </c>
      <c r="V80" s="85" t="str">
        <f aca="false">IF(IF(ISBLANK(I80),1,(TRIM(I80)="")),"",ROUND(I80/4.184,3))</f>
        <v/>
      </c>
      <c r="W80" s="101" t="str">
        <f aca="false">IF(IF(ISBLANK(J80),1,(TRIM(J80)="")),"",ROUND(J80/4.184,3))</f>
        <v/>
      </c>
      <c r="X80" s="85" t="str">
        <f aca="false">IF(IF(ISBLANK(K80),1,(TRIM(K80)="")),"",ROUND(K80/4.184,3))</f>
        <v/>
      </c>
      <c r="Y80" s="101" t="str">
        <f aca="false">IF(IF(ISBLANK(L80),1,(TRIM(L80)="")),"",ROUND(L80/4.184,3))</f>
        <v/>
      </c>
      <c r="Z80" s="85" t="str">
        <f aca="false">IF(IF(ISBLANK(M80),1,(TRIM(M80)="")),"",ROUND(M80/4.184,3))</f>
        <v/>
      </c>
    </row>
    <row r="81" customFormat="false" ht="12.75" hidden="false" customHeight="false" outlineLevel="0" collapsed="false">
      <c r="A81" s="73"/>
      <c r="B81" s="160" t="s">
        <v>105</v>
      </c>
      <c r="C81" s="62"/>
      <c r="D81" s="65"/>
      <c r="E81" s="64"/>
      <c r="F81" s="102"/>
      <c r="G81" s="62"/>
      <c r="H81" s="65" t="s">
        <v>656</v>
      </c>
      <c r="I81" s="136" t="n">
        <v>50.459</v>
      </c>
      <c r="J81" s="63"/>
      <c r="K81" s="136"/>
      <c r="L81" s="63"/>
      <c r="M81" s="62"/>
      <c r="N81" s="87" t="n">
        <f aca="false">J81-E81</f>
        <v>0</v>
      </c>
      <c r="O81" s="160" t="s">
        <v>105</v>
      </c>
      <c r="P81" s="85" t="str">
        <f aca="false">IF(IF(ISBLANK(C81),1,(TRIM(C81)="")),"",ROUND(C81/4.184,3))</f>
        <v/>
      </c>
      <c r="Q81" s="101" t="str">
        <f aca="false">IF(IF(ISBLANK(D81),1,(TRIM(D81)="")),"",ROUND(D81/4.184,3))</f>
        <v/>
      </c>
      <c r="R81" s="85" t="str">
        <f aca="false">IF(IF(ISBLANK(E81),1,(TRIM(E81)="")),"",ROUND(E81/4.184,3))</f>
        <v/>
      </c>
      <c r="S81" s="101" t="str">
        <f aca="false">IF(IF(ISBLANK(F81),1,(TRIM(F81)="")),"",ROUND(F81/4.184,3))</f>
        <v/>
      </c>
      <c r="T81" s="85" t="str">
        <f aca="false">IF(IF(ISBLANK(G81),1,(TRIM(G81)="")),"",ROUND(G81/4.184,3))</f>
        <v/>
      </c>
      <c r="U81" s="101" t="n">
        <f aca="false">IF(IF(ISBLANK(H81),1,(TRIM(H81)="")),"",ROUND(H81/4.184,3))</f>
        <v>12.06</v>
      </c>
      <c r="V81" s="85" t="n">
        <f aca="false">IF(IF(ISBLANK(I81),1,(TRIM(I81)="")),"",ROUND(I81/4.184,3))</f>
        <v>12.06</v>
      </c>
      <c r="W81" s="101" t="str">
        <f aca="false">IF(IF(ISBLANK(J81),1,(TRIM(J81)="")),"",ROUND(J81/4.184,3))</f>
        <v/>
      </c>
      <c r="X81" s="85" t="str">
        <f aca="false">IF(IF(ISBLANK(K81),1,(TRIM(K81)="")),"",ROUND(K81/4.184,3))</f>
        <v/>
      </c>
      <c r="Y81" s="101" t="str">
        <f aca="false">IF(IF(ISBLANK(L81),1,(TRIM(L81)="")),"",ROUND(L81/4.184,3))</f>
        <v/>
      </c>
      <c r="Z81" s="85" t="str">
        <f aca="false">IF(IF(ISBLANK(M81),1,(TRIM(M81)="")),"",ROUND(M81/4.184,3))</f>
        <v/>
      </c>
    </row>
    <row r="82" customFormat="false" ht="12.75" hidden="false" customHeight="false" outlineLevel="0" collapsed="false">
      <c r="A82" s="73"/>
      <c r="B82" s="160" t="s">
        <v>107</v>
      </c>
      <c r="C82" s="62" t="n">
        <v>205.15</v>
      </c>
      <c r="D82" s="63" t="n">
        <v>205.138</v>
      </c>
      <c r="E82" s="62" t="n">
        <v>205.147</v>
      </c>
      <c r="F82" s="102" t="n">
        <v>205.152</v>
      </c>
      <c r="G82" s="64" t="s">
        <v>657</v>
      </c>
      <c r="H82" s="65" t="n">
        <v>205.152</v>
      </c>
      <c r="I82" s="136" t="n">
        <v>205.147</v>
      </c>
      <c r="J82" s="63" t="n">
        <v>205.147</v>
      </c>
      <c r="K82" s="136" t="n">
        <v>205.15</v>
      </c>
      <c r="L82" s="65" t="s">
        <v>658</v>
      </c>
      <c r="M82" s="62" t="n">
        <v>205.152</v>
      </c>
      <c r="N82" s="87" t="n">
        <f aca="false">J82-E82</f>
        <v>0</v>
      </c>
      <c r="O82" s="160" t="s">
        <v>107</v>
      </c>
      <c r="P82" s="85" t="n">
        <f aca="false">IF(IF(ISBLANK(C82),1,(TRIM(C82)="")),"",ROUND(C82/4.184,3))</f>
        <v>49.032</v>
      </c>
      <c r="Q82" s="101" t="n">
        <f aca="false">IF(IF(ISBLANK(D82),1,(TRIM(D82)="")),"",ROUND(D82/4.184,3))</f>
        <v>49.029</v>
      </c>
      <c r="R82" s="85" t="n">
        <f aca="false">IF(IF(ISBLANK(E82),1,(TRIM(E82)="")),"",ROUND(E82/4.184,3))</f>
        <v>49.031</v>
      </c>
      <c r="S82" s="101" t="n">
        <f aca="false">IF(IF(ISBLANK(F82),1,(TRIM(F82)="")),"",ROUND(F82/4.184,3))</f>
        <v>49.033</v>
      </c>
      <c r="T82" s="85" t="n">
        <f aca="false">IF(IF(ISBLANK(G82),1,(TRIM(G82)="")),"",ROUND(G82/4.184,3))</f>
        <v>49.032</v>
      </c>
      <c r="U82" s="101" t="n">
        <f aca="false">IF(IF(ISBLANK(H82),1,(TRIM(H82)="")),"",ROUND(H82/4.184,3))</f>
        <v>49.033</v>
      </c>
      <c r="V82" s="85" t="n">
        <f aca="false">IF(IF(ISBLANK(I82),1,(TRIM(I82)="")),"",ROUND(I82/4.184,3))</f>
        <v>49.031</v>
      </c>
      <c r="W82" s="101" t="n">
        <f aca="false">IF(IF(ISBLANK(J82),1,(TRIM(J82)="")),"",ROUND(J82/4.184,3))</f>
        <v>49.031</v>
      </c>
      <c r="X82" s="85" t="n">
        <f aca="false">IF(IF(ISBLANK(K82),1,(TRIM(K82)="")),"",ROUND(K82/4.184,3))</f>
        <v>49.032</v>
      </c>
      <c r="Y82" s="101" t="n">
        <f aca="false">IF(IF(ISBLANK(L82),1,(TRIM(L82)="")),"",ROUND(L82/4.184,3))</f>
        <v>49.032</v>
      </c>
      <c r="Z82" s="85" t="n">
        <f aca="false">IF(IF(ISBLANK(M82),1,(TRIM(M82)="")),"",ROUND(M82/4.184,3))</f>
        <v>49.033</v>
      </c>
    </row>
    <row r="83" customFormat="false" ht="12.75" hidden="false" customHeight="false" outlineLevel="0" collapsed="false">
      <c r="A83" s="73"/>
      <c r="B83" s="160" t="s">
        <v>109</v>
      </c>
      <c r="C83" s="62" t="n">
        <v>32.64</v>
      </c>
      <c r="D83" s="65" t="n">
        <v>32.6</v>
      </c>
      <c r="E83" s="64"/>
      <c r="F83" s="102"/>
      <c r="G83" s="62"/>
      <c r="H83" s="65"/>
      <c r="I83" s="136" t="n">
        <v>32.635</v>
      </c>
      <c r="J83" s="63"/>
      <c r="K83" s="136"/>
      <c r="L83" s="63"/>
      <c r="M83" s="62" t="n">
        <v>32.6</v>
      </c>
      <c r="N83" s="87" t="n">
        <f aca="false">J83-E83</f>
        <v>0</v>
      </c>
      <c r="O83" s="160" t="s">
        <v>109</v>
      </c>
      <c r="P83" s="85" t="n">
        <f aca="false">IF(IF(ISBLANK(C83),1,(TRIM(C83)="")),"",ROUND(C83/4.184,3))</f>
        <v>7.801</v>
      </c>
      <c r="Q83" s="101" t="n">
        <f aca="false">IF(IF(ISBLANK(D83),1,(TRIM(D83)="")),"",ROUND(D83/4.184,3))</f>
        <v>7.792</v>
      </c>
      <c r="R83" s="85" t="str">
        <f aca="false">IF(IF(ISBLANK(E83),1,(TRIM(E83)="")),"",ROUND(E83/4.184,3))</f>
        <v/>
      </c>
      <c r="S83" s="101" t="str">
        <f aca="false">IF(IF(ISBLANK(F83),1,(TRIM(F83)="")),"",ROUND(F83/4.184,3))</f>
        <v/>
      </c>
      <c r="T83" s="85" t="str">
        <f aca="false">IF(IF(ISBLANK(G83),1,(TRIM(G83)="")),"",ROUND(G83/4.184,3))</f>
        <v/>
      </c>
      <c r="U83" s="101" t="str">
        <f aca="false">IF(IF(ISBLANK(H83),1,(TRIM(H83)="")),"",ROUND(H83/4.184,3))</f>
        <v/>
      </c>
      <c r="V83" s="85" t="n">
        <f aca="false">IF(IF(ISBLANK(I83),1,(TRIM(I83)="")),"",ROUND(I83/4.184,3))</f>
        <v>7.8</v>
      </c>
      <c r="W83" s="101" t="str">
        <f aca="false">IF(IF(ISBLANK(J83),1,(TRIM(J83)="")),"",ROUND(J83/4.184,3))</f>
        <v/>
      </c>
      <c r="X83" s="85" t="str">
        <f aca="false">IF(IF(ISBLANK(K83),1,(TRIM(K83)="")),"",ROUND(K83/4.184,3))</f>
        <v/>
      </c>
      <c r="Y83" s="101" t="str">
        <f aca="false">IF(IF(ISBLANK(L83),1,(TRIM(L83)="")),"",ROUND(L83/4.184,3))</f>
        <v/>
      </c>
      <c r="Z83" s="85" t="n">
        <f aca="false">IF(IF(ISBLANK(M83),1,(TRIM(M83)="")),"",ROUND(M83/4.184,3))</f>
        <v>7.792</v>
      </c>
    </row>
    <row r="84" customFormat="false" ht="12.75" hidden="false" customHeight="false" outlineLevel="0" collapsed="false">
      <c r="A84" s="73"/>
      <c r="B84" s="160" t="s">
        <v>110</v>
      </c>
      <c r="C84" s="64" t="s">
        <v>659</v>
      </c>
      <c r="D84" s="63" t="n">
        <v>41.09</v>
      </c>
      <c r="E84" s="62" t="n">
        <v>41.077</v>
      </c>
      <c r="F84" s="102" t="n">
        <v>41.09</v>
      </c>
      <c r="G84" s="64" t="s">
        <v>660</v>
      </c>
      <c r="H84" s="65" t="s">
        <v>660</v>
      </c>
      <c r="I84" s="141" t="s">
        <v>661</v>
      </c>
      <c r="J84" s="63" t="n">
        <v>41.077</v>
      </c>
      <c r="K84" s="136" t="n">
        <v>41.09</v>
      </c>
      <c r="L84" s="65" t="s">
        <v>660</v>
      </c>
      <c r="M84" s="62" t="n">
        <v>41.09</v>
      </c>
      <c r="N84" s="87" t="n">
        <f aca="false">J84-E84</f>
        <v>0</v>
      </c>
      <c r="O84" s="160" t="s">
        <v>110</v>
      </c>
      <c r="P84" s="85" t="n">
        <f aca="false">IF(IF(ISBLANK(C84),1,(TRIM(C84)="")),"",ROUND(C84/4.184,3))</f>
        <v>5.461</v>
      </c>
      <c r="Q84" s="101" t="n">
        <f aca="false">IF(IF(ISBLANK(D84),1,(TRIM(D84)="")),"",ROUND(D84/4.184,3))</f>
        <v>9.821</v>
      </c>
      <c r="R84" s="85" t="n">
        <f aca="false">IF(IF(ISBLANK(E84),1,(TRIM(E84)="")),"",ROUND(E84/4.184,3))</f>
        <v>9.818</v>
      </c>
      <c r="S84" s="101" t="n">
        <f aca="false">IF(IF(ISBLANK(F84),1,(TRIM(F84)="")),"",ROUND(F84/4.184,3))</f>
        <v>9.821</v>
      </c>
      <c r="T84" s="85" t="n">
        <f aca="false">IF(IF(ISBLANK(G84),1,(TRIM(G84)="")),"",ROUND(G84/4.184,3))</f>
        <v>9.821</v>
      </c>
      <c r="U84" s="101" t="n">
        <f aca="false">IF(IF(ISBLANK(H84),1,(TRIM(H84)="")),"",ROUND(H84/4.184,3))</f>
        <v>9.821</v>
      </c>
      <c r="V84" s="85" t="n">
        <f aca="false">IF(IF(ISBLANK(I84),1,(TRIM(I84)="")),"",ROUND(I84/4.184,3))</f>
        <v>9.816</v>
      </c>
      <c r="W84" s="101" t="n">
        <f aca="false">IF(IF(ISBLANK(J84),1,(TRIM(J84)="")),"",ROUND(J84/4.184,3))</f>
        <v>9.818</v>
      </c>
      <c r="X84" s="85" t="n">
        <f aca="false">IF(IF(ISBLANK(K84),1,(TRIM(K84)="")),"",ROUND(K84/4.184,3))</f>
        <v>9.821</v>
      </c>
      <c r="Y84" s="101" t="n">
        <f aca="false">IF(IF(ISBLANK(L84),1,(TRIM(L84)="")),"",ROUND(L84/4.184,3))</f>
        <v>9.821</v>
      </c>
      <c r="Z84" s="85" t="n">
        <f aca="false">IF(IF(ISBLANK(M84),1,(TRIM(M84)="")),"",ROUND(M84/4.184,3))</f>
        <v>9.821</v>
      </c>
    </row>
    <row r="85" customFormat="false" ht="12.75" hidden="false" customHeight="false" outlineLevel="0" collapsed="false">
      <c r="A85" s="73"/>
      <c r="B85" s="160" t="s">
        <v>111</v>
      </c>
      <c r="C85" s="62"/>
      <c r="D85" s="63" t="n">
        <v>51.9</v>
      </c>
      <c r="E85" s="62"/>
      <c r="F85" s="102"/>
      <c r="G85" s="62"/>
      <c r="H85" s="65"/>
      <c r="I85" s="136" t="n">
        <v>51.882</v>
      </c>
      <c r="J85" s="63"/>
      <c r="K85" s="136"/>
      <c r="L85" s="63"/>
      <c r="M85" s="62" t="n">
        <v>51.8</v>
      </c>
      <c r="N85" s="87" t="n">
        <f aca="false">J85-E85</f>
        <v>0</v>
      </c>
      <c r="O85" s="160" t="s">
        <v>111</v>
      </c>
      <c r="P85" s="85" t="str">
        <f aca="false">IF(IF(ISBLANK(C85),1,(TRIM(C85)="")),"",ROUND(C85/4.184,3))</f>
        <v/>
      </c>
      <c r="Q85" s="101" t="n">
        <f aca="false">IF(IF(ISBLANK(D85),1,(TRIM(D85)="")),"",ROUND(D85/4.184,3))</f>
        <v>12.404</v>
      </c>
      <c r="R85" s="85" t="str">
        <f aca="false">IF(IF(ISBLANK(E85),1,(TRIM(E85)="")),"",ROUND(E85/4.184,3))</f>
        <v/>
      </c>
      <c r="S85" s="101" t="str">
        <f aca="false">IF(IF(ISBLANK(F85),1,(TRIM(F85)="")),"",ROUND(F85/4.184,3))</f>
        <v/>
      </c>
      <c r="T85" s="85" t="str">
        <f aca="false">IF(IF(ISBLANK(G85),1,(TRIM(G85)="")),"",ROUND(G85/4.184,3))</f>
        <v/>
      </c>
      <c r="U85" s="101" t="str">
        <f aca="false">IF(IF(ISBLANK(H85),1,(TRIM(H85)="")),"",ROUND(H85/4.184,3))</f>
        <v/>
      </c>
      <c r="V85" s="85" t="n">
        <f aca="false">IF(IF(ISBLANK(I85),1,(TRIM(I85)="")),"",ROUND(I85/4.184,3))</f>
        <v>12.4</v>
      </c>
      <c r="W85" s="101" t="str">
        <f aca="false">IF(IF(ISBLANK(J85),1,(TRIM(J85)="")),"",ROUND(J85/4.184,3))</f>
        <v/>
      </c>
      <c r="X85" s="85" t="str">
        <f aca="false">IF(IF(ISBLANK(K85),1,(TRIM(K85)="")),"",ROUND(K85/4.184,3))</f>
        <v/>
      </c>
      <c r="Y85" s="101" t="str">
        <f aca="false">IF(IF(ISBLANK(L85),1,(TRIM(L85)="")),"",ROUND(L85/4.184,3))</f>
        <v/>
      </c>
      <c r="Z85" s="85" t="n">
        <f aca="false">IF(IF(ISBLANK(M85),1,(TRIM(M85)="")),"",ROUND(M85/4.184,3))</f>
        <v>12.38</v>
      </c>
    </row>
    <row r="86" customFormat="false" ht="12.75" hidden="false" customHeight="false" outlineLevel="0" collapsed="false">
      <c r="A86" s="73"/>
      <c r="B86" s="160" t="s">
        <v>112</v>
      </c>
      <c r="C86" s="62" t="n">
        <v>65.06</v>
      </c>
      <c r="D86" s="63" t="n">
        <v>64.81</v>
      </c>
      <c r="E86" s="62" t="n">
        <v>64.785</v>
      </c>
      <c r="F86" s="103" t="s">
        <v>551</v>
      </c>
      <c r="G86" s="64" t="s">
        <v>662</v>
      </c>
      <c r="H86" s="65" t="s">
        <v>662</v>
      </c>
      <c r="I86" s="136" t="n">
        <v>64.785</v>
      </c>
      <c r="J86" s="63" t="n">
        <v>64.785</v>
      </c>
      <c r="K86" s="136" t="n">
        <v>64.8</v>
      </c>
      <c r="L86" s="65" t="s">
        <v>662</v>
      </c>
      <c r="M86" s="64" t="s">
        <v>551</v>
      </c>
      <c r="N86" s="87" t="n">
        <f aca="false">J86-E86</f>
        <v>0</v>
      </c>
      <c r="O86" s="160" t="s">
        <v>112</v>
      </c>
      <c r="P86" s="85" t="n">
        <f aca="false">IF(IF(ISBLANK(C86),1,(TRIM(C86)="")),"",ROUND(C86/4.184,3))</f>
        <v>15.55</v>
      </c>
      <c r="Q86" s="101" t="n">
        <f aca="false">IF(IF(ISBLANK(D86),1,(TRIM(D86)="")),"",ROUND(D86/4.184,3))</f>
        <v>15.49</v>
      </c>
      <c r="R86" s="85" t="n">
        <f aca="false">IF(IF(ISBLANK(E86),1,(TRIM(E86)="")),"",ROUND(E86/4.184,3))</f>
        <v>15.484</v>
      </c>
      <c r="S86" s="101" t="n">
        <f aca="false">IF(IF(ISBLANK(F86),1,(TRIM(F86)="")),"",ROUND(F86/4.184,3))</f>
        <v>15.488</v>
      </c>
      <c r="T86" s="85" t="n">
        <f aca="false">IF(IF(ISBLANK(G86),1,(TRIM(G86)="")),"",ROUND(G86/4.184,3))</f>
        <v>15.488</v>
      </c>
      <c r="U86" s="101" t="n">
        <f aca="false">IF(IF(ISBLANK(H86),1,(TRIM(H86)="")),"",ROUND(H86/4.184,3))</f>
        <v>15.488</v>
      </c>
      <c r="V86" s="85" t="n">
        <f aca="false">IF(IF(ISBLANK(I86),1,(TRIM(I86)="")),"",ROUND(I86/4.184,3))</f>
        <v>15.484</v>
      </c>
      <c r="W86" s="101" t="n">
        <f aca="false">IF(IF(ISBLANK(J86),1,(TRIM(J86)="")),"",ROUND(J86/4.184,3))</f>
        <v>15.484</v>
      </c>
      <c r="X86" s="85" t="n">
        <f aca="false">IF(IF(ISBLANK(K86),1,(TRIM(K86)="")),"",ROUND(K86/4.184,3))</f>
        <v>15.488</v>
      </c>
      <c r="Y86" s="101" t="n">
        <f aca="false">IF(IF(ISBLANK(L86),1,(TRIM(L86)="")),"",ROUND(L86/4.184,3))</f>
        <v>15.488</v>
      </c>
      <c r="Z86" s="85" t="n">
        <f aca="false">IF(IF(ISBLANK(M86),1,(TRIM(M86)="")),"",ROUND(M86/4.184,3))</f>
        <v>15.488</v>
      </c>
    </row>
    <row r="87" customFormat="false" ht="12.75" hidden="false" customHeight="false" outlineLevel="0" collapsed="false">
      <c r="A87" s="73"/>
      <c r="B87" s="161" t="s">
        <v>113</v>
      </c>
      <c r="C87" s="62" t="n">
        <v>37.82</v>
      </c>
      <c r="D87" s="63" t="n">
        <v>37.57</v>
      </c>
      <c r="E87" s="62"/>
      <c r="F87" s="102"/>
      <c r="G87" s="62"/>
      <c r="H87" s="65"/>
      <c r="I87" s="136" t="n">
        <v>37.823</v>
      </c>
      <c r="J87" s="63"/>
      <c r="K87" s="136"/>
      <c r="L87" s="63"/>
      <c r="M87" s="62" t="n">
        <v>37.61</v>
      </c>
      <c r="N87" s="87" t="n">
        <f aca="false">J87-E87</f>
        <v>0</v>
      </c>
      <c r="O87" s="161" t="s">
        <v>113</v>
      </c>
      <c r="P87" s="85" t="n">
        <f aca="false">IF(IF(ISBLANK(C87),1,(TRIM(C87)="")),"",ROUND(C87/4.184,3))</f>
        <v>9.039</v>
      </c>
      <c r="Q87" s="101" t="n">
        <f aca="false">IF(IF(ISBLANK(D87),1,(TRIM(D87)="")),"",ROUND(D87/4.184,3))</f>
        <v>8.979</v>
      </c>
      <c r="R87" s="85" t="str">
        <f aca="false">IF(IF(ISBLANK(E87),1,(TRIM(E87)="")),"",ROUND(E87/4.184,3))</f>
        <v/>
      </c>
      <c r="S87" s="101" t="str">
        <f aca="false">IF(IF(ISBLANK(F87),1,(TRIM(F87)="")),"",ROUND(F87/4.184,3))</f>
        <v/>
      </c>
      <c r="T87" s="85" t="str">
        <f aca="false">IF(IF(ISBLANK(G87),1,(TRIM(G87)="")),"",ROUND(G87/4.184,3))</f>
        <v/>
      </c>
      <c r="U87" s="101" t="str">
        <f aca="false">IF(IF(ISBLANK(H87),1,(TRIM(H87)="")),"",ROUND(H87/4.184,3))</f>
        <v/>
      </c>
      <c r="V87" s="85" t="n">
        <f aca="false">IF(IF(ISBLANK(I87),1,(TRIM(I87)="")),"",ROUND(I87/4.184,3))</f>
        <v>9.04</v>
      </c>
      <c r="W87" s="101" t="str">
        <f aca="false">IF(IF(ISBLANK(J87),1,(TRIM(J87)="")),"",ROUND(J87/4.184,3))</f>
        <v/>
      </c>
      <c r="X87" s="85" t="str">
        <f aca="false">IF(IF(ISBLANK(K87),1,(TRIM(K87)="")),"",ROUND(K87/4.184,3))</f>
        <v/>
      </c>
      <c r="Y87" s="101" t="str">
        <f aca="false">IF(IF(ISBLANK(L87),1,(TRIM(L87)="")),"",ROUND(L87/4.184,3))</f>
        <v/>
      </c>
      <c r="Z87" s="85" t="n">
        <f aca="false">IF(IF(ISBLANK(M87),1,(TRIM(M87)="")),"",ROUND(M87/4.184,3))</f>
        <v>8.989</v>
      </c>
    </row>
    <row r="88" customFormat="false" ht="12.75" hidden="false" customHeight="false" outlineLevel="0" collapsed="false">
      <c r="A88" s="73"/>
      <c r="B88" s="160" t="s">
        <v>114</v>
      </c>
      <c r="C88" s="62"/>
      <c r="D88" s="65"/>
      <c r="E88" s="64"/>
      <c r="F88" s="102"/>
      <c r="G88" s="62"/>
      <c r="H88" s="65"/>
      <c r="I88" s="136"/>
      <c r="J88" s="63"/>
      <c r="K88" s="136"/>
      <c r="L88" s="63"/>
      <c r="M88" s="62"/>
      <c r="N88" s="87" t="n">
        <f aca="false">J88-E88</f>
        <v>0</v>
      </c>
      <c r="O88" s="160" t="s">
        <v>114</v>
      </c>
      <c r="P88" s="85" t="str">
        <f aca="false">IF(IF(ISBLANK(C88),1,(TRIM(C88)="")),"",ROUND(C88/4.184,3))</f>
        <v/>
      </c>
      <c r="Q88" s="101" t="str">
        <f aca="false">IF(IF(ISBLANK(D88),1,(TRIM(D88)="")),"",ROUND(D88/4.184,3))</f>
        <v/>
      </c>
      <c r="R88" s="85" t="str">
        <f aca="false">IF(IF(ISBLANK(E88),1,(TRIM(E88)="")),"",ROUND(E88/4.184,3))</f>
        <v/>
      </c>
      <c r="S88" s="101" t="str">
        <f aca="false">IF(IF(ISBLANK(F88),1,(TRIM(F88)="")),"",ROUND(F88/4.184,3))</f>
        <v/>
      </c>
      <c r="T88" s="85" t="str">
        <f aca="false">IF(IF(ISBLANK(G88),1,(TRIM(G88)="")),"",ROUND(G88/4.184,3))</f>
        <v/>
      </c>
      <c r="U88" s="101" t="str">
        <f aca="false">IF(IF(ISBLANK(H88),1,(TRIM(H88)="")),"",ROUND(H88/4.184,3))</f>
        <v/>
      </c>
      <c r="V88" s="85" t="str">
        <f aca="false">IF(IF(ISBLANK(I88),1,(TRIM(I88)="")),"",ROUND(I88/4.184,3))</f>
        <v/>
      </c>
      <c r="W88" s="101" t="str">
        <f aca="false">IF(IF(ISBLANK(J88),1,(TRIM(J88)="")),"",ROUND(J88/4.184,3))</f>
        <v/>
      </c>
      <c r="X88" s="85" t="str">
        <f aca="false">IF(IF(ISBLANK(K88),1,(TRIM(K88)="")),"",ROUND(K88/4.184,3))</f>
        <v/>
      </c>
      <c r="Y88" s="101" t="str">
        <f aca="false">IF(IF(ISBLANK(L88),1,(TRIM(L88)="")),"",ROUND(L88/4.184,3))</f>
        <v/>
      </c>
      <c r="Z88" s="85" t="str">
        <f aca="false">IF(IF(ISBLANK(M88),1,(TRIM(M88)="")),"",ROUND(M88/4.184,3))</f>
        <v/>
      </c>
    </row>
    <row r="89" customFormat="false" ht="12.75" hidden="false" customHeight="false" outlineLevel="0" collapsed="false">
      <c r="A89" s="73"/>
      <c r="B89" s="161" t="s">
        <v>115</v>
      </c>
      <c r="C89" s="62"/>
      <c r="D89" s="65"/>
      <c r="E89" s="64"/>
      <c r="F89" s="102"/>
      <c r="G89" s="62"/>
      <c r="H89" s="65"/>
      <c r="I89" s="136"/>
      <c r="J89" s="63"/>
      <c r="K89" s="136"/>
      <c r="L89" s="63"/>
      <c r="M89" s="62" t="n">
        <v>62.8</v>
      </c>
      <c r="N89" s="87" t="n">
        <f aca="false">J89-E89</f>
        <v>0</v>
      </c>
      <c r="O89" s="161" t="s">
        <v>115</v>
      </c>
      <c r="P89" s="85" t="str">
        <f aca="false">IF(IF(ISBLANK(C89),1,(TRIM(C89)="")),"",ROUND(C89/4.184,3))</f>
        <v/>
      </c>
      <c r="Q89" s="101" t="str">
        <f aca="false">IF(IF(ISBLANK(D89),1,(TRIM(D89)="")),"",ROUND(D89/4.184,3))</f>
        <v/>
      </c>
      <c r="R89" s="85" t="str">
        <f aca="false">IF(IF(ISBLANK(E89),1,(TRIM(E89)="")),"",ROUND(E89/4.184,3))</f>
        <v/>
      </c>
      <c r="S89" s="101" t="str">
        <f aca="false">IF(IF(ISBLANK(F89),1,(TRIM(F89)="")),"",ROUND(F89/4.184,3))</f>
        <v/>
      </c>
      <c r="T89" s="85" t="str">
        <f aca="false">IF(IF(ISBLANK(G89),1,(TRIM(G89)="")),"",ROUND(G89/4.184,3))</f>
        <v/>
      </c>
      <c r="U89" s="101" t="str">
        <f aca="false">IF(IF(ISBLANK(H89),1,(TRIM(H89)="")),"",ROUND(H89/4.184,3))</f>
        <v/>
      </c>
      <c r="V89" s="85" t="str">
        <f aca="false">IF(IF(ISBLANK(I89),1,(TRIM(I89)="")),"",ROUND(I89/4.184,3))</f>
        <v/>
      </c>
      <c r="W89" s="101" t="str">
        <f aca="false">IF(IF(ISBLANK(J89),1,(TRIM(J89)="")),"",ROUND(J89/4.184,3))</f>
        <v/>
      </c>
      <c r="X89" s="85" t="str">
        <f aca="false">IF(IF(ISBLANK(K89),1,(TRIM(K89)="")),"",ROUND(K89/4.184,3))</f>
        <v/>
      </c>
      <c r="Y89" s="101" t="str">
        <f aca="false">IF(IF(ISBLANK(L89),1,(TRIM(L89)="")),"",ROUND(L89/4.184,3))</f>
        <v/>
      </c>
      <c r="Z89" s="85" t="n">
        <f aca="false">IF(IF(ISBLANK(M89),1,(TRIM(M89)="")),"",ROUND(M89/4.184,3))</f>
        <v>15.01</v>
      </c>
    </row>
    <row r="90" customFormat="false" ht="12.75" hidden="false" customHeight="false" outlineLevel="0" collapsed="false">
      <c r="A90" s="73"/>
      <c r="B90" s="160" t="s">
        <v>116</v>
      </c>
      <c r="C90" s="62" t="n">
        <v>73.93</v>
      </c>
      <c r="D90" s="63" t="n">
        <v>73.2</v>
      </c>
      <c r="E90" s="62"/>
      <c r="F90" s="102"/>
      <c r="G90" s="62"/>
      <c r="H90" s="65"/>
      <c r="I90" s="136" t="n">
        <v>73.931</v>
      </c>
      <c r="J90" s="63"/>
      <c r="K90" s="136"/>
      <c r="L90" s="63"/>
      <c r="M90" s="62" t="n">
        <v>73.2</v>
      </c>
      <c r="N90" s="87" t="n">
        <f aca="false">J90-E90</f>
        <v>0</v>
      </c>
      <c r="O90" s="160" t="s">
        <v>116</v>
      </c>
      <c r="P90" s="85" t="n">
        <f aca="false">IF(IF(ISBLANK(C90),1,(TRIM(C90)="")),"",ROUND(C90/4.184,3))</f>
        <v>17.67</v>
      </c>
      <c r="Q90" s="101" t="n">
        <f aca="false">IF(IF(ISBLANK(D90),1,(TRIM(D90)="")),"",ROUND(D90/4.184,3))</f>
        <v>17.495</v>
      </c>
      <c r="R90" s="85" t="str">
        <f aca="false">IF(IF(ISBLANK(E90),1,(TRIM(E90)="")),"",ROUND(E90/4.184,3))</f>
        <v/>
      </c>
      <c r="S90" s="101" t="str">
        <f aca="false">IF(IF(ISBLANK(F90),1,(TRIM(F90)="")),"",ROUND(F90/4.184,3))</f>
        <v/>
      </c>
      <c r="T90" s="85" t="str">
        <f aca="false">IF(IF(ISBLANK(G90),1,(TRIM(G90)="")),"",ROUND(G90/4.184,3))</f>
        <v/>
      </c>
      <c r="U90" s="101" t="str">
        <f aca="false">IF(IF(ISBLANK(H90),1,(TRIM(H90)="")),"",ROUND(H90/4.184,3))</f>
        <v/>
      </c>
      <c r="V90" s="85" t="n">
        <f aca="false">IF(IF(ISBLANK(I90),1,(TRIM(I90)="")),"",ROUND(I90/4.184,3))</f>
        <v>17.67</v>
      </c>
      <c r="W90" s="101" t="str">
        <f aca="false">IF(IF(ISBLANK(J90),1,(TRIM(J90)="")),"",ROUND(J90/4.184,3))</f>
        <v/>
      </c>
      <c r="X90" s="85" t="str">
        <f aca="false">IF(IF(ISBLANK(K90),1,(TRIM(K90)="")),"",ROUND(K90/4.184,3))</f>
        <v/>
      </c>
      <c r="Y90" s="101" t="str">
        <f aca="false">IF(IF(ISBLANK(L90),1,(TRIM(L90)="")),"",ROUND(L90/4.184,3))</f>
        <v/>
      </c>
      <c r="Z90" s="85" t="n">
        <f aca="false">IF(IF(ISBLANK(M90),1,(TRIM(M90)="")),"",ROUND(M90/4.184,3))</f>
        <v>17.495</v>
      </c>
    </row>
    <row r="91" customFormat="false" ht="12.75" hidden="false" customHeight="false" outlineLevel="0" collapsed="false">
      <c r="A91" s="73"/>
      <c r="B91" s="160" t="s">
        <v>117</v>
      </c>
      <c r="C91" s="62" t="n">
        <v>41.63</v>
      </c>
      <c r="D91" s="63" t="n">
        <v>41.63</v>
      </c>
      <c r="E91" s="62"/>
      <c r="F91" s="102"/>
      <c r="G91" s="62"/>
      <c r="H91" s="65"/>
      <c r="I91" s="136" t="n">
        <v>41.631</v>
      </c>
      <c r="J91" s="63"/>
      <c r="K91" s="136" t="n">
        <v>41.63</v>
      </c>
      <c r="L91" s="63"/>
      <c r="M91" s="62" t="n">
        <v>41.63</v>
      </c>
      <c r="N91" s="87" t="n">
        <f aca="false">J91-E91</f>
        <v>0</v>
      </c>
      <c r="O91" s="160" t="s">
        <v>117</v>
      </c>
      <c r="P91" s="85" t="n">
        <f aca="false">IF(IF(ISBLANK(C91),1,(TRIM(C91)="")),"",ROUND(C91/4.184,3))</f>
        <v>9.95</v>
      </c>
      <c r="Q91" s="101" t="n">
        <f aca="false">IF(IF(ISBLANK(D91),1,(TRIM(D91)="")),"",ROUND(D91/4.184,3))</f>
        <v>9.95</v>
      </c>
      <c r="R91" s="85" t="str">
        <f aca="false">IF(IF(ISBLANK(E91),1,(TRIM(E91)="")),"",ROUND(E91/4.184,3))</f>
        <v/>
      </c>
      <c r="S91" s="101" t="str">
        <f aca="false">IF(IF(ISBLANK(F91),1,(TRIM(F91)="")),"",ROUND(F91/4.184,3))</f>
        <v/>
      </c>
      <c r="T91" s="85" t="str">
        <f aca="false">IF(IF(ISBLANK(G91),1,(TRIM(G91)="")),"",ROUND(G91/4.184,3))</f>
        <v/>
      </c>
      <c r="U91" s="101" t="str">
        <f aca="false">IF(IF(ISBLANK(H91),1,(TRIM(H91)="")),"",ROUND(H91/4.184,3))</f>
        <v/>
      </c>
      <c r="V91" s="85" t="n">
        <f aca="false">IF(IF(ISBLANK(I91),1,(TRIM(I91)="")),"",ROUND(I91/4.184,3))</f>
        <v>9.95</v>
      </c>
      <c r="W91" s="101" t="str">
        <f aca="false">IF(IF(ISBLANK(J91),1,(TRIM(J91)="")),"",ROUND(J91/4.184,3))</f>
        <v/>
      </c>
      <c r="X91" s="85" t="n">
        <f aca="false">IF(IF(ISBLANK(K91),1,(TRIM(K91)="")),"",ROUND(K91/4.184,3))</f>
        <v>9.95</v>
      </c>
      <c r="Y91" s="101" t="str">
        <f aca="false">IF(IF(ISBLANK(L91),1,(TRIM(L91)="")),"",ROUND(L91/4.184,3))</f>
        <v/>
      </c>
      <c r="Z91" s="85" t="n">
        <f aca="false">IF(IF(ISBLANK(M91),1,(TRIM(M91)="")),"",ROUND(M91/4.184,3))</f>
        <v>9.95</v>
      </c>
    </row>
    <row r="92" customFormat="false" ht="12.75" hidden="false" customHeight="false" outlineLevel="0" collapsed="false">
      <c r="A92" s="73"/>
      <c r="B92" s="160" t="s">
        <v>118</v>
      </c>
      <c r="C92" s="62" t="n">
        <v>51.46</v>
      </c>
      <c r="D92" s="65"/>
      <c r="E92" s="64"/>
      <c r="F92" s="102"/>
      <c r="G92" s="62"/>
      <c r="H92" s="65" t="s">
        <v>663</v>
      </c>
      <c r="I92" s="136" t="n">
        <v>51.463</v>
      </c>
      <c r="J92" s="63"/>
      <c r="K92" s="136"/>
      <c r="L92" s="63"/>
      <c r="M92" s="62" t="n">
        <v>51.5</v>
      </c>
      <c r="N92" s="87" t="n">
        <f aca="false">J92-E92</f>
        <v>0</v>
      </c>
      <c r="O92" s="160" t="s">
        <v>118</v>
      </c>
      <c r="P92" s="85" t="n">
        <f aca="false">IF(IF(ISBLANK(C92),1,(TRIM(C92)="")),"",ROUND(C92/4.184,3))</f>
        <v>12.299</v>
      </c>
      <c r="Q92" s="101" t="str">
        <f aca="false">IF(IF(ISBLANK(D92),1,(TRIM(D92)="")),"",ROUND(D92/4.184,3))</f>
        <v/>
      </c>
      <c r="R92" s="85" t="str">
        <f aca="false">IF(IF(ISBLANK(E92),1,(TRIM(E92)="")),"",ROUND(E92/4.184,3))</f>
        <v/>
      </c>
      <c r="S92" s="101" t="str">
        <f aca="false">IF(IF(ISBLANK(F92),1,(TRIM(F92)="")),"",ROUND(F92/4.184,3))</f>
        <v/>
      </c>
      <c r="T92" s="85" t="str">
        <f aca="false">IF(IF(ISBLANK(G92),1,(TRIM(G92)="")),"",ROUND(G92/4.184,3))</f>
        <v/>
      </c>
      <c r="U92" s="101" t="n">
        <f aca="false">IF(IF(ISBLANK(H92),1,(TRIM(H92)="")),"",ROUND(H92/4.184,3))</f>
        <v>13.016</v>
      </c>
      <c r="V92" s="85" t="n">
        <f aca="false">IF(IF(ISBLANK(I92),1,(TRIM(I92)="")),"",ROUND(I92/4.184,3))</f>
        <v>12.3</v>
      </c>
      <c r="W92" s="101" t="str">
        <f aca="false">IF(IF(ISBLANK(J92),1,(TRIM(J92)="")),"",ROUND(J92/4.184,3))</f>
        <v/>
      </c>
      <c r="X92" s="85" t="str">
        <f aca="false">IF(IF(ISBLANK(K92),1,(TRIM(K92)="")),"",ROUND(K92/4.184,3))</f>
        <v/>
      </c>
      <c r="Y92" s="101" t="str">
        <f aca="false">IF(IF(ISBLANK(L92),1,(TRIM(L92)="")),"",ROUND(L92/4.184,3))</f>
        <v/>
      </c>
      <c r="Z92" s="85" t="n">
        <f aca="false">IF(IF(ISBLANK(M92),1,(TRIM(M92)="")),"",ROUND(M92/4.184,3))</f>
        <v>12.309</v>
      </c>
    </row>
    <row r="93" customFormat="false" ht="12.75" hidden="false" customHeight="false" outlineLevel="0" collapsed="false">
      <c r="A93" s="73"/>
      <c r="B93" s="161" t="s">
        <v>119</v>
      </c>
      <c r="C93" s="62"/>
      <c r="D93" s="65" t="s">
        <v>664</v>
      </c>
      <c r="E93" s="62"/>
      <c r="F93" s="102"/>
      <c r="G93" s="62"/>
      <c r="H93" s="65"/>
      <c r="I93" s="136"/>
      <c r="J93" s="63"/>
      <c r="K93" s="136"/>
      <c r="L93" s="63"/>
      <c r="M93" s="62" t="n">
        <v>71</v>
      </c>
      <c r="N93" s="87" t="n">
        <f aca="false">J93-E93</f>
        <v>0</v>
      </c>
      <c r="O93" s="161" t="s">
        <v>119</v>
      </c>
      <c r="P93" s="85" t="str">
        <f aca="false">IF(IF(ISBLANK(C93),1,(TRIM(C93)="")),"",ROUND(C93/4.184,3))</f>
        <v/>
      </c>
      <c r="Q93" s="101" t="n">
        <f aca="false">IF(IF(ISBLANK(D93),1,(TRIM(D93)="")),"",ROUND(D93/4.184,3))</f>
        <v>16.969</v>
      </c>
      <c r="R93" s="85" t="str">
        <f aca="false">IF(IF(ISBLANK(E93),1,(TRIM(E93)="")),"",ROUND(E93/4.184,3))</f>
        <v/>
      </c>
      <c r="S93" s="101" t="str">
        <f aca="false">IF(IF(ISBLANK(F93),1,(TRIM(F93)="")),"",ROUND(F93/4.184,3))</f>
        <v/>
      </c>
      <c r="T93" s="85" t="str">
        <f aca="false">IF(IF(ISBLANK(G93),1,(TRIM(G93)="")),"",ROUND(G93/4.184,3))</f>
        <v/>
      </c>
      <c r="U93" s="101" t="str">
        <f aca="false">IF(IF(ISBLANK(H93),1,(TRIM(H93)="")),"",ROUND(H93/4.184,3))</f>
        <v/>
      </c>
      <c r="V93" s="85" t="str">
        <f aca="false">IF(IF(ISBLANK(I93),1,(TRIM(I93)="")),"",ROUND(I93/4.184,3))</f>
        <v/>
      </c>
      <c r="W93" s="101" t="str">
        <f aca="false">IF(IF(ISBLANK(J93),1,(TRIM(J93)="")),"",ROUND(J93/4.184,3))</f>
        <v/>
      </c>
      <c r="X93" s="85" t="str">
        <f aca="false">IF(IF(ISBLANK(K93),1,(TRIM(K93)="")),"",ROUND(K93/4.184,3))</f>
        <v/>
      </c>
      <c r="Y93" s="101" t="str">
        <f aca="false">IF(IF(ISBLANK(L93),1,(TRIM(L93)="")),"",ROUND(L93/4.184,3))</f>
        <v/>
      </c>
      <c r="Z93" s="85" t="n">
        <f aca="false">IF(IF(ISBLANK(M93),1,(TRIM(M93)="")),"",ROUND(M93/4.184,3))</f>
        <v>16.969</v>
      </c>
    </row>
    <row r="94" customFormat="false" ht="12.75" hidden="false" customHeight="false" outlineLevel="0" collapsed="false">
      <c r="A94" s="73"/>
      <c r="B94" s="161" t="s">
        <v>120</v>
      </c>
      <c r="C94" s="62" t="n">
        <v>76.78</v>
      </c>
      <c r="D94" s="63" t="n">
        <v>76.78</v>
      </c>
      <c r="E94" s="62" t="n">
        <v>76.778</v>
      </c>
      <c r="F94" s="102" t="n">
        <v>76.78</v>
      </c>
      <c r="G94" s="62"/>
      <c r="H94" s="65" t="s">
        <v>665</v>
      </c>
      <c r="I94" s="141" t="s">
        <v>665</v>
      </c>
      <c r="J94" s="63" t="n">
        <v>76.778</v>
      </c>
      <c r="K94" s="136"/>
      <c r="L94" s="65" t="s">
        <v>665</v>
      </c>
      <c r="M94" s="62" t="n">
        <v>76.78</v>
      </c>
      <c r="N94" s="87" t="n">
        <f aca="false">J94-E94</f>
        <v>0</v>
      </c>
      <c r="O94" s="161" t="s">
        <v>120</v>
      </c>
      <c r="P94" s="85" t="n">
        <f aca="false">IF(IF(ISBLANK(C94),1,(TRIM(C94)="")),"",ROUND(C94/4.184,3))</f>
        <v>18.351</v>
      </c>
      <c r="Q94" s="101" t="n">
        <f aca="false">IF(IF(ISBLANK(D94),1,(TRIM(D94)="")),"",ROUND(D94/4.184,3))</f>
        <v>18.351</v>
      </c>
      <c r="R94" s="85" t="n">
        <f aca="false">IF(IF(ISBLANK(E94),1,(TRIM(E94)="")),"",ROUND(E94/4.184,3))</f>
        <v>18.35</v>
      </c>
      <c r="S94" s="101" t="n">
        <f aca="false">IF(IF(ISBLANK(F94),1,(TRIM(F94)="")),"",ROUND(F94/4.184,3))</f>
        <v>18.351</v>
      </c>
      <c r="T94" s="85" t="str">
        <f aca="false">IF(IF(ISBLANK(G94),1,(TRIM(G94)="")),"",ROUND(G94/4.184,3))</f>
        <v/>
      </c>
      <c r="U94" s="101" t="n">
        <f aca="false">IF(IF(ISBLANK(H94),1,(TRIM(H94)="")),"",ROUND(H94/4.184,3))</f>
        <v>18.351</v>
      </c>
      <c r="V94" s="85" t="n">
        <f aca="false">IF(IF(ISBLANK(I94),1,(TRIM(I94)="")),"",ROUND(I94/4.184,3))</f>
        <v>18.351</v>
      </c>
      <c r="W94" s="101" t="n">
        <f aca="false">IF(IF(ISBLANK(J94),1,(TRIM(J94)="")),"",ROUND(J94/4.184,3))</f>
        <v>18.35</v>
      </c>
      <c r="X94" s="85" t="str">
        <f aca="false">IF(IF(ISBLANK(K94),1,(TRIM(K94)="")),"",ROUND(K94/4.184,3))</f>
        <v/>
      </c>
      <c r="Y94" s="101" t="n">
        <f aca="false">IF(IF(ISBLANK(L94),1,(TRIM(L94)="")),"",ROUND(L94/4.184,3))</f>
        <v>18.351</v>
      </c>
      <c r="Z94" s="85" t="n">
        <f aca="false">IF(IF(ISBLANK(M94),1,(TRIM(M94)="")),"",ROUND(M94/4.184,3))</f>
        <v>18.351</v>
      </c>
    </row>
    <row r="95" customFormat="false" ht="12.75" hidden="false" customHeight="false" outlineLevel="0" collapsed="false">
      <c r="A95" s="73"/>
      <c r="B95" s="160" t="s">
        <v>121</v>
      </c>
      <c r="C95" s="62" t="n">
        <v>36.53</v>
      </c>
      <c r="D95" s="63" t="n">
        <v>36.86</v>
      </c>
      <c r="E95" s="62"/>
      <c r="F95" s="102"/>
      <c r="G95" s="62"/>
      <c r="H95" s="65"/>
      <c r="I95" s="136" t="n">
        <v>36.526</v>
      </c>
      <c r="J95" s="63"/>
      <c r="K95" s="136"/>
      <c r="L95" s="63"/>
      <c r="M95" s="62" t="n">
        <v>36.9</v>
      </c>
      <c r="N95" s="87" t="n">
        <f aca="false">J95-E95</f>
        <v>0</v>
      </c>
      <c r="O95" s="160" t="s">
        <v>121</v>
      </c>
      <c r="P95" s="85" t="n">
        <f aca="false">IF(IF(ISBLANK(C95),1,(TRIM(C95)="")),"",ROUND(C95/4.184,3))</f>
        <v>8.731</v>
      </c>
      <c r="Q95" s="101" t="n">
        <f aca="false">IF(IF(ISBLANK(D95),1,(TRIM(D95)="")),"",ROUND(D95/4.184,3))</f>
        <v>8.81</v>
      </c>
      <c r="R95" s="85" t="str">
        <f aca="false">IF(IF(ISBLANK(E95),1,(TRIM(E95)="")),"",ROUND(E95/4.184,3))</f>
        <v/>
      </c>
      <c r="S95" s="101" t="str">
        <f aca="false">IF(IF(ISBLANK(F95),1,(TRIM(F95)="")),"",ROUND(F95/4.184,3))</f>
        <v/>
      </c>
      <c r="T95" s="85" t="str">
        <f aca="false">IF(IF(ISBLANK(G95),1,(TRIM(G95)="")),"",ROUND(G95/4.184,3))</f>
        <v/>
      </c>
      <c r="U95" s="101" t="str">
        <f aca="false">IF(IF(ISBLANK(H95),1,(TRIM(H95)="")),"",ROUND(H95/4.184,3))</f>
        <v/>
      </c>
      <c r="V95" s="85" t="n">
        <f aca="false">IF(IF(ISBLANK(I95),1,(TRIM(I95)="")),"",ROUND(I95/4.184,3))</f>
        <v>8.73</v>
      </c>
      <c r="W95" s="101" t="str">
        <f aca="false">IF(IF(ISBLANK(J95),1,(TRIM(J95)="")),"",ROUND(J95/4.184,3))</f>
        <v/>
      </c>
      <c r="X95" s="85" t="str">
        <f aca="false">IF(IF(ISBLANK(K95),1,(TRIM(K95)="")),"",ROUND(K95/4.184,3))</f>
        <v/>
      </c>
      <c r="Y95" s="101" t="str">
        <f aca="false">IF(IF(ISBLANK(L95),1,(TRIM(L95)="")),"",ROUND(L95/4.184,3))</f>
        <v/>
      </c>
      <c r="Z95" s="85" t="n">
        <f aca="false">IF(IF(ISBLANK(M95),1,(TRIM(M95)="")),"",ROUND(M95/4.184,3))</f>
        <v>8.819</v>
      </c>
    </row>
    <row r="96" customFormat="false" ht="12.75" hidden="false" customHeight="false" outlineLevel="0" collapsed="false">
      <c r="A96" s="73"/>
      <c r="B96" s="161" t="s">
        <v>122</v>
      </c>
      <c r="C96" s="62" t="n">
        <v>31.54</v>
      </c>
      <c r="D96" s="63" t="n">
        <v>31.51</v>
      </c>
      <c r="E96" s="62"/>
      <c r="F96" s="102"/>
      <c r="G96" s="62"/>
      <c r="H96" s="65"/>
      <c r="I96" s="136" t="n">
        <v>31.505</v>
      </c>
      <c r="J96" s="63"/>
      <c r="K96" s="136"/>
      <c r="L96" s="63"/>
      <c r="M96" s="62" t="n">
        <v>31.51</v>
      </c>
      <c r="N96" s="87" t="n">
        <f aca="false">J96-E96</f>
        <v>0</v>
      </c>
      <c r="O96" s="161" t="s">
        <v>122</v>
      </c>
      <c r="P96" s="85" t="n">
        <f aca="false">IF(IF(ISBLANK(C96),1,(TRIM(C96)="")),"",ROUND(C96/4.184,3))</f>
        <v>7.538</v>
      </c>
      <c r="Q96" s="101" t="n">
        <f aca="false">IF(IF(ISBLANK(D96),1,(TRIM(D96)="")),"",ROUND(D96/4.184,3))</f>
        <v>7.531</v>
      </c>
      <c r="R96" s="85" t="str">
        <f aca="false">IF(IF(ISBLANK(E96),1,(TRIM(E96)="")),"",ROUND(E96/4.184,3))</f>
        <v/>
      </c>
      <c r="S96" s="101" t="str">
        <f aca="false">IF(IF(ISBLANK(F96),1,(TRIM(F96)="")),"",ROUND(F96/4.184,3))</f>
        <v/>
      </c>
      <c r="T96" s="85" t="str">
        <f aca="false">IF(IF(ISBLANK(G96),1,(TRIM(G96)="")),"",ROUND(G96/4.184,3))</f>
        <v/>
      </c>
      <c r="U96" s="101" t="str">
        <f aca="false">IF(IF(ISBLANK(H96),1,(TRIM(H96)="")),"",ROUND(H96/4.184,3))</f>
        <v/>
      </c>
      <c r="V96" s="85" t="n">
        <f aca="false">IF(IF(ISBLANK(I96),1,(TRIM(I96)="")),"",ROUND(I96/4.184,3))</f>
        <v>7.53</v>
      </c>
      <c r="W96" s="101" t="str">
        <f aca="false">IF(IF(ISBLANK(J96),1,(TRIM(J96)="")),"",ROUND(J96/4.184,3))</f>
        <v/>
      </c>
      <c r="X96" s="85" t="str">
        <f aca="false">IF(IF(ISBLANK(K96),1,(TRIM(K96)="")),"",ROUND(K96/4.184,3))</f>
        <v/>
      </c>
      <c r="Y96" s="101" t="str">
        <f aca="false">IF(IF(ISBLANK(L96),1,(TRIM(L96)="")),"",ROUND(L96/4.184,3))</f>
        <v/>
      </c>
      <c r="Z96" s="85" t="n">
        <f aca="false">IF(IF(ISBLANK(M96),1,(TRIM(M96)="")),"",ROUND(M96/4.184,3))</f>
        <v>7.531</v>
      </c>
    </row>
    <row r="97" customFormat="false" ht="12.75" hidden="false" customHeight="false" outlineLevel="0" collapsed="false">
      <c r="A97" s="73"/>
      <c r="B97" s="160" t="s">
        <v>123</v>
      </c>
      <c r="C97" s="62" t="n">
        <v>176.23</v>
      </c>
      <c r="D97" s="63" t="n">
        <v>176.21</v>
      </c>
      <c r="E97" s="62" t="n">
        <v>176.235</v>
      </c>
      <c r="F97" s="102"/>
      <c r="G97" s="62" t="s">
        <v>666</v>
      </c>
      <c r="H97" s="65"/>
      <c r="I97" s="136" t="n">
        <v>176.231</v>
      </c>
      <c r="J97" s="63" t="n">
        <v>176.235</v>
      </c>
      <c r="K97" s="136"/>
      <c r="L97" s="63"/>
      <c r="M97" s="62" t="n">
        <v>176.235</v>
      </c>
      <c r="N97" s="87" t="n">
        <f aca="false">J97-E97</f>
        <v>0</v>
      </c>
      <c r="O97" s="160" t="s">
        <v>123</v>
      </c>
      <c r="P97" s="85" t="n">
        <f aca="false">IF(IF(ISBLANK(C97),1,(TRIM(C97)="")),"",ROUND(C97/4.184,3))</f>
        <v>42.12</v>
      </c>
      <c r="Q97" s="101" t="n">
        <f aca="false">IF(IF(ISBLANK(D97),1,(TRIM(D97)="")),"",ROUND(D97/4.184,3))</f>
        <v>42.115</v>
      </c>
      <c r="R97" s="85" t="n">
        <f aca="false">IF(IF(ISBLANK(E97),1,(TRIM(E97)="")),"",ROUND(E97/4.184,3))</f>
        <v>42.121</v>
      </c>
      <c r="S97" s="101" t="str">
        <f aca="false">IF(IF(ISBLANK(F97),1,(TRIM(F97)="")),"",ROUND(F97/4.184,3))</f>
        <v/>
      </c>
      <c r="T97" s="85" t="n">
        <f aca="false">IF(IF(ISBLANK(G97),1,(TRIM(G97)="")),"",ROUND(G97/4.184,3))</f>
        <v>42.121</v>
      </c>
      <c r="U97" s="101" t="str">
        <f aca="false">IF(IF(ISBLANK(H97),1,(TRIM(H97)="")),"",ROUND(H97/4.184,3))</f>
        <v/>
      </c>
      <c r="V97" s="85" t="n">
        <f aca="false">IF(IF(ISBLANK(I97),1,(TRIM(I97)="")),"",ROUND(I97/4.184,3))</f>
        <v>42.12</v>
      </c>
      <c r="W97" s="101" t="n">
        <f aca="false">IF(IF(ISBLANK(J97),1,(TRIM(J97)="")),"",ROUND(J97/4.184,3))</f>
        <v>42.121</v>
      </c>
      <c r="X97" s="85" t="str">
        <f aca="false">IF(IF(ISBLANK(K97),1,(TRIM(K97)="")),"",ROUND(K97/4.184,3))</f>
        <v/>
      </c>
      <c r="Y97" s="101" t="str">
        <f aca="false">IF(IF(ISBLANK(L97),1,(TRIM(L97)="")),"",ROUND(L97/4.184,3))</f>
        <v/>
      </c>
      <c r="Z97" s="85" t="n">
        <f aca="false">IF(IF(ISBLANK(M97),1,(TRIM(M97)="")),"",ROUND(M97/4.184,3))</f>
        <v>42.121</v>
      </c>
    </row>
    <row r="98" customFormat="false" ht="12.75" hidden="false" customHeight="false" outlineLevel="0" collapsed="false">
      <c r="A98" s="73"/>
      <c r="B98" s="161" t="s">
        <v>124</v>
      </c>
      <c r="C98" s="62" t="n">
        <v>28.53</v>
      </c>
      <c r="D98" s="63" t="n">
        <v>28.53</v>
      </c>
      <c r="E98" s="62"/>
      <c r="F98" s="102"/>
      <c r="G98" s="62"/>
      <c r="H98" s="65"/>
      <c r="I98" s="136" t="n">
        <v>28.535</v>
      </c>
      <c r="J98" s="63"/>
      <c r="K98" s="136"/>
      <c r="L98" s="63"/>
      <c r="M98" s="62" t="n">
        <v>28.53</v>
      </c>
      <c r="N98" s="87" t="n">
        <f aca="false">J98-E98</f>
        <v>0</v>
      </c>
      <c r="O98" s="161" t="s">
        <v>124</v>
      </c>
      <c r="P98" s="85" t="n">
        <f aca="false">IF(IF(ISBLANK(C98),1,(TRIM(C98)="")),"",ROUND(C98/4.184,3))</f>
        <v>6.819</v>
      </c>
      <c r="Q98" s="101" t="n">
        <f aca="false">IF(IF(ISBLANK(D98),1,(TRIM(D98)="")),"",ROUND(D98/4.184,3))</f>
        <v>6.819</v>
      </c>
      <c r="R98" s="85" t="str">
        <f aca="false">IF(IF(ISBLANK(E98),1,(TRIM(E98)="")),"",ROUND(E98/4.184,3))</f>
        <v/>
      </c>
      <c r="S98" s="101" t="str">
        <f aca="false">IF(IF(ISBLANK(F98),1,(TRIM(F98)="")),"",ROUND(F98/4.184,3))</f>
        <v/>
      </c>
      <c r="T98" s="85" t="str">
        <f aca="false">IF(IF(ISBLANK(G98),1,(TRIM(G98)="")),"",ROUND(G98/4.184,3))</f>
        <v/>
      </c>
      <c r="U98" s="101" t="str">
        <f aca="false">IF(IF(ISBLANK(H98),1,(TRIM(H98)="")),"",ROUND(H98/4.184,3))</f>
        <v/>
      </c>
      <c r="V98" s="85" t="n">
        <f aca="false">IF(IF(ISBLANK(I98),1,(TRIM(I98)="")),"",ROUND(I98/4.184,3))</f>
        <v>6.82</v>
      </c>
      <c r="W98" s="101" t="str">
        <f aca="false">IF(IF(ISBLANK(J98),1,(TRIM(J98)="")),"",ROUND(J98/4.184,3))</f>
        <v/>
      </c>
      <c r="X98" s="85" t="str">
        <f aca="false">IF(IF(ISBLANK(K98),1,(TRIM(K98)="")),"",ROUND(K98/4.184,3))</f>
        <v/>
      </c>
      <c r="Y98" s="101" t="str">
        <f aca="false">IF(IF(ISBLANK(L98),1,(TRIM(L98)="")),"",ROUND(L98/4.184,3))</f>
        <v/>
      </c>
      <c r="Z98" s="85" t="n">
        <f aca="false">IF(IF(ISBLANK(M98),1,(TRIM(M98)="")),"",ROUND(M98/4.184,3))</f>
        <v>6.819</v>
      </c>
    </row>
    <row r="99" customFormat="false" ht="12.75" hidden="false" customHeight="false" outlineLevel="0" collapsed="false">
      <c r="A99" s="73"/>
      <c r="B99" s="161" t="s">
        <v>125</v>
      </c>
      <c r="C99" s="64" t="s">
        <v>667</v>
      </c>
      <c r="D99" s="65" t="s">
        <v>667</v>
      </c>
      <c r="E99" s="62" t="n">
        <v>32.056</v>
      </c>
      <c r="F99" s="102" t="n">
        <v>32.054</v>
      </c>
      <c r="G99" s="62" t="s">
        <v>668</v>
      </c>
      <c r="H99" s="65" t="n">
        <v>32.054</v>
      </c>
      <c r="I99" s="136" t="n">
        <v>32.056</v>
      </c>
      <c r="J99" s="63" t="n">
        <v>32.056</v>
      </c>
      <c r="K99" s="136" t="n">
        <v>32.05</v>
      </c>
      <c r="L99" s="65" t="s">
        <v>668</v>
      </c>
      <c r="M99" s="62" t="n">
        <v>32.054</v>
      </c>
      <c r="N99" s="87" t="n">
        <f aca="false">J99-E99</f>
        <v>0</v>
      </c>
      <c r="O99" s="161" t="s">
        <v>125</v>
      </c>
      <c r="P99" s="85" t="n">
        <f aca="false">IF(IF(ISBLANK(C99),1,(TRIM(C99)="")),"",ROUND(C99/4.184,3))</f>
        <v>7.6</v>
      </c>
      <c r="Q99" s="101" t="n">
        <f aca="false">IF(IF(ISBLANK(D99),1,(TRIM(D99)="")),"",ROUND(D99/4.184,3))</f>
        <v>7.6</v>
      </c>
      <c r="R99" s="85" t="n">
        <f aca="false">IF(IF(ISBLANK(E99),1,(TRIM(E99)="")),"",ROUND(E99/4.184,3))</f>
        <v>7.662</v>
      </c>
      <c r="S99" s="101" t="n">
        <f aca="false">IF(IF(ISBLANK(F99),1,(TRIM(F99)="")),"",ROUND(F99/4.184,3))</f>
        <v>7.661</v>
      </c>
      <c r="T99" s="85" t="n">
        <f aca="false">IF(IF(ISBLANK(G99),1,(TRIM(G99)="")),"",ROUND(G99/4.184,3))</f>
        <v>7.665</v>
      </c>
      <c r="U99" s="101" t="n">
        <f aca="false">IF(IF(ISBLANK(H99),1,(TRIM(H99)="")),"",ROUND(H99/4.184,3))</f>
        <v>7.661</v>
      </c>
      <c r="V99" s="85" t="n">
        <f aca="false">IF(IF(ISBLANK(I99),1,(TRIM(I99)="")),"",ROUND(I99/4.184,3))</f>
        <v>7.662</v>
      </c>
      <c r="W99" s="101" t="n">
        <f aca="false">IF(IF(ISBLANK(J99),1,(TRIM(J99)="")),"",ROUND(J99/4.184,3))</f>
        <v>7.662</v>
      </c>
      <c r="X99" s="85" t="n">
        <f aca="false">IF(IF(ISBLANK(K99),1,(TRIM(K99)="")),"",ROUND(K99/4.184,3))</f>
        <v>7.66</v>
      </c>
      <c r="Y99" s="101" t="n">
        <f aca="false">IF(IF(ISBLANK(L99),1,(TRIM(L99)="")),"",ROUND(L99/4.184,3))</f>
        <v>7.665</v>
      </c>
      <c r="Z99" s="85" t="n">
        <f aca="false">IF(IF(ISBLANK(M99),1,(TRIM(M99)="")),"",ROUND(M99/4.184,3))</f>
        <v>7.661</v>
      </c>
    </row>
    <row r="100" customFormat="false" ht="12.75" hidden="false" customHeight="false" outlineLevel="0" collapsed="false">
      <c r="A100" s="73"/>
      <c r="B100" s="160" t="s">
        <v>126</v>
      </c>
      <c r="C100" s="62" t="n">
        <v>45.52</v>
      </c>
      <c r="D100" s="63" t="n">
        <v>45.69</v>
      </c>
      <c r="E100" s="62"/>
      <c r="F100" s="102"/>
      <c r="G100" s="62"/>
      <c r="H100" s="65" t="s">
        <v>669</v>
      </c>
      <c r="I100" s="136" t="n">
        <v>45.522</v>
      </c>
      <c r="J100" s="63"/>
      <c r="K100" s="136" t="n">
        <v>45.52</v>
      </c>
      <c r="L100" s="63"/>
      <c r="M100" s="62" t="n">
        <v>45.7</v>
      </c>
      <c r="N100" s="87" t="n">
        <f aca="false">J100-E100</f>
        <v>0</v>
      </c>
      <c r="O100" s="160" t="s">
        <v>126</v>
      </c>
      <c r="P100" s="85" t="n">
        <f aca="false">IF(IF(ISBLANK(C100),1,(TRIM(C100)="")),"",ROUND(C100/4.184,3))</f>
        <v>10.88</v>
      </c>
      <c r="Q100" s="101" t="n">
        <f aca="false">IF(IF(ISBLANK(D100),1,(TRIM(D100)="")),"",ROUND(D100/4.184,3))</f>
        <v>10.92</v>
      </c>
      <c r="R100" s="85" t="str">
        <f aca="false">IF(IF(ISBLANK(E100),1,(TRIM(E100)="")),"",ROUND(E100/4.184,3))</f>
        <v/>
      </c>
      <c r="S100" s="101" t="str">
        <f aca="false">IF(IF(ISBLANK(F100),1,(TRIM(F100)="")),"",ROUND(F100/4.184,3))</f>
        <v/>
      </c>
      <c r="T100" s="85" t="str">
        <f aca="false">IF(IF(ISBLANK(G100),1,(TRIM(G100)="")),"",ROUND(G100/4.184,3))</f>
        <v/>
      </c>
      <c r="U100" s="101" t="n">
        <f aca="false">IF(IF(ISBLANK(H100),1,(TRIM(H100)="")),"",ROUND(H100/4.184,3))</f>
        <v>10.88</v>
      </c>
      <c r="V100" s="85" t="n">
        <f aca="false">IF(IF(ISBLANK(I100),1,(TRIM(I100)="")),"",ROUND(I100/4.184,3))</f>
        <v>10.88</v>
      </c>
      <c r="W100" s="101" t="str">
        <f aca="false">IF(IF(ISBLANK(J100),1,(TRIM(J100)="")),"",ROUND(J100/4.184,3))</f>
        <v/>
      </c>
      <c r="X100" s="85" t="n">
        <f aca="false">IF(IF(ISBLANK(K100),1,(TRIM(K100)="")),"",ROUND(K100/4.184,3))</f>
        <v>10.88</v>
      </c>
      <c r="Y100" s="101" t="str">
        <f aca="false">IF(IF(ISBLANK(L100),1,(TRIM(L100)="")),"",ROUND(L100/4.184,3))</f>
        <v/>
      </c>
      <c r="Z100" s="85" t="n">
        <f aca="false">IF(IF(ISBLANK(M100),1,(TRIM(M100)="")),"",ROUND(M100/4.184,3))</f>
        <v>10.923</v>
      </c>
    </row>
    <row r="101" customFormat="false" ht="12.75" hidden="false" customHeight="false" outlineLevel="0" collapsed="false">
      <c r="A101" s="73"/>
      <c r="B101" s="160" t="s">
        <v>127</v>
      </c>
      <c r="C101" s="62" t="n">
        <v>34.64</v>
      </c>
      <c r="D101" s="63" t="n">
        <v>34.64</v>
      </c>
      <c r="E101" s="62"/>
      <c r="F101" s="102"/>
      <c r="G101" s="62"/>
      <c r="H101" s="65"/>
      <c r="I101" s="136" t="n">
        <v>34.644</v>
      </c>
      <c r="J101" s="63"/>
      <c r="K101" s="136"/>
      <c r="L101" s="63"/>
      <c r="M101" s="62" t="n">
        <v>34.64</v>
      </c>
      <c r="N101" s="87" t="n">
        <f aca="false">J101-E101</f>
        <v>0</v>
      </c>
      <c r="O101" s="160" t="s">
        <v>127</v>
      </c>
      <c r="P101" s="85" t="n">
        <f aca="false">IF(IF(ISBLANK(C101),1,(TRIM(C101)="")),"",ROUND(C101/4.184,3))</f>
        <v>8.279</v>
      </c>
      <c r="Q101" s="101" t="n">
        <f aca="false">IF(IF(ISBLANK(D101),1,(TRIM(D101)="")),"",ROUND(D101/4.184,3))</f>
        <v>8.279</v>
      </c>
      <c r="R101" s="85" t="str">
        <f aca="false">IF(IF(ISBLANK(E101),1,(TRIM(E101)="")),"",ROUND(E101/4.184,3))</f>
        <v/>
      </c>
      <c r="S101" s="101" t="str">
        <f aca="false">IF(IF(ISBLANK(F101),1,(TRIM(F101)="")),"",ROUND(F101/4.184,3))</f>
        <v/>
      </c>
      <c r="T101" s="85" t="str">
        <f aca="false">IF(IF(ISBLANK(G101),1,(TRIM(G101)="")),"",ROUND(G101/4.184,3))</f>
        <v/>
      </c>
      <c r="U101" s="101" t="str">
        <f aca="false">IF(IF(ISBLANK(H101),1,(TRIM(H101)="")),"",ROUND(H101/4.184,3))</f>
        <v/>
      </c>
      <c r="V101" s="85" t="n">
        <f aca="false">IF(IF(ISBLANK(I101),1,(TRIM(I101)="")),"",ROUND(I101/4.184,3))</f>
        <v>8.28</v>
      </c>
      <c r="W101" s="101" t="str">
        <f aca="false">IF(IF(ISBLANK(J101),1,(TRIM(J101)="")),"",ROUND(J101/4.184,3))</f>
        <v/>
      </c>
      <c r="X101" s="85" t="str">
        <f aca="false">IF(IF(ISBLANK(K101),1,(TRIM(K101)="")),"",ROUND(K101/4.184,3))</f>
        <v/>
      </c>
      <c r="Y101" s="101" t="str">
        <f aca="false">IF(IF(ISBLANK(L101),1,(TRIM(L101)="")),"",ROUND(L101/4.184,3))</f>
        <v/>
      </c>
      <c r="Z101" s="85" t="n">
        <f aca="false">IF(IF(ISBLANK(M101),1,(TRIM(M101)="")),"",ROUND(M101/4.184,3))</f>
        <v>8.279</v>
      </c>
    </row>
    <row r="102" customFormat="false" ht="12.75" hidden="false" customHeight="false" outlineLevel="0" collapsed="false">
      <c r="A102" s="73"/>
      <c r="B102" s="161" t="s">
        <v>128</v>
      </c>
      <c r="C102" s="62" t="n">
        <v>42.27</v>
      </c>
      <c r="D102" s="63" t="n">
        <v>42.442</v>
      </c>
      <c r="E102" s="62"/>
      <c r="F102" s="102"/>
      <c r="G102" s="62"/>
      <c r="H102" s="65" t="s">
        <v>670</v>
      </c>
      <c r="I102" s="136" t="n">
        <v>42.258</v>
      </c>
      <c r="J102" s="63"/>
      <c r="K102" s="136" t="n">
        <v>42.27</v>
      </c>
      <c r="L102" s="63"/>
      <c r="M102" s="62" t="n">
        <v>41.97</v>
      </c>
      <c r="N102" s="87" t="n">
        <f aca="false">J102-E102</f>
        <v>0</v>
      </c>
      <c r="O102" s="161" t="s">
        <v>128</v>
      </c>
      <c r="P102" s="85" t="n">
        <f aca="false">IF(IF(ISBLANK(C102),1,(TRIM(C102)="")),"",ROUND(C102/4.184,3))</f>
        <v>10.103</v>
      </c>
      <c r="Q102" s="101" t="n">
        <f aca="false">IF(IF(ISBLANK(D102),1,(TRIM(D102)="")),"",ROUND(D102/4.184,3))</f>
        <v>10.144</v>
      </c>
      <c r="R102" s="85" t="str">
        <f aca="false">IF(IF(ISBLANK(E102),1,(TRIM(E102)="")),"",ROUND(E102/4.184,3))</f>
        <v/>
      </c>
      <c r="S102" s="101" t="str">
        <f aca="false">IF(IF(ISBLANK(F102),1,(TRIM(F102)="")),"",ROUND(F102/4.184,3))</f>
        <v/>
      </c>
      <c r="T102" s="85" t="str">
        <f aca="false">IF(IF(ISBLANK(G102),1,(TRIM(G102)="")),"",ROUND(G102/4.184,3))</f>
        <v/>
      </c>
      <c r="U102" s="101" t="n">
        <f aca="false">IF(IF(ISBLANK(H102),1,(TRIM(H102)="")),"",ROUND(H102/4.184,3))</f>
        <v>10.06</v>
      </c>
      <c r="V102" s="85" t="n">
        <f aca="false">IF(IF(ISBLANK(I102),1,(TRIM(I102)="")),"",ROUND(I102/4.184,3))</f>
        <v>10.1</v>
      </c>
      <c r="W102" s="101" t="str">
        <f aca="false">IF(IF(ISBLANK(J102),1,(TRIM(J102)="")),"",ROUND(J102/4.184,3))</f>
        <v/>
      </c>
      <c r="X102" s="85" t="n">
        <f aca="false">IF(IF(ISBLANK(K102),1,(TRIM(K102)="")),"",ROUND(K102/4.184,3))</f>
        <v>10.103</v>
      </c>
      <c r="Y102" s="101" t="str">
        <f aca="false">IF(IF(ISBLANK(L102),1,(TRIM(L102)="")),"",ROUND(L102/4.184,3))</f>
        <v/>
      </c>
      <c r="Z102" s="85" t="n">
        <f aca="false">IF(IF(ISBLANK(M102),1,(TRIM(M102)="")),"",ROUND(M102/4.184,3))</f>
        <v>10.031</v>
      </c>
    </row>
    <row r="103" customFormat="false" ht="12.75" hidden="false" customHeight="false" outlineLevel="0" collapsed="false">
      <c r="A103" s="73"/>
      <c r="B103" s="160" t="s">
        <v>129</v>
      </c>
      <c r="C103" s="62" t="n">
        <v>18.81</v>
      </c>
      <c r="D103" s="63" t="n">
        <v>18.83</v>
      </c>
      <c r="E103" s="64" t="s">
        <v>671</v>
      </c>
      <c r="F103" s="102" t="n">
        <v>18.81</v>
      </c>
      <c r="G103" s="62" t="s">
        <v>672</v>
      </c>
      <c r="H103" s="65" t="s">
        <v>672</v>
      </c>
      <c r="I103" s="141" t="s">
        <v>671</v>
      </c>
      <c r="J103" s="65" t="s">
        <v>671</v>
      </c>
      <c r="K103" s="136" t="n">
        <v>18.81</v>
      </c>
      <c r="L103" s="65" t="s">
        <v>672</v>
      </c>
      <c r="M103" s="62" t="n">
        <v>18.81</v>
      </c>
      <c r="N103" s="87" t="n">
        <f aca="false">J103-E103</f>
        <v>0</v>
      </c>
      <c r="O103" s="160" t="s">
        <v>129</v>
      </c>
      <c r="P103" s="85" t="n">
        <f aca="false">IF(IF(ISBLANK(C103),1,(TRIM(C103)="")),"",ROUND(C103/4.184,3))</f>
        <v>4.496</v>
      </c>
      <c r="Q103" s="101" t="n">
        <f aca="false">IF(IF(ISBLANK(D103),1,(TRIM(D103)="")),"",ROUND(D103/4.184,3))</f>
        <v>4.5</v>
      </c>
      <c r="R103" s="85" t="n">
        <f aca="false">IF(IF(ISBLANK(E103),1,(TRIM(E103)="")),"",ROUND(E103/4.184,3))</f>
        <v>4.498</v>
      </c>
      <c r="S103" s="101" t="n">
        <f aca="false">IF(IF(ISBLANK(F103),1,(TRIM(F103)="")),"",ROUND(F103/4.184,3))</f>
        <v>4.496</v>
      </c>
      <c r="T103" s="85" t="n">
        <f aca="false">IF(IF(ISBLANK(G103),1,(TRIM(G103)="")),"",ROUND(G103/4.184,3))</f>
        <v>4.496</v>
      </c>
      <c r="U103" s="101" t="n">
        <f aca="false">IF(IF(ISBLANK(H103),1,(TRIM(H103)="")),"",ROUND(H103/4.184,3))</f>
        <v>4.496</v>
      </c>
      <c r="V103" s="85" t="n">
        <f aca="false">IF(IF(ISBLANK(I103),1,(TRIM(I103)="")),"",ROUND(I103/4.184,3))</f>
        <v>4.498</v>
      </c>
      <c r="W103" s="101" t="n">
        <f aca="false">IF(IF(ISBLANK(J103),1,(TRIM(J103)="")),"",ROUND(J103/4.184,3))</f>
        <v>4.498</v>
      </c>
      <c r="X103" s="85" t="n">
        <f aca="false">IF(IF(ISBLANK(K103),1,(TRIM(K103)="")),"",ROUND(K103/4.184,3))</f>
        <v>4.496</v>
      </c>
      <c r="Y103" s="101" t="n">
        <f aca="false">IF(IF(ISBLANK(L103),1,(TRIM(L103)="")),"",ROUND(L103/4.184,3))</f>
        <v>4.496</v>
      </c>
      <c r="Z103" s="85" t="n">
        <f aca="false">IF(IF(ISBLANK(M103),1,(TRIM(M103)="")),"",ROUND(M103/4.184,3))</f>
        <v>4.496</v>
      </c>
    </row>
    <row r="104" customFormat="false" ht="12.75" hidden="false" customHeight="false" outlineLevel="0" collapsed="false">
      <c r="A104" s="73"/>
      <c r="B104" s="160" t="s">
        <v>130</v>
      </c>
      <c r="C104" s="64" t="s">
        <v>673</v>
      </c>
      <c r="D104" s="63" t="n">
        <v>69.58</v>
      </c>
      <c r="E104" s="62"/>
      <c r="F104" s="102"/>
      <c r="G104" s="62"/>
      <c r="H104" s="65"/>
      <c r="I104" s="136" t="n">
        <v>69.496</v>
      </c>
      <c r="J104" s="63"/>
      <c r="K104" s="136"/>
      <c r="L104" s="63"/>
      <c r="M104" s="62" t="n">
        <v>69.58</v>
      </c>
      <c r="N104" s="87" t="n">
        <f aca="false">J104-E104</f>
        <v>0</v>
      </c>
      <c r="O104" s="160" t="s">
        <v>130</v>
      </c>
      <c r="P104" s="85" t="n">
        <f aca="false">IF(IF(ISBLANK(C104),1,(TRIM(C104)="")),"",ROUND(C104/4.184,3))</f>
        <v>16.611</v>
      </c>
      <c r="Q104" s="101" t="n">
        <f aca="false">IF(IF(ISBLANK(D104),1,(TRIM(D104)="")),"",ROUND(D104/4.184,3))</f>
        <v>16.63</v>
      </c>
      <c r="R104" s="85" t="str">
        <f aca="false">IF(IF(ISBLANK(E104),1,(TRIM(E104)="")),"",ROUND(E104/4.184,3))</f>
        <v/>
      </c>
      <c r="S104" s="101" t="str">
        <f aca="false">IF(IF(ISBLANK(F104),1,(TRIM(F104)="")),"",ROUND(F104/4.184,3))</f>
        <v/>
      </c>
      <c r="T104" s="85" t="str">
        <f aca="false">IF(IF(ISBLANK(G104),1,(TRIM(G104)="")),"",ROUND(G104/4.184,3))</f>
        <v/>
      </c>
      <c r="U104" s="101" t="str">
        <f aca="false">IF(IF(ISBLANK(H104),1,(TRIM(H104)="")),"",ROUND(H104/4.184,3))</f>
        <v/>
      </c>
      <c r="V104" s="85" t="n">
        <f aca="false">IF(IF(ISBLANK(I104),1,(TRIM(I104)="")),"",ROUND(I104/4.184,3))</f>
        <v>16.61</v>
      </c>
      <c r="W104" s="101" t="str">
        <f aca="false">IF(IF(ISBLANK(J104),1,(TRIM(J104)="")),"",ROUND(J104/4.184,3))</f>
        <v/>
      </c>
      <c r="X104" s="85" t="str">
        <f aca="false">IF(IF(ISBLANK(K104),1,(TRIM(K104)="")),"",ROUND(K104/4.184,3))</f>
        <v/>
      </c>
      <c r="Y104" s="101" t="str">
        <f aca="false">IF(IF(ISBLANK(L104),1,(TRIM(L104)="")),"",ROUND(L104/4.184,3))</f>
        <v/>
      </c>
      <c r="Z104" s="85" t="n">
        <f aca="false">IF(IF(ISBLANK(M104),1,(TRIM(M104)="")),"",ROUND(M104/4.184,3))</f>
        <v>16.63</v>
      </c>
    </row>
    <row r="105" customFormat="false" ht="12.75" hidden="false" customHeight="false" outlineLevel="0" collapsed="false">
      <c r="A105" s="73"/>
      <c r="B105" s="160" t="s">
        <v>131</v>
      </c>
      <c r="C105" s="64" t="s">
        <v>674</v>
      </c>
      <c r="D105" s="63" t="n">
        <v>51.55</v>
      </c>
      <c r="E105" s="62"/>
      <c r="F105" s="102" t="n">
        <v>51.18</v>
      </c>
      <c r="G105" s="62" t="s">
        <v>675</v>
      </c>
      <c r="H105" s="65" t="s">
        <v>675</v>
      </c>
      <c r="I105" s="136" t="n">
        <v>51.195</v>
      </c>
      <c r="J105" s="63"/>
      <c r="K105" s="136" t="n">
        <v>51.18</v>
      </c>
      <c r="L105" s="65" t="s">
        <v>675</v>
      </c>
      <c r="M105" s="62" t="n">
        <v>51.08</v>
      </c>
      <c r="N105" s="87" t="n">
        <f aca="false">J105-E105</f>
        <v>0</v>
      </c>
      <c r="O105" s="160" t="s">
        <v>131</v>
      </c>
      <c r="P105" s="85" t="n">
        <f aca="false">IF(IF(ISBLANK(C105),1,(TRIM(C105)="")),"",ROUND(C105/4.184,3))</f>
        <v>12.237</v>
      </c>
      <c r="Q105" s="101" t="n">
        <f aca="false">IF(IF(ISBLANK(D105),1,(TRIM(D105)="")),"",ROUND(D105/4.184,3))</f>
        <v>12.321</v>
      </c>
      <c r="R105" s="85" t="str">
        <f aca="false">IF(IF(ISBLANK(E105),1,(TRIM(E105)="")),"",ROUND(E105/4.184,3))</f>
        <v/>
      </c>
      <c r="S105" s="101" t="n">
        <f aca="false">IF(IF(ISBLANK(F105),1,(TRIM(F105)="")),"",ROUND(F105/4.184,3))</f>
        <v>12.232</v>
      </c>
      <c r="T105" s="85" t="n">
        <f aca="false">IF(IF(ISBLANK(G105),1,(TRIM(G105)="")),"",ROUND(G105/4.184,3))</f>
        <v>12.232</v>
      </c>
      <c r="U105" s="101" t="n">
        <f aca="false">IF(IF(ISBLANK(H105),1,(TRIM(H105)="")),"",ROUND(H105/4.184,3))</f>
        <v>12.232</v>
      </c>
      <c r="V105" s="85" t="n">
        <f aca="false">IF(IF(ISBLANK(I105),1,(TRIM(I105)="")),"",ROUND(I105/4.184,3))</f>
        <v>12.236</v>
      </c>
      <c r="W105" s="101" t="str">
        <f aca="false">IF(IF(ISBLANK(J105),1,(TRIM(J105)="")),"",ROUND(J105/4.184,3))</f>
        <v/>
      </c>
      <c r="X105" s="85" t="n">
        <f aca="false">IF(IF(ISBLANK(K105),1,(TRIM(K105)="")),"",ROUND(K105/4.184,3))</f>
        <v>12.232</v>
      </c>
      <c r="Y105" s="101" t="n">
        <f aca="false">IF(IF(ISBLANK(L105),1,(TRIM(L105)="")),"",ROUND(L105/4.184,3))</f>
        <v>12.232</v>
      </c>
      <c r="Z105" s="85" t="n">
        <f aca="false">IF(IF(ISBLANK(M105),1,(TRIM(M105)="")),"",ROUND(M105/4.184,3))</f>
        <v>12.208</v>
      </c>
    </row>
    <row r="106" customFormat="false" ht="12.75" hidden="false" customHeight="false" outlineLevel="0" collapsed="false">
      <c r="A106" s="73"/>
      <c r="B106" s="161" t="s">
        <v>132</v>
      </c>
      <c r="C106" s="64" t="s">
        <v>676</v>
      </c>
      <c r="D106" s="63" t="n">
        <v>52.3</v>
      </c>
      <c r="E106" s="62" t="n">
        <v>55.694</v>
      </c>
      <c r="F106" s="102"/>
      <c r="G106" s="62" t="s">
        <v>677</v>
      </c>
      <c r="H106" s="65" t="s">
        <v>677</v>
      </c>
      <c r="I106" s="141" t="s">
        <v>678</v>
      </c>
      <c r="J106" s="63" t="n">
        <v>55.694</v>
      </c>
      <c r="K106" s="136" t="n">
        <v>55.69</v>
      </c>
      <c r="L106" s="65" t="s">
        <v>679</v>
      </c>
      <c r="M106" s="64" t="s">
        <v>680</v>
      </c>
      <c r="N106" s="87" t="n">
        <f aca="false">J106-E106</f>
        <v>0</v>
      </c>
      <c r="O106" s="161" t="s">
        <v>132</v>
      </c>
      <c r="P106" s="85" t="n">
        <f aca="false">IF(IF(ISBLANK(C106),1,(TRIM(C106)="")),"",ROUND(C106/4.184,3))</f>
        <v>13.241</v>
      </c>
      <c r="Q106" s="101" t="n">
        <f aca="false">IF(IF(ISBLANK(D106),1,(TRIM(D106)="")),"",ROUND(D106/4.184,3))</f>
        <v>12.5</v>
      </c>
      <c r="R106" s="85" t="n">
        <f aca="false">IF(IF(ISBLANK(E106),1,(TRIM(E106)="")),"",ROUND(E106/4.184,3))</f>
        <v>13.311</v>
      </c>
      <c r="S106" s="101" t="str">
        <f aca="false">IF(IF(ISBLANK(F106),1,(TRIM(F106)="")),"",ROUND(F106/4.184,3))</f>
        <v/>
      </c>
      <c r="T106" s="85" t="n">
        <f aca="false">IF(IF(ISBLANK(G106),1,(TRIM(G106)="")),"",ROUND(G106/4.184,3))</f>
        <v>13.313</v>
      </c>
      <c r="U106" s="101" t="n">
        <f aca="false">IF(IF(ISBLANK(H106),1,(TRIM(H106)="")),"",ROUND(H106/4.184,3))</f>
        <v>13.313</v>
      </c>
      <c r="V106" s="85" t="n">
        <f aca="false">IF(IF(ISBLANK(I106),1,(TRIM(I106)="")),"",ROUND(I106/4.184,3))</f>
        <v>13.31</v>
      </c>
      <c r="W106" s="101" t="n">
        <f aca="false">IF(IF(ISBLANK(J106),1,(TRIM(J106)="")),"",ROUND(J106/4.184,3))</f>
        <v>13.311</v>
      </c>
      <c r="X106" s="85" t="n">
        <f aca="false">IF(IF(ISBLANK(K106),1,(TRIM(K106)="")),"",ROUND(K106/4.184,3))</f>
        <v>13.31</v>
      </c>
      <c r="Y106" s="101" t="n">
        <f aca="false">IF(IF(ISBLANK(L106),1,(TRIM(L106)="")),"",ROUND(L106/4.184,3))</f>
        <v>13.145</v>
      </c>
      <c r="Z106" s="85" t="n">
        <f aca="false">IF(IF(ISBLANK(M106),1,(TRIM(M106)="")),"",ROUND(M106/4.184,3))</f>
        <v>13.145</v>
      </c>
    </row>
    <row r="107" customFormat="false" ht="12.75" hidden="false" customHeight="false" outlineLevel="0" collapsed="false">
      <c r="A107" s="73"/>
      <c r="B107" s="160" t="s">
        <v>133</v>
      </c>
      <c r="C107" s="62" t="n">
        <v>41.51</v>
      </c>
      <c r="D107" s="63" t="n">
        <v>41.51</v>
      </c>
      <c r="E107" s="62" t="n">
        <v>41.471</v>
      </c>
      <c r="F107" s="102"/>
      <c r="G107" s="62"/>
      <c r="H107" s="65"/>
      <c r="I107" s="136" t="n">
        <v>41.505</v>
      </c>
      <c r="J107" s="63" t="n">
        <v>41.471</v>
      </c>
      <c r="K107" s="136"/>
      <c r="L107" s="65" t="s">
        <v>681</v>
      </c>
      <c r="M107" s="62" t="n">
        <v>41.47</v>
      </c>
      <c r="N107" s="87" t="n">
        <f aca="false">J107-E107</f>
        <v>0</v>
      </c>
      <c r="O107" s="160" t="s">
        <v>133</v>
      </c>
      <c r="P107" s="85" t="n">
        <f aca="false">IF(IF(ISBLANK(C107),1,(TRIM(C107)="")),"",ROUND(C107/4.184,3))</f>
        <v>9.921</v>
      </c>
      <c r="Q107" s="101" t="n">
        <f aca="false">IF(IF(ISBLANK(D107),1,(TRIM(D107)="")),"",ROUND(D107/4.184,3))</f>
        <v>9.921</v>
      </c>
      <c r="R107" s="85" t="n">
        <f aca="false">IF(IF(ISBLANK(E107),1,(TRIM(E107)="")),"",ROUND(E107/4.184,3))</f>
        <v>9.912</v>
      </c>
      <c r="S107" s="101" t="str">
        <f aca="false">IF(IF(ISBLANK(F107),1,(TRIM(F107)="")),"",ROUND(F107/4.184,3))</f>
        <v/>
      </c>
      <c r="T107" s="85" t="str">
        <f aca="false">IF(IF(ISBLANK(G107),1,(TRIM(G107)="")),"",ROUND(G107/4.184,3))</f>
        <v/>
      </c>
      <c r="U107" s="101" t="str">
        <f aca="false">IF(IF(ISBLANK(H107),1,(TRIM(H107)="")),"",ROUND(H107/4.184,3))</f>
        <v/>
      </c>
      <c r="V107" s="85" t="n">
        <f aca="false">IF(IF(ISBLANK(I107),1,(TRIM(I107)="")),"",ROUND(I107/4.184,3))</f>
        <v>9.92</v>
      </c>
      <c r="W107" s="101" t="n">
        <f aca="false">IF(IF(ISBLANK(J107),1,(TRIM(J107)="")),"",ROUND(J107/4.184,3))</f>
        <v>9.912</v>
      </c>
      <c r="X107" s="85" t="str">
        <f aca="false">IF(IF(ISBLANK(K107),1,(TRIM(K107)="")),"",ROUND(K107/4.184,3))</f>
        <v/>
      </c>
      <c r="Y107" s="101" t="n">
        <f aca="false">IF(IF(ISBLANK(L107),1,(TRIM(L107)="")),"",ROUND(L107/4.184,3))</f>
        <v>9.912</v>
      </c>
      <c r="Z107" s="85" t="n">
        <f aca="false">IF(IF(ISBLANK(M107),1,(TRIM(M107)="")),"",ROUND(M107/4.184,3))</f>
        <v>9.912</v>
      </c>
    </row>
    <row r="108" customFormat="false" ht="12.75" hidden="false" customHeight="false" outlineLevel="0" collapsed="false">
      <c r="A108" s="73"/>
      <c r="B108" s="160" t="s">
        <v>134</v>
      </c>
      <c r="C108" s="64" t="s">
        <v>682</v>
      </c>
      <c r="D108" s="63" t="n">
        <v>73.22</v>
      </c>
      <c r="E108" s="62"/>
      <c r="F108" s="102"/>
      <c r="G108" s="62"/>
      <c r="H108" s="65"/>
      <c r="I108" s="136" t="n">
        <v>73.304</v>
      </c>
      <c r="J108" s="63"/>
      <c r="K108" s="136"/>
      <c r="L108" s="63"/>
      <c r="M108" s="62" t="n">
        <v>73.22</v>
      </c>
      <c r="N108" s="87" t="n">
        <f aca="false">J108-E108</f>
        <v>0</v>
      </c>
      <c r="O108" s="160" t="s">
        <v>134</v>
      </c>
      <c r="P108" s="85" t="n">
        <f aca="false">IF(IF(ISBLANK(C108),1,(TRIM(C108)="")),"",ROUND(C108/4.184,3))</f>
        <v>17.519</v>
      </c>
      <c r="Q108" s="101" t="n">
        <f aca="false">IF(IF(ISBLANK(D108),1,(TRIM(D108)="")),"",ROUND(D108/4.184,3))</f>
        <v>17.5</v>
      </c>
      <c r="R108" s="85" t="str">
        <f aca="false">IF(IF(ISBLANK(E108),1,(TRIM(E108)="")),"",ROUND(E108/4.184,3))</f>
        <v/>
      </c>
      <c r="S108" s="101" t="str">
        <f aca="false">IF(IF(ISBLANK(F108),1,(TRIM(F108)="")),"",ROUND(F108/4.184,3))</f>
        <v/>
      </c>
      <c r="T108" s="85" t="str">
        <f aca="false">IF(IF(ISBLANK(G108),1,(TRIM(G108)="")),"",ROUND(G108/4.184,3))</f>
        <v/>
      </c>
      <c r="U108" s="101" t="str">
        <f aca="false">IF(IF(ISBLANK(H108),1,(TRIM(H108)="")),"",ROUND(H108/4.184,3))</f>
        <v/>
      </c>
      <c r="V108" s="85" t="n">
        <f aca="false">IF(IF(ISBLANK(I108),1,(TRIM(I108)="")),"",ROUND(I108/4.184,3))</f>
        <v>17.52</v>
      </c>
      <c r="W108" s="101" t="str">
        <f aca="false">IF(IF(ISBLANK(J108),1,(TRIM(J108)="")),"",ROUND(J108/4.184,3))</f>
        <v/>
      </c>
      <c r="X108" s="85" t="str">
        <f aca="false">IF(IF(ISBLANK(K108),1,(TRIM(K108)="")),"",ROUND(K108/4.184,3))</f>
        <v/>
      </c>
      <c r="Y108" s="101" t="str">
        <f aca="false">IF(IF(ISBLANK(L108),1,(TRIM(L108)="")),"",ROUND(L108/4.184,3))</f>
        <v/>
      </c>
      <c r="Z108" s="85" t="n">
        <f aca="false">IF(IF(ISBLANK(M108),1,(TRIM(M108)="")),"",ROUND(M108/4.184,3))</f>
        <v>17.5</v>
      </c>
    </row>
    <row r="109" customFormat="false" ht="12.75" hidden="false" customHeight="false" outlineLevel="0" collapsed="false">
      <c r="A109" s="73"/>
      <c r="B109" s="160" t="s">
        <v>135</v>
      </c>
      <c r="C109" s="62"/>
      <c r="D109" s="65"/>
      <c r="E109" s="64"/>
      <c r="F109" s="102"/>
      <c r="G109" s="62"/>
      <c r="H109" s="65" t="s">
        <v>683</v>
      </c>
      <c r="I109" s="136" t="n">
        <v>33.472</v>
      </c>
      <c r="J109" s="63"/>
      <c r="K109" s="136"/>
      <c r="L109" s="63"/>
      <c r="M109" s="62" t="n">
        <v>33.47</v>
      </c>
      <c r="N109" s="87" t="n">
        <f aca="false">J109-E109</f>
        <v>0</v>
      </c>
      <c r="O109" s="160" t="s">
        <v>135</v>
      </c>
      <c r="P109" s="85" t="str">
        <f aca="false">IF(IF(ISBLANK(C109),1,(TRIM(C109)="")),"",ROUND(C109/4.184,3))</f>
        <v/>
      </c>
      <c r="Q109" s="101" t="str">
        <f aca="false">IF(IF(ISBLANK(D109),1,(TRIM(D109)="")),"",ROUND(D109/4.184,3))</f>
        <v/>
      </c>
      <c r="R109" s="85" t="str">
        <f aca="false">IF(IF(ISBLANK(E109),1,(TRIM(E109)="")),"",ROUND(E109/4.184,3))</f>
        <v/>
      </c>
      <c r="S109" s="101" t="str">
        <f aca="false">IF(IF(ISBLANK(F109),1,(TRIM(F109)="")),"",ROUND(F109/4.184,3))</f>
        <v/>
      </c>
      <c r="T109" s="85" t="str">
        <f aca="false">IF(IF(ISBLANK(G109),1,(TRIM(G109)="")),"",ROUND(G109/4.184,3))</f>
        <v/>
      </c>
      <c r="U109" s="101" t="n">
        <f aca="false">IF(IF(ISBLANK(H109),1,(TRIM(H109)="")),"",ROUND(H109/4.184,3))</f>
        <v>7.769</v>
      </c>
      <c r="V109" s="85" t="n">
        <f aca="false">IF(IF(ISBLANK(I109),1,(TRIM(I109)="")),"",ROUND(I109/4.184,3))</f>
        <v>8</v>
      </c>
      <c r="W109" s="101" t="str">
        <f aca="false">IF(IF(ISBLANK(J109),1,(TRIM(J109)="")),"",ROUND(J109/4.184,3))</f>
        <v/>
      </c>
      <c r="X109" s="85" t="str">
        <f aca="false">IF(IF(ISBLANK(K109),1,(TRIM(K109)="")),"",ROUND(K109/4.184,3))</f>
        <v/>
      </c>
      <c r="Y109" s="101" t="str">
        <f aca="false">IF(IF(ISBLANK(L109),1,(TRIM(L109)="")),"",ROUND(L109/4.184,3))</f>
        <v/>
      </c>
      <c r="Z109" s="85" t="n">
        <f aca="false">IF(IF(ISBLANK(M109),1,(TRIM(M109)="")),"",ROUND(M109/4.184,3))</f>
        <v>8</v>
      </c>
    </row>
    <row r="110" customFormat="false" ht="12.75" hidden="false" customHeight="false" outlineLevel="0" collapsed="false">
      <c r="A110" s="73"/>
      <c r="B110" s="161" t="s">
        <v>136</v>
      </c>
      <c r="C110" s="64" t="s">
        <v>684</v>
      </c>
      <c r="D110" s="63" t="n">
        <v>49.71</v>
      </c>
      <c r="E110" s="62"/>
      <c r="F110" s="102"/>
      <c r="G110" s="62"/>
      <c r="H110" s="65" t="n">
        <v>49.221</v>
      </c>
      <c r="I110" s="136" t="n">
        <v>49.497</v>
      </c>
      <c r="J110" s="63"/>
      <c r="K110" s="136" t="n">
        <v>49.71</v>
      </c>
      <c r="L110" s="65"/>
      <c r="M110" s="64" t="s">
        <v>685</v>
      </c>
      <c r="N110" s="87" t="n">
        <f aca="false">J110-E110</f>
        <v>0</v>
      </c>
      <c r="O110" s="161" t="s">
        <v>136</v>
      </c>
      <c r="P110" s="85" t="n">
        <f aca="false">IF(IF(ISBLANK(C110),1,(TRIM(C110)="")),"",ROUND(C110/4.184,3))</f>
        <v>11.831</v>
      </c>
      <c r="Q110" s="101" t="n">
        <f aca="false">IF(IF(ISBLANK(D110),1,(TRIM(D110)="")),"",ROUND(D110/4.184,3))</f>
        <v>11.881</v>
      </c>
      <c r="R110" s="85" t="str">
        <f aca="false">IF(IF(ISBLANK(E110),1,(TRIM(E110)="")),"",ROUND(E110/4.184,3))</f>
        <v/>
      </c>
      <c r="S110" s="101" t="str">
        <f aca="false">IF(IF(ISBLANK(F110),1,(TRIM(F110)="")),"",ROUND(F110/4.184,3))</f>
        <v/>
      </c>
      <c r="T110" s="85" t="str">
        <f aca="false">IF(IF(ISBLANK(G110),1,(TRIM(G110)="")),"",ROUND(G110/4.184,3))</f>
        <v/>
      </c>
      <c r="U110" s="101" t="n">
        <f aca="false">IF(IF(ISBLANK(H110),1,(TRIM(H110)="")),"",ROUND(H110/4.184,3))</f>
        <v>11.764</v>
      </c>
      <c r="V110" s="85" t="n">
        <f aca="false">IF(IF(ISBLANK(I110),1,(TRIM(I110)="")),"",ROUND(I110/4.184,3))</f>
        <v>11.83</v>
      </c>
      <c r="W110" s="101" t="str">
        <f aca="false">IF(IF(ISBLANK(J110),1,(TRIM(J110)="")),"",ROUND(J110/4.184,3))</f>
        <v/>
      </c>
      <c r="X110" s="85" t="n">
        <f aca="false">IF(IF(ISBLANK(K110),1,(TRIM(K110)="")),"",ROUND(K110/4.184,3))</f>
        <v>11.881</v>
      </c>
      <c r="Y110" s="101" t="str">
        <f aca="false">IF(IF(ISBLANK(L110),1,(TRIM(L110)="")),"",ROUND(L110/4.184,3))</f>
        <v/>
      </c>
      <c r="Z110" s="85" t="n">
        <f aca="false">IF(IF(ISBLANK(M110),1,(TRIM(M110)="")),"",ROUND(M110/4.184,3))</f>
        <v>11.879</v>
      </c>
    </row>
    <row r="111" customFormat="false" ht="12.75" hidden="false" customHeight="false" outlineLevel="0" collapsed="false">
      <c r="A111" s="73"/>
      <c r="B111" s="161" t="s">
        <v>137</v>
      </c>
      <c r="C111" s="62" t="n">
        <v>53.39</v>
      </c>
      <c r="D111" s="63" t="n">
        <v>53.39</v>
      </c>
      <c r="E111" s="62"/>
      <c r="F111" s="102" t="n">
        <v>51.8</v>
      </c>
      <c r="G111" s="62"/>
      <c r="H111" s="65" t="s">
        <v>686</v>
      </c>
      <c r="I111" s="136" t="n">
        <v>53.388</v>
      </c>
      <c r="J111" s="63"/>
      <c r="K111" s="136" t="n">
        <v>51.83</v>
      </c>
      <c r="L111" s="65" t="s">
        <v>687</v>
      </c>
      <c r="M111" s="62" t="n">
        <v>51.8</v>
      </c>
      <c r="N111" s="87" t="n">
        <f aca="false">J111-E111</f>
        <v>0</v>
      </c>
      <c r="O111" s="161" t="s">
        <v>137</v>
      </c>
      <c r="P111" s="85" t="n">
        <f aca="false">IF(IF(ISBLANK(C111),1,(TRIM(C111)="")),"",ROUND(C111/4.184,3))</f>
        <v>12.761</v>
      </c>
      <c r="Q111" s="101" t="n">
        <f aca="false">IF(IF(ISBLANK(D111),1,(TRIM(D111)="")),"",ROUND(D111/4.184,3))</f>
        <v>12.761</v>
      </c>
      <c r="R111" s="85" t="str">
        <f aca="false">IF(IF(ISBLANK(E111),1,(TRIM(E111)="")),"",ROUND(E111/4.184,3))</f>
        <v/>
      </c>
      <c r="S111" s="101" t="n">
        <f aca="false">IF(IF(ISBLANK(F111),1,(TRIM(F111)="")),"",ROUND(F111/4.184,3))</f>
        <v>12.38</v>
      </c>
      <c r="T111" s="85" t="str">
        <f aca="false">IF(IF(ISBLANK(G111),1,(TRIM(G111)="")),"",ROUND(G111/4.184,3))</f>
        <v/>
      </c>
      <c r="U111" s="101" t="n">
        <f aca="false">IF(IF(ISBLANK(H111),1,(TRIM(H111)="")),"",ROUND(H111/4.184,3))</f>
        <v>12.581</v>
      </c>
      <c r="V111" s="85" t="n">
        <f aca="false">IF(IF(ISBLANK(I111),1,(TRIM(I111)="")),"",ROUND(I111/4.184,3))</f>
        <v>12.76</v>
      </c>
      <c r="W111" s="101" t="str">
        <f aca="false">IF(IF(ISBLANK(J111),1,(TRIM(J111)="")),"",ROUND(J111/4.184,3))</f>
        <v/>
      </c>
      <c r="X111" s="85" t="n">
        <f aca="false">IF(IF(ISBLANK(K111),1,(TRIM(K111)="")),"",ROUND(K111/4.184,3))</f>
        <v>12.388</v>
      </c>
      <c r="Y111" s="101" t="n">
        <f aca="false">IF(IF(ISBLANK(L111),1,(TRIM(L111)="")),"",ROUND(L111/4.184,3))</f>
        <v>12.388</v>
      </c>
      <c r="Z111" s="85" t="n">
        <f aca="false">IF(IF(ISBLANK(M111),1,(TRIM(M111)="")),"",ROUND(M111/4.184,3))</f>
        <v>12.38</v>
      </c>
    </row>
    <row r="112" customFormat="false" ht="12.75" hidden="false" customHeight="false" outlineLevel="0" collapsed="false">
      <c r="A112" s="73"/>
      <c r="B112" s="160" t="s">
        <v>138</v>
      </c>
      <c r="C112" s="62" t="n">
        <v>30.63</v>
      </c>
      <c r="D112" s="63" t="n">
        <v>30.63</v>
      </c>
      <c r="E112" s="62" t="n">
        <v>30.759</v>
      </c>
      <c r="F112" s="102" t="n">
        <v>30.72</v>
      </c>
      <c r="G112" s="62"/>
      <c r="H112" s="65" t="s">
        <v>688</v>
      </c>
      <c r="I112" s="136" t="n">
        <v>30.759</v>
      </c>
      <c r="J112" s="63" t="n">
        <v>30.759</v>
      </c>
      <c r="K112" s="136" t="n">
        <v>30.76</v>
      </c>
      <c r="L112" s="65" t="s">
        <v>688</v>
      </c>
      <c r="M112" s="62" t="n">
        <v>30.72</v>
      </c>
      <c r="N112" s="87" t="n">
        <f aca="false">J112-E112</f>
        <v>0</v>
      </c>
      <c r="O112" s="160" t="s">
        <v>138</v>
      </c>
      <c r="P112" s="85" t="n">
        <f aca="false">IF(IF(ISBLANK(C112),1,(TRIM(C112)="")),"",ROUND(C112/4.184,3))</f>
        <v>7.321</v>
      </c>
      <c r="Q112" s="101" t="n">
        <f aca="false">IF(IF(ISBLANK(D112),1,(TRIM(D112)="")),"",ROUND(D112/4.184,3))</f>
        <v>7.321</v>
      </c>
      <c r="R112" s="85" t="n">
        <f aca="false">IF(IF(ISBLANK(E112),1,(TRIM(E112)="")),"",ROUND(E112/4.184,3))</f>
        <v>7.352</v>
      </c>
      <c r="S112" s="101" t="n">
        <f aca="false">IF(IF(ISBLANK(F112),1,(TRIM(F112)="")),"",ROUND(F112/4.184,3))</f>
        <v>7.342</v>
      </c>
      <c r="T112" s="85" t="str">
        <f aca="false">IF(IF(ISBLANK(G112),1,(TRIM(G112)="")),"",ROUND(G112/4.184,3))</f>
        <v/>
      </c>
      <c r="U112" s="101" t="n">
        <f aca="false">IF(IF(ISBLANK(H112),1,(TRIM(H112)="")),"",ROUND(H112/4.184,3))</f>
        <v>7.342</v>
      </c>
      <c r="V112" s="85" t="n">
        <f aca="false">IF(IF(ISBLANK(I112),1,(TRIM(I112)="")),"",ROUND(I112/4.184,3))</f>
        <v>7.352</v>
      </c>
      <c r="W112" s="101" t="n">
        <f aca="false">IF(IF(ISBLANK(J112),1,(TRIM(J112)="")),"",ROUND(J112/4.184,3))</f>
        <v>7.352</v>
      </c>
      <c r="X112" s="85" t="n">
        <f aca="false">IF(IF(ISBLANK(K112),1,(TRIM(K112)="")),"",ROUND(K112/4.184,3))</f>
        <v>7.352</v>
      </c>
      <c r="Y112" s="101" t="n">
        <f aca="false">IF(IF(ISBLANK(L112),1,(TRIM(L112)="")),"",ROUND(L112/4.184,3))</f>
        <v>7.342</v>
      </c>
      <c r="Z112" s="85" t="n">
        <f aca="false">IF(IF(ISBLANK(M112),1,(TRIM(M112)="")),"",ROUND(M112/4.184,3))</f>
        <v>7.342</v>
      </c>
    </row>
    <row r="113" customFormat="false" ht="12.75" hidden="false" customHeight="false" outlineLevel="0" collapsed="false">
      <c r="A113" s="73"/>
      <c r="B113" s="160" t="s">
        <v>139</v>
      </c>
      <c r="C113" s="62" t="n">
        <v>64.18</v>
      </c>
      <c r="D113" s="63" t="n">
        <v>64.18</v>
      </c>
      <c r="E113" s="62"/>
      <c r="F113" s="102"/>
      <c r="G113" s="62" t="s">
        <v>689</v>
      </c>
      <c r="H113" s="65"/>
      <c r="I113" s="136" t="n">
        <v>64.183</v>
      </c>
      <c r="J113" s="63"/>
      <c r="K113" s="136"/>
      <c r="L113" s="63"/>
      <c r="M113" s="62" t="n">
        <v>64.18</v>
      </c>
      <c r="N113" s="87" t="n">
        <f aca="false">J113-E113</f>
        <v>0</v>
      </c>
      <c r="O113" s="160" t="s">
        <v>139</v>
      </c>
      <c r="P113" s="85" t="n">
        <f aca="false">IF(IF(ISBLANK(C113),1,(TRIM(C113)="")),"",ROUND(C113/4.184,3))</f>
        <v>15.339</v>
      </c>
      <c r="Q113" s="101" t="n">
        <f aca="false">IF(IF(ISBLANK(D113),1,(TRIM(D113)="")),"",ROUND(D113/4.184,3))</f>
        <v>15.339</v>
      </c>
      <c r="R113" s="85" t="str">
        <f aca="false">IF(IF(ISBLANK(E113),1,(TRIM(E113)="")),"",ROUND(E113/4.184,3))</f>
        <v/>
      </c>
      <c r="S113" s="101" t="str">
        <f aca="false">IF(IF(ISBLANK(F113),1,(TRIM(F113)="")),"",ROUND(F113/4.184,3))</f>
        <v/>
      </c>
      <c r="T113" s="85" t="n">
        <f aca="false">IF(IF(ISBLANK(G113),1,(TRIM(G113)="")),"",ROUND(G113/4.184,3))</f>
        <v>15.368</v>
      </c>
      <c r="U113" s="101" t="str">
        <f aca="false">IF(IF(ISBLANK(H113),1,(TRIM(H113)="")),"",ROUND(H113/4.184,3))</f>
        <v/>
      </c>
      <c r="V113" s="85" t="n">
        <f aca="false">IF(IF(ISBLANK(I113),1,(TRIM(I113)="")),"",ROUND(I113/4.184,3))</f>
        <v>15.34</v>
      </c>
      <c r="W113" s="101" t="str">
        <f aca="false">IF(IF(ISBLANK(J113),1,(TRIM(J113)="")),"",ROUND(J113/4.184,3))</f>
        <v/>
      </c>
      <c r="X113" s="85" t="str">
        <f aca="false">IF(IF(ISBLANK(K113),1,(TRIM(K113)="")),"",ROUND(K113/4.184,3))</f>
        <v/>
      </c>
      <c r="Y113" s="101" t="str">
        <f aca="false">IF(IF(ISBLANK(L113),1,(TRIM(L113)="")),"",ROUND(L113/4.184,3))</f>
        <v/>
      </c>
      <c r="Z113" s="85" t="n">
        <f aca="false">IF(IF(ISBLANK(M113),1,(TRIM(M113)="")),"",ROUND(M113/4.184,3))</f>
        <v>15.339</v>
      </c>
    </row>
    <row r="114" customFormat="false" ht="12.75" hidden="false" customHeight="false" outlineLevel="0" collapsed="false">
      <c r="A114" s="73"/>
      <c r="B114" s="160" t="s">
        <v>140</v>
      </c>
      <c r="C114" s="62" t="n">
        <v>74.01</v>
      </c>
      <c r="D114" s="63" t="n">
        <v>74.01</v>
      </c>
      <c r="E114" s="62"/>
      <c r="F114" s="102"/>
      <c r="G114" s="62"/>
      <c r="H114" s="65"/>
      <c r="I114" s="136" t="n">
        <v>74.015</v>
      </c>
      <c r="J114" s="63"/>
      <c r="K114" s="136"/>
      <c r="L114" s="63"/>
      <c r="M114" s="62" t="n">
        <v>74.01</v>
      </c>
      <c r="N114" s="87" t="n">
        <f aca="false">J114-E114</f>
        <v>0</v>
      </c>
      <c r="O114" s="160" t="s">
        <v>140</v>
      </c>
      <c r="P114" s="85" t="n">
        <f aca="false">IF(IF(ISBLANK(C114),1,(TRIM(C114)="")),"",ROUND(C114/4.184,3))</f>
        <v>17.689</v>
      </c>
      <c r="Q114" s="101" t="n">
        <f aca="false">IF(IF(ISBLANK(D114),1,(TRIM(D114)="")),"",ROUND(D114/4.184,3))</f>
        <v>17.689</v>
      </c>
      <c r="R114" s="85" t="str">
        <f aca="false">IF(IF(ISBLANK(E114),1,(TRIM(E114)="")),"",ROUND(E114/4.184,3))</f>
        <v/>
      </c>
      <c r="S114" s="101" t="str">
        <f aca="false">IF(IF(ISBLANK(F114),1,(TRIM(F114)="")),"",ROUND(F114/4.184,3))</f>
        <v/>
      </c>
      <c r="T114" s="85" t="str">
        <f aca="false">IF(IF(ISBLANK(G114),1,(TRIM(G114)="")),"",ROUND(G114/4.184,3))</f>
        <v/>
      </c>
      <c r="U114" s="101" t="str">
        <f aca="false">IF(IF(ISBLANK(H114),1,(TRIM(H114)="")),"",ROUND(H114/4.184,3))</f>
        <v/>
      </c>
      <c r="V114" s="85" t="n">
        <f aca="false">IF(IF(ISBLANK(I114),1,(TRIM(I114)="")),"",ROUND(I114/4.184,3))</f>
        <v>17.69</v>
      </c>
      <c r="W114" s="101" t="str">
        <f aca="false">IF(IF(ISBLANK(J114),1,(TRIM(J114)="")),"",ROUND(J114/4.184,3))</f>
        <v/>
      </c>
      <c r="X114" s="85" t="str">
        <f aca="false">IF(IF(ISBLANK(K114),1,(TRIM(K114)="")),"",ROUND(K114/4.184,3))</f>
        <v/>
      </c>
      <c r="Y114" s="101" t="str">
        <f aca="false">IF(IF(ISBLANK(L114),1,(TRIM(L114)="")),"",ROUND(L114/4.184,3))</f>
        <v/>
      </c>
      <c r="Z114" s="85" t="n">
        <f aca="false">IF(IF(ISBLANK(M114),1,(TRIM(M114)="")),"",ROUND(M114/4.184,3))</f>
        <v>17.689</v>
      </c>
    </row>
    <row r="115" customFormat="false" ht="12.75" hidden="false" customHeight="false" outlineLevel="0" collapsed="false">
      <c r="A115" s="73"/>
      <c r="B115" s="160" t="s">
        <v>141</v>
      </c>
      <c r="C115" s="62" t="n">
        <v>50.29</v>
      </c>
      <c r="D115" s="63" t="n">
        <v>50.21</v>
      </c>
      <c r="E115" s="62"/>
      <c r="F115" s="103" t="s">
        <v>552</v>
      </c>
      <c r="G115" s="64"/>
      <c r="H115" s="65" t="s">
        <v>690</v>
      </c>
      <c r="I115" s="136" t="n">
        <v>50.292</v>
      </c>
      <c r="J115" s="63"/>
      <c r="K115" s="136" t="n">
        <v>50.2</v>
      </c>
      <c r="L115" s="65" t="s">
        <v>690</v>
      </c>
      <c r="M115" s="64" t="s">
        <v>552</v>
      </c>
      <c r="N115" s="87" t="n">
        <f aca="false">J115-E115</f>
        <v>0</v>
      </c>
      <c r="O115" s="160" t="s">
        <v>141</v>
      </c>
      <c r="P115" s="85" t="n">
        <f aca="false">IF(IF(ISBLANK(C115),1,(TRIM(C115)="")),"",ROUND(C115/4.184,3))</f>
        <v>12.02</v>
      </c>
      <c r="Q115" s="101" t="n">
        <f aca="false">IF(IF(ISBLANK(D115),1,(TRIM(D115)="")),"",ROUND(D115/4.184,3))</f>
        <v>12</v>
      </c>
      <c r="R115" s="85" t="str">
        <f aca="false">IF(IF(ISBLANK(E115),1,(TRIM(E115)="")),"",ROUND(E115/4.184,3))</f>
        <v/>
      </c>
      <c r="S115" s="101" t="n">
        <f aca="false">IF(IF(ISBLANK(F115),1,(TRIM(F115)="")),"",ROUND(F115/4.184,3))</f>
        <v>11.998</v>
      </c>
      <c r="T115" s="85" t="str">
        <f aca="false">IF(IF(ISBLANK(G115),1,(TRIM(G115)="")),"",ROUND(G115/4.184,3))</f>
        <v/>
      </c>
      <c r="U115" s="101" t="n">
        <f aca="false">IF(IF(ISBLANK(H115),1,(TRIM(H115)="")),"",ROUND(H115/4.184,3))</f>
        <v>11.998</v>
      </c>
      <c r="V115" s="85" t="n">
        <f aca="false">IF(IF(ISBLANK(I115),1,(TRIM(I115)="")),"",ROUND(I115/4.184,3))</f>
        <v>12.02</v>
      </c>
      <c r="W115" s="101" t="str">
        <f aca="false">IF(IF(ISBLANK(J115),1,(TRIM(J115)="")),"",ROUND(J115/4.184,3))</f>
        <v/>
      </c>
      <c r="X115" s="85" t="n">
        <f aca="false">IF(IF(ISBLANK(K115),1,(TRIM(K115)="")),"",ROUND(K115/4.184,3))</f>
        <v>11.998</v>
      </c>
      <c r="Y115" s="101" t="n">
        <f aca="false">IF(IF(ISBLANK(L115),1,(TRIM(L115)="")),"",ROUND(L115/4.184,3))</f>
        <v>11.998</v>
      </c>
      <c r="Z115" s="85" t="n">
        <f aca="false">IF(IF(ISBLANK(M115),1,(TRIM(M115)="")),"",ROUND(M115/4.184,3))</f>
        <v>11.998</v>
      </c>
    </row>
    <row r="116" customFormat="false" ht="12.75" hidden="false" customHeight="false" outlineLevel="0" collapsed="false">
      <c r="A116" s="73"/>
      <c r="B116" s="160" t="s">
        <v>142</v>
      </c>
      <c r="C116" s="62" t="n">
        <v>28.91</v>
      </c>
      <c r="D116" s="63" t="n">
        <v>28.91</v>
      </c>
      <c r="E116" s="62" t="n">
        <v>28.936</v>
      </c>
      <c r="F116" s="102"/>
      <c r="G116" s="62"/>
      <c r="H116" s="65"/>
      <c r="I116" s="136" t="n">
        <v>28.911</v>
      </c>
      <c r="J116" s="63" t="n">
        <v>28.936</v>
      </c>
      <c r="K116" s="136" t="n">
        <v>28.94</v>
      </c>
      <c r="L116" s="65" t="s">
        <v>691</v>
      </c>
      <c r="M116" s="62" t="n">
        <v>28.94</v>
      </c>
      <c r="N116" s="87" t="n">
        <f aca="false">J116-E116</f>
        <v>0</v>
      </c>
      <c r="O116" s="160" t="s">
        <v>142</v>
      </c>
      <c r="P116" s="85" t="n">
        <f aca="false">IF(IF(ISBLANK(C116),1,(TRIM(C116)="")),"",ROUND(C116/4.184,3))</f>
        <v>6.91</v>
      </c>
      <c r="Q116" s="101" t="n">
        <f aca="false">IF(IF(ISBLANK(D116),1,(TRIM(D116)="")),"",ROUND(D116/4.184,3))</f>
        <v>6.91</v>
      </c>
      <c r="R116" s="85" t="n">
        <f aca="false">IF(IF(ISBLANK(E116),1,(TRIM(E116)="")),"",ROUND(E116/4.184,3))</f>
        <v>6.916</v>
      </c>
      <c r="S116" s="101" t="str">
        <f aca="false">IF(IF(ISBLANK(F116),1,(TRIM(F116)="")),"",ROUND(F116/4.184,3))</f>
        <v/>
      </c>
      <c r="T116" s="85" t="str">
        <f aca="false">IF(IF(ISBLANK(G116),1,(TRIM(G116)="")),"",ROUND(G116/4.184,3))</f>
        <v/>
      </c>
      <c r="U116" s="101" t="str">
        <f aca="false">IF(IF(ISBLANK(H116),1,(TRIM(H116)="")),"",ROUND(H116/4.184,3))</f>
        <v/>
      </c>
      <c r="V116" s="85" t="n">
        <f aca="false">IF(IF(ISBLANK(I116),1,(TRIM(I116)="")),"",ROUND(I116/4.184,3))</f>
        <v>6.91</v>
      </c>
      <c r="W116" s="101" t="n">
        <f aca="false">IF(IF(ISBLANK(J116),1,(TRIM(J116)="")),"",ROUND(J116/4.184,3))</f>
        <v>6.916</v>
      </c>
      <c r="X116" s="85" t="n">
        <f aca="false">IF(IF(ISBLANK(K116),1,(TRIM(K116)="")),"",ROUND(K116/4.184,3))</f>
        <v>6.917</v>
      </c>
      <c r="Y116" s="101" t="n">
        <f aca="false">IF(IF(ISBLANK(L116),1,(TRIM(L116)="")),"",ROUND(L116/4.184,3))</f>
        <v>6.916</v>
      </c>
      <c r="Z116" s="85" t="n">
        <f aca="false">IF(IF(ISBLANK(M116),1,(TRIM(M116)="")),"",ROUND(M116/4.184,3))</f>
        <v>6.917</v>
      </c>
    </row>
    <row r="117" customFormat="false" ht="12.75" hidden="false" customHeight="false" outlineLevel="0" collapsed="false">
      <c r="A117" s="73"/>
      <c r="B117" s="160" t="s">
        <v>143</v>
      </c>
      <c r="C117" s="62" t="n">
        <v>32.64</v>
      </c>
      <c r="D117" s="63" t="n">
        <v>32.64</v>
      </c>
      <c r="E117" s="64" t="s">
        <v>692</v>
      </c>
      <c r="F117" s="102"/>
      <c r="G117" s="62"/>
      <c r="H117" s="65"/>
      <c r="I117" s="141" t="s">
        <v>692</v>
      </c>
      <c r="J117" s="65" t="s">
        <v>692</v>
      </c>
      <c r="K117" s="136" t="n">
        <v>32.65</v>
      </c>
      <c r="L117" s="65" t="s">
        <v>692</v>
      </c>
      <c r="M117" s="62" t="n">
        <v>32.6</v>
      </c>
      <c r="N117" s="87" t="n">
        <f aca="false">J117-E117</f>
        <v>0</v>
      </c>
      <c r="O117" s="160" t="s">
        <v>143</v>
      </c>
      <c r="P117" s="85" t="n">
        <f aca="false">IF(IF(ISBLANK(C117),1,(TRIM(C117)="")),"",ROUND(C117/4.184,3))</f>
        <v>7.801</v>
      </c>
      <c r="Q117" s="101" t="n">
        <f aca="false">IF(IF(ISBLANK(D117),1,(TRIM(D117)="")),"",ROUND(D117/4.184,3))</f>
        <v>7.801</v>
      </c>
      <c r="R117" s="85" t="n">
        <f aca="false">IF(IF(ISBLANK(E117),1,(TRIM(E117)="")),"",ROUND(E117/4.184,3))</f>
        <v>7.806</v>
      </c>
      <c r="S117" s="101" t="str">
        <f aca="false">IF(IF(ISBLANK(F117),1,(TRIM(F117)="")),"",ROUND(F117/4.184,3))</f>
        <v/>
      </c>
      <c r="T117" s="85" t="str">
        <f aca="false">IF(IF(ISBLANK(G117),1,(TRIM(G117)="")),"",ROUND(G117/4.184,3))</f>
        <v/>
      </c>
      <c r="U117" s="101" t="str">
        <f aca="false">IF(IF(ISBLANK(H117),1,(TRIM(H117)="")),"",ROUND(H117/4.184,3))</f>
        <v/>
      </c>
      <c r="V117" s="85" t="n">
        <f aca="false">IF(IF(ISBLANK(I117),1,(TRIM(I117)="")),"",ROUND(I117/4.184,3))</f>
        <v>7.806</v>
      </c>
      <c r="W117" s="101" t="n">
        <f aca="false">IF(IF(ISBLANK(J117),1,(TRIM(J117)="")),"",ROUND(J117/4.184,3))</f>
        <v>7.806</v>
      </c>
      <c r="X117" s="85" t="n">
        <f aca="false">IF(IF(ISBLANK(K117),1,(TRIM(K117)="")),"",ROUND(K117/4.184,3))</f>
        <v>7.804</v>
      </c>
      <c r="Y117" s="101" t="n">
        <f aca="false">IF(IF(ISBLANK(L117),1,(TRIM(L117)="")),"",ROUND(L117/4.184,3))</f>
        <v>7.806</v>
      </c>
      <c r="Z117" s="85" t="n">
        <f aca="false">IF(IF(ISBLANK(M117),1,(TRIM(M117)="")),"",ROUND(M117/4.184,3))</f>
        <v>7.792</v>
      </c>
    </row>
    <row r="118" customFormat="false" ht="12.75" hidden="false" customHeight="false" outlineLevel="0" collapsed="false">
      <c r="A118" s="73"/>
      <c r="B118" s="160" t="s">
        <v>144</v>
      </c>
      <c r="C118" s="62" t="n">
        <v>169.68</v>
      </c>
      <c r="D118" s="63" t="n">
        <v>169.683</v>
      </c>
      <c r="E118" s="62" t="n">
        <v>169.684</v>
      </c>
      <c r="F118" s="102" t="n">
        <v>169.685</v>
      </c>
      <c r="G118" s="62" t="s">
        <v>693</v>
      </c>
      <c r="H118" s="65" t="n">
        <v>169.685</v>
      </c>
      <c r="I118" s="136" t="n">
        <v>169.683</v>
      </c>
      <c r="J118" s="63" t="n">
        <v>169.684</v>
      </c>
      <c r="K118" s="136"/>
      <c r="L118" s="65" t="s">
        <v>694</v>
      </c>
      <c r="M118" s="62" t="n">
        <v>169.685</v>
      </c>
      <c r="N118" s="87" t="n">
        <f aca="false">J118-E118</f>
        <v>0</v>
      </c>
      <c r="O118" s="160" t="s">
        <v>144</v>
      </c>
      <c r="P118" s="85" t="n">
        <f aca="false">IF(IF(ISBLANK(C118),1,(TRIM(C118)="")),"",ROUND(C118/4.184,3))</f>
        <v>40.554</v>
      </c>
      <c r="Q118" s="101" t="n">
        <f aca="false">IF(IF(ISBLANK(D118),1,(TRIM(D118)="")),"",ROUND(D118/4.184,3))</f>
        <v>40.555</v>
      </c>
      <c r="R118" s="85" t="n">
        <f aca="false">IF(IF(ISBLANK(E118),1,(TRIM(E118)="")),"",ROUND(E118/4.184,3))</f>
        <v>40.555</v>
      </c>
      <c r="S118" s="101" t="n">
        <f aca="false">IF(IF(ISBLANK(F118),1,(TRIM(F118)="")),"",ROUND(F118/4.184,3))</f>
        <v>40.556</v>
      </c>
      <c r="T118" s="85" t="n">
        <f aca="false">IF(IF(ISBLANK(G118),1,(TRIM(G118)="")),"",ROUND(G118/4.184,3))</f>
        <v>40.556</v>
      </c>
      <c r="U118" s="101" t="n">
        <f aca="false">IF(IF(ISBLANK(H118),1,(TRIM(H118)="")),"",ROUND(H118/4.184,3))</f>
        <v>40.556</v>
      </c>
      <c r="V118" s="85" t="n">
        <f aca="false">IF(IF(ISBLANK(I118),1,(TRIM(I118)="")),"",ROUND(I118/4.184,3))</f>
        <v>40.555</v>
      </c>
      <c r="W118" s="101" t="n">
        <f aca="false">IF(IF(ISBLANK(J118),1,(TRIM(J118)="")),"",ROUND(J118/4.184,3))</f>
        <v>40.555</v>
      </c>
      <c r="X118" s="85" t="str">
        <f aca="false">IF(IF(ISBLANK(K118),1,(TRIM(K118)="")),"",ROUND(K118/4.184,3))</f>
        <v/>
      </c>
      <c r="Y118" s="101" t="n">
        <f aca="false">IF(IF(ISBLANK(L118),1,(TRIM(L118)="")),"",ROUND(L118/4.184,3))</f>
        <v>40.556</v>
      </c>
      <c r="Z118" s="85" t="n">
        <f aca="false">IF(IF(ISBLANK(M118),1,(TRIM(M118)="")),"",ROUND(M118/4.184,3))</f>
        <v>40.556</v>
      </c>
    </row>
    <row r="119" customFormat="false" ht="12.75" hidden="false" customHeight="false" outlineLevel="0" collapsed="false">
      <c r="A119" s="73"/>
      <c r="B119" s="160" t="s">
        <v>145</v>
      </c>
      <c r="C119" s="62" t="n">
        <v>44.43</v>
      </c>
      <c r="D119" s="63" t="n">
        <v>44.43</v>
      </c>
      <c r="E119" s="62"/>
      <c r="F119" s="102"/>
      <c r="G119" s="62"/>
      <c r="H119" s="65"/>
      <c r="I119" s="136" t="n">
        <v>44.434</v>
      </c>
      <c r="J119" s="63"/>
      <c r="K119" s="136"/>
      <c r="L119" s="63"/>
      <c r="M119" s="62" t="n">
        <v>44.4</v>
      </c>
      <c r="N119" s="87" t="n">
        <f aca="false">J119-E119</f>
        <v>0</v>
      </c>
      <c r="O119" s="160" t="s">
        <v>145</v>
      </c>
      <c r="P119" s="85" t="n">
        <f aca="false">IF(IF(ISBLANK(C119),1,(TRIM(C119)="")),"",ROUND(C119/4.184,3))</f>
        <v>10.619</v>
      </c>
      <c r="Q119" s="101" t="n">
        <f aca="false">IF(IF(ISBLANK(D119),1,(TRIM(D119)="")),"",ROUND(D119/4.184,3))</f>
        <v>10.619</v>
      </c>
      <c r="R119" s="85" t="str">
        <f aca="false">IF(IF(ISBLANK(E119),1,(TRIM(E119)="")),"",ROUND(E119/4.184,3))</f>
        <v/>
      </c>
      <c r="S119" s="101" t="str">
        <f aca="false">IF(IF(ISBLANK(F119),1,(TRIM(F119)="")),"",ROUND(F119/4.184,3))</f>
        <v/>
      </c>
      <c r="T119" s="85" t="str">
        <f aca="false">IF(IF(ISBLANK(G119),1,(TRIM(G119)="")),"",ROUND(G119/4.184,3))</f>
        <v/>
      </c>
      <c r="U119" s="101" t="str">
        <f aca="false">IF(IF(ISBLANK(H119),1,(TRIM(H119)="")),"",ROUND(H119/4.184,3))</f>
        <v/>
      </c>
      <c r="V119" s="85" t="n">
        <f aca="false">IF(IF(ISBLANK(I119),1,(TRIM(I119)="")),"",ROUND(I119/4.184,3))</f>
        <v>10.62</v>
      </c>
      <c r="W119" s="101" t="str">
        <f aca="false">IF(IF(ISBLANK(J119),1,(TRIM(J119)="")),"",ROUND(J119/4.184,3))</f>
        <v/>
      </c>
      <c r="X119" s="85" t="str">
        <f aca="false">IF(IF(ISBLANK(K119),1,(TRIM(K119)="")),"",ROUND(K119/4.184,3))</f>
        <v/>
      </c>
      <c r="Y119" s="101" t="str">
        <f aca="false">IF(IF(ISBLANK(L119),1,(TRIM(L119)="")),"",ROUND(L119/4.184,3))</f>
        <v/>
      </c>
      <c r="Z119" s="85" t="n">
        <f aca="false">IF(IF(ISBLANK(M119),1,(TRIM(M119)="")),"",ROUND(M119/4.184,3))</f>
        <v>10.612</v>
      </c>
    </row>
    <row r="120" customFormat="false" ht="12.75" hidden="false" customHeight="false" outlineLevel="0" collapsed="false">
      <c r="A120" s="73"/>
      <c r="B120" s="160" t="s">
        <v>146</v>
      </c>
      <c r="C120" s="62" t="n">
        <v>59.83</v>
      </c>
      <c r="D120" s="63" t="n">
        <v>59.87</v>
      </c>
      <c r="E120" s="62"/>
      <c r="F120" s="102"/>
      <c r="G120" s="62"/>
      <c r="H120" s="65"/>
      <c r="I120" s="136" t="n">
        <v>59.831</v>
      </c>
      <c r="J120" s="63"/>
      <c r="K120" s="136"/>
      <c r="L120" s="63"/>
      <c r="M120" s="62" t="n">
        <v>59.87</v>
      </c>
      <c r="N120" s="87" t="n">
        <f aca="false">J120-E120</f>
        <v>0</v>
      </c>
      <c r="O120" s="160" t="s">
        <v>146</v>
      </c>
      <c r="P120" s="85" t="n">
        <f aca="false">IF(IF(ISBLANK(C120),1,(TRIM(C120)="")),"",ROUND(C120/4.184,3))</f>
        <v>14.3</v>
      </c>
      <c r="Q120" s="101" t="n">
        <f aca="false">IF(IF(ISBLANK(D120),1,(TRIM(D120)="")),"",ROUND(D120/4.184,3))</f>
        <v>14.309</v>
      </c>
      <c r="R120" s="85" t="str">
        <f aca="false">IF(IF(ISBLANK(E120),1,(TRIM(E120)="")),"",ROUND(E120/4.184,3))</f>
        <v/>
      </c>
      <c r="S120" s="101" t="str">
        <f aca="false">IF(IF(ISBLANK(F120),1,(TRIM(F120)="")),"",ROUND(F120/4.184,3))</f>
        <v/>
      </c>
      <c r="T120" s="85" t="str">
        <f aca="false">IF(IF(ISBLANK(G120),1,(TRIM(G120)="")),"",ROUND(G120/4.184,3))</f>
        <v/>
      </c>
      <c r="U120" s="101" t="str">
        <f aca="false">IF(IF(ISBLANK(H120),1,(TRIM(H120)="")),"",ROUND(H120/4.184,3))</f>
        <v/>
      </c>
      <c r="V120" s="85" t="n">
        <f aca="false">IF(IF(ISBLANK(I120),1,(TRIM(I120)="")),"",ROUND(I120/4.184,3))</f>
        <v>14.3</v>
      </c>
      <c r="W120" s="101" t="str">
        <f aca="false">IF(IF(ISBLANK(J120),1,(TRIM(J120)="")),"",ROUND(J120/4.184,3))</f>
        <v/>
      </c>
      <c r="X120" s="85" t="str">
        <f aca="false">IF(IF(ISBLANK(K120),1,(TRIM(K120)="")),"",ROUND(K120/4.184,3))</f>
        <v/>
      </c>
      <c r="Y120" s="101" t="str">
        <f aca="false">IF(IF(ISBLANK(L120),1,(TRIM(L120)="")),"",ROUND(L120/4.184,3))</f>
        <v/>
      </c>
      <c r="Z120" s="85" t="n">
        <f aca="false">IF(IF(ISBLANK(M120),1,(TRIM(M120)="")),"",ROUND(M120/4.184,3))</f>
        <v>14.309</v>
      </c>
    </row>
    <row r="121" customFormat="false" ht="12.75" hidden="false" customHeight="false" outlineLevel="0" collapsed="false">
      <c r="A121" s="73"/>
      <c r="B121" s="160" t="s">
        <v>147</v>
      </c>
      <c r="C121" s="62" t="n">
        <v>41.63</v>
      </c>
      <c r="D121" s="63" t="n">
        <v>41.63</v>
      </c>
      <c r="E121" s="62" t="n">
        <v>41.717</v>
      </c>
      <c r="F121" s="102" t="n">
        <v>41.63</v>
      </c>
      <c r="G121" s="62"/>
      <c r="H121" s="65" t="s">
        <v>695</v>
      </c>
      <c r="I121" s="136" t="n">
        <v>41.631</v>
      </c>
      <c r="J121" s="63" t="n">
        <v>41.717</v>
      </c>
      <c r="K121" s="136" t="n">
        <v>41.63</v>
      </c>
      <c r="L121" s="65" t="s">
        <v>695</v>
      </c>
      <c r="M121" s="62" t="n">
        <v>41.63</v>
      </c>
      <c r="N121" s="87" t="n">
        <f aca="false">J121-E121</f>
        <v>0</v>
      </c>
      <c r="O121" s="160" t="s">
        <v>147</v>
      </c>
      <c r="P121" s="85" t="n">
        <f aca="false">IF(IF(ISBLANK(C121),1,(TRIM(C121)="")),"",ROUND(C121/4.184,3))</f>
        <v>9.95</v>
      </c>
      <c r="Q121" s="101" t="n">
        <f aca="false">IF(IF(ISBLANK(D121),1,(TRIM(D121)="")),"",ROUND(D121/4.184,3))</f>
        <v>9.95</v>
      </c>
      <c r="R121" s="85" t="n">
        <f aca="false">IF(IF(ISBLANK(E121),1,(TRIM(E121)="")),"",ROUND(E121/4.184,3))</f>
        <v>9.971</v>
      </c>
      <c r="S121" s="101" t="n">
        <f aca="false">IF(IF(ISBLANK(F121),1,(TRIM(F121)="")),"",ROUND(F121/4.184,3))</f>
        <v>9.95</v>
      </c>
      <c r="T121" s="85" t="str">
        <f aca="false">IF(IF(ISBLANK(G121),1,(TRIM(G121)="")),"",ROUND(G121/4.184,3))</f>
        <v/>
      </c>
      <c r="U121" s="101" t="n">
        <f aca="false">IF(IF(ISBLANK(H121),1,(TRIM(H121)="")),"",ROUND(H121/4.184,3))</f>
        <v>9.95</v>
      </c>
      <c r="V121" s="85" t="n">
        <f aca="false">IF(IF(ISBLANK(I121),1,(TRIM(I121)="")),"",ROUND(I121/4.184,3))</f>
        <v>9.95</v>
      </c>
      <c r="W121" s="101" t="n">
        <f aca="false">IF(IF(ISBLANK(J121),1,(TRIM(J121)="")),"",ROUND(J121/4.184,3))</f>
        <v>9.971</v>
      </c>
      <c r="X121" s="85" t="n">
        <f aca="false">IF(IF(ISBLANK(K121),1,(TRIM(K121)="")),"",ROUND(K121/4.184,3))</f>
        <v>9.95</v>
      </c>
      <c r="Y121" s="101" t="n">
        <f aca="false">IF(IF(ISBLANK(L121),1,(TRIM(L121)="")),"",ROUND(L121/4.184,3))</f>
        <v>9.95</v>
      </c>
      <c r="Z121" s="85" t="n">
        <f aca="false">IF(IF(ISBLANK(M121),1,(TRIM(M121)="")),"",ROUND(M121/4.184,3))</f>
        <v>9.95</v>
      </c>
    </row>
    <row r="122" customFormat="false" ht="13.5" hidden="false" customHeight="false" outlineLevel="0" collapsed="false">
      <c r="A122" s="73"/>
      <c r="B122" s="162" t="s">
        <v>148</v>
      </c>
      <c r="C122" s="153" t="n">
        <v>38.99</v>
      </c>
      <c r="D122" s="143" t="n">
        <v>38.99</v>
      </c>
      <c r="E122" s="67" t="n">
        <v>38.869</v>
      </c>
      <c r="F122" s="163"/>
      <c r="G122" s="67"/>
      <c r="H122" s="110" t="s">
        <v>696</v>
      </c>
      <c r="I122" s="164" t="n">
        <v>38.869</v>
      </c>
      <c r="J122" s="143" t="n">
        <v>38.869</v>
      </c>
      <c r="K122" s="164" t="n">
        <v>38.87</v>
      </c>
      <c r="L122" s="110" t="s">
        <v>697</v>
      </c>
      <c r="M122" s="165" t="s">
        <v>698</v>
      </c>
      <c r="N122" s="87" t="n">
        <f aca="false">J122-E122</f>
        <v>0</v>
      </c>
      <c r="O122" s="162" t="s">
        <v>148</v>
      </c>
      <c r="P122" s="85" t="n">
        <f aca="false">IF(IF(ISBLANK(C122),1,(TRIM(C122)="")),"",ROUND(C122/4.184,3))</f>
        <v>9.319</v>
      </c>
      <c r="Q122" s="101" t="n">
        <f aca="false">IF(IF(ISBLANK(D122),1,(TRIM(D122)="")),"",ROUND(D122/4.184,3))</f>
        <v>9.319</v>
      </c>
      <c r="R122" s="85" t="n">
        <f aca="false">IF(IF(ISBLANK(E122),1,(TRIM(E122)="")),"",ROUND(E122/4.184,3))</f>
        <v>9.29</v>
      </c>
      <c r="S122" s="101" t="str">
        <f aca="false">IF(IF(ISBLANK(F122),1,(TRIM(F122)="")),"",ROUND(F122/4.184,3))</f>
        <v/>
      </c>
      <c r="T122" s="85" t="str">
        <f aca="false">IF(IF(ISBLANK(G122),1,(TRIM(G122)="")),"",ROUND(G122/4.184,3))</f>
        <v/>
      </c>
      <c r="U122" s="101" t="n">
        <f aca="false">IF(IF(ISBLANK(H122),1,(TRIM(H122)="")),"",ROUND(H122/4.184,3))</f>
        <v>9.34</v>
      </c>
      <c r="V122" s="85" t="n">
        <f aca="false">IF(IF(ISBLANK(I122),1,(TRIM(I122)="")),"",ROUND(I122/4.184,3))</f>
        <v>9.29</v>
      </c>
      <c r="W122" s="101" t="n">
        <f aca="false">IF(IF(ISBLANK(J122),1,(TRIM(J122)="")),"",ROUND(J122/4.184,3))</f>
        <v>9.29</v>
      </c>
      <c r="X122" s="85" t="n">
        <f aca="false">IF(IF(ISBLANK(K122),1,(TRIM(K122)="")),"",ROUND(K122/4.184,3))</f>
        <v>9.29</v>
      </c>
      <c r="Y122" s="101" t="n">
        <f aca="false">IF(IF(ISBLANK(L122),1,(TRIM(L122)="")),"",ROUND(L122/4.184,3))</f>
        <v>9.29</v>
      </c>
      <c r="Z122" s="85" t="n">
        <f aca="false">IF(IF(ISBLANK(M122),1,(TRIM(M122)="")),"",ROUND(M122/4.184,3))</f>
        <v>9.321</v>
      </c>
    </row>
    <row r="123" customFormat="false" ht="13.5" hidden="false" customHeight="false" outlineLevel="0" collapsed="false">
      <c r="B123" s="166" t="s">
        <v>185</v>
      </c>
      <c r="C123" s="70" t="n">
        <f aca="false">COUNTA(C20:C122)</f>
        <v>85</v>
      </c>
      <c r="D123" s="70" t="n">
        <f aca="false">COUNTA(D20:D122)</f>
        <v>88</v>
      </c>
      <c r="E123" s="70" t="n">
        <f aca="false">COUNTA(E20:E122)</f>
        <v>47</v>
      </c>
      <c r="F123" s="70" t="n">
        <f aca="false">COUNTA(F20:F122)</f>
        <v>37</v>
      </c>
      <c r="G123" s="70" t="n">
        <f aca="false">COUNTA(G20:G122)</f>
        <v>30</v>
      </c>
      <c r="H123" s="70" t="n">
        <f aca="false">COUNTA(H20:H122)</f>
        <v>51</v>
      </c>
      <c r="I123" s="70" t="n">
        <f aca="false">COUNTA(I20:I122)</f>
        <v>89</v>
      </c>
      <c r="J123" s="70" t="n">
        <f aca="false">COUNTA(J20:J122)</f>
        <v>47</v>
      </c>
      <c r="K123" s="70" t="n">
        <f aca="false">COUNTA(K20:K122)</f>
        <v>50</v>
      </c>
      <c r="L123" s="70" t="n">
        <f aca="false">COUNTA(L20:L122)</f>
        <v>50</v>
      </c>
      <c r="M123" s="70" t="n">
        <f aca="false">COUNTA(M20:M122)</f>
        <v>93</v>
      </c>
      <c r="O123" s="166" t="s">
        <v>185</v>
      </c>
      <c r="P123" s="70" t="n">
        <f aca="false">COUNT(P20:P122)</f>
        <v>85</v>
      </c>
      <c r="Q123" s="70" t="n">
        <f aca="false">COUNT(Q20:Q122)</f>
        <v>88</v>
      </c>
      <c r="R123" s="70" t="n">
        <f aca="false">COUNT(R20:R122)</f>
        <v>47</v>
      </c>
      <c r="S123" s="70" t="n">
        <f aca="false">COUNT(S20:S122)</f>
        <v>37</v>
      </c>
      <c r="T123" s="70" t="n">
        <f aca="false">COUNT(T20:T122)</f>
        <v>30</v>
      </c>
      <c r="U123" s="70" t="n">
        <f aca="false">COUNT(U20:U122)</f>
        <v>51</v>
      </c>
      <c r="V123" s="70" t="n">
        <f aca="false">COUNT(V20:V122)</f>
        <v>89</v>
      </c>
      <c r="W123" s="70" t="n">
        <f aca="false">COUNT(W20:W122)</f>
        <v>47</v>
      </c>
      <c r="X123" s="70" t="n">
        <f aca="false">COUNT(X20:X122)</f>
        <v>50</v>
      </c>
      <c r="Y123" s="70" t="n">
        <f aca="false">COUNT(Y20:Y122)</f>
        <v>50</v>
      </c>
      <c r="Z123" s="70" t="n">
        <f aca="false">COUNT(Z20:Z122)</f>
        <v>93</v>
      </c>
    </row>
    <row r="126" customFormat="false" ht="13.5" hidden="false" customHeight="false" outlineLevel="0" collapsed="false"/>
    <row r="127" customFormat="false" ht="13.5" hidden="false" customHeight="false" outlineLevel="0" collapsed="false">
      <c r="B127" s="120" t="s">
        <v>160</v>
      </c>
      <c r="C127" s="48" t="s">
        <v>556</v>
      </c>
      <c r="D127" s="95" t="s">
        <v>557</v>
      </c>
      <c r="E127" s="95" t="s">
        <v>558</v>
      </c>
      <c r="F127" s="48" t="s">
        <v>529</v>
      </c>
      <c r="G127" s="48" t="s">
        <v>559</v>
      </c>
      <c r="H127" s="95" t="s">
        <v>560</v>
      </c>
      <c r="I127" s="48" t="s">
        <v>561</v>
      </c>
      <c r="J127" s="95" t="s">
        <v>562</v>
      </c>
      <c r="K127" s="48" t="s">
        <v>563</v>
      </c>
      <c r="L127" s="121" t="s">
        <v>564</v>
      </c>
      <c r="M127" s="121" t="s">
        <v>565</v>
      </c>
      <c r="O127" s="120" t="s">
        <v>160</v>
      </c>
      <c r="P127" s="48" t="s">
        <v>556</v>
      </c>
      <c r="Q127" s="95" t="s">
        <v>557</v>
      </c>
      <c r="R127" s="95" t="s">
        <v>558</v>
      </c>
      <c r="S127" s="48" t="s">
        <v>529</v>
      </c>
      <c r="T127" s="48" t="s">
        <v>559</v>
      </c>
      <c r="U127" s="95" t="s">
        <v>560</v>
      </c>
      <c r="V127" s="48" t="s">
        <v>561</v>
      </c>
      <c r="W127" s="95" t="s">
        <v>562</v>
      </c>
      <c r="X127" s="48" t="s">
        <v>563</v>
      </c>
      <c r="Y127" s="121" t="s">
        <v>564</v>
      </c>
      <c r="Z127" s="121" t="s">
        <v>565</v>
      </c>
    </row>
    <row r="128" customFormat="false" ht="12.75" hidden="false" customHeight="false" outlineLevel="0" collapsed="false">
      <c r="B128" s="11"/>
      <c r="C128" s="51" t="s">
        <v>566</v>
      </c>
      <c r="D128" s="50" t="s">
        <v>567</v>
      </c>
      <c r="E128" s="50" t="s">
        <v>568</v>
      </c>
      <c r="F128" s="96" t="s">
        <v>530</v>
      </c>
      <c r="G128" s="51" t="s">
        <v>569</v>
      </c>
      <c r="H128" s="167" t="s">
        <v>560</v>
      </c>
      <c r="I128" s="96" t="s">
        <v>570</v>
      </c>
      <c r="J128" s="51" t="s">
        <v>571</v>
      </c>
      <c r="K128" s="96" t="s">
        <v>218</v>
      </c>
      <c r="L128" s="51" t="s">
        <v>572</v>
      </c>
      <c r="M128" s="51" t="s">
        <v>573</v>
      </c>
      <c r="O128" s="11"/>
      <c r="P128" s="51" t="s">
        <v>566</v>
      </c>
      <c r="Q128" s="50" t="s">
        <v>567</v>
      </c>
      <c r="R128" s="50" t="s">
        <v>568</v>
      </c>
      <c r="S128" s="96" t="s">
        <v>530</v>
      </c>
      <c r="T128" s="51" t="s">
        <v>569</v>
      </c>
      <c r="U128" s="167" t="s">
        <v>560</v>
      </c>
      <c r="V128" s="96" t="s">
        <v>570</v>
      </c>
      <c r="W128" s="51" t="s">
        <v>571</v>
      </c>
      <c r="X128" s="96" t="s">
        <v>218</v>
      </c>
      <c r="Y128" s="51" t="s">
        <v>572</v>
      </c>
      <c r="Z128" s="51" t="s">
        <v>573</v>
      </c>
    </row>
    <row r="129" customFormat="false" ht="12.75" hidden="false" customHeight="false" outlineLevel="0" collapsed="false">
      <c r="B129" s="16"/>
      <c r="C129" s="54" t="s">
        <v>165</v>
      </c>
      <c r="D129" s="53" t="s">
        <v>165</v>
      </c>
      <c r="E129" s="53" t="s">
        <v>165</v>
      </c>
      <c r="F129" s="52" t="s">
        <v>165</v>
      </c>
      <c r="G129" s="54" t="s">
        <v>165</v>
      </c>
      <c r="H129" s="127" t="s">
        <v>574</v>
      </c>
      <c r="I129" s="52" t="n">
        <v>1995</v>
      </c>
      <c r="J129" s="54" t="s">
        <v>575</v>
      </c>
      <c r="K129" s="52" t="s">
        <v>576</v>
      </c>
      <c r="L129" s="54" t="s">
        <v>165</v>
      </c>
      <c r="M129" s="54" t="s">
        <v>577</v>
      </c>
      <c r="O129" s="16"/>
      <c r="P129" s="54" t="s">
        <v>165</v>
      </c>
      <c r="Q129" s="53" t="s">
        <v>165</v>
      </c>
      <c r="R129" s="53" t="s">
        <v>165</v>
      </c>
      <c r="S129" s="52" t="s">
        <v>165</v>
      </c>
      <c r="T129" s="54" t="s">
        <v>165</v>
      </c>
      <c r="U129" s="127" t="s">
        <v>574</v>
      </c>
      <c r="V129" s="52" t="n">
        <v>1995</v>
      </c>
      <c r="W129" s="54" t="s">
        <v>575</v>
      </c>
      <c r="X129" s="52" t="s">
        <v>576</v>
      </c>
      <c r="Y129" s="54" t="s">
        <v>165</v>
      </c>
      <c r="Z129" s="54" t="s">
        <v>577</v>
      </c>
    </row>
    <row r="130" customFormat="false" ht="12.75" hidden="false" customHeight="false" outlineLevel="0" collapsed="false">
      <c r="B130" s="16"/>
      <c r="C130" s="54" t="n">
        <v>1978</v>
      </c>
      <c r="D130" s="53" t="n">
        <v>1982</v>
      </c>
      <c r="E130" s="53" t="n">
        <v>1985</v>
      </c>
      <c r="F130" s="52" t="n">
        <v>1989</v>
      </c>
      <c r="G130" s="54" t="s">
        <v>578</v>
      </c>
      <c r="H130" s="168" t="s">
        <v>579</v>
      </c>
      <c r="I130" s="52"/>
      <c r="J130" s="54" t="n">
        <v>1998</v>
      </c>
      <c r="K130" s="52" t="n">
        <v>1995</v>
      </c>
      <c r="L130" s="54" t="n">
        <v>2001</v>
      </c>
      <c r="M130" s="54" t="n">
        <v>2005</v>
      </c>
      <c r="O130" s="16"/>
      <c r="P130" s="54" t="n">
        <v>1978</v>
      </c>
      <c r="Q130" s="53" t="n">
        <v>1982</v>
      </c>
      <c r="R130" s="53" t="n">
        <v>1985</v>
      </c>
      <c r="S130" s="52" t="n">
        <v>1989</v>
      </c>
      <c r="T130" s="54" t="s">
        <v>580</v>
      </c>
      <c r="U130" s="168" t="s">
        <v>579</v>
      </c>
      <c r="V130" s="52"/>
      <c r="W130" s="54" t="n">
        <v>1998</v>
      </c>
      <c r="X130" s="52" t="n">
        <v>1995</v>
      </c>
      <c r="Y130" s="54" t="n">
        <v>2001</v>
      </c>
      <c r="Z130" s="54" t="n">
        <v>2005</v>
      </c>
    </row>
    <row r="131" customFormat="false" ht="15" hidden="false" customHeight="false" outlineLevel="0" collapsed="false">
      <c r="B131" s="21" t="s">
        <v>26</v>
      </c>
      <c r="C131" s="55" t="s">
        <v>167</v>
      </c>
      <c r="D131" s="55" t="s">
        <v>167</v>
      </c>
      <c r="E131" s="55" t="s">
        <v>167</v>
      </c>
      <c r="F131" s="55" t="s">
        <v>167</v>
      </c>
      <c r="G131" s="55" t="s">
        <v>167</v>
      </c>
      <c r="H131" s="55" t="s">
        <v>167</v>
      </c>
      <c r="I131" s="55" t="s">
        <v>167</v>
      </c>
      <c r="J131" s="55" t="s">
        <v>167</v>
      </c>
      <c r="K131" s="55" t="s">
        <v>167</v>
      </c>
      <c r="L131" s="55" t="s">
        <v>167</v>
      </c>
      <c r="M131" s="55" t="s">
        <v>167</v>
      </c>
      <c r="O131" s="21" t="s">
        <v>26</v>
      </c>
      <c r="P131" s="55" t="s">
        <v>166</v>
      </c>
      <c r="Q131" s="55" t="s">
        <v>166</v>
      </c>
      <c r="R131" s="55" t="s">
        <v>166</v>
      </c>
      <c r="S131" s="55" t="s">
        <v>166</v>
      </c>
      <c r="T131" s="55" t="s">
        <v>166</v>
      </c>
      <c r="U131" s="55" t="s">
        <v>166</v>
      </c>
      <c r="V131" s="55" t="s">
        <v>166</v>
      </c>
      <c r="W131" s="55" t="s">
        <v>166</v>
      </c>
      <c r="X131" s="55" t="s">
        <v>166</v>
      </c>
      <c r="Y131" s="55" t="s">
        <v>166</v>
      </c>
      <c r="Z131" s="55" t="s">
        <v>166</v>
      </c>
    </row>
    <row r="132" customFormat="false" ht="12.75" hidden="false" customHeight="false" outlineLevel="0" collapsed="false">
      <c r="B132" s="169" t="s">
        <v>187</v>
      </c>
      <c r="C132" s="170"/>
      <c r="D132" s="100" t="n">
        <v>41.09</v>
      </c>
      <c r="E132" s="62" t="n">
        <v>41.077</v>
      </c>
      <c r="F132" s="115" t="n">
        <v>41.09</v>
      </c>
      <c r="G132" s="116" t="s">
        <v>660</v>
      </c>
      <c r="H132" s="171" t="s">
        <v>660</v>
      </c>
      <c r="I132" s="172" t="s">
        <v>661</v>
      </c>
      <c r="J132" s="100" t="n">
        <v>41.077</v>
      </c>
      <c r="K132" s="99" t="n">
        <v>41.09</v>
      </c>
      <c r="L132" s="171" t="s">
        <v>660</v>
      </c>
      <c r="M132" s="173" t="n">
        <v>41.09</v>
      </c>
      <c r="O132" s="169" t="s">
        <v>187</v>
      </c>
      <c r="P132" s="174" t="str">
        <f aca="false">IF(IF(ISBLANK(C132),1,(TRIM(C132)="")),"",ROUND(C132/4.184,3))</f>
        <v/>
      </c>
      <c r="Q132" s="175" t="n">
        <f aca="false">IF(IF(ISBLANK(D132),1,(TRIM(D132)="")),"",ROUND(D132/4.184,3))</f>
        <v>9.821</v>
      </c>
      <c r="R132" s="176" t="n">
        <f aca="false">IF(IF(ISBLANK(E132),1,(TRIM(E132)="")),"",ROUND(E132/4.184,3))</f>
        <v>9.818</v>
      </c>
      <c r="S132" s="175" t="n">
        <f aca="false">IF(IF(ISBLANK(F132),1,(TRIM(F132)="")),"",ROUND(F132/4.184,3))</f>
        <v>9.821</v>
      </c>
      <c r="T132" s="176" t="n">
        <f aca="false">IF(IF(ISBLANK(G132),1,(TRIM(G132)="")),"",ROUND(G132/4.184,3))</f>
        <v>9.821</v>
      </c>
      <c r="U132" s="175" t="n">
        <f aca="false">IF(IF(ISBLANK(H132),1,(TRIM(H132)="")),"",ROUND(H132/4.184,3))</f>
        <v>9.821</v>
      </c>
      <c r="V132" s="176" t="n">
        <f aca="false">IF(IF(ISBLANK(I132),1,(TRIM(I132)="")),"",ROUND(I132/4.184,3))</f>
        <v>9.816</v>
      </c>
      <c r="W132" s="175" t="n">
        <f aca="false">IF(IF(ISBLANK(J132),1,(TRIM(J132)="")),"",ROUND(J132/4.184,3))</f>
        <v>9.818</v>
      </c>
      <c r="X132" s="176" t="n">
        <f aca="false">IF(IF(ISBLANK(K132),1,(TRIM(K132)="")),"",ROUND(K132/4.184,3))</f>
        <v>9.821</v>
      </c>
      <c r="Y132" s="175" t="n">
        <f aca="false">IF(IF(ISBLANK(L132),1,(TRIM(L132)="")),"",ROUND(L132/4.184,3))</f>
        <v>9.821</v>
      </c>
      <c r="Z132" s="177" t="n">
        <f aca="false">IF(IF(ISBLANK(M132),1,(TRIM(M132)="")),"",ROUND(M132/4.184,3))</f>
        <v>9.821</v>
      </c>
    </row>
    <row r="133" customFormat="false" ht="13.5" hidden="false" customHeight="false" outlineLevel="0" collapsed="false">
      <c r="B133" s="178" t="s">
        <v>188</v>
      </c>
      <c r="C133" s="179" t="n">
        <v>22.85</v>
      </c>
      <c r="D133" s="143"/>
      <c r="E133" s="62" t="n">
        <v>22.853</v>
      </c>
      <c r="F133" s="163"/>
      <c r="G133" s="153"/>
      <c r="H133" s="180"/>
      <c r="I133" s="181" t="s">
        <v>699</v>
      </c>
      <c r="J133" s="143"/>
      <c r="K133" s="153"/>
      <c r="L133" s="182"/>
      <c r="M133" s="183"/>
      <c r="O133" s="178" t="s">
        <v>188</v>
      </c>
      <c r="P133" s="184" t="n">
        <f aca="false">IF(IF(ISBLANK(C133),1,(TRIM(C133)="")),"",ROUND(C133/4.184,3))</f>
        <v>5.461</v>
      </c>
      <c r="Q133" s="185" t="str">
        <f aca="false">IF(IF(ISBLANK(D133),1,(TRIM(D133)="")),"",ROUND(D133/4.184,3))</f>
        <v/>
      </c>
      <c r="R133" s="186" t="n">
        <f aca="false">IF(IF(ISBLANK(E133),1,(TRIM(E133)="")),"",ROUND(E133/4.184,3))</f>
        <v>5.462</v>
      </c>
      <c r="S133" s="185" t="str">
        <f aca="false">IF(IF(ISBLANK(F133),1,(TRIM(F133)="")),"",ROUND(F133/4.184,3))</f>
        <v/>
      </c>
      <c r="T133" s="186" t="str">
        <f aca="false">IF(IF(ISBLANK(G133),1,(TRIM(G133)="")),"",ROUND(G133/4.184,3))</f>
        <v/>
      </c>
      <c r="U133" s="185" t="str">
        <f aca="false">IF(IF(ISBLANK(H133),1,(TRIM(H133)="")),"",ROUND(H133/4.184,3))</f>
        <v/>
      </c>
      <c r="V133" s="186" t="n">
        <f aca="false">IF(IF(ISBLANK(I133),1,(TRIM(I133)="")),"",ROUND(I133/4.184,3))</f>
        <v>5.461</v>
      </c>
      <c r="W133" s="185" t="str">
        <f aca="false">IF(IF(ISBLANK(J133),1,(TRIM(J133)="")),"",ROUND(J133/4.184,3))</f>
        <v/>
      </c>
      <c r="X133" s="186" t="str">
        <f aca="false">IF(IF(ISBLANK(K133),1,(TRIM(K133)="")),"",ROUND(K133/4.184,3))</f>
        <v/>
      </c>
      <c r="Y133" s="185" t="str">
        <f aca="false">IF(IF(ISBLANK(L133),1,(TRIM(L133)="")),"",ROUND(L133/4.184,3))</f>
        <v/>
      </c>
      <c r="Z133" s="187" t="str">
        <f aca="false">IF(IF(ISBLANK(M133),1,(TRIM(M133)="")),"",ROUND(M133/4.184,3))</f>
        <v/>
      </c>
    </row>
    <row r="134" customFormat="false" ht="13.5" hidden="false" customHeight="false" outlineLevel="0" collapsed="false">
      <c r="B134" s="166" t="s">
        <v>16</v>
      </c>
      <c r="C134" s="81" t="s">
        <v>506</v>
      </c>
      <c r="D134" s="82" t="s">
        <v>505</v>
      </c>
      <c r="E134" s="82" t="s">
        <v>505</v>
      </c>
      <c r="F134" s="81" t="s">
        <v>505</v>
      </c>
      <c r="G134" s="82" t="s">
        <v>505</v>
      </c>
      <c r="H134" s="111" t="s">
        <v>505</v>
      </c>
      <c r="I134" s="82" t="s">
        <v>505</v>
      </c>
      <c r="J134" s="82" t="s">
        <v>505</v>
      </c>
      <c r="K134" s="82" t="s">
        <v>505</v>
      </c>
      <c r="L134" s="82" t="s">
        <v>505</v>
      </c>
      <c r="M134" s="82" t="s">
        <v>505</v>
      </c>
      <c r="O134" s="80" t="s">
        <v>16</v>
      </c>
      <c r="P134" s="188" t="s">
        <v>506</v>
      </c>
      <c r="Q134" s="158" t="s">
        <v>505</v>
      </c>
      <c r="R134" s="158" t="s">
        <v>505</v>
      </c>
      <c r="S134" s="188" t="s">
        <v>505</v>
      </c>
      <c r="T134" s="158" t="s">
        <v>505</v>
      </c>
      <c r="U134" s="189" t="s">
        <v>505</v>
      </c>
      <c r="V134" s="158" t="s">
        <v>505</v>
      </c>
      <c r="W134" s="158" t="s">
        <v>505</v>
      </c>
      <c r="X134" s="158" t="s">
        <v>505</v>
      </c>
      <c r="Y134" s="158" t="s">
        <v>505</v>
      </c>
      <c r="Z134" s="158" t="s">
        <v>505</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BC13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8" activeCellId="2" sqref="B16:B122 E16:F122 B8"/>
    </sheetView>
  </sheetViews>
  <sheetFormatPr defaultRowHeight="12.75" zeroHeight="false" outlineLevelRow="0" outlineLevelCol="0"/>
  <cols>
    <col collapsed="false" customWidth="true" hidden="false" outlineLevel="0" max="48" min="1" style="0" width="11.42"/>
    <col collapsed="false" customWidth="true" hidden="false" outlineLevel="0" max="53" min="49" style="190" width="11.42"/>
    <col collapsed="false" customWidth="true" hidden="false" outlineLevel="0" max="1025" min="54" style="0" width="11.42"/>
  </cols>
  <sheetData>
    <row r="1" customFormat="false" ht="12.75" hidden="false" customHeight="false" outlineLevel="0" collapsed="false">
      <c r="A1" s="9" t="str">
        <f aca="true">MID(CELL("filename",$A$1),   FIND("\[",CELL("filename",$A$1))+2,   FIND("]",CELL("filename",$A$1),FIND("\[",CELL("filename",$A$1))+2)-FIND("\[",CELL("filename",$A$1))-2)</f>
        <v>TDProperties_Rev0_v69.xlsx</v>
      </c>
    </row>
    <row r="2" customFormat="false" ht="12.75" hidden="false" customHeight="false" outlineLevel="0" collapsed="false">
      <c r="A2" s="0" t="str">
        <f aca="true">MID(CELL("filename",A1),FIND("]",CELL("filename",A1))+1,256)</f>
        <v>Elements Combo</v>
      </c>
    </row>
    <row r="4" customFormat="false" ht="12.75" hidden="false" customHeight="false" outlineLevel="0" collapsed="false">
      <c r="A4" s="9" t="s">
        <v>700</v>
      </c>
      <c r="B4" s="10"/>
      <c r="C4" s="10"/>
    </row>
    <row r="5" customFormat="false" ht="12.75" hidden="false" customHeight="false" outlineLevel="0" collapsed="false">
      <c r="A5" s="10" t="s">
        <v>701</v>
      </c>
      <c r="B5" s="10"/>
      <c r="C5" s="10"/>
    </row>
    <row r="7" customFormat="false" ht="12.75" hidden="false" customHeight="false" outlineLevel="0" collapsed="false">
      <c r="A7" s="10"/>
    </row>
    <row r="8" customFormat="false" ht="12.75" hidden="false" customHeight="false" outlineLevel="0" collapsed="false">
      <c r="A8" s="10"/>
    </row>
    <row r="9" customFormat="false" ht="12.75" hidden="false" customHeight="false" outlineLevel="0" collapsed="false">
      <c r="A9" s="9"/>
      <c r="H9" s="191"/>
    </row>
    <row r="10" customFormat="false" ht="12.75" hidden="false" customHeight="false" outlineLevel="0" collapsed="false">
      <c r="A10" s="9"/>
    </row>
    <row r="11" customFormat="false" ht="12.75" hidden="false" customHeight="false" outlineLevel="0" collapsed="false">
      <c r="B11" s="9" t="s">
        <v>702</v>
      </c>
      <c r="N11" s="9" t="s">
        <v>152</v>
      </c>
      <c r="Z11" s="9" t="s">
        <v>703</v>
      </c>
      <c r="AL11" s="9"/>
      <c r="AO11" s="191"/>
    </row>
    <row r="12" customFormat="false" ht="12.75" hidden="false" customHeight="false" outlineLevel="0" collapsed="false">
      <c r="B12" s="46" t="s">
        <v>155</v>
      </c>
      <c r="C12" s="10"/>
      <c r="L12" s="10"/>
      <c r="N12" s="46" t="s">
        <v>155</v>
      </c>
      <c r="U12" s="10"/>
      <c r="Z12" s="46" t="s">
        <v>155</v>
      </c>
      <c r="AA12" s="10"/>
      <c r="AJ12" s="10"/>
      <c r="AL12" s="46"/>
      <c r="AS12" s="10"/>
    </row>
    <row r="13" customFormat="false" ht="12.75" hidden="false" customHeight="false" outlineLevel="0" collapsed="false">
      <c r="B13" s="9" t="s">
        <v>157</v>
      </c>
      <c r="C13" s="10"/>
      <c r="L13" s="10"/>
      <c r="N13" s="9" t="s">
        <v>157</v>
      </c>
      <c r="U13" s="10"/>
      <c r="Z13" s="9" t="s">
        <v>157</v>
      </c>
      <c r="AA13" s="10"/>
      <c r="AJ13" s="10"/>
      <c r="AL13" s="9"/>
      <c r="AS13" s="10"/>
    </row>
    <row r="14" customFormat="false" ht="13.5" hidden="false" customHeight="false" outlineLevel="0" collapsed="false">
      <c r="B14" s="10"/>
      <c r="C14" s="10"/>
      <c r="D14" s="10"/>
      <c r="E14" s="10"/>
      <c r="F14" s="10"/>
      <c r="G14" s="10"/>
      <c r="H14" s="10"/>
      <c r="I14" s="10"/>
      <c r="J14" s="10"/>
      <c r="K14" s="10"/>
      <c r="L14" s="10"/>
      <c r="M14" s="10"/>
      <c r="N14" s="10"/>
      <c r="O14" s="10"/>
      <c r="P14" s="10"/>
      <c r="Q14" s="10"/>
      <c r="R14" s="10"/>
      <c r="S14" s="10"/>
      <c r="T14" s="10"/>
      <c r="U14" s="10"/>
      <c r="V14" s="10"/>
      <c r="W14" s="10"/>
      <c r="X14" s="10"/>
      <c r="Z14" s="10"/>
      <c r="AA14" s="10"/>
      <c r="AB14" s="10"/>
      <c r="AC14" s="10"/>
      <c r="AD14" s="10"/>
      <c r="AE14" s="10"/>
      <c r="AF14" s="10"/>
      <c r="AG14" s="10"/>
      <c r="AH14" s="10"/>
      <c r="AI14" s="10"/>
      <c r="AJ14" s="10"/>
      <c r="AK14" s="10"/>
      <c r="AL14" s="10"/>
      <c r="AM14" s="10"/>
      <c r="AN14" s="10"/>
      <c r="AO14" s="10"/>
      <c r="AP14" s="10"/>
      <c r="AQ14" s="10"/>
      <c r="AR14" s="10"/>
      <c r="AS14" s="10"/>
      <c r="AT14" s="10"/>
      <c r="AU14" s="10"/>
      <c r="AV14" s="10"/>
      <c r="AW14" s="192"/>
      <c r="AX14" s="192"/>
      <c r="AY14" s="192"/>
      <c r="AZ14" s="192"/>
      <c r="BA14" s="192"/>
      <c r="BC14" s="10"/>
    </row>
    <row r="15" customFormat="false" ht="13.5" hidden="false" customHeight="false" outlineLevel="0" collapsed="false">
      <c r="A15" s="73"/>
      <c r="B15" s="48" t="s">
        <v>160</v>
      </c>
      <c r="C15" s="48" t="s">
        <v>161</v>
      </c>
      <c r="D15" s="48" t="s">
        <v>161</v>
      </c>
      <c r="E15" s="48" t="s">
        <v>207</v>
      </c>
      <c r="F15" s="95" t="s">
        <v>208</v>
      </c>
      <c r="G15" s="48" t="s">
        <v>209</v>
      </c>
      <c r="H15" s="48" t="s">
        <v>210</v>
      </c>
      <c r="I15" s="48" t="s">
        <v>211</v>
      </c>
      <c r="J15" s="48" t="s">
        <v>212</v>
      </c>
      <c r="K15" s="95" t="s">
        <v>213</v>
      </c>
      <c r="L15" s="48" t="s">
        <v>161</v>
      </c>
      <c r="M15" s="48" t="s">
        <v>214</v>
      </c>
      <c r="N15" s="48" t="s">
        <v>556</v>
      </c>
      <c r="O15" s="95" t="s">
        <v>557</v>
      </c>
      <c r="P15" s="95" t="s">
        <v>558</v>
      </c>
      <c r="Q15" s="48" t="s">
        <v>529</v>
      </c>
      <c r="R15" s="48" t="s">
        <v>559</v>
      </c>
      <c r="S15" s="95" t="s">
        <v>560</v>
      </c>
      <c r="T15" s="48" t="s">
        <v>561</v>
      </c>
      <c r="U15" s="95" t="s">
        <v>562</v>
      </c>
      <c r="V15" s="48" t="s">
        <v>563</v>
      </c>
      <c r="W15" s="121" t="s">
        <v>564</v>
      </c>
      <c r="X15" s="121" t="s">
        <v>565</v>
      </c>
      <c r="Z15" s="48" t="s">
        <v>160</v>
      </c>
      <c r="AA15" s="48" t="s">
        <v>161</v>
      </c>
      <c r="AB15" s="48" t="s">
        <v>161</v>
      </c>
      <c r="AC15" s="48" t="s">
        <v>207</v>
      </c>
      <c r="AD15" s="95" t="s">
        <v>208</v>
      </c>
      <c r="AE15" s="48" t="s">
        <v>209</v>
      </c>
      <c r="AF15" s="48" t="s">
        <v>210</v>
      </c>
      <c r="AG15" s="48" t="s">
        <v>211</v>
      </c>
      <c r="AH15" s="48" t="s">
        <v>212</v>
      </c>
      <c r="AI15" s="95" t="s">
        <v>213</v>
      </c>
      <c r="AJ15" s="48" t="s">
        <v>161</v>
      </c>
      <c r="AK15" s="48" t="s">
        <v>214</v>
      </c>
      <c r="AL15" s="48" t="s">
        <v>556</v>
      </c>
      <c r="AM15" s="95" t="s">
        <v>557</v>
      </c>
      <c r="AN15" s="95" t="s">
        <v>558</v>
      </c>
      <c r="AO15" s="48" t="s">
        <v>529</v>
      </c>
      <c r="AP15" s="48" t="s">
        <v>559</v>
      </c>
      <c r="AQ15" s="95" t="s">
        <v>560</v>
      </c>
      <c r="AR15" s="48" t="s">
        <v>561</v>
      </c>
      <c r="AS15" s="95" t="s">
        <v>562</v>
      </c>
      <c r="AT15" s="48" t="s">
        <v>563</v>
      </c>
      <c r="AU15" s="121" t="s">
        <v>564</v>
      </c>
      <c r="AV15" s="121" t="s">
        <v>565</v>
      </c>
      <c r="AW15" s="193"/>
      <c r="AX15" s="193"/>
      <c r="AY15" s="194"/>
      <c r="AZ15" s="194"/>
      <c r="BA15" s="193"/>
      <c r="BC15" s="49"/>
    </row>
    <row r="16" customFormat="false" ht="12.75" hidden="false" customHeight="false" outlineLevel="0" collapsed="false">
      <c r="A16" s="46"/>
      <c r="B16" s="11"/>
      <c r="C16" s="50" t="s">
        <v>162</v>
      </c>
      <c r="D16" s="51" t="s">
        <v>163</v>
      </c>
      <c r="E16" s="50"/>
      <c r="F16" s="51" t="s">
        <v>215</v>
      </c>
      <c r="G16" s="51" t="s">
        <v>216</v>
      </c>
      <c r="H16" s="51" t="s">
        <v>217</v>
      </c>
      <c r="I16" s="51" t="s">
        <v>218</v>
      </c>
      <c r="J16" s="96" t="s">
        <v>219</v>
      </c>
      <c r="K16" s="51" t="s">
        <v>216</v>
      </c>
      <c r="L16" s="51" t="s">
        <v>220</v>
      </c>
      <c r="M16" s="51"/>
      <c r="N16" s="51" t="s">
        <v>566</v>
      </c>
      <c r="O16" s="50" t="s">
        <v>567</v>
      </c>
      <c r="P16" s="50" t="s">
        <v>568</v>
      </c>
      <c r="Q16" s="96" t="s">
        <v>530</v>
      </c>
      <c r="R16" s="51" t="s">
        <v>569</v>
      </c>
      <c r="S16" s="50" t="s">
        <v>560</v>
      </c>
      <c r="T16" s="96" t="s">
        <v>570</v>
      </c>
      <c r="U16" s="51" t="s">
        <v>571</v>
      </c>
      <c r="V16" s="96" t="s">
        <v>218</v>
      </c>
      <c r="W16" s="51" t="s">
        <v>572</v>
      </c>
      <c r="X16" s="51" t="s">
        <v>573</v>
      </c>
      <c r="Z16" s="11"/>
      <c r="AA16" s="50" t="s">
        <v>162</v>
      </c>
      <c r="AB16" s="51" t="s">
        <v>163</v>
      </c>
      <c r="AC16" s="50"/>
      <c r="AD16" s="51" t="s">
        <v>215</v>
      </c>
      <c r="AE16" s="51" t="s">
        <v>216</v>
      </c>
      <c r="AF16" s="51" t="s">
        <v>217</v>
      </c>
      <c r="AG16" s="51" t="s">
        <v>218</v>
      </c>
      <c r="AH16" s="96" t="s">
        <v>219</v>
      </c>
      <c r="AI16" s="51" t="s">
        <v>216</v>
      </c>
      <c r="AJ16" s="51" t="s">
        <v>220</v>
      </c>
      <c r="AK16" s="51"/>
      <c r="AL16" s="51" t="s">
        <v>566</v>
      </c>
      <c r="AM16" s="50" t="s">
        <v>567</v>
      </c>
      <c r="AN16" s="50" t="s">
        <v>568</v>
      </c>
      <c r="AO16" s="96" t="s">
        <v>530</v>
      </c>
      <c r="AP16" s="51" t="s">
        <v>569</v>
      </c>
      <c r="AQ16" s="50" t="s">
        <v>560</v>
      </c>
      <c r="AR16" s="96" t="s">
        <v>570</v>
      </c>
      <c r="AS16" s="51" t="s">
        <v>571</v>
      </c>
      <c r="AT16" s="96" t="s">
        <v>218</v>
      </c>
      <c r="AU16" s="51" t="s">
        <v>572</v>
      </c>
      <c r="AV16" s="51" t="s">
        <v>573</v>
      </c>
      <c r="AW16" s="193"/>
      <c r="AX16" s="195"/>
      <c r="AY16" s="196"/>
      <c r="AZ16" s="197"/>
      <c r="BA16" s="198"/>
      <c r="BC16" s="52"/>
    </row>
    <row r="17" customFormat="false" ht="12.75" hidden="false" customHeight="false" outlineLevel="0" collapsed="false">
      <c r="A17" s="46"/>
      <c r="B17" s="16" t="s">
        <v>20</v>
      </c>
      <c r="C17" s="53" t="s">
        <v>164</v>
      </c>
      <c r="D17" s="54" t="s">
        <v>165</v>
      </c>
      <c r="E17" s="53" t="s">
        <v>217</v>
      </c>
      <c r="F17" s="54" t="s">
        <v>165</v>
      </c>
      <c r="G17" s="54" t="s">
        <v>221</v>
      </c>
      <c r="H17" s="54" t="s">
        <v>222</v>
      </c>
      <c r="I17" s="54" t="s">
        <v>223</v>
      </c>
      <c r="J17" s="52" t="s">
        <v>224</v>
      </c>
      <c r="K17" s="54" t="s">
        <v>225</v>
      </c>
      <c r="L17" s="54" t="s">
        <v>165</v>
      </c>
      <c r="M17" s="54" t="s">
        <v>226</v>
      </c>
      <c r="N17" s="54" t="s">
        <v>165</v>
      </c>
      <c r="O17" s="53" t="s">
        <v>165</v>
      </c>
      <c r="P17" s="53" t="s">
        <v>165</v>
      </c>
      <c r="Q17" s="52" t="s">
        <v>165</v>
      </c>
      <c r="R17" s="54" t="s">
        <v>165</v>
      </c>
      <c r="S17" s="54" t="s">
        <v>574</v>
      </c>
      <c r="T17" s="52" t="n">
        <v>1995</v>
      </c>
      <c r="U17" s="54" t="s">
        <v>575</v>
      </c>
      <c r="V17" s="52" t="s">
        <v>576</v>
      </c>
      <c r="W17" s="54" t="s">
        <v>165</v>
      </c>
      <c r="X17" s="54" t="s">
        <v>577</v>
      </c>
      <c r="Z17" s="16" t="s">
        <v>20</v>
      </c>
      <c r="AA17" s="53" t="s">
        <v>164</v>
      </c>
      <c r="AB17" s="54" t="s">
        <v>165</v>
      </c>
      <c r="AC17" s="53" t="s">
        <v>704</v>
      </c>
      <c r="AD17" s="54" t="s">
        <v>165</v>
      </c>
      <c r="AE17" s="54" t="s">
        <v>221</v>
      </c>
      <c r="AF17" s="54" t="s">
        <v>222</v>
      </c>
      <c r="AG17" s="54" t="s">
        <v>223</v>
      </c>
      <c r="AH17" s="52" t="s">
        <v>224</v>
      </c>
      <c r="AI17" s="54" t="s">
        <v>225</v>
      </c>
      <c r="AJ17" s="54" t="s">
        <v>165</v>
      </c>
      <c r="AK17" s="54" t="s">
        <v>226</v>
      </c>
      <c r="AL17" s="54" t="s">
        <v>165</v>
      </c>
      <c r="AM17" s="53" t="s">
        <v>165</v>
      </c>
      <c r="AN17" s="53" t="s">
        <v>165</v>
      </c>
      <c r="AO17" s="52" t="s">
        <v>165</v>
      </c>
      <c r="AP17" s="54" t="s">
        <v>165</v>
      </c>
      <c r="AQ17" s="54" t="s">
        <v>574</v>
      </c>
      <c r="AR17" s="52" t="n">
        <v>1995</v>
      </c>
      <c r="AS17" s="54" t="s">
        <v>575</v>
      </c>
      <c r="AT17" s="52" t="s">
        <v>576</v>
      </c>
      <c r="AU17" s="54" t="s">
        <v>165</v>
      </c>
      <c r="AV17" s="54" t="s">
        <v>577</v>
      </c>
      <c r="AW17" s="193"/>
      <c r="AX17" s="199"/>
      <c r="AY17" s="200"/>
      <c r="AZ17" s="201"/>
      <c r="BA17" s="202"/>
      <c r="BC17" s="52"/>
    </row>
    <row r="18" customFormat="false" ht="13.5" hidden="false" customHeight="false" outlineLevel="0" collapsed="false">
      <c r="A18" s="46"/>
      <c r="B18" s="16" t="s">
        <v>17</v>
      </c>
      <c r="C18" s="53" t="n">
        <v>1917</v>
      </c>
      <c r="D18" s="54" t="n">
        <v>1922</v>
      </c>
      <c r="E18" s="53" t="n">
        <v>1932</v>
      </c>
      <c r="F18" s="54" t="n">
        <v>1952</v>
      </c>
      <c r="G18" s="54" t="n">
        <v>1956</v>
      </c>
      <c r="H18" s="54" t="n">
        <v>1961</v>
      </c>
      <c r="I18" s="54" t="n">
        <v>1968</v>
      </c>
      <c r="J18" s="52" t="s">
        <v>227</v>
      </c>
      <c r="K18" s="54" t="n">
        <v>1971</v>
      </c>
      <c r="L18" s="54" t="n">
        <v>1973</v>
      </c>
      <c r="M18" s="54" t="n">
        <v>1982</v>
      </c>
      <c r="N18" s="54" t="n">
        <v>1978</v>
      </c>
      <c r="O18" s="53" t="n">
        <v>1982</v>
      </c>
      <c r="P18" s="53" t="n">
        <v>1985</v>
      </c>
      <c r="Q18" s="52" t="n">
        <v>1989</v>
      </c>
      <c r="R18" s="54" t="s">
        <v>580</v>
      </c>
      <c r="S18" s="53" t="s">
        <v>579</v>
      </c>
      <c r="T18" s="52"/>
      <c r="U18" s="54" t="n">
        <v>1998</v>
      </c>
      <c r="V18" s="52" t="n">
        <v>1995</v>
      </c>
      <c r="W18" s="54" t="n">
        <v>2001</v>
      </c>
      <c r="X18" s="54" t="n">
        <v>2005</v>
      </c>
      <c r="Z18" s="16" t="s">
        <v>17</v>
      </c>
      <c r="AA18" s="53" t="n">
        <v>1917</v>
      </c>
      <c r="AB18" s="54" t="n">
        <v>1922</v>
      </c>
      <c r="AC18" s="53" t="n">
        <v>1932</v>
      </c>
      <c r="AD18" s="54" t="n">
        <v>1952</v>
      </c>
      <c r="AE18" s="54" t="n">
        <v>1956</v>
      </c>
      <c r="AF18" s="54" t="n">
        <v>1961</v>
      </c>
      <c r="AG18" s="54" t="n">
        <v>1968</v>
      </c>
      <c r="AH18" s="52" t="s">
        <v>227</v>
      </c>
      <c r="AI18" s="54" t="n">
        <v>1971</v>
      </c>
      <c r="AJ18" s="54" t="n">
        <v>1973</v>
      </c>
      <c r="AK18" s="54" t="n">
        <v>1982</v>
      </c>
      <c r="AL18" s="54" t="n">
        <v>1978</v>
      </c>
      <c r="AM18" s="53" t="n">
        <v>1982</v>
      </c>
      <c r="AN18" s="53" t="n">
        <v>1985</v>
      </c>
      <c r="AO18" s="52" t="n">
        <v>1989</v>
      </c>
      <c r="AP18" s="54" t="s">
        <v>578</v>
      </c>
      <c r="AQ18" s="53" t="s">
        <v>579</v>
      </c>
      <c r="AR18" s="52"/>
      <c r="AS18" s="54" t="n">
        <v>1998</v>
      </c>
      <c r="AT18" s="52" t="n">
        <v>1995</v>
      </c>
      <c r="AU18" s="54" t="n">
        <v>2001</v>
      </c>
      <c r="AV18" s="54" t="n">
        <v>2005</v>
      </c>
      <c r="AW18" s="193"/>
      <c r="AX18" s="199"/>
      <c r="AY18" s="200"/>
      <c r="AZ18" s="193"/>
      <c r="BA18" s="203"/>
      <c r="BC18" s="52"/>
    </row>
    <row r="19" customFormat="false" ht="15" hidden="false" customHeight="false" outlineLevel="0" collapsed="false">
      <c r="A19" s="46"/>
      <c r="B19" s="21" t="s">
        <v>29</v>
      </c>
      <c r="C19" s="55" t="s">
        <v>167</v>
      </c>
      <c r="D19" s="55" t="s">
        <v>167</v>
      </c>
      <c r="E19" s="55" t="s">
        <v>167</v>
      </c>
      <c r="F19" s="55" t="s">
        <v>167</v>
      </c>
      <c r="G19" s="55" t="s">
        <v>167</v>
      </c>
      <c r="H19" s="55" t="s">
        <v>167</v>
      </c>
      <c r="I19" s="55" t="s">
        <v>167</v>
      </c>
      <c r="J19" s="55" t="s">
        <v>167</v>
      </c>
      <c r="K19" s="55" t="s">
        <v>167</v>
      </c>
      <c r="L19" s="55" t="s">
        <v>167</v>
      </c>
      <c r="M19" s="55" t="s">
        <v>167</v>
      </c>
      <c r="N19" s="55" t="s">
        <v>167</v>
      </c>
      <c r="O19" s="55" t="s">
        <v>167</v>
      </c>
      <c r="P19" s="55" t="s">
        <v>167</v>
      </c>
      <c r="Q19" s="55" t="s">
        <v>167</v>
      </c>
      <c r="R19" s="55" t="s">
        <v>167</v>
      </c>
      <c r="S19" s="55" t="s">
        <v>167</v>
      </c>
      <c r="T19" s="55" t="s">
        <v>167</v>
      </c>
      <c r="U19" s="55" t="s">
        <v>167</v>
      </c>
      <c r="V19" s="55" t="s">
        <v>167</v>
      </c>
      <c r="W19" s="55" t="s">
        <v>167</v>
      </c>
      <c r="X19" s="55" t="s">
        <v>167</v>
      </c>
      <c r="Z19" s="21" t="s">
        <v>29</v>
      </c>
      <c r="AA19" s="55" t="s">
        <v>167</v>
      </c>
      <c r="AB19" s="55" t="s">
        <v>167</v>
      </c>
      <c r="AC19" s="55" t="s">
        <v>167</v>
      </c>
      <c r="AD19" s="55" t="s">
        <v>167</v>
      </c>
      <c r="AE19" s="55" t="s">
        <v>167</v>
      </c>
      <c r="AF19" s="55" t="s">
        <v>167</v>
      </c>
      <c r="AG19" s="55" t="s">
        <v>167</v>
      </c>
      <c r="AH19" s="55" t="s">
        <v>167</v>
      </c>
      <c r="AI19" s="55" t="s">
        <v>167</v>
      </c>
      <c r="AJ19" s="55" t="s">
        <v>167</v>
      </c>
      <c r="AK19" s="55" t="s">
        <v>167</v>
      </c>
      <c r="AL19" s="55" t="s">
        <v>167</v>
      </c>
      <c r="AM19" s="55" t="s">
        <v>167</v>
      </c>
      <c r="AN19" s="55" t="s">
        <v>167</v>
      </c>
      <c r="AO19" s="55" t="s">
        <v>167</v>
      </c>
      <c r="AP19" s="55" t="s">
        <v>167</v>
      </c>
      <c r="AQ19" s="55" t="s">
        <v>167</v>
      </c>
      <c r="AR19" s="55" t="s">
        <v>167</v>
      </c>
      <c r="AS19" s="55" t="s">
        <v>167</v>
      </c>
      <c r="AT19" s="55" t="s">
        <v>167</v>
      </c>
      <c r="AU19" s="55" t="s">
        <v>167</v>
      </c>
      <c r="AV19" s="55" t="s">
        <v>167</v>
      </c>
      <c r="AW19" s="193"/>
      <c r="AX19" s="204" t="s">
        <v>26</v>
      </c>
      <c r="AY19" s="205" t="s">
        <v>185</v>
      </c>
      <c r="AZ19" s="206" t="s">
        <v>705</v>
      </c>
      <c r="BA19" s="207" t="s">
        <v>706</v>
      </c>
      <c r="BC19" s="52"/>
    </row>
    <row r="20" customFormat="false" ht="12.75" hidden="false" customHeight="false" outlineLevel="0" collapsed="false">
      <c r="A20" s="73"/>
      <c r="B20" s="26" t="s">
        <v>30</v>
      </c>
      <c r="C20" s="85"/>
      <c r="D20" s="101"/>
      <c r="E20" s="85"/>
      <c r="F20" s="101"/>
      <c r="G20" s="85" t="n">
        <v>62.76</v>
      </c>
      <c r="H20" s="101" t="n">
        <v>62.76</v>
      </c>
      <c r="I20" s="85"/>
      <c r="J20" s="101" t="n">
        <v>56.484</v>
      </c>
      <c r="K20" s="85"/>
      <c r="L20" s="101"/>
      <c r="M20" s="85"/>
      <c r="N20" s="57"/>
      <c r="O20" s="59" t="n">
        <v>56.5</v>
      </c>
      <c r="P20" s="100"/>
      <c r="Q20" s="129"/>
      <c r="R20" s="100"/>
      <c r="S20" s="56"/>
      <c r="T20" s="98"/>
      <c r="U20" s="59"/>
      <c r="V20" s="98"/>
      <c r="W20" s="99"/>
      <c r="X20" s="100" t="n">
        <v>56.5</v>
      </c>
      <c r="Z20" s="26" t="s">
        <v>30</v>
      </c>
      <c r="AA20" s="208" t="str">
        <f aca="false">IF(C20="","",VALUE(C20))</f>
        <v/>
      </c>
      <c r="AB20" s="209" t="str">
        <f aca="false">IF(D20="","",VALUE(D20))</f>
        <v/>
      </c>
      <c r="AC20" s="208" t="str">
        <f aca="false">IF(E20="","",VALUE(E20))</f>
        <v/>
      </c>
      <c r="AD20" s="209" t="str">
        <f aca="false">IF(F20="","",VALUE(F20))</f>
        <v/>
      </c>
      <c r="AE20" s="208" t="n">
        <f aca="false">IF(G20="","",VALUE(G20))</f>
        <v>62.76</v>
      </c>
      <c r="AF20" s="209" t="n">
        <f aca="false">IF(H20="","",VALUE(H20))</f>
        <v>62.76</v>
      </c>
      <c r="AG20" s="208" t="str">
        <f aca="false">IF(I20="","",VALUE(I20))</f>
        <v/>
      </c>
      <c r="AH20" s="209" t="n">
        <f aca="false">IF(J20="","",VALUE(J20))</f>
        <v>56.484</v>
      </c>
      <c r="AI20" s="208" t="str">
        <f aca="false">IF(K20="","",VALUE(K20))</f>
        <v/>
      </c>
      <c r="AJ20" s="209" t="str">
        <f aca="false">IF(L20="","",VALUE(L20))</f>
        <v/>
      </c>
      <c r="AK20" s="208" t="str">
        <f aca="false">IF(M20="","",VALUE(M20))</f>
        <v/>
      </c>
      <c r="AL20" s="209" t="str">
        <f aca="false">IF(N20="","",VALUE(N20))</f>
        <v/>
      </c>
      <c r="AM20" s="208" t="n">
        <f aca="false">IF(O20="","",VALUE(O20))</f>
        <v>56.5</v>
      </c>
      <c r="AN20" s="209" t="str">
        <f aca="false">IF(P20="","",VALUE(P20))</f>
        <v/>
      </c>
      <c r="AO20" s="208" t="str">
        <f aca="false">IF(Q20="","",VALUE(Q20))</f>
        <v/>
      </c>
      <c r="AP20" s="209" t="str">
        <f aca="false">IF(R20="","",VALUE(R20))</f>
        <v/>
      </c>
      <c r="AQ20" s="208" t="str">
        <f aca="false">IF(S20="","",VALUE(S20))</f>
        <v/>
      </c>
      <c r="AR20" s="209" t="str">
        <f aca="false">IF(T20="","",VALUE(T20))</f>
        <v/>
      </c>
      <c r="AS20" s="208" t="str">
        <f aca="false">IF(U20="","",VALUE(U20))</f>
        <v/>
      </c>
      <c r="AT20" s="209" t="str">
        <f aca="false">IF(V20="","",VALUE(V20))</f>
        <v/>
      </c>
      <c r="AU20" s="208" t="str">
        <f aca="false">IF(W20="","",VALUE(W20))</f>
        <v/>
      </c>
      <c r="AV20" s="209" t="n">
        <f aca="false">IF(X20="","",VALUE(X20))</f>
        <v>56.5</v>
      </c>
      <c r="AW20" s="210"/>
      <c r="AX20" s="211" t="str">
        <f aca="false">Z20</f>
        <v>Ac</v>
      </c>
      <c r="AY20" s="212" t="n">
        <f aca="false">COUNT(AA20:AV20)</f>
        <v>5</v>
      </c>
      <c r="AZ20" s="210" t="n">
        <f aca="false">IF(AY20=0,"",MIN(AA20:AV20))</f>
        <v>56.484</v>
      </c>
      <c r="BA20" s="213" t="n">
        <f aca="false">IF(AY20=0,"",MAX(AA20:AV20))</f>
        <v>62.76</v>
      </c>
      <c r="BC20" s="214"/>
    </row>
    <row r="21" customFormat="false" ht="12.75" hidden="false" customHeight="false" outlineLevel="0" collapsed="false">
      <c r="A21" s="73"/>
      <c r="B21" s="31" t="s">
        <v>31</v>
      </c>
      <c r="C21" s="85" t="n">
        <v>42.677</v>
      </c>
      <c r="D21" s="101" t="n">
        <v>42.886</v>
      </c>
      <c r="E21" s="85" t="n">
        <v>42.677</v>
      </c>
      <c r="F21" s="101" t="n">
        <v>42.702</v>
      </c>
      <c r="G21" s="85" t="n">
        <v>42.677</v>
      </c>
      <c r="H21" s="101" t="n">
        <v>42.677</v>
      </c>
      <c r="I21" s="85" t="n">
        <v>42.677</v>
      </c>
      <c r="J21" s="101" t="n">
        <v>42.551</v>
      </c>
      <c r="K21" s="85"/>
      <c r="L21" s="101" t="n">
        <v>42.677</v>
      </c>
      <c r="M21" s="85" t="n">
        <v>42.551</v>
      </c>
      <c r="N21" s="63" t="n">
        <v>42.55</v>
      </c>
      <c r="O21" s="62" t="n">
        <v>42.55</v>
      </c>
      <c r="P21" s="63"/>
      <c r="Q21" s="136" t="n">
        <v>42.55</v>
      </c>
      <c r="R21" s="63"/>
      <c r="S21" s="64" t="s">
        <v>581</v>
      </c>
      <c r="T21" s="102" t="n">
        <v>42.677</v>
      </c>
      <c r="U21" s="62"/>
      <c r="V21" s="102" t="n">
        <v>42.55</v>
      </c>
      <c r="W21" s="64" t="s">
        <v>581</v>
      </c>
      <c r="X21" s="63" t="n">
        <v>42.55</v>
      </c>
      <c r="Z21" s="31" t="s">
        <v>31</v>
      </c>
      <c r="AA21" s="208" t="n">
        <f aca="false">IF(C21="","",VALUE(C21))</f>
        <v>42.677</v>
      </c>
      <c r="AB21" s="209" t="n">
        <f aca="false">IF(D21="","",VALUE(D21))</f>
        <v>42.886</v>
      </c>
      <c r="AC21" s="208" t="n">
        <f aca="false">IF(E21="","",VALUE(E21))</f>
        <v>42.677</v>
      </c>
      <c r="AD21" s="209" t="n">
        <f aca="false">IF(F21="","",VALUE(F21))</f>
        <v>42.702</v>
      </c>
      <c r="AE21" s="208" t="n">
        <f aca="false">IF(G21="","",VALUE(G21))</f>
        <v>42.677</v>
      </c>
      <c r="AF21" s="209" t="n">
        <f aca="false">IF(H21="","",VALUE(H21))</f>
        <v>42.677</v>
      </c>
      <c r="AG21" s="208" t="n">
        <f aca="false">IF(I21="","",VALUE(I21))</f>
        <v>42.677</v>
      </c>
      <c r="AH21" s="209" t="n">
        <f aca="false">IF(J21="","",VALUE(J21))</f>
        <v>42.551</v>
      </c>
      <c r="AI21" s="208" t="str">
        <f aca="false">IF(K21="","",VALUE(K21))</f>
        <v/>
      </c>
      <c r="AJ21" s="209" t="n">
        <f aca="false">IF(L21="","",VALUE(L21))</f>
        <v>42.677</v>
      </c>
      <c r="AK21" s="208" t="n">
        <f aca="false">IF(M21="","",VALUE(M21))</f>
        <v>42.551</v>
      </c>
      <c r="AL21" s="209" t="n">
        <f aca="false">IF(N21="","",VALUE(N21))</f>
        <v>42.55</v>
      </c>
      <c r="AM21" s="208" t="n">
        <f aca="false">IF(O21="","",VALUE(O21))</f>
        <v>42.55</v>
      </c>
      <c r="AN21" s="209" t="str">
        <f aca="false">IF(P21="","",VALUE(P21))</f>
        <v/>
      </c>
      <c r="AO21" s="208" t="n">
        <f aca="false">IF(Q21="","",VALUE(Q21))</f>
        <v>42.55</v>
      </c>
      <c r="AP21" s="209" t="str">
        <f aca="false">IF(R21="","",VALUE(R21))</f>
        <v/>
      </c>
      <c r="AQ21" s="208" t="n">
        <f aca="false">IF(S21="","",VALUE(S21))</f>
        <v>42.55</v>
      </c>
      <c r="AR21" s="209" t="n">
        <f aca="false">IF(T21="","",VALUE(T21))</f>
        <v>42.677</v>
      </c>
      <c r="AS21" s="208" t="str">
        <f aca="false">IF(U21="","",VALUE(U21))</f>
        <v/>
      </c>
      <c r="AT21" s="209" t="n">
        <f aca="false">IF(V21="","",VALUE(V21))</f>
        <v>42.55</v>
      </c>
      <c r="AU21" s="208" t="n">
        <f aca="false">IF(W21="","",VALUE(W21))</f>
        <v>42.55</v>
      </c>
      <c r="AV21" s="209" t="n">
        <f aca="false">IF(X21="","",VALUE(X21))</f>
        <v>42.55</v>
      </c>
      <c r="AW21" s="210"/>
      <c r="AX21" s="211" t="str">
        <f aca="false">Z21</f>
        <v>Ag</v>
      </c>
      <c r="AY21" s="212" t="n">
        <f aca="false">COUNT(AA21:AV21)</f>
        <v>18</v>
      </c>
      <c r="AZ21" s="210" t="n">
        <f aca="false">IF(AY21=0,"",MIN(AA21:AV21))</f>
        <v>42.55</v>
      </c>
      <c r="BA21" s="213" t="n">
        <f aca="false">IF(AY21=0,"",MAX(AA21:AV21))</f>
        <v>42.886</v>
      </c>
      <c r="BC21" s="214"/>
    </row>
    <row r="22" customFormat="false" ht="12.75" hidden="false" customHeight="false" outlineLevel="0" collapsed="false">
      <c r="A22" s="73"/>
      <c r="B22" s="31" t="s">
        <v>32</v>
      </c>
      <c r="C22" s="85" t="n">
        <v>28.87</v>
      </c>
      <c r="D22" s="101" t="n">
        <v>28.535</v>
      </c>
      <c r="E22" s="85" t="n">
        <v>28.242</v>
      </c>
      <c r="F22" s="101" t="n">
        <v>28.321</v>
      </c>
      <c r="G22" s="85" t="n">
        <v>28.326</v>
      </c>
      <c r="H22" s="101" t="n">
        <v>28.326</v>
      </c>
      <c r="I22" s="85" t="n">
        <v>28.326</v>
      </c>
      <c r="J22" s="101" t="n">
        <v>28.326</v>
      </c>
      <c r="K22" s="85" t="n">
        <v>28.321</v>
      </c>
      <c r="L22" s="101" t="n">
        <v>28.326</v>
      </c>
      <c r="M22" s="85" t="n">
        <v>28.351</v>
      </c>
      <c r="N22" s="63" t="n">
        <v>28.35</v>
      </c>
      <c r="O22" s="62" t="n">
        <v>28.33</v>
      </c>
      <c r="P22" s="63" t="n">
        <v>28.275</v>
      </c>
      <c r="Q22" s="141" t="s">
        <v>532</v>
      </c>
      <c r="R22" s="65" t="s">
        <v>582</v>
      </c>
      <c r="S22" s="64" t="s">
        <v>582</v>
      </c>
      <c r="T22" s="102" t="n">
        <v>28.275</v>
      </c>
      <c r="U22" s="62" t="n">
        <v>28.275</v>
      </c>
      <c r="V22" s="103" t="s">
        <v>532</v>
      </c>
      <c r="W22" s="64" t="s">
        <v>582</v>
      </c>
      <c r="X22" s="65" t="s">
        <v>532</v>
      </c>
      <c r="Z22" s="31" t="s">
        <v>32</v>
      </c>
      <c r="AA22" s="208" t="n">
        <f aca="false">IF(C22="","",VALUE(C22))</f>
        <v>28.87</v>
      </c>
      <c r="AB22" s="209" t="n">
        <f aca="false">IF(D22="","",VALUE(D22))</f>
        <v>28.535</v>
      </c>
      <c r="AC22" s="208" t="n">
        <f aca="false">IF(E22="","",VALUE(E22))</f>
        <v>28.242</v>
      </c>
      <c r="AD22" s="209" t="n">
        <f aca="false">IF(F22="","",VALUE(F22))</f>
        <v>28.321</v>
      </c>
      <c r="AE22" s="208" t="n">
        <f aca="false">IF(G22="","",VALUE(G22))</f>
        <v>28.326</v>
      </c>
      <c r="AF22" s="209" t="n">
        <f aca="false">IF(H22="","",VALUE(H22))</f>
        <v>28.326</v>
      </c>
      <c r="AG22" s="208" t="n">
        <f aca="false">IF(I22="","",VALUE(I22))</f>
        <v>28.326</v>
      </c>
      <c r="AH22" s="209" t="n">
        <f aca="false">IF(J22="","",VALUE(J22))</f>
        <v>28.326</v>
      </c>
      <c r="AI22" s="208" t="n">
        <f aca="false">IF(K22="","",VALUE(K22))</f>
        <v>28.321</v>
      </c>
      <c r="AJ22" s="209" t="n">
        <f aca="false">IF(L22="","",VALUE(L22))</f>
        <v>28.326</v>
      </c>
      <c r="AK22" s="208" t="n">
        <f aca="false">IF(M22="","",VALUE(M22))</f>
        <v>28.351</v>
      </c>
      <c r="AL22" s="209" t="n">
        <f aca="false">IF(N22="","",VALUE(N22))</f>
        <v>28.35</v>
      </c>
      <c r="AM22" s="208" t="n">
        <f aca="false">IF(O22="","",VALUE(O22))</f>
        <v>28.33</v>
      </c>
      <c r="AN22" s="209" t="n">
        <f aca="false">IF(P22="","",VALUE(P22))</f>
        <v>28.275</v>
      </c>
      <c r="AO22" s="208" t="n">
        <f aca="false">IF(Q22="","",VALUE(Q22))</f>
        <v>28.3</v>
      </c>
      <c r="AP22" s="209" t="n">
        <f aca="false">IF(R22="","",VALUE(R22))</f>
        <v>28.3</v>
      </c>
      <c r="AQ22" s="208" t="n">
        <f aca="false">IF(S22="","",VALUE(S22))</f>
        <v>28.3</v>
      </c>
      <c r="AR22" s="209" t="n">
        <f aca="false">IF(T22="","",VALUE(T22))</f>
        <v>28.275</v>
      </c>
      <c r="AS22" s="208" t="n">
        <f aca="false">IF(U22="","",VALUE(U22))</f>
        <v>28.275</v>
      </c>
      <c r="AT22" s="209" t="n">
        <f aca="false">IF(V22="","",VALUE(V22))</f>
        <v>28.3</v>
      </c>
      <c r="AU22" s="208" t="n">
        <f aca="false">IF(W22="","",VALUE(W22))</f>
        <v>28.3</v>
      </c>
      <c r="AV22" s="209" t="n">
        <f aca="false">IF(X22="","",VALUE(X22))</f>
        <v>28.3</v>
      </c>
      <c r="AW22" s="210"/>
      <c r="AX22" s="211" t="str">
        <f aca="false">Z22</f>
        <v>Al</v>
      </c>
      <c r="AY22" s="212" t="n">
        <f aca="false">COUNT(AA22:AV22)</f>
        <v>22</v>
      </c>
      <c r="AZ22" s="210" t="n">
        <f aca="false">IF(AY22=0,"",MIN(AA22:AV22))</f>
        <v>28.242</v>
      </c>
      <c r="BA22" s="213" t="n">
        <f aca="false">IF(AY22=0,"",MAX(AA22:AV22))</f>
        <v>28.87</v>
      </c>
      <c r="BC22" s="214"/>
    </row>
    <row r="23" customFormat="false" ht="12.75" hidden="false" customHeight="false" outlineLevel="0" collapsed="false">
      <c r="A23" s="73"/>
      <c r="B23" s="31" t="s">
        <v>33</v>
      </c>
      <c r="C23" s="85"/>
      <c r="D23" s="101"/>
      <c r="E23" s="85"/>
      <c r="F23" s="101"/>
      <c r="G23" s="85"/>
      <c r="H23" s="101"/>
      <c r="I23" s="85"/>
      <c r="J23" s="101"/>
      <c r="K23" s="85"/>
      <c r="L23" s="101"/>
      <c r="M23" s="85" t="n">
        <v>54.488</v>
      </c>
      <c r="N23" s="63"/>
      <c r="O23" s="64"/>
      <c r="P23" s="65"/>
      <c r="Q23" s="136"/>
      <c r="R23" s="63"/>
      <c r="S23" s="64" t="s">
        <v>583</v>
      </c>
      <c r="T23" s="102" t="n">
        <v>54.488</v>
      </c>
      <c r="U23" s="62"/>
      <c r="V23" s="102"/>
      <c r="W23" s="62"/>
      <c r="X23" s="63" t="n">
        <v>62.7</v>
      </c>
      <c r="Z23" s="31" t="s">
        <v>33</v>
      </c>
      <c r="AA23" s="208" t="str">
        <f aca="false">IF(C23="","",VALUE(C23))</f>
        <v/>
      </c>
      <c r="AB23" s="209" t="str">
        <f aca="false">IF(D23="","",VALUE(D23))</f>
        <v/>
      </c>
      <c r="AC23" s="208" t="str">
        <f aca="false">IF(E23="","",VALUE(E23))</f>
        <v/>
      </c>
      <c r="AD23" s="209" t="str">
        <f aca="false">IF(F23="","",VALUE(F23))</f>
        <v/>
      </c>
      <c r="AE23" s="208" t="str">
        <f aca="false">IF(G23="","",VALUE(G23))</f>
        <v/>
      </c>
      <c r="AF23" s="209" t="str">
        <f aca="false">IF(H23="","",VALUE(H23))</f>
        <v/>
      </c>
      <c r="AG23" s="208" t="str">
        <f aca="false">IF(I23="","",VALUE(I23))</f>
        <v/>
      </c>
      <c r="AH23" s="209" t="str">
        <f aca="false">IF(J23="","",VALUE(J23))</f>
        <v/>
      </c>
      <c r="AI23" s="208" t="str">
        <f aca="false">IF(K23="","",VALUE(K23))</f>
        <v/>
      </c>
      <c r="AJ23" s="209" t="str">
        <f aca="false">IF(L23="","",VALUE(L23))</f>
        <v/>
      </c>
      <c r="AK23" s="208" t="n">
        <f aca="false">IF(M23="","",VALUE(M23))</f>
        <v>54.488</v>
      </c>
      <c r="AL23" s="209" t="str">
        <f aca="false">IF(N23="","",VALUE(N23))</f>
        <v/>
      </c>
      <c r="AM23" s="208" t="str">
        <f aca="false">IF(O23="","",VALUE(O23))</f>
        <v/>
      </c>
      <c r="AN23" s="209" t="str">
        <f aca="false">IF(P23="","",VALUE(P23))</f>
        <v/>
      </c>
      <c r="AO23" s="208" t="str">
        <f aca="false">IF(Q23="","",VALUE(Q23))</f>
        <v/>
      </c>
      <c r="AP23" s="209" t="str">
        <f aca="false">IF(R23="","",VALUE(R23))</f>
        <v/>
      </c>
      <c r="AQ23" s="208" t="n">
        <f aca="false">IF(S23="","",VALUE(S23))</f>
        <v>55.4</v>
      </c>
      <c r="AR23" s="209" t="n">
        <f aca="false">IF(T23="","",VALUE(T23))</f>
        <v>54.488</v>
      </c>
      <c r="AS23" s="208" t="str">
        <f aca="false">IF(U23="","",VALUE(U23))</f>
        <v/>
      </c>
      <c r="AT23" s="209" t="str">
        <f aca="false">IF(V23="","",VALUE(V23))</f>
        <v/>
      </c>
      <c r="AU23" s="208" t="str">
        <f aca="false">IF(W23="","",VALUE(W23))</f>
        <v/>
      </c>
      <c r="AV23" s="209" t="n">
        <f aca="false">IF(X23="","",VALUE(X23))</f>
        <v>62.7</v>
      </c>
      <c r="AW23" s="210"/>
      <c r="AX23" s="211" t="str">
        <f aca="false">Z23</f>
        <v>Am</v>
      </c>
      <c r="AY23" s="212" t="n">
        <f aca="false">COUNT(AA23:AV23)</f>
        <v>4</v>
      </c>
      <c r="AZ23" s="210" t="n">
        <f aca="false">IF(AY23=0,"",MIN(AA23:AV23))</f>
        <v>54.488</v>
      </c>
      <c r="BA23" s="213" t="n">
        <f aca="false">IF(AY23=0,"",MAX(AA23:AV23))</f>
        <v>62.7</v>
      </c>
      <c r="BC23" s="214"/>
    </row>
    <row r="24" customFormat="false" ht="12.75" hidden="false" customHeight="false" outlineLevel="0" collapsed="false">
      <c r="A24" s="73"/>
      <c r="B24" s="31" t="s">
        <v>34</v>
      </c>
      <c r="C24" s="85" t="n">
        <v>152.407</v>
      </c>
      <c r="D24" s="101" t="n">
        <v>153.662</v>
      </c>
      <c r="E24" s="85" t="n">
        <v>154.876</v>
      </c>
      <c r="F24" s="101" t="n">
        <v>154.846</v>
      </c>
      <c r="G24" s="85" t="n">
        <v>154.834</v>
      </c>
      <c r="H24" s="101" t="n">
        <v>154.834</v>
      </c>
      <c r="I24" s="85"/>
      <c r="J24" s="101" t="n">
        <v>154.843</v>
      </c>
      <c r="K24" s="85"/>
      <c r="L24" s="101" t="n">
        <v>154.842</v>
      </c>
      <c r="M24" s="85" t="n">
        <v>154.846</v>
      </c>
      <c r="N24" s="63" t="n">
        <v>154.84</v>
      </c>
      <c r="O24" s="62" t="n">
        <v>154.843</v>
      </c>
      <c r="P24" s="63" t="n">
        <v>154.845</v>
      </c>
      <c r="Q24" s="136" t="n">
        <v>154.846</v>
      </c>
      <c r="R24" s="63" t="s">
        <v>584</v>
      </c>
      <c r="S24" s="64" t="n">
        <v>154.846</v>
      </c>
      <c r="T24" s="102" t="n">
        <v>154.845</v>
      </c>
      <c r="U24" s="62" t="n">
        <v>154.845</v>
      </c>
      <c r="V24" s="102"/>
      <c r="W24" s="64" t="s">
        <v>585</v>
      </c>
      <c r="X24" s="63" t="n">
        <v>154.846</v>
      </c>
      <c r="Z24" s="31" t="s">
        <v>34</v>
      </c>
      <c r="AA24" s="208" t="n">
        <f aca="false">IF(C24="","",VALUE(C24))</f>
        <v>152.407</v>
      </c>
      <c r="AB24" s="209" t="n">
        <f aca="false">IF(D24="","",VALUE(D24))</f>
        <v>153.662</v>
      </c>
      <c r="AC24" s="208" t="n">
        <f aca="false">IF(E24="","",VALUE(E24))</f>
        <v>154.876</v>
      </c>
      <c r="AD24" s="209" t="n">
        <f aca="false">IF(F24="","",VALUE(F24))</f>
        <v>154.846</v>
      </c>
      <c r="AE24" s="208" t="n">
        <f aca="false">IF(G24="","",VALUE(G24))</f>
        <v>154.834</v>
      </c>
      <c r="AF24" s="209" t="n">
        <f aca="false">IF(H24="","",VALUE(H24))</f>
        <v>154.834</v>
      </c>
      <c r="AG24" s="208" t="str">
        <f aca="false">IF(I24="","",VALUE(I24))</f>
        <v/>
      </c>
      <c r="AH24" s="209" t="n">
        <f aca="false">IF(J24="","",VALUE(J24))</f>
        <v>154.843</v>
      </c>
      <c r="AI24" s="208" t="str">
        <f aca="false">IF(K24="","",VALUE(K24))</f>
        <v/>
      </c>
      <c r="AJ24" s="209" t="n">
        <f aca="false">IF(L24="","",VALUE(L24))</f>
        <v>154.842</v>
      </c>
      <c r="AK24" s="208" t="n">
        <f aca="false">IF(M24="","",VALUE(M24))</f>
        <v>154.846</v>
      </c>
      <c r="AL24" s="209" t="n">
        <f aca="false">IF(N24="","",VALUE(N24))</f>
        <v>154.84</v>
      </c>
      <c r="AM24" s="208" t="n">
        <f aca="false">IF(O24="","",VALUE(O24))</f>
        <v>154.843</v>
      </c>
      <c r="AN24" s="209" t="n">
        <f aca="false">IF(P24="","",VALUE(P24))</f>
        <v>154.845</v>
      </c>
      <c r="AO24" s="208" t="n">
        <f aca="false">IF(Q24="","",VALUE(Q24))</f>
        <v>154.846</v>
      </c>
      <c r="AP24" s="209" t="n">
        <f aca="false">IF(R24="","",VALUE(R24))</f>
        <v>154.845</v>
      </c>
      <c r="AQ24" s="208" t="n">
        <f aca="false">IF(S24="","",VALUE(S24))</f>
        <v>154.846</v>
      </c>
      <c r="AR24" s="209" t="n">
        <f aca="false">IF(T24="","",VALUE(T24))</f>
        <v>154.845</v>
      </c>
      <c r="AS24" s="208" t="n">
        <f aca="false">IF(U24="","",VALUE(U24))</f>
        <v>154.845</v>
      </c>
      <c r="AT24" s="209" t="str">
        <f aca="false">IF(V24="","",VALUE(V24))</f>
        <v/>
      </c>
      <c r="AU24" s="208" t="n">
        <f aca="false">IF(W24="","",VALUE(W24))</f>
        <v>154.847</v>
      </c>
      <c r="AV24" s="209" t="n">
        <f aca="false">IF(X24="","",VALUE(X24))</f>
        <v>154.846</v>
      </c>
      <c r="AW24" s="210"/>
      <c r="AX24" s="211" t="str">
        <f aca="false">Z24</f>
        <v>Ar</v>
      </c>
      <c r="AY24" s="212" t="n">
        <f aca="false">COUNT(AA24:AV24)</f>
        <v>19</v>
      </c>
      <c r="AZ24" s="210" t="n">
        <f aca="false">IF(AY24=0,"",MIN(AA24:AV24))</f>
        <v>152.407</v>
      </c>
      <c r="BA24" s="213" t="n">
        <f aca="false">IF(AY24=0,"",MAX(AA24:AV24))</f>
        <v>154.876</v>
      </c>
      <c r="BC24" s="214"/>
    </row>
    <row r="25" customFormat="false" ht="12.75" hidden="false" customHeight="false" outlineLevel="0" collapsed="false">
      <c r="A25" s="73"/>
      <c r="B25" s="31" t="s">
        <v>35</v>
      </c>
      <c r="C25" s="85"/>
      <c r="D25" s="101"/>
      <c r="E25" s="85" t="n">
        <v>35.146</v>
      </c>
      <c r="F25" s="101" t="n">
        <v>35.146</v>
      </c>
      <c r="G25" s="85" t="n">
        <v>35.146</v>
      </c>
      <c r="H25" s="101" t="n">
        <v>35.146</v>
      </c>
      <c r="I25" s="85" t="n">
        <v>35.146</v>
      </c>
      <c r="J25" s="101" t="n">
        <v>35.146</v>
      </c>
      <c r="K25" s="85"/>
      <c r="L25" s="101" t="n">
        <v>35.69</v>
      </c>
      <c r="M25" s="85" t="n">
        <v>35.706</v>
      </c>
      <c r="N25" s="63" t="n">
        <v>35.69</v>
      </c>
      <c r="O25" s="62" t="n">
        <v>35.1</v>
      </c>
      <c r="P25" s="63"/>
      <c r="Q25" s="136"/>
      <c r="R25" s="63"/>
      <c r="S25" s="64" t="s">
        <v>586</v>
      </c>
      <c r="T25" s="102" t="n">
        <v>35.706</v>
      </c>
      <c r="U25" s="62"/>
      <c r="V25" s="102" t="n">
        <v>35.69</v>
      </c>
      <c r="W25" s="62"/>
      <c r="X25" s="63" t="n">
        <v>35.1</v>
      </c>
      <c r="Z25" s="31" t="s">
        <v>35</v>
      </c>
      <c r="AA25" s="208" t="str">
        <f aca="false">IF(C25="","",VALUE(C25))</f>
        <v/>
      </c>
      <c r="AB25" s="209" t="str">
        <f aca="false">IF(D25="","",VALUE(D25))</f>
        <v/>
      </c>
      <c r="AC25" s="208" t="n">
        <f aca="false">IF(E25="","",VALUE(E25))</f>
        <v>35.146</v>
      </c>
      <c r="AD25" s="209" t="n">
        <f aca="false">IF(F25="","",VALUE(F25))</f>
        <v>35.146</v>
      </c>
      <c r="AE25" s="208" t="n">
        <f aca="false">IF(G25="","",VALUE(G25))</f>
        <v>35.146</v>
      </c>
      <c r="AF25" s="209" t="n">
        <f aca="false">IF(H25="","",VALUE(H25))</f>
        <v>35.146</v>
      </c>
      <c r="AG25" s="208" t="n">
        <f aca="false">IF(I25="","",VALUE(I25))</f>
        <v>35.146</v>
      </c>
      <c r="AH25" s="209" t="n">
        <f aca="false">IF(J25="","",VALUE(J25))</f>
        <v>35.146</v>
      </c>
      <c r="AI25" s="208" t="str">
        <f aca="false">IF(K25="","",VALUE(K25))</f>
        <v/>
      </c>
      <c r="AJ25" s="209" t="n">
        <f aca="false">IF(L25="","",VALUE(L25))</f>
        <v>35.69</v>
      </c>
      <c r="AK25" s="208" t="n">
        <f aca="false">IF(M25="","",VALUE(M25))</f>
        <v>35.706</v>
      </c>
      <c r="AL25" s="209" t="n">
        <f aca="false">IF(N25="","",VALUE(N25))</f>
        <v>35.69</v>
      </c>
      <c r="AM25" s="208" t="n">
        <f aca="false">IF(O25="","",VALUE(O25))</f>
        <v>35.1</v>
      </c>
      <c r="AN25" s="209" t="str">
        <f aca="false">IF(P25="","",VALUE(P25))</f>
        <v/>
      </c>
      <c r="AO25" s="208" t="str">
        <f aca="false">IF(Q25="","",VALUE(Q25))</f>
        <v/>
      </c>
      <c r="AP25" s="209" t="str">
        <f aca="false">IF(R25="","",VALUE(R25))</f>
        <v/>
      </c>
      <c r="AQ25" s="208" t="n">
        <f aca="false">IF(S25="","",VALUE(S25))</f>
        <v>35.1</v>
      </c>
      <c r="AR25" s="209" t="n">
        <f aca="false">IF(T25="","",VALUE(T25))</f>
        <v>35.706</v>
      </c>
      <c r="AS25" s="208" t="str">
        <f aca="false">IF(U25="","",VALUE(U25))</f>
        <v/>
      </c>
      <c r="AT25" s="209" t="n">
        <f aca="false">IF(V25="","",VALUE(V25))</f>
        <v>35.69</v>
      </c>
      <c r="AU25" s="208" t="str">
        <f aca="false">IF(W25="","",VALUE(W25))</f>
        <v/>
      </c>
      <c r="AV25" s="209" t="n">
        <f aca="false">IF(X25="","",VALUE(X25))</f>
        <v>35.1</v>
      </c>
      <c r="AW25" s="210"/>
      <c r="AX25" s="211" t="str">
        <f aca="false">Z25</f>
        <v>As</v>
      </c>
      <c r="AY25" s="212" t="n">
        <f aca="false">COUNT(AA25:AV25)</f>
        <v>14</v>
      </c>
      <c r="AZ25" s="210" t="n">
        <f aca="false">IF(AY25=0,"",MIN(AA25:AV25))</f>
        <v>35.1</v>
      </c>
      <c r="BA25" s="213" t="n">
        <f aca="false">IF(AY25=0,"",MAX(AA25:AV25))</f>
        <v>35.706</v>
      </c>
      <c r="BC25" s="214"/>
    </row>
    <row r="26" customFormat="false" ht="12.75" hidden="false" customHeight="false" outlineLevel="0" collapsed="false">
      <c r="A26" s="73"/>
      <c r="B26" s="38" t="s">
        <v>37</v>
      </c>
      <c r="C26" s="85"/>
      <c r="D26" s="101"/>
      <c r="E26" s="85"/>
      <c r="F26" s="101"/>
      <c r="G26" s="85" t="n">
        <v>121.336</v>
      </c>
      <c r="H26" s="101" t="n">
        <v>121.336</v>
      </c>
      <c r="I26" s="85"/>
      <c r="J26" s="101"/>
      <c r="K26" s="85"/>
      <c r="L26" s="101"/>
      <c r="M26" s="85"/>
      <c r="N26" s="63"/>
      <c r="O26" s="64"/>
      <c r="P26" s="65"/>
      <c r="Q26" s="136"/>
      <c r="R26" s="63"/>
      <c r="S26" s="64"/>
      <c r="T26" s="102"/>
      <c r="U26" s="62"/>
      <c r="V26" s="102"/>
      <c r="W26" s="62"/>
      <c r="X26" s="63" t="n">
        <v>121.3</v>
      </c>
      <c r="Z26" s="38" t="s">
        <v>37</v>
      </c>
      <c r="AA26" s="208" t="str">
        <f aca="false">IF(C26="","",VALUE(C26))</f>
        <v/>
      </c>
      <c r="AB26" s="209" t="str">
        <f aca="false">IF(D26="","",VALUE(D26))</f>
        <v/>
      </c>
      <c r="AC26" s="208" t="str">
        <f aca="false">IF(E26="","",VALUE(E26))</f>
        <v/>
      </c>
      <c r="AD26" s="209" t="str">
        <f aca="false">IF(F26="","",VALUE(F26))</f>
        <v/>
      </c>
      <c r="AE26" s="208" t="n">
        <f aca="false">IF(G26="","",VALUE(G26))</f>
        <v>121.336</v>
      </c>
      <c r="AF26" s="209" t="n">
        <f aca="false">IF(H26="","",VALUE(H26))</f>
        <v>121.336</v>
      </c>
      <c r="AG26" s="208" t="str">
        <f aca="false">IF(I26="","",VALUE(I26))</f>
        <v/>
      </c>
      <c r="AH26" s="209" t="str">
        <f aca="false">IF(J26="","",VALUE(J26))</f>
        <v/>
      </c>
      <c r="AI26" s="208" t="str">
        <f aca="false">IF(K26="","",VALUE(K26))</f>
        <v/>
      </c>
      <c r="AJ26" s="209" t="str">
        <f aca="false">IF(L26="","",VALUE(L26))</f>
        <v/>
      </c>
      <c r="AK26" s="208" t="str">
        <f aca="false">IF(M26="","",VALUE(M26))</f>
        <v/>
      </c>
      <c r="AL26" s="209" t="str">
        <f aca="false">IF(N26="","",VALUE(N26))</f>
        <v/>
      </c>
      <c r="AM26" s="208" t="str">
        <f aca="false">IF(O26="","",VALUE(O26))</f>
        <v/>
      </c>
      <c r="AN26" s="209" t="str">
        <f aca="false">IF(P26="","",VALUE(P26))</f>
        <v/>
      </c>
      <c r="AO26" s="208" t="str">
        <f aca="false">IF(Q26="","",VALUE(Q26))</f>
        <v/>
      </c>
      <c r="AP26" s="209" t="str">
        <f aca="false">IF(R26="","",VALUE(R26))</f>
        <v/>
      </c>
      <c r="AQ26" s="208" t="str">
        <f aca="false">IF(S26="","",VALUE(S26))</f>
        <v/>
      </c>
      <c r="AR26" s="209" t="str">
        <f aca="false">IF(T26="","",VALUE(T26))</f>
        <v/>
      </c>
      <c r="AS26" s="208" t="str">
        <f aca="false">IF(U26="","",VALUE(U26))</f>
        <v/>
      </c>
      <c r="AT26" s="209" t="str">
        <f aca="false">IF(V26="","",VALUE(V26))</f>
        <v/>
      </c>
      <c r="AU26" s="208" t="str">
        <f aca="false">IF(W26="","",VALUE(W26))</f>
        <v/>
      </c>
      <c r="AV26" s="209" t="n">
        <f aca="false">IF(X26="","",VALUE(X26))</f>
        <v>121.3</v>
      </c>
      <c r="AW26" s="210"/>
      <c r="AX26" s="211" t="str">
        <f aca="false">Z26</f>
        <v>At2</v>
      </c>
      <c r="AY26" s="212" t="n">
        <f aca="false">COUNT(AA26:AV26)</f>
        <v>3</v>
      </c>
      <c r="AZ26" s="210" t="n">
        <f aca="false">IF(AY26=0,"",MIN(AA26:AV26))</f>
        <v>121.3</v>
      </c>
      <c r="BA26" s="213" t="n">
        <f aca="false">IF(AY26=0,"",MAX(AA26:AV26))</f>
        <v>121.336</v>
      </c>
      <c r="BC26" s="214"/>
    </row>
    <row r="27" customFormat="false" ht="12.75" hidden="false" customHeight="false" outlineLevel="0" collapsed="false">
      <c r="A27" s="73"/>
      <c r="B27" s="31" t="s">
        <v>39</v>
      </c>
      <c r="C27" s="85" t="n">
        <v>46.024</v>
      </c>
      <c r="D27" s="101" t="n">
        <v>46.024</v>
      </c>
      <c r="E27" s="85" t="n">
        <v>47.698</v>
      </c>
      <c r="F27" s="101" t="n">
        <v>47.698</v>
      </c>
      <c r="G27" s="85" t="n">
        <v>47.363</v>
      </c>
      <c r="H27" s="101" t="n">
        <v>47.321</v>
      </c>
      <c r="I27" s="85" t="n">
        <v>47.321</v>
      </c>
      <c r="J27" s="101" t="n">
        <v>47.405</v>
      </c>
      <c r="K27" s="85"/>
      <c r="L27" s="101" t="n">
        <v>47.488</v>
      </c>
      <c r="M27" s="85" t="n">
        <v>47.405</v>
      </c>
      <c r="N27" s="63" t="n">
        <v>47.49</v>
      </c>
      <c r="O27" s="64" t="s">
        <v>587</v>
      </c>
      <c r="P27" s="63"/>
      <c r="Q27" s="136"/>
      <c r="R27" s="63"/>
      <c r="S27" s="64"/>
      <c r="T27" s="102" t="n">
        <v>47.497</v>
      </c>
      <c r="U27" s="62"/>
      <c r="V27" s="102" t="n">
        <v>47.49</v>
      </c>
      <c r="W27" s="62"/>
      <c r="X27" s="63" t="n">
        <v>47.4</v>
      </c>
      <c r="Z27" s="31" t="s">
        <v>39</v>
      </c>
      <c r="AA27" s="208" t="n">
        <f aca="false">IF(C27="","",VALUE(C27))</f>
        <v>46.024</v>
      </c>
      <c r="AB27" s="209" t="n">
        <f aca="false">IF(D27="","",VALUE(D27))</f>
        <v>46.024</v>
      </c>
      <c r="AC27" s="208" t="n">
        <f aca="false">IF(E27="","",VALUE(E27))</f>
        <v>47.698</v>
      </c>
      <c r="AD27" s="209" t="n">
        <f aca="false">IF(F27="","",VALUE(F27))</f>
        <v>47.698</v>
      </c>
      <c r="AE27" s="208" t="n">
        <f aca="false">IF(G27="","",VALUE(G27))</f>
        <v>47.363</v>
      </c>
      <c r="AF27" s="209" t="n">
        <f aca="false">IF(H27="","",VALUE(H27))</f>
        <v>47.321</v>
      </c>
      <c r="AG27" s="208" t="n">
        <f aca="false">IF(I27="","",VALUE(I27))</f>
        <v>47.321</v>
      </c>
      <c r="AH27" s="209" t="n">
        <f aca="false">IF(J27="","",VALUE(J27))</f>
        <v>47.405</v>
      </c>
      <c r="AI27" s="208" t="str">
        <f aca="false">IF(K27="","",VALUE(K27))</f>
        <v/>
      </c>
      <c r="AJ27" s="209" t="n">
        <f aca="false">IF(L27="","",VALUE(L27))</f>
        <v>47.488</v>
      </c>
      <c r="AK27" s="208" t="n">
        <f aca="false">IF(M27="","",VALUE(M27))</f>
        <v>47.405</v>
      </c>
      <c r="AL27" s="209" t="n">
        <f aca="false">IF(N27="","",VALUE(N27))</f>
        <v>47.49</v>
      </c>
      <c r="AM27" s="208" t="n">
        <f aca="false">IF(O27="","",VALUE(O27))</f>
        <v>47.4</v>
      </c>
      <c r="AN27" s="209" t="str">
        <f aca="false">IF(P27="","",VALUE(P27))</f>
        <v/>
      </c>
      <c r="AO27" s="208" t="str">
        <f aca="false">IF(Q27="","",VALUE(Q27))</f>
        <v/>
      </c>
      <c r="AP27" s="209" t="str">
        <f aca="false">IF(R27="","",VALUE(R27))</f>
        <v/>
      </c>
      <c r="AQ27" s="208" t="str">
        <f aca="false">IF(S27="","",VALUE(S27))</f>
        <v/>
      </c>
      <c r="AR27" s="209" t="n">
        <f aca="false">IF(T27="","",VALUE(T27))</f>
        <v>47.497</v>
      </c>
      <c r="AS27" s="208" t="str">
        <f aca="false">IF(U27="","",VALUE(U27))</f>
        <v/>
      </c>
      <c r="AT27" s="209" t="n">
        <f aca="false">IF(V27="","",VALUE(V27))</f>
        <v>47.49</v>
      </c>
      <c r="AU27" s="208" t="str">
        <f aca="false">IF(W27="","",VALUE(W27))</f>
        <v/>
      </c>
      <c r="AV27" s="209" t="n">
        <f aca="false">IF(X27="","",VALUE(X27))</f>
        <v>47.4</v>
      </c>
      <c r="AW27" s="210"/>
      <c r="AX27" s="211" t="str">
        <f aca="false">Z27</f>
        <v>Au</v>
      </c>
      <c r="AY27" s="212" t="n">
        <f aca="false">COUNT(AA27:AV27)</f>
        <v>15</v>
      </c>
      <c r="AZ27" s="210" t="n">
        <f aca="false">IF(AY27=0,"",MIN(AA27:AV27))</f>
        <v>46.024</v>
      </c>
      <c r="BA27" s="213" t="n">
        <f aca="false">IF(AY27=0,"",MAX(AA27:AV27))</f>
        <v>47.698</v>
      </c>
      <c r="BC27" s="214"/>
    </row>
    <row r="28" customFormat="false" ht="12.75" hidden="false" customHeight="false" outlineLevel="0" collapsed="false">
      <c r="A28" s="73"/>
      <c r="B28" s="31" t="s">
        <v>40</v>
      </c>
      <c r="C28" s="85"/>
      <c r="D28" s="101"/>
      <c r="E28" s="85"/>
      <c r="F28" s="101" t="n">
        <v>6.527</v>
      </c>
      <c r="G28" s="85" t="n">
        <v>5.858</v>
      </c>
      <c r="H28" s="101" t="n">
        <v>5.87</v>
      </c>
      <c r="I28" s="85" t="n">
        <v>5.87</v>
      </c>
      <c r="J28" s="101" t="n">
        <v>5.858</v>
      </c>
      <c r="K28" s="85" t="n">
        <v>5.87</v>
      </c>
      <c r="L28" s="101" t="n">
        <v>5.858</v>
      </c>
      <c r="M28" s="85" t="n">
        <v>5.899</v>
      </c>
      <c r="N28" s="65" t="s">
        <v>534</v>
      </c>
      <c r="O28" s="62" t="n">
        <v>5.86</v>
      </c>
      <c r="P28" s="63" t="n">
        <v>5.834</v>
      </c>
      <c r="Q28" s="141" t="s">
        <v>534</v>
      </c>
      <c r="R28" s="65" t="s">
        <v>588</v>
      </c>
      <c r="S28" s="64" t="s">
        <v>588</v>
      </c>
      <c r="T28" s="103" t="s">
        <v>589</v>
      </c>
      <c r="U28" s="62" t="n">
        <v>5.834</v>
      </c>
      <c r="V28" s="102" t="n">
        <v>5.83</v>
      </c>
      <c r="W28" s="64" t="s">
        <v>590</v>
      </c>
      <c r="X28" s="65" t="s">
        <v>534</v>
      </c>
      <c r="Z28" s="31" t="s">
        <v>40</v>
      </c>
      <c r="AA28" s="208" t="str">
        <f aca="false">IF(C28="","",VALUE(C28))</f>
        <v/>
      </c>
      <c r="AB28" s="209" t="str">
        <f aca="false">IF(D28="","",VALUE(D28))</f>
        <v/>
      </c>
      <c r="AC28" s="208" t="str">
        <f aca="false">IF(E28="","",VALUE(E28))</f>
        <v/>
      </c>
      <c r="AD28" s="209" t="n">
        <f aca="false">IF(F28="","",VALUE(F28))</f>
        <v>6.527</v>
      </c>
      <c r="AE28" s="208" t="n">
        <f aca="false">IF(G28="","",VALUE(G28))</f>
        <v>5.858</v>
      </c>
      <c r="AF28" s="209" t="n">
        <f aca="false">IF(H28="","",VALUE(H28))</f>
        <v>5.87</v>
      </c>
      <c r="AG28" s="208" t="n">
        <f aca="false">IF(I28="","",VALUE(I28))</f>
        <v>5.87</v>
      </c>
      <c r="AH28" s="209" t="n">
        <f aca="false">IF(J28="","",VALUE(J28))</f>
        <v>5.858</v>
      </c>
      <c r="AI28" s="208" t="n">
        <f aca="false">IF(K28="","",VALUE(K28))</f>
        <v>5.87</v>
      </c>
      <c r="AJ28" s="209" t="n">
        <f aca="false">IF(L28="","",VALUE(L28))</f>
        <v>5.858</v>
      </c>
      <c r="AK28" s="208" t="n">
        <f aca="false">IF(M28="","",VALUE(M28))</f>
        <v>5.899</v>
      </c>
      <c r="AL28" s="209" t="n">
        <f aca="false">IF(N28="","",VALUE(N28))</f>
        <v>5.9</v>
      </c>
      <c r="AM28" s="208" t="n">
        <f aca="false">IF(O28="","",VALUE(O28))</f>
        <v>5.86</v>
      </c>
      <c r="AN28" s="209" t="n">
        <f aca="false">IF(P28="","",VALUE(P28))</f>
        <v>5.834</v>
      </c>
      <c r="AO28" s="208" t="n">
        <f aca="false">IF(Q28="","",VALUE(Q28))</f>
        <v>5.9</v>
      </c>
      <c r="AP28" s="209" t="n">
        <f aca="false">IF(R28="","",VALUE(R28))</f>
        <v>5.9</v>
      </c>
      <c r="AQ28" s="208" t="n">
        <f aca="false">IF(S28="","",VALUE(S28))</f>
        <v>5.9</v>
      </c>
      <c r="AR28" s="209" t="n">
        <f aca="false">IF(T28="","",VALUE(T28))</f>
        <v>5.83</v>
      </c>
      <c r="AS28" s="208" t="n">
        <f aca="false">IF(U28="","",VALUE(U28))</f>
        <v>5.834</v>
      </c>
      <c r="AT28" s="209" t="n">
        <f aca="false">IF(V28="","",VALUE(V28))</f>
        <v>5.83</v>
      </c>
      <c r="AU28" s="208" t="n">
        <f aca="false">IF(W28="","",VALUE(W28))</f>
        <v>5.834</v>
      </c>
      <c r="AV28" s="209" t="n">
        <f aca="false">IF(X28="","",VALUE(X28))</f>
        <v>5.9</v>
      </c>
      <c r="AW28" s="210"/>
      <c r="AX28" s="211" t="str">
        <f aca="false">Z28</f>
        <v>B</v>
      </c>
      <c r="AY28" s="212" t="n">
        <f aca="false">COUNT(AA28:AV28)</f>
        <v>19</v>
      </c>
      <c r="AZ28" s="210" t="n">
        <f aca="false">IF(AY28=0,"",MIN(AA28:AV28))</f>
        <v>5.83</v>
      </c>
      <c r="BA28" s="213" t="n">
        <f aca="false">IF(AY28=0,"",MAX(AA28:AV28))</f>
        <v>6.527</v>
      </c>
      <c r="BC28" s="214"/>
    </row>
    <row r="29" customFormat="false" ht="12.75" hidden="false" customHeight="false" outlineLevel="0" collapsed="false">
      <c r="A29" s="73"/>
      <c r="B29" s="38" t="s">
        <v>41</v>
      </c>
      <c r="C29" s="85"/>
      <c r="D29" s="101"/>
      <c r="E29" s="85" t="n">
        <v>45.606</v>
      </c>
      <c r="F29" s="101" t="n">
        <v>66.944</v>
      </c>
      <c r="G29" s="85" t="n">
        <v>64.852</v>
      </c>
      <c r="H29" s="101" t="n">
        <v>66.944</v>
      </c>
      <c r="I29" s="85" t="n">
        <v>66.944</v>
      </c>
      <c r="J29" s="101" t="n">
        <v>62.76</v>
      </c>
      <c r="K29" s="85"/>
      <c r="L29" s="101" t="n">
        <v>62.417</v>
      </c>
      <c r="M29" s="85" t="n">
        <v>62.417</v>
      </c>
      <c r="N29" s="65" t="s">
        <v>591</v>
      </c>
      <c r="O29" s="62" t="n">
        <v>62.8</v>
      </c>
      <c r="P29" s="63" t="n">
        <v>62.475</v>
      </c>
      <c r="Q29" s="136"/>
      <c r="R29" s="63" t="s">
        <v>592</v>
      </c>
      <c r="S29" s="64" t="s">
        <v>593</v>
      </c>
      <c r="T29" s="102" t="n">
        <v>62.417</v>
      </c>
      <c r="U29" s="62" t="n">
        <v>62.475</v>
      </c>
      <c r="V29" s="102" t="n">
        <v>62.42</v>
      </c>
      <c r="W29" s="64" t="s">
        <v>594</v>
      </c>
      <c r="X29" s="63" t="n">
        <v>62.48</v>
      </c>
      <c r="Z29" s="38" t="s">
        <v>41</v>
      </c>
      <c r="AA29" s="208" t="str">
        <f aca="false">IF(C29="","",VALUE(C29))</f>
        <v/>
      </c>
      <c r="AB29" s="209" t="str">
        <f aca="false">IF(D29="","",VALUE(D29))</f>
        <v/>
      </c>
      <c r="AC29" s="208" t="n">
        <f aca="false">IF(E29="","",VALUE(E29))</f>
        <v>45.606</v>
      </c>
      <c r="AD29" s="209" t="n">
        <f aca="false">IF(F29="","",VALUE(F29))</f>
        <v>66.944</v>
      </c>
      <c r="AE29" s="208" t="n">
        <f aca="false">IF(G29="","",VALUE(G29))</f>
        <v>64.852</v>
      </c>
      <c r="AF29" s="209" t="n">
        <f aca="false">IF(H29="","",VALUE(H29))</f>
        <v>66.944</v>
      </c>
      <c r="AG29" s="208" t="n">
        <f aca="false">IF(I29="","",VALUE(I29))</f>
        <v>66.944</v>
      </c>
      <c r="AH29" s="209" t="n">
        <f aca="false">IF(J29="","",VALUE(J29))</f>
        <v>62.76</v>
      </c>
      <c r="AI29" s="208" t="str">
        <f aca="false">IF(K29="","",VALUE(K29))</f>
        <v/>
      </c>
      <c r="AJ29" s="209" t="n">
        <f aca="false">IF(L29="","",VALUE(L29))</f>
        <v>62.417</v>
      </c>
      <c r="AK29" s="208" t="n">
        <f aca="false">IF(M29="","",VALUE(M29))</f>
        <v>62.417</v>
      </c>
      <c r="AL29" s="209" t="n">
        <f aca="false">IF(N29="","",VALUE(N29))</f>
        <v>62.42</v>
      </c>
      <c r="AM29" s="208" t="n">
        <f aca="false">IF(O29="","",VALUE(O29))</f>
        <v>62.8</v>
      </c>
      <c r="AN29" s="209" t="n">
        <f aca="false">IF(P29="","",VALUE(P29))</f>
        <v>62.475</v>
      </c>
      <c r="AO29" s="208" t="str">
        <f aca="false">IF(Q29="","",VALUE(Q29))</f>
        <v/>
      </c>
      <c r="AP29" s="209" t="n">
        <f aca="false">IF(R29="","",VALUE(R29))</f>
        <v>62.5</v>
      </c>
      <c r="AQ29" s="208" t="n">
        <f aca="false">IF(S29="","",VALUE(S29))</f>
        <v>62.42</v>
      </c>
      <c r="AR29" s="209" t="n">
        <f aca="false">IF(T29="","",VALUE(T29))</f>
        <v>62.417</v>
      </c>
      <c r="AS29" s="208" t="n">
        <f aca="false">IF(U29="","",VALUE(U29))</f>
        <v>62.475</v>
      </c>
      <c r="AT29" s="209" t="n">
        <f aca="false">IF(V29="","",VALUE(V29))</f>
        <v>62.42</v>
      </c>
      <c r="AU29" s="208" t="n">
        <f aca="false">IF(W29="","",VALUE(W29))</f>
        <v>62.352</v>
      </c>
      <c r="AV29" s="209" t="n">
        <f aca="false">IF(X29="","",VALUE(X29))</f>
        <v>62.48</v>
      </c>
      <c r="AW29" s="210"/>
      <c r="AX29" s="211" t="str">
        <f aca="false">Z29</f>
        <v>Ba</v>
      </c>
      <c r="AY29" s="212" t="n">
        <f aca="false">COUNT(AA29:AV29)</f>
        <v>18</v>
      </c>
      <c r="AZ29" s="210" t="n">
        <f aca="false">IF(AY29=0,"",MIN(AA29:AV29))</f>
        <v>45.606</v>
      </c>
      <c r="BA29" s="213" t="n">
        <f aca="false">IF(AY29=0,"",MAX(AA29:AV29))</f>
        <v>66.944</v>
      </c>
      <c r="BC29" s="214"/>
    </row>
    <row r="30" customFormat="false" ht="12.75" hidden="false" customHeight="false" outlineLevel="0" collapsed="false">
      <c r="A30" s="73"/>
      <c r="B30" s="31" t="s">
        <v>42</v>
      </c>
      <c r="C30" s="85" t="n">
        <v>30.543</v>
      </c>
      <c r="D30" s="101" t="n">
        <v>30.543</v>
      </c>
      <c r="E30" s="85" t="n">
        <v>8.954</v>
      </c>
      <c r="F30" s="101" t="n">
        <v>9.54</v>
      </c>
      <c r="G30" s="85" t="n">
        <v>9.54</v>
      </c>
      <c r="H30" s="101" t="n">
        <v>9.54</v>
      </c>
      <c r="I30" s="85" t="n">
        <v>9.54</v>
      </c>
      <c r="J30" s="101" t="n">
        <v>9.498</v>
      </c>
      <c r="K30" s="85" t="n">
        <v>9.54</v>
      </c>
      <c r="L30" s="101" t="n">
        <v>9.498</v>
      </c>
      <c r="M30" s="85" t="n">
        <v>9.498</v>
      </c>
      <c r="N30" s="63" t="n">
        <v>9.54</v>
      </c>
      <c r="O30" s="64" t="s">
        <v>535</v>
      </c>
      <c r="P30" s="65" t="s">
        <v>595</v>
      </c>
      <c r="Q30" s="141" t="s">
        <v>535</v>
      </c>
      <c r="R30" s="65" t="s">
        <v>596</v>
      </c>
      <c r="S30" s="64" t="s">
        <v>596</v>
      </c>
      <c r="T30" s="103" t="s">
        <v>595</v>
      </c>
      <c r="U30" s="64" t="s">
        <v>595</v>
      </c>
      <c r="V30" s="103" t="s">
        <v>535</v>
      </c>
      <c r="W30" s="64" t="s">
        <v>597</v>
      </c>
      <c r="X30" s="65" t="s">
        <v>535</v>
      </c>
      <c r="Z30" s="31" t="s">
        <v>42</v>
      </c>
      <c r="AA30" s="208" t="n">
        <f aca="false">IF(C30="","",VALUE(C30))</f>
        <v>30.543</v>
      </c>
      <c r="AB30" s="209" t="n">
        <f aca="false">IF(D30="","",VALUE(D30))</f>
        <v>30.543</v>
      </c>
      <c r="AC30" s="208" t="n">
        <f aca="false">IF(E30="","",VALUE(E30))</f>
        <v>8.954</v>
      </c>
      <c r="AD30" s="209" t="n">
        <f aca="false">IF(F30="","",VALUE(F30))</f>
        <v>9.54</v>
      </c>
      <c r="AE30" s="208" t="n">
        <f aca="false">IF(G30="","",VALUE(G30))</f>
        <v>9.54</v>
      </c>
      <c r="AF30" s="209" t="n">
        <f aca="false">IF(H30="","",VALUE(H30))</f>
        <v>9.54</v>
      </c>
      <c r="AG30" s="208" t="n">
        <f aca="false">IF(I30="","",VALUE(I30))</f>
        <v>9.54</v>
      </c>
      <c r="AH30" s="209" t="n">
        <f aca="false">IF(J30="","",VALUE(J30))</f>
        <v>9.498</v>
      </c>
      <c r="AI30" s="208" t="n">
        <f aca="false">IF(K30="","",VALUE(K30))</f>
        <v>9.54</v>
      </c>
      <c r="AJ30" s="209" t="n">
        <f aca="false">IF(L30="","",VALUE(L30))</f>
        <v>9.498</v>
      </c>
      <c r="AK30" s="208" t="n">
        <f aca="false">IF(M30="","",VALUE(M30))</f>
        <v>9.498</v>
      </c>
      <c r="AL30" s="209" t="n">
        <f aca="false">IF(N30="","",VALUE(N30))</f>
        <v>9.54</v>
      </c>
      <c r="AM30" s="208" t="n">
        <f aca="false">IF(O30="","",VALUE(O30))</f>
        <v>9.5</v>
      </c>
      <c r="AN30" s="209" t="n">
        <f aca="false">IF(P30="","",VALUE(P30))</f>
        <v>9.44</v>
      </c>
      <c r="AO30" s="208" t="n">
        <f aca="false">IF(Q30="","",VALUE(Q30))</f>
        <v>9.5</v>
      </c>
      <c r="AP30" s="209" t="n">
        <f aca="false">IF(R30="","",VALUE(R30))</f>
        <v>9.5</v>
      </c>
      <c r="AQ30" s="208" t="n">
        <f aca="false">IF(S30="","",VALUE(S30))</f>
        <v>9.5</v>
      </c>
      <c r="AR30" s="209" t="n">
        <f aca="false">IF(T30="","",VALUE(T30))</f>
        <v>9.44</v>
      </c>
      <c r="AS30" s="208" t="n">
        <f aca="false">IF(U30="","",VALUE(U30))</f>
        <v>9.44</v>
      </c>
      <c r="AT30" s="209" t="n">
        <f aca="false">IF(V30="","",VALUE(V30))</f>
        <v>9.5</v>
      </c>
      <c r="AU30" s="208" t="n">
        <f aca="false">IF(W30="","",VALUE(W30))</f>
        <v>9.503</v>
      </c>
      <c r="AV30" s="209" t="n">
        <f aca="false">IF(X30="","",VALUE(X30))</f>
        <v>9.5</v>
      </c>
      <c r="AW30" s="210"/>
      <c r="AX30" s="211" t="str">
        <f aca="false">Z30</f>
        <v>Be</v>
      </c>
      <c r="AY30" s="212" t="n">
        <f aca="false">COUNT(AA30:AV30)</f>
        <v>22</v>
      </c>
      <c r="AZ30" s="210" t="n">
        <f aca="false">IF(AY30=0,"",MIN(AA30:AV30))</f>
        <v>8.954</v>
      </c>
      <c r="BA30" s="213" t="n">
        <f aca="false">IF(AY30=0,"",MAX(AA30:AV30))</f>
        <v>30.543</v>
      </c>
      <c r="BC30" s="214"/>
    </row>
    <row r="31" customFormat="false" ht="12.75" hidden="false" customHeight="false" outlineLevel="0" collapsed="false">
      <c r="A31" s="73"/>
      <c r="B31" s="31" t="s">
        <v>43</v>
      </c>
      <c r="C31" s="85"/>
      <c r="D31" s="101"/>
      <c r="E31" s="85" t="n">
        <v>57.739</v>
      </c>
      <c r="F31" s="101" t="n">
        <v>56.902</v>
      </c>
      <c r="G31" s="85" t="n">
        <v>56.819</v>
      </c>
      <c r="H31" s="101" t="n">
        <v>56.484</v>
      </c>
      <c r="I31" s="85" t="n">
        <v>56.735</v>
      </c>
      <c r="J31" s="101" t="n">
        <v>56.735</v>
      </c>
      <c r="K31" s="85"/>
      <c r="L31" s="101" t="n">
        <v>56.735</v>
      </c>
      <c r="M31" s="85" t="n">
        <v>56.735</v>
      </c>
      <c r="N31" s="63" t="n">
        <v>56.74</v>
      </c>
      <c r="O31" s="62" t="n">
        <v>56.74</v>
      </c>
      <c r="P31" s="63"/>
      <c r="Q31" s="136"/>
      <c r="R31" s="63"/>
      <c r="S31" s="64" t="s">
        <v>598</v>
      </c>
      <c r="T31" s="102" t="n">
        <v>56.735</v>
      </c>
      <c r="U31" s="62"/>
      <c r="V31" s="102" t="n">
        <v>56.74</v>
      </c>
      <c r="W31" s="62"/>
      <c r="X31" s="63" t="n">
        <v>56.7</v>
      </c>
      <c r="Z31" s="31" t="s">
        <v>43</v>
      </c>
      <c r="AA31" s="208" t="str">
        <f aca="false">IF(C31="","",VALUE(C31))</f>
        <v/>
      </c>
      <c r="AB31" s="209" t="str">
        <f aca="false">IF(D31="","",VALUE(D31))</f>
        <v/>
      </c>
      <c r="AC31" s="208" t="n">
        <f aca="false">IF(E31="","",VALUE(E31))</f>
        <v>57.739</v>
      </c>
      <c r="AD31" s="209" t="n">
        <f aca="false">IF(F31="","",VALUE(F31))</f>
        <v>56.902</v>
      </c>
      <c r="AE31" s="208" t="n">
        <f aca="false">IF(G31="","",VALUE(G31))</f>
        <v>56.819</v>
      </c>
      <c r="AF31" s="209" t="n">
        <f aca="false">IF(H31="","",VALUE(H31))</f>
        <v>56.484</v>
      </c>
      <c r="AG31" s="208" t="n">
        <f aca="false">IF(I31="","",VALUE(I31))</f>
        <v>56.735</v>
      </c>
      <c r="AH31" s="209" t="n">
        <f aca="false">IF(J31="","",VALUE(J31))</f>
        <v>56.735</v>
      </c>
      <c r="AI31" s="208" t="str">
        <f aca="false">IF(K31="","",VALUE(K31))</f>
        <v/>
      </c>
      <c r="AJ31" s="209" t="n">
        <f aca="false">IF(L31="","",VALUE(L31))</f>
        <v>56.735</v>
      </c>
      <c r="AK31" s="208" t="n">
        <f aca="false">IF(M31="","",VALUE(M31))</f>
        <v>56.735</v>
      </c>
      <c r="AL31" s="209" t="n">
        <f aca="false">IF(N31="","",VALUE(N31))</f>
        <v>56.74</v>
      </c>
      <c r="AM31" s="208" t="n">
        <f aca="false">IF(O31="","",VALUE(O31))</f>
        <v>56.74</v>
      </c>
      <c r="AN31" s="209" t="str">
        <f aca="false">IF(P31="","",VALUE(P31))</f>
        <v/>
      </c>
      <c r="AO31" s="208" t="str">
        <f aca="false">IF(Q31="","",VALUE(Q31))</f>
        <v/>
      </c>
      <c r="AP31" s="209" t="str">
        <f aca="false">IF(R31="","",VALUE(R31))</f>
        <v/>
      </c>
      <c r="AQ31" s="208" t="n">
        <f aca="false">IF(S31="","",VALUE(S31))</f>
        <v>56.74</v>
      </c>
      <c r="AR31" s="209" t="n">
        <f aca="false">IF(T31="","",VALUE(T31))</f>
        <v>56.735</v>
      </c>
      <c r="AS31" s="208" t="str">
        <f aca="false">IF(U31="","",VALUE(U31))</f>
        <v/>
      </c>
      <c r="AT31" s="209" t="n">
        <f aca="false">IF(V31="","",VALUE(V31))</f>
        <v>56.74</v>
      </c>
      <c r="AU31" s="208" t="str">
        <f aca="false">IF(W31="","",VALUE(W31))</f>
        <v/>
      </c>
      <c r="AV31" s="209" t="n">
        <f aca="false">IF(X31="","",VALUE(X31))</f>
        <v>56.7</v>
      </c>
      <c r="AW31" s="210"/>
      <c r="AX31" s="211" t="str">
        <f aca="false">Z31</f>
        <v>Bi</v>
      </c>
      <c r="AY31" s="212" t="n">
        <f aca="false">COUNT(AA31:AV31)</f>
        <v>14</v>
      </c>
      <c r="AZ31" s="210" t="n">
        <f aca="false">IF(AY31=0,"",MIN(AA31:AV31))</f>
        <v>56.484</v>
      </c>
      <c r="BA31" s="213" t="n">
        <f aca="false">IF(AY31=0,"",MAX(AA31:AV31))</f>
        <v>57.739</v>
      </c>
      <c r="BC31" s="214"/>
    </row>
    <row r="32" customFormat="false" ht="12.75" hidden="false" customHeight="false" outlineLevel="0" collapsed="false">
      <c r="A32" s="73"/>
      <c r="B32" s="31" t="s">
        <v>44</v>
      </c>
      <c r="C32" s="85"/>
      <c r="D32" s="101"/>
      <c r="E32" s="85"/>
      <c r="F32" s="101"/>
      <c r="G32" s="85"/>
      <c r="H32" s="101"/>
      <c r="I32" s="85"/>
      <c r="J32" s="101"/>
      <c r="K32" s="85"/>
      <c r="L32" s="101"/>
      <c r="M32" s="85"/>
      <c r="N32" s="63"/>
      <c r="O32" s="64"/>
      <c r="P32" s="65"/>
      <c r="Q32" s="136"/>
      <c r="R32" s="63"/>
      <c r="S32" s="64"/>
      <c r="T32" s="102"/>
      <c r="U32" s="62"/>
      <c r="V32" s="102"/>
      <c r="W32" s="62"/>
      <c r="X32" s="63"/>
      <c r="Z32" s="31" t="s">
        <v>44</v>
      </c>
      <c r="AA32" s="208" t="str">
        <f aca="false">IF(C32="","",VALUE(C32))</f>
        <v/>
      </c>
      <c r="AB32" s="209" t="str">
        <f aca="false">IF(D32="","",VALUE(D32))</f>
        <v/>
      </c>
      <c r="AC32" s="208" t="str">
        <f aca="false">IF(E32="","",VALUE(E32))</f>
        <v/>
      </c>
      <c r="AD32" s="209" t="str">
        <f aca="false">IF(F32="","",VALUE(F32))</f>
        <v/>
      </c>
      <c r="AE32" s="208" t="str">
        <f aca="false">IF(G32="","",VALUE(G32))</f>
        <v/>
      </c>
      <c r="AF32" s="209" t="str">
        <f aca="false">IF(H32="","",VALUE(H32))</f>
        <v/>
      </c>
      <c r="AG32" s="208" t="str">
        <f aca="false">IF(I32="","",VALUE(I32))</f>
        <v/>
      </c>
      <c r="AH32" s="209" t="str">
        <f aca="false">IF(J32="","",VALUE(J32))</f>
        <v/>
      </c>
      <c r="AI32" s="208" t="str">
        <f aca="false">IF(K32="","",VALUE(K32))</f>
        <v/>
      </c>
      <c r="AJ32" s="209" t="str">
        <f aca="false">IF(L32="","",VALUE(L32))</f>
        <v/>
      </c>
      <c r="AK32" s="208" t="str">
        <f aca="false">IF(M32="","",VALUE(M32))</f>
        <v/>
      </c>
      <c r="AL32" s="209" t="str">
        <f aca="false">IF(N32="","",VALUE(N32))</f>
        <v/>
      </c>
      <c r="AM32" s="208" t="str">
        <f aca="false">IF(O32="","",VALUE(O32))</f>
        <v/>
      </c>
      <c r="AN32" s="209" t="str">
        <f aca="false">IF(P32="","",VALUE(P32))</f>
        <v/>
      </c>
      <c r="AO32" s="208" t="str">
        <f aca="false">IF(Q32="","",VALUE(Q32))</f>
        <v/>
      </c>
      <c r="AP32" s="209" t="str">
        <f aca="false">IF(R32="","",VALUE(R32))</f>
        <v/>
      </c>
      <c r="AQ32" s="208" t="str">
        <f aca="false">IF(S32="","",VALUE(S32))</f>
        <v/>
      </c>
      <c r="AR32" s="209" t="str">
        <f aca="false">IF(T32="","",VALUE(T32))</f>
        <v/>
      </c>
      <c r="AS32" s="208" t="str">
        <f aca="false">IF(U32="","",VALUE(U32))</f>
        <v/>
      </c>
      <c r="AT32" s="209" t="str">
        <f aca="false">IF(V32="","",VALUE(V32))</f>
        <v/>
      </c>
      <c r="AU32" s="208" t="str">
        <f aca="false">IF(W32="","",VALUE(W32))</f>
        <v/>
      </c>
      <c r="AV32" s="209" t="str">
        <f aca="false">IF(X32="","",VALUE(X32))</f>
        <v/>
      </c>
      <c r="AW32" s="210"/>
      <c r="AX32" s="211" t="str">
        <f aca="false">Z32</f>
        <v>Bk</v>
      </c>
      <c r="AY32" s="212" t="n">
        <f aca="false">COUNT(AA32:AV32)</f>
        <v>0</v>
      </c>
      <c r="AZ32" s="210" t="str">
        <f aca="false">IF(AY32=0,"",MIN(AA32:AV32))</f>
        <v/>
      </c>
      <c r="BA32" s="213" t="str">
        <f aca="false">IF(AY32=0,"",MAX(AA32:AV32))</f>
        <v/>
      </c>
      <c r="BC32" s="214"/>
    </row>
    <row r="33" customFormat="false" ht="12.75" hidden="false" customHeight="false" outlineLevel="0" collapsed="false">
      <c r="A33" s="73"/>
      <c r="B33" s="38" t="s">
        <v>46</v>
      </c>
      <c r="C33" s="85" t="n">
        <v>154.808</v>
      </c>
      <c r="D33" s="101" t="n">
        <v>136.398</v>
      </c>
      <c r="E33" s="85" t="n">
        <v>153.134</v>
      </c>
      <c r="F33" s="101" t="n">
        <v>152.298</v>
      </c>
      <c r="G33" s="85" t="n">
        <v>151.67</v>
      </c>
      <c r="H33" s="101" t="n">
        <v>152.298</v>
      </c>
      <c r="I33" s="85" t="n">
        <v>152.231</v>
      </c>
      <c r="J33" s="101" t="n">
        <v>152.231</v>
      </c>
      <c r="K33" s="85" t="n">
        <v>152.231</v>
      </c>
      <c r="L33" s="101"/>
      <c r="M33" s="85" t="n">
        <v>152.21</v>
      </c>
      <c r="N33" s="63" t="n">
        <v>152.32</v>
      </c>
      <c r="O33" s="62" t="n">
        <v>152.231</v>
      </c>
      <c r="P33" s="63" t="n">
        <v>152.206</v>
      </c>
      <c r="Q33" s="141" t="s">
        <v>537</v>
      </c>
      <c r="R33" s="65" t="s">
        <v>536</v>
      </c>
      <c r="S33" s="64" t="s">
        <v>536</v>
      </c>
      <c r="T33" s="103" t="s">
        <v>536</v>
      </c>
      <c r="U33" s="62" t="n">
        <v>152.206</v>
      </c>
      <c r="V33" s="103" t="s">
        <v>599</v>
      </c>
      <c r="W33" s="64" t="s">
        <v>536</v>
      </c>
      <c r="X33" s="63" t="n">
        <v>152.21</v>
      </c>
      <c r="Z33" s="38" t="s">
        <v>46</v>
      </c>
      <c r="AA33" s="208" t="n">
        <f aca="false">IF(C33="","",VALUE(C33))</f>
        <v>154.808</v>
      </c>
      <c r="AB33" s="209" t="n">
        <f aca="false">IF(D33="","",VALUE(D33))</f>
        <v>136.398</v>
      </c>
      <c r="AC33" s="208" t="n">
        <f aca="false">IF(E33="","",VALUE(E33))</f>
        <v>153.134</v>
      </c>
      <c r="AD33" s="209" t="n">
        <f aca="false">IF(F33="","",VALUE(F33))</f>
        <v>152.298</v>
      </c>
      <c r="AE33" s="208" t="n">
        <f aca="false">IF(G33="","",VALUE(G33))</f>
        <v>151.67</v>
      </c>
      <c r="AF33" s="209" t="n">
        <f aca="false">IF(H33="","",VALUE(H33))</f>
        <v>152.298</v>
      </c>
      <c r="AG33" s="208" t="n">
        <f aca="false">IF(I33="","",VALUE(I33))</f>
        <v>152.231</v>
      </c>
      <c r="AH33" s="209" t="n">
        <f aca="false">IF(J33="","",VALUE(J33))</f>
        <v>152.231</v>
      </c>
      <c r="AI33" s="208" t="n">
        <f aca="false">IF(K33="","",VALUE(K33))</f>
        <v>152.231</v>
      </c>
      <c r="AJ33" s="209" t="str">
        <f aca="false">IF(L33="","",VALUE(L33))</f>
        <v/>
      </c>
      <c r="AK33" s="208" t="n">
        <f aca="false">IF(M33="","",VALUE(M33))</f>
        <v>152.21</v>
      </c>
      <c r="AL33" s="209" t="n">
        <f aca="false">IF(N33="","",VALUE(N33))</f>
        <v>152.32</v>
      </c>
      <c r="AM33" s="208" t="n">
        <f aca="false">IF(O33="","",VALUE(O33))</f>
        <v>152.231</v>
      </c>
      <c r="AN33" s="209" t="n">
        <f aca="false">IF(P33="","",VALUE(P33))</f>
        <v>152.206</v>
      </c>
      <c r="AO33" s="208" t="n">
        <f aca="false">IF(Q33="","",VALUE(Q33))</f>
        <v>152.21</v>
      </c>
      <c r="AP33" s="209" t="n">
        <f aca="false">IF(R33="","",VALUE(R33))</f>
        <v>152.21</v>
      </c>
      <c r="AQ33" s="208" t="n">
        <f aca="false">IF(S33="","",VALUE(S33))</f>
        <v>152.21</v>
      </c>
      <c r="AR33" s="209" t="n">
        <f aca="false">IF(T33="","",VALUE(T33))</f>
        <v>152.21</v>
      </c>
      <c r="AS33" s="208" t="n">
        <f aca="false">IF(U33="","",VALUE(U33))</f>
        <v>152.206</v>
      </c>
      <c r="AT33" s="209" t="n">
        <f aca="false">IF(V33="","",VALUE(V33))</f>
        <v>152.2</v>
      </c>
      <c r="AU33" s="208" t="n">
        <f aca="false">IF(W33="","",VALUE(W33))</f>
        <v>152.21</v>
      </c>
      <c r="AV33" s="209" t="n">
        <f aca="false">IF(X33="","",VALUE(X33))</f>
        <v>152.21</v>
      </c>
      <c r="AW33" s="210"/>
      <c r="AX33" s="211" t="str">
        <f aca="false">Z33</f>
        <v>Br2</v>
      </c>
      <c r="AY33" s="212" t="n">
        <f aca="false">COUNT(AA33:AV33)</f>
        <v>21</v>
      </c>
      <c r="AZ33" s="210" t="n">
        <f aca="false">IF(AY33=0,"",MIN(AA33:AV33))</f>
        <v>136.398</v>
      </c>
      <c r="BA33" s="213" t="n">
        <f aca="false">IF(AY33=0,"",MAX(AA33:AV33))</f>
        <v>154.808</v>
      </c>
      <c r="BC33" s="214"/>
    </row>
    <row r="34" customFormat="false" ht="12.75" hidden="false" customHeight="false" outlineLevel="0" collapsed="false">
      <c r="A34" s="73"/>
      <c r="B34" s="31" t="s">
        <v>48</v>
      </c>
      <c r="C34" s="85" t="n">
        <v>5.439</v>
      </c>
      <c r="D34" s="101" t="n">
        <v>5.439</v>
      </c>
      <c r="E34" s="85" t="n">
        <v>5.439</v>
      </c>
      <c r="F34" s="101" t="n">
        <v>5.694</v>
      </c>
      <c r="G34" s="85" t="n">
        <v>5.732</v>
      </c>
      <c r="H34" s="101" t="n">
        <v>5.69</v>
      </c>
      <c r="I34" s="85" t="n">
        <v>5.74</v>
      </c>
      <c r="J34" s="101" t="n">
        <v>5.74</v>
      </c>
      <c r="K34" s="85" t="n">
        <v>5.686</v>
      </c>
      <c r="L34" s="101" t="n">
        <v>5.732</v>
      </c>
      <c r="M34" s="85" t="n">
        <v>5.74</v>
      </c>
      <c r="N34" s="63" t="n">
        <v>5.74</v>
      </c>
      <c r="O34" s="64" t="s">
        <v>600</v>
      </c>
      <c r="P34" s="65" t="s">
        <v>600</v>
      </c>
      <c r="Q34" s="136" t="n">
        <v>5.74</v>
      </c>
      <c r="R34" s="63" t="s">
        <v>600</v>
      </c>
      <c r="S34" s="64" t="s">
        <v>600</v>
      </c>
      <c r="T34" s="103" t="s">
        <v>600</v>
      </c>
      <c r="U34" s="64" t="s">
        <v>600</v>
      </c>
      <c r="V34" s="102" t="n">
        <v>5.74</v>
      </c>
      <c r="W34" s="64" t="s">
        <v>601</v>
      </c>
      <c r="X34" s="63" t="n">
        <v>5.74</v>
      </c>
      <c r="Z34" s="31" t="s">
        <v>48</v>
      </c>
      <c r="AA34" s="208" t="n">
        <f aca="false">IF(C34="","",VALUE(C34))</f>
        <v>5.439</v>
      </c>
      <c r="AB34" s="209" t="n">
        <f aca="false">IF(D34="","",VALUE(D34))</f>
        <v>5.439</v>
      </c>
      <c r="AC34" s="208" t="n">
        <f aca="false">IF(E34="","",VALUE(E34))</f>
        <v>5.439</v>
      </c>
      <c r="AD34" s="209" t="n">
        <f aca="false">IF(F34="","",VALUE(F34))</f>
        <v>5.694</v>
      </c>
      <c r="AE34" s="208" t="n">
        <f aca="false">IF(G34="","",VALUE(G34))</f>
        <v>5.732</v>
      </c>
      <c r="AF34" s="209" t="n">
        <f aca="false">IF(H34="","",VALUE(H34))</f>
        <v>5.69</v>
      </c>
      <c r="AG34" s="208" t="n">
        <f aca="false">IF(I34="","",VALUE(I34))</f>
        <v>5.74</v>
      </c>
      <c r="AH34" s="209" t="n">
        <f aca="false">IF(J34="","",VALUE(J34))</f>
        <v>5.74</v>
      </c>
      <c r="AI34" s="208" t="n">
        <f aca="false">IF(K34="","",VALUE(K34))</f>
        <v>5.686</v>
      </c>
      <c r="AJ34" s="209" t="n">
        <f aca="false">IF(L34="","",VALUE(L34))</f>
        <v>5.732</v>
      </c>
      <c r="AK34" s="208" t="n">
        <f aca="false">IF(M34="","",VALUE(M34))</f>
        <v>5.74</v>
      </c>
      <c r="AL34" s="209" t="n">
        <f aca="false">IF(N34="","",VALUE(N34))</f>
        <v>5.74</v>
      </c>
      <c r="AM34" s="208" t="n">
        <f aca="false">IF(O34="","",VALUE(O34))</f>
        <v>5.74</v>
      </c>
      <c r="AN34" s="209" t="n">
        <f aca="false">IF(P34="","",VALUE(P34))</f>
        <v>5.74</v>
      </c>
      <c r="AO34" s="208" t="n">
        <f aca="false">IF(Q34="","",VALUE(Q34))</f>
        <v>5.74</v>
      </c>
      <c r="AP34" s="209" t="n">
        <f aca="false">IF(R34="","",VALUE(R34))</f>
        <v>5.74</v>
      </c>
      <c r="AQ34" s="208" t="n">
        <f aca="false">IF(S34="","",VALUE(S34))</f>
        <v>5.74</v>
      </c>
      <c r="AR34" s="209" t="n">
        <f aca="false">IF(T34="","",VALUE(T34))</f>
        <v>5.74</v>
      </c>
      <c r="AS34" s="208" t="n">
        <f aca="false">IF(U34="","",VALUE(U34))</f>
        <v>5.74</v>
      </c>
      <c r="AT34" s="209" t="n">
        <f aca="false">IF(V34="","",VALUE(V34))</f>
        <v>5.74</v>
      </c>
      <c r="AU34" s="208" t="n">
        <f aca="false">IF(W34="","",VALUE(W34))</f>
        <v>5.734</v>
      </c>
      <c r="AV34" s="209" t="n">
        <f aca="false">IF(X34="","",VALUE(X34))</f>
        <v>5.74</v>
      </c>
      <c r="AW34" s="210"/>
      <c r="AX34" s="211" t="str">
        <f aca="false">Z34</f>
        <v>C</v>
      </c>
      <c r="AY34" s="212" t="n">
        <f aca="false">COUNT(AA34:AV34)</f>
        <v>22</v>
      </c>
      <c r="AZ34" s="210" t="n">
        <f aca="false">IF(AY34=0,"",MIN(AA34:AV34))</f>
        <v>5.439</v>
      </c>
      <c r="BA34" s="213" t="n">
        <f aca="false">IF(AY34=0,"",MAX(AA34:AV34))</f>
        <v>5.74</v>
      </c>
      <c r="BC34" s="214"/>
    </row>
    <row r="35" customFormat="false" ht="12.75" hidden="false" customHeight="false" outlineLevel="0" collapsed="false">
      <c r="A35" s="73"/>
      <c r="B35" s="31" t="s">
        <v>49</v>
      </c>
      <c r="C35" s="85" t="n">
        <v>46.024</v>
      </c>
      <c r="D35" s="101" t="n">
        <v>44.518</v>
      </c>
      <c r="E35" s="85" t="n">
        <v>41.631</v>
      </c>
      <c r="F35" s="101" t="n">
        <v>41.631</v>
      </c>
      <c r="G35" s="85" t="n">
        <v>41.631</v>
      </c>
      <c r="H35" s="101" t="n">
        <v>41.631</v>
      </c>
      <c r="I35" s="85" t="n">
        <v>41.631</v>
      </c>
      <c r="J35" s="101" t="n">
        <v>41.422</v>
      </c>
      <c r="K35" s="85" t="n">
        <v>41.555</v>
      </c>
      <c r="L35" s="101" t="n">
        <v>41.422</v>
      </c>
      <c r="M35" s="85" t="n">
        <v>41.589</v>
      </c>
      <c r="N35" s="63" t="n">
        <v>41.63</v>
      </c>
      <c r="O35" s="62" t="n">
        <v>41.42</v>
      </c>
      <c r="P35" s="63" t="n">
        <v>41.588</v>
      </c>
      <c r="Q35" s="136" t="n">
        <v>41.59</v>
      </c>
      <c r="R35" s="65" t="s">
        <v>602</v>
      </c>
      <c r="S35" s="64" t="s">
        <v>602</v>
      </c>
      <c r="T35" s="102" t="n">
        <v>41.422</v>
      </c>
      <c r="U35" s="62" t="n">
        <v>41.588</v>
      </c>
      <c r="V35" s="103" t="s">
        <v>603</v>
      </c>
      <c r="W35" s="64" t="s">
        <v>604</v>
      </c>
      <c r="X35" s="63" t="n">
        <v>41.59</v>
      </c>
      <c r="Z35" s="31" t="s">
        <v>49</v>
      </c>
      <c r="AA35" s="208" t="n">
        <f aca="false">IF(C35="","",VALUE(C35))</f>
        <v>46.024</v>
      </c>
      <c r="AB35" s="209" t="n">
        <f aca="false">IF(D35="","",VALUE(D35))</f>
        <v>44.518</v>
      </c>
      <c r="AC35" s="208" t="n">
        <f aca="false">IF(E35="","",VALUE(E35))</f>
        <v>41.631</v>
      </c>
      <c r="AD35" s="209" t="n">
        <f aca="false">IF(F35="","",VALUE(F35))</f>
        <v>41.631</v>
      </c>
      <c r="AE35" s="208" t="n">
        <f aca="false">IF(G35="","",VALUE(G35))</f>
        <v>41.631</v>
      </c>
      <c r="AF35" s="209" t="n">
        <f aca="false">IF(H35="","",VALUE(H35))</f>
        <v>41.631</v>
      </c>
      <c r="AG35" s="208" t="n">
        <f aca="false">IF(I35="","",VALUE(I35))</f>
        <v>41.631</v>
      </c>
      <c r="AH35" s="209" t="n">
        <f aca="false">IF(J35="","",VALUE(J35))</f>
        <v>41.422</v>
      </c>
      <c r="AI35" s="208" t="n">
        <f aca="false">IF(K35="","",VALUE(K35))</f>
        <v>41.555</v>
      </c>
      <c r="AJ35" s="209" t="n">
        <f aca="false">IF(L35="","",VALUE(L35))</f>
        <v>41.422</v>
      </c>
      <c r="AK35" s="208" t="n">
        <f aca="false">IF(M35="","",VALUE(M35))</f>
        <v>41.589</v>
      </c>
      <c r="AL35" s="209" t="n">
        <f aca="false">IF(N35="","",VALUE(N35))</f>
        <v>41.63</v>
      </c>
      <c r="AM35" s="208" t="n">
        <f aca="false">IF(O35="","",VALUE(O35))</f>
        <v>41.42</v>
      </c>
      <c r="AN35" s="209" t="n">
        <f aca="false">IF(P35="","",VALUE(P35))</f>
        <v>41.588</v>
      </c>
      <c r="AO35" s="208" t="n">
        <f aca="false">IF(Q35="","",VALUE(Q35))</f>
        <v>41.59</v>
      </c>
      <c r="AP35" s="209" t="n">
        <f aca="false">IF(R35="","",VALUE(R35))</f>
        <v>41.59</v>
      </c>
      <c r="AQ35" s="208" t="n">
        <f aca="false">IF(S35="","",VALUE(S35))</f>
        <v>41.59</v>
      </c>
      <c r="AR35" s="209" t="n">
        <f aca="false">IF(T35="","",VALUE(T35))</f>
        <v>41.422</v>
      </c>
      <c r="AS35" s="208" t="n">
        <f aca="false">IF(U35="","",VALUE(U35))</f>
        <v>41.588</v>
      </c>
      <c r="AT35" s="209" t="n">
        <f aca="false">IF(V35="","",VALUE(V35))</f>
        <v>42.9</v>
      </c>
      <c r="AU35" s="208" t="n">
        <f aca="false">IF(W35="","",VALUE(W35))</f>
        <v>42.536</v>
      </c>
      <c r="AV35" s="209" t="n">
        <f aca="false">IF(X35="","",VALUE(X35))</f>
        <v>41.59</v>
      </c>
      <c r="AW35" s="210"/>
      <c r="AX35" s="211" t="str">
        <f aca="false">Z35</f>
        <v>Ca</v>
      </c>
      <c r="AY35" s="212" t="n">
        <f aca="false">COUNT(AA35:AV35)</f>
        <v>22</v>
      </c>
      <c r="AZ35" s="210" t="n">
        <f aca="false">IF(AY35=0,"",MIN(AA35:AV35))</f>
        <v>41.42</v>
      </c>
      <c r="BA35" s="213" t="n">
        <f aca="false">IF(AY35=0,"",MAX(AA35:AV35))</f>
        <v>46.024</v>
      </c>
      <c r="BC35" s="214"/>
    </row>
    <row r="36" customFormat="false" ht="12.75" hidden="false" customHeight="false" outlineLevel="0" collapsed="false">
      <c r="A36" s="73"/>
      <c r="B36" s="31" t="s">
        <v>50</v>
      </c>
      <c r="C36" s="85" t="n">
        <v>48.534</v>
      </c>
      <c r="D36" s="101" t="n">
        <v>49.371</v>
      </c>
      <c r="E36" s="85" t="n">
        <v>51.463</v>
      </c>
      <c r="F36" s="101" t="n">
        <v>51.463</v>
      </c>
      <c r="G36" s="85" t="n">
        <v>51.756</v>
      </c>
      <c r="H36" s="101" t="n">
        <v>51.756</v>
      </c>
      <c r="I36" s="85" t="n">
        <v>51.798</v>
      </c>
      <c r="J36" s="101" t="n">
        <v>51.756</v>
      </c>
      <c r="K36" s="85"/>
      <c r="L36" s="101" t="n">
        <v>51.798</v>
      </c>
      <c r="M36" s="85" t="n">
        <v>51.798</v>
      </c>
      <c r="N36" s="65" t="s">
        <v>538</v>
      </c>
      <c r="O36" s="62" t="n">
        <v>51.76</v>
      </c>
      <c r="P36" s="63"/>
      <c r="Q36" s="141" t="s">
        <v>538</v>
      </c>
      <c r="R36" s="65"/>
      <c r="S36" s="64" t="s">
        <v>605</v>
      </c>
      <c r="T36" s="102" t="n">
        <v>51.798</v>
      </c>
      <c r="U36" s="62"/>
      <c r="V36" s="103" t="s">
        <v>538</v>
      </c>
      <c r="W36" s="64" t="s">
        <v>605</v>
      </c>
      <c r="X36" s="65" t="s">
        <v>538</v>
      </c>
      <c r="Z36" s="31" t="s">
        <v>50</v>
      </c>
      <c r="AA36" s="208" t="n">
        <f aca="false">IF(C36="","",VALUE(C36))</f>
        <v>48.534</v>
      </c>
      <c r="AB36" s="209" t="n">
        <f aca="false">IF(D36="","",VALUE(D36))</f>
        <v>49.371</v>
      </c>
      <c r="AC36" s="208" t="n">
        <f aca="false">IF(E36="","",VALUE(E36))</f>
        <v>51.463</v>
      </c>
      <c r="AD36" s="209" t="n">
        <f aca="false">IF(F36="","",VALUE(F36))</f>
        <v>51.463</v>
      </c>
      <c r="AE36" s="208" t="n">
        <f aca="false">IF(G36="","",VALUE(G36))</f>
        <v>51.756</v>
      </c>
      <c r="AF36" s="209" t="n">
        <f aca="false">IF(H36="","",VALUE(H36))</f>
        <v>51.756</v>
      </c>
      <c r="AG36" s="208" t="n">
        <f aca="false">IF(I36="","",VALUE(I36))</f>
        <v>51.798</v>
      </c>
      <c r="AH36" s="209" t="n">
        <f aca="false">IF(J36="","",VALUE(J36))</f>
        <v>51.756</v>
      </c>
      <c r="AI36" s="208" t="str">
        <f aca="false">IF(K36="","",VALUE(K36))</f>
        <v/>
      </c>
      <c r="AJ36" s="209" t="n">
        <f aca="false">IF(L36="","",VALUE(L36))</f>
        <v>51.798</v>
      </c>
      <c r="AK36" s="208" t="n">
        <f aca="false">IF(M36="","",VALUE(M36))</f>
        <v>51.798</v>
      </c>
      <c r="AL36" s="209" t="n">
        <f aca="false">IF(N36="","",VALUE(N36))</f>
        <v>51.8</v>
      </c>
      <c r="AM36" s="208" t="n">
        <f aca="false">IF(O36="","",VALUE(O36))</f>
        <v>51.76</v>
      </c>
      <c r="AN36" s="209" t="str">
        <f aca="false">IF(P36="","",VALUE(P36))</f>
        <v/>
      </c>
      <c r="AO36" s="208" t="n">
        <f aca="false">IF(Q36="","",VALUE(Q36))</f>
        <v>51.8</v>
      </c>
      <c r="AP36" s="209" t="str">
        <f aca="false">IF(R36="","",VALUE(R36))</f>
        <v/>
      </c>
      <c r="AQ36" s="208" t="n">
        <f aca="false">IF(S36="","",VALUE(S36))</f>
        <v>51.8</v>
      </c>
      <c r="AR36" s="209" t="n">
        <f aca="false">IF(T36="","",VALUE(T36))</f>
        <v>51.798</v>
      </c>
      <c r="AS36" s="208" t="str">
        <f aca="false">IF(U36="","",VALUE(U36))</f>
        <v/>
      </c>
      <c r="AT36" s="209" t="n">
        <f aca="false">IF(V36="","",VALUE(V36))</f>
        <v>51.8</v>
      </c>
      <c r="AU36" s="208" t="n">
        <f aca="false">IF(W36="","",VALUE(W36))</f>
        <v>51.8</v>
      </c>
      <c r="AV36" s="209" t="n">
        <f aca="false">IF(X36="","",VALUE(X36))</f>
        <v>51.8</v>
      </c>
      <c r="AW36" s="210"/>
      <c r="AX36" s="211" t="str">
        <f aca="false">Z36</f>
        <v>Cd</v>
      </c>
      <c r="AY36" s="212" t="n">
        <f aca="false">COUNT(AA36:AV36)</f>
        <v>18</v>
      </c>
      <c r="AZ36" s="210" t="n">
        <f aca="false">IF(AY36=0,"",MIN(AA36:AV36))</f>
        <v>48.534</v>
      </c>
      <c r="BA36" s="213" t="n">
        <f aca="false">IF(AY36=0,"",MAX(AA36:AV36))</f>
        <v>51.8</v>
      </c>
      <c r="BC36" s="214"/>
    </row>
    <row r="37" customFormat="false" ht="12.75" hidden="false" customHeight="false" outlineLevel="0" collapsed="false">
      <c r="A37" s="73"/>
      <c r="B37" s="31" t="s">
        <v>51</v>
      </c>
      <c r="C37" s="85" t="n">
        <v>57.739</v>
      </c>
      <c r="D37" s="101" t="n">
        <v>57.739</v>
      </c>
      <c r="E37" s="85" t="n">
        <v>57.739</v>
      </c>
      <c r="F37" s="101" t="n">
        <v>57.739</v>
      </c>
      <c r="G37" s="85" t="n">
        <v>69.622</v>
      </c>
      <c r="H37" s="101" t="n">
        <v>69.454</v>
      </c>
      <c r="I37" s="85" t="n">
        <v>64.015</v>
      </c>
      <c r="J37" s="101" t="n">
        <v>71.965</v>
      </c>
      <c r="K37" s="85"/>
      <c r="L37" s="101" t="n">
        <v>69.454</v>
      </c>
      <c r="M37" s="85" t="n">
        <v>71.965</v>
      </c>
      <c r="N37" s="63" t="n">
        <v>69.46</v>
      </c>
      <c r="O37" s="64" t="s">
        <v>606</v>
      </c>
      <c r="P37" s="63"/>
      <c r="Q37" s="136"/>
      <c r="R37" s="63"/>
      <c r="S37" s="64"/>
      <c r="T37" s="102" t="n">
        <v>69.454</v>
      </c>
      <c r="U37" s="62"/>
      <c r="V37" s="103" t="s">
        <v>606</v>
      </c>
      <c r="W37" s="64"/>
      <c r="X37" s="65" t="s">
        <v>606</v>
      </c>
      <c r="Z37" s="31" t="s">
        <v>51</v>
      </c>
      <c r="AA37" s="208" t="n">
        <f aca="false">IF(C37="","",VALUE(C37))</f>
        <v>57.739</v>
      </c>
      <c r="AB37" s="209" t="n">
        <f aca="false">IF(D37="","",VALUE(D37))</f>
        <v>57.739</v>
      </c>
      <c r="AC37" s="208" t="n">
        <f aca="false">IF(E37="","",VALUE(E37))</f>
        <v>57.739</v>
      </c>
      <c r="AD37" s="209" t="n">
        <f aca="false">IF(F37="","",VALUE(F37))</f>
        <v>57.739</v>
      </c>
      <c r="AE37" s="208" t="n">
        <f aca="false">IF(G37="","",VALUE(G37))</f>
        <v>69.622</v>
      </c>
      <c r="AF37" s="209" t="n">
        <f aca="false">IF(H37="","",VALUE(H37))</f>
        <v>69.454</v>
      </c>
      <c r="AG37" s="208" t="n">
        <f aca="false">IF(I37="","",VALUE(I37))</f>
        <v>64.015</v>
      </c>
      <c r="AH37" s="209" t="n">
        <f aca="false">IF(J37="","",VALUE(J37))</f>
        <v>71.965</v>
      </c>
      <c r="AI37" s="208" t="str">
        <f aca="false">IF(K37="","",VALUE(K37))</f>
        <v/>
      </c>
      <c r="AJ37" s="209" t="n">
        <f aca="false">IF(L37="","",VALUE(L37))</f>
        <v>69.454</v>
      </c>
      <c r="AK37" s="208" t="n">
        <f aca="false">IF(M37="","",VALUE(M37))</f>
        <v>71.965</v>
      </c>
      <c r="AL37" s="209" t="n">
        <f aca="false">IF(N37="","",VALUE(N37))</f>
        <v>69.46</v>
      </c>
      <c r="AM37" s="208" t="n">
        <f aca="false">IF(O37="","",VALUE(O37))</f>
        <v>72</v>
      </c>
      <c r="AN37" s="209" t="str">
        <f aca="false">IF(P37="","",VALUE(P37))</f>
        <v/>
      </c>
      <c r="AO37" s="208" t="str">
        <f aca="false">IF(Q37="","",VALUE(Q37))</f>
        <v/>
      </c>
      <c r="AP37" s="209" t="str">
        <f aca="false">IF(R37="","",VALUE(R37))</f>
        <v/>
      </c>
      <c r="AQ37" s="208" t="str">
        <f aca="false">IF(S37="","",VALUE(S37))</f>
        <v/>
      </c>
      <c r="AR37" s="209" t="n">
        <f aca="false">IF(T37="","",VALUE(T37))</f>
        <v>69.454</v>
      </c>
      <c r="AS37" s="208" t="str">
        <f aca="false">IF(U37="","",VALUE(U37))</f>
        <v/>
      </c>
      <c r="AT37" s="209" t="n">
        <f aca="false">IF(V37="","",VALUE(V37))</f>
        <v>72</v>
      </c>
      <c r="AU37" s="208" t="str">
        <f aca="false">IF(W37="","",VALUE(W37))</f>
        <v/>
      </c>
      <c r="AV37" s="209" t="n">
        <f aca="false">IF(X37="","",VALUE(X37))</f>
        <v>72</v>
      </c>
      <c r="AW37" s="210"/>
      <c r="AX37" s="211" t="str">
        <f aca="false">Z37</f>
        <v>Ce</v>
      </c>
      <c r="AY37" s="212" t="n">
        <f aca="false">COUNT(AA37:AV37)</f>
        <v>15</v>
      </c>
      <c r="AZ37" s="210" t="n">
        <f aca="false">IF(AY37=0,"",MIN(AA37:AV37))</f>
        <v>57.739</v>
      </c>
      <c r="BA37" s="213" t="n">
        <f aca="false">IF(AY37=0,"",MAX(AA37:AV37))</f>
        <v>72</v>
      </c>
      <c r="BC37" s="214"/>
    </row>
    <row r="38" customFormat="false" ht="12.75" hidden="false" customHeight="false" outlineLevel="0" collapsed="false">
      <c r="A38" s="73"/>
      <c r="B38" s="31" t="s">
        <v>52</v>
      </c>
      <c r="C38" s="85"/>
      <c r="D38" s="101"/>
      <c r="E38" s="85"/>
      <c r="F38" s="101"/>
      <c r="G38" s="85"/>
      <c r="H38" s="101"/>
      <c r="I38" s="85"/>
      <c r="J38" s="101"/>
      <c r="K38" s="85"/>
      <c r="L38" s="101"/>
      <c r="M38" s="85"/>
      <c r="N38" s="63"/>
      <c r="O38" s="64"/>
      <c r="P38" s="65"/>
      <c r="Q38" s="136"/>
      <c r="R38" s="63"/>
      <c r="S38" s="64"/>
      <c r="T38" s="102"/>
      <c r="U38" s="62"/>
      <c r="V38" s="102"/>
      <c r="W38" s="62"/>
      <c r="X38" s="63"/>
      <c r="Z38" s="31" t="s">
        <v>52</v>
      </c>
      <c r="AA38" s="208" t="str">
        <f aca="false">IF(C38="","",VALUE(C38))</f>
        <v/>
      </c>
      <c r="AB38" s="209" t="str">
        <f aca="false">IF(D38="","",VALUE(D38))</f>
        <v/>
      </c>
      <c r="AC38" s="208" t="str">
        <f aca="false">IF(E38="","",VALUE(E38))</f>
        <v/>
      </c>
      <c r="AD38" s="209" t="str">
        <f aca="false">IF(F38="","",VALUE(F38))</f>
        <v/>
      </c>
      <c r="AE38" s="208" t="str">
        <f aca="false">IF(G38="","",VALUE(G38))</f>
        <v/>
      </c>
      <c r="AF38" s="209" t="str">
        <f aca="false">IF(H38="","",VALUE(H38))</f>
        <v/>
      </c>
      <c r="AG38" s="208" t="str">
        <f aca="false">IF(I38="","",VALUE(I38))</f>
        <v/>
      </c>
      <c r="AH38" s="209" t="str">
        <f aca="false">IF(J38="","",VALUE(J38))</f>
        <v/>
      </c>
      <c r="AI38" s="208" t="str">
        <f aca="false">IF(K38="","",VALUE(K38))</f>
        <v/>
      </c>
      <c r="AJ38" s="209" t="str">
        <f aca="false">IF(L38="","",VALUE(L38))</f>
        <v/>
      </c>
      <c r="AK38" s="208" t="str">
        <f aca="false">IF(M38="","",VALUE(M38))</f>
        <v/>
      </c>
      <c r="AL38" s="209" t="str">
        <f aca="false">IF(N38="","",VALUE(N38))</f>
        <v/>
      </c>
      <c r="AM38" s="208" t="str">
        <f aca="false">IF(O38="","",VALUE(O38))</f>
        <v/>
      </c>
      <c r="AN38" s="209" t="str">
        <f aca="false">IF(P38="","",VALUE(P38))</f>
        <v/>
      </c>
      <c r="AO38" s="208" t="str">
        <f aca="false">IF(Q38="","",VALUE(Q38))</f>
        <v/>
      </c>
      <c r="AP38" s="209" t="str">
        <f aca="false">IF(R38="","",VALUE(R38))</f>
        <v/>
      </c>
      <c r="AQ38" s="208" t="str">
        <f aca="false">IF(S38="","",VALUE(S38))</f>
        <v/>
      </c>
      <c r="AR38" s="209" t="str">
        <f aca="false">IF(T38="","",VALUE(T38))</f>
        <v/>
      </c>
      <c r="AS38" s="208" t="str">
        <f aca="false">IF(U38="","",VALUE(U38))</f>
        <v/>
      </c>
      <c r="AT38" s="209" t="str">
        <f aca="false">IF(V38="","",VALUE(V38))</f>
        <v/>
      </c>
      <c r="AU38" s="208" t="str">
        <f aca="false">IF(W38="","",VALUE(W38))</f>
        <v/>
      </c>
      <c r="AV38" s="209" t="str">
        <f aca="false">IF(X38="","",VALUE(X38))</f>
        <v/>
      </c>
      <c r="AW38" s="215"/>
      <c r="AX38" s="211" t="str">
        <f aca="false">Z38</f>
        <v>Cf</v>
      </c>
      <c r="AY38" s="212" t="n">
        <f aca="false">COUNT(AA38:AV38)</f>
        <v>0</v>
      </c>
      <c r="AZ38" s="210" t="str">
        <f aca="false">IF(AY38=0,"",MIN(AA38:AV38))</f>
        <v/>
      </c>
      <c r="BA38" s="213" t="str">
        <f aca="false">IF(AY38=0,"",MAX(AA38:AV38))</f>
        <v/>
      </c>
      <c r="BC38" s="214"/>
    </row>
    <row r="39" customFormat="false" ht="12.75" hidden="false" customHeight="false" outlineLevel="0" collapsed="false">
      <c r="A39" s="73"/>
      <c r="B39" s="38" t="s">
        <v>54</v>
      </c>
      <c r="C39" s="85" t="n">
        <v>215.167</v>
      </c>
      <c r="D39" s="101" t="n">
        <v>220.188</v>
      </c>
      <c r="E39" s="85" t="n">
        <v>221.861</v>
      </c>
      <c r="F39" s="101" t="n">
        <v>223.058</v>
      </c>
      <c r="G39" s="85" t="n">
        <v>223.075</v>
      </c>
      <c r="H39" s="101" t="n">
        <v>223.075</v>
      </c>
      <c r="I39" s="85" t="n">
        <v>223.066</v>
      </c>
      <c r="J39" s="101" t="n">
        <v>223.066</v>
      </c>
      <c r="K39" s="85" t="n">
        <v>223.071</v>
      </c>
      <c r="L39" s="101" t="n">
        <v>223.083</v>
      </c>
      <c r="M39" s="85" t="n">
        <v>223.075</v>
      </c>
      <c r="N39" s="63" t="n">
        <v>223.08</v>
      </c>
      <c r="O39" s="62" t="n">
        <v>223.066</v>
      </c>
      <c r="P39" s="63" t="n">
        <v>223.079</v>
      </c>
      <c r="Q39" s="136" t="n">
        <v>223.081</v>
      </c>
      <c r="R39" s="65" t="s">
        <v>607</v>
      </c>
      <c r="S39" s="64" t="n">
        <v>223.081</v>
      </c>
      <c r="T39" s="102" t="n">
        <v>223.117</v>
      </c>
      <c r="U39" s="62" t="n">
        <v>223.079</v>
      </c>
      <c r="V39" s="102" t="n">
        <v>223.08</v>
      </c>
      <c r="W39" s="64" t="s">
        <v>608</v>
      </c>
      <c r="X39" s="63" t="n">
        <v>233.08</v>
      </c>
      <c r="Z39" s="38" t="s">
        <v>54</v>
      </c>
      <c r="AA39" s="208" t="n">
        <f aca="false">IF(C39="","",VALUE(C39))</f>
        <v>215.167</v>
      </c>
      <c r="AB39" s="209" t="n">
        <f aca="false">IF(D39="","",VALUE(D39))</f>
        <v>220.188</v>
      </c>
      <c r="AC39" s="208" t="n">
        <f aca="false">IF(E39="","",VALUE(E39))</f>
        <v>221.861</v>
      </c>
      <c r="AD39" s="209" t="n">
        <f aca="false">IF(F39="","",VALUE(F39))</f>
        <v>223.058</v>
      </c>
      <c r="AE39" s="208" t="n">
        <f aca="false">IF(G39="","",VALUE(G39))</f>
        <v>223.075</v>
      </c>
      <c r="AF39" s="209" t="n">
        <f aca="false">IF(H39="","",VALUE(H39))</f>
        <v>223.075</v>
      </c>
      <c r="AG39" s="208" t="n">
        <f aca="false">IF(I39="","",VALUE(I39))</f>
        <v>223.066</v>
      </c>
      <c r="AH39" s="209" t="n">
        <f aca="false">IF(J39="","",VALUE(J39))</f>
        <v>223.066</v>
      </c>
      <c r="AI39" s="208" t="n">
        <f aca="false">IF(K39="","",VALUE(K39))</f>
        <v>223.071</v>
      </c>
      <c r="AJ39" s="209" t="n">
        <f aca="false">IF(L39="","",VALUE(L39))</f>
        <v>223.083</v>
      </c>
      <c r="AK39" s="208" t="n">
        <f aca="false">IF(M39="","",VALUE(M39))</f>
        <v>223.075</v>
      </c>
      <c r="AL39" s="209" t="n">
        <f aca="false">IF(N39="","",VALUE(N39))</f>
        <v>223.08</v>
      </c>
      <c r="AM39" s="208" t="n">
        <f aca="false">IF(O39="","",VALUE(O39))</f>
        <v>223.066</v>
      </c>
      <c r="AN39" s="209" t="n">
        <f aca="false">IF(P39="","",VALUE(P39))</f>
        <v>223.079</v>
      </c>
      <c r="AO39" s="208" t="n">
        <f aca="false">IF(Q39="","",VALUE(Q39))</f>
        <v>223.081</v>
      </c>
      <c r="AP39" s="209" t="n">
        <f aca="false">IF(R39="","",VALUE(R39))</f>
        <v>223.079</v>
      </c>
      <c r="AQ39" s="208" t="n">
        <f aca="false">IF(S39="","",VALUE(S39))</f>
        <v>223.081</v>
      </c>
      <c r="AR39" s="209" t="n">
        <f aca="false">IF(T39="","",VALUE(T39))</f>
        <v>223.117</v>
      </c>
      <c r="AS39" s="208" t="n">
        <f aca="false">IF(U39="","",VALUE(U39))</f>
        <v>223.079</v>
      </c>
      <c r="AT39" s="209" t="n">
        <f aca="false">IF(V39="","",VALUE(V39))</f>
        <v>223.08</v>
      </c>
      <c r="AU39" s="208" t="n">
        <f aca="false">IF(W39="","",VALUE(W39))</f>
        <v>223.082</v>
      </c>
      <c r="AV39" s="209" t="n">
        <f aca="false">IF(X39="","",VALUE(X39))</f>
        <v>233.08</v>
      </c>
      <c r="AW39" s="215"/>
      <c r="AX39" s="211" t="str">
        <f aca="false">Z39</f>
        <v>Cl2</v>
      </c>
      <c r="AY39" s="212" t="n">
        <f aca="false">COUNT(AA39:AV39)</f>
        <v>22</v>
      </c>
      <c r="AZ39" s="210" t="n">
        <f aca="false">IF(AY39=0,"",MIN(AA39:AV39))</f>
        <v>215.167</v>
      </c>
      <c r="BA39" s="213" t="n">
        <f aca="false">IF(AY39=0,"",MAX(AA39:AV39))</f>
        <v>233.08</v>
      </c>
      <c r="BC39" s="214"/>
    </row>
    <row r="40" customFormat="false" ht="12.75" hidden="false" customHeight="false" outlineLevel="0" collapsed="false">
      <c r="A40" s="73"/>
      <c r="B40" s="31" t="s">
        <v>56</v>
      </c>
      <c r="C40" s="85"/>
      <c r="D40" s="101"/>
      <c r="E40" s="85"/>
      <c r="F40" s="101"/>
      <c r="G40" s="85"/>
      <c r="H40" s="101"/>
      <c r="I40" s="85"/>
      <c r="J40" s="101"/>
      <c r="K40" s="85"/>
      <c r="L40" s="101"/>
      <c r="M40" s="85" t="n">
        <v>71.965</v>
      </c>
      <c r="N40" s="63"/>
      <c r="O40" s="64"/>
      <c r="P40" s="65"/>
      <c r="Q40" s="136"/>
      <c r="R40" s="63"/>
      <c r="S40" s="64"/>
      <c r="T40" s="102"/>
      <c r="U40" s="62"/>
      <c r="V40" s="102"/>
      <c r="W40" s="62"/>
      <c r="X40" s="63"/>
      <c r="Z40" s="31" t="s">
        <v>56</v>
      </c>
      <c r="AA40" s="208" t="str">
        <f aca="false">IF(C40="","",VALUE(C40))</f>
        <v/>
      </c>
      <c r="AB40" s="209" t="str">
        <f aca="false">IF(D40="","",VALUE(D40))</f>
        <v/>
      </c>
      <c r="AC40" s="208" t="str">
        <f aca="false">IF(E40="","",VALUE(E40))</f>
        <v/>
      </c>
      <c r="AD40" s="209" t="str">
        <f aca="false">IF(F40="","",VALUE(F40))</f>
        <v/>
      </c>
      <c r="AE40" s="208" t="str">
        <f aca="false">IF(G40="","",VALUE(G40))</f>
        <v/>
      </c>
      <c r="AF40" s="209" t="str">
        <f aca="false">IF(H40="","",VALUE(H40))</f>
        <v/>
      </c>
      <c r="AG40" s="208" t="str">
        <f aca="false">IF(I40="","",VALUE(I40))</f>
        <v/>
      </c>
      <c r="AH40" s="209" t="str">
        <f aca="false">IF(J40="","",VALUE(J40))</f>
        <v/>
      </c>
      <c r="AI40" s="208" t="str">
        <f aca="false">IF(K40="","",VALUE(K40))</f>
        <v/>
      </c>
      <c r="AJ40" s="209" t="str">
        <f aca="false">IF(L40="","",VALUE(L40))</f>
        <v/>
      </c>
      <c r="AK40" s="208" t="n">
        <f aca="false">IF(M40="","",VALUE(M40))</f>
        <v>71.965</v>
      </c>
      <c r="AL40" s="209" t="str">
        <f aca="false">IF(N40="","",VALUE(N40))</f>
        <v/>
      </c>
      <c r="AM40" s="208" t="str">
        <f aca="false">IF(O40="","",VALUE(O40))</f>
        <v/>
      </c>
      <c r="AN40" s="209" t="str">
        <f aca="false">IF(P40="","",VALUE(P40))</f>
        <v/>
      </c>
      <c r="AO40" s="208" t="str">
        <f aca="false">IF(Q40="","",VALUE(Q40))</f>
        <v/>
      </c>
      <c r="AP40" s="209" t="str">
        <f aca="false">IF(R40="","",VALUE(R40))</f>
        <v/>
      </c>
      <c r="AQ40" s="208" t="str">
        <f aca="false">IF(S40="","",VALUE(S40))</f>
        <v/>
      </c>
      <c r="AR40" s="209" t="str">
        <f aca="false">IF(T40="","",VALUE(T40))</f>
        <v/>
      </c>
      <c r="AS40" s="208" t="str">
        <f aca="false">IF(U40="","",VALUE(U40))</f>
        <v/>
      </c>
      <c r="AT40" s="209" t="str">
        <f aca="false">IF(V40="","",VALUE(V40))</f>
        <v/>
      </c>
      <c r="AU40" s="208" t="str">
        <f aca="false">IF(W40="","",VALUE(W40))</f>
        <v/>
      </c>
      <c r="AV40" s="209" t="str">
        <f aca="false">IF(X40="","",VALUE(X40))</f>
        <v/>
      </c>
      <c r="AW40" s="215"/>
      <c r="AX40" s="211" t="str">
        <f aca="false">Z40</f>
        <v>Cm</v>
      </c>
      <c r="AY40" s="212" t="n">
        <f aca="false">COUNT(AA40:AV40)</f>
        <v>1</v>
      </c>
      <c r="AZ40" s="210" t="n">
        <f aca="false">IF(AY40=0,"",MIN(AA40:AV40))</f>
        <v>71.965</v>
      </c>
      <c r="BA40" s="213" t="n">
        <f aca="false">IF(AY40=0,"",MAX(AA40:AV40))</f>
        <v>71.965</v>
      </c>
      <c r="BC40" s="214"/>
    </row>
    <row r="41" customFormat="false" ht="12.75" hidden="false" customHeight="false" outlineLevel="0" collapsed="false">
      <c r="A41" s="73"/>
      <c r="B41" s="31" t="s">
        <v>57</v>
      </c>
      <c r="C41" s="85" t="n">
        <v>30.125</v>
      </c>
      <c r="D41" s="101" t="n">
        <v>30.125</v>
      </c>
      <c r="E41" s="85" t="n">
        <v>28.451</v>
      </c>
      <c r="F41" s="101" t="n">
        <v>28.451</v>
      </c>
      <c r="G41" s="85" t="n">
        <v>30.041</v>
      </c>
      <c r="H41" s="101" t="n">
        <v>30.041</v>
      </c>
      <c r="I41" s="85" t="n">
        <v>30.041</v>
      </c>
      <c r="J41" s="101" t="n">
        <v>30.041</v>
      </c>
      <c r="K41" s="85" t="n">
        <v>30.041</v>
      </c>
      <c r="L41" s="101" t="n">
        <v>30.041</v>
      </c>
      <c r="M41" s="85" t="n">
        <v>30.041</v>
      </c>
      <c r="N41" s="63" t="n">
        <v>30.04</v>
      </c>
      <c r="O41" s="62" t="n">
        <v>30.04</v>
      </c>
      <c r="P41" s="63" t="n">
        <v>30.067</v>
      </c>
      <c r="Q41" s="136"/>
      <c r="R41" s="63"/>
      <c r="S41" s="64"/>
      <c r="T41" s="102" t="n">
        <v>30.041</v>
      </c>
      <c r="U41" s="62" t="n">
        <v>30.067</v>
      </c>
      <c r="V41" s="102" t="n">
        <v>30.04</v>
      </c>
      <c r="W41" s="64" t="s">
        <v>609</v>
      </c>
      <c r="X41" s="65" t="s">
        <v>610</v>
      </c>
      <c r="Z41" s="31" t="s">
        <v>57</v>
      </c>
      <c r="AA41" s="208" t="n">
        <f aca="false">IF(C41="","",VALUE(C41))</f>
        <v>30.125</v>
      </c>
      <c r="AB41" s="209" t="n">
        <f aca="false">IF(D41="","",VALUE(D41))</f>
        <v>30.125</v>
      </c>
      <c r="AC41" s="208" t="n">
        <f aca="false">IF(E41="","",VALUE(E41))</f>
        <v>28.451</v>
      </c>
      <c r="AD41" s="209" t="n">
        <f aca="false">IF(F41="","",VALUE(F41))</f>
        <v>28.451</v>
      </c>
      <c r="AE41" s="208" t="n">
        <f aca="false">IF(G41="","",VALUE(G41))</f>
        <v>30.041</v>
      </c>
      <c r="AF41" s="209" t="n">
        <f aca="false">IF(H41="","",VALUE(H41))</f>
        <v>30.041</v>
      </c>
      <c r="AG41" s="208" t="n">
        <f aca="false">IF(I41="","",VALUE(I41))</f>
        <v>30.041</v>
      </c>
      <c r="AH41" s="209" t="n">
        <f aca="false">IF(J41="","",VALUE(J41))</f>
        <v>30.041</v>
      </c>
      <c r="AI41" s="208" t="n">
        <f aca="false">IF(K41="","",VALUE(K41))</f>
        <v>30.041</v>
      </c>
      <c r="AJ41" s="209" t="n">
        <f aca="false">IF(L41="","",VALUE(L41))</f>
        <v>30.041</v>
      </c>
      <c r="AK41" s="208" t="n">
        <f aca="false">IF(M41="","",VALUE(M41))</f>
        <v>30.041</v>
      </c>
      <c r="AL41" s="209" t="n">
        <f aca="false">IF(N41="","",VALUE(N41))</f>
        <v>30.04</v>
      </c>
      <c r="AM41" s="208" t="n">
        <f aca="false">IF(O41="","",VALUE(O41))</f>
        <v>30.04</v>
      </c>
      <c r="AN41" s="209" t="n">
        <f aca="false">IF(P41="","",VALUE(P41))</f>
        <v>30.067</v>
      </c>
      <c r="AO41" s="208" t="str">
        <f aca="false">IF(Q41="","",VALUE(Q41))</f>
        <v/>
      </c>
      <c r="AP41" s="209" t="str">
        <f aca="false">IF(R41="","",VALUE(R41))</f>
        <v/>
      </c>
      <c r="AQ41" s="208" t="str">
        <f aca="false">IF(S41="","",VALUE(S41))</f>
        <v/>
      </c>
      <c r="AR41" s="209" t="n">
        <f aca="false">IF(T41="","",VALUE(T41))</f>
        <v>30.041</v>
      </c>
      <c r="AS41" s="208" t="n">
        <f aca="false">IF(U41="","",VALUE(U41))</f>
        <v>30.067</v>
      </c>
      <c r="AT41" s="209" t="n">
        <f aca="false">IF(V41="","",VALUE(V41))</f>
        <v>30.04</v>
      </c>
      <c r="AU41" s="208" t="n">
        <f aca="false">IF(W41="","",VALUE(W41))</f>
        <v>30.067</v>
      </c>
      <c r="AV41" s="209" t="n">
        <f aca="false">IF(X41="","",VALUE(X41))</f>
        <v>30</v>
      </c>
      <c r="AW41" s="215"/>
      <c r="AX41" s="211" t="str">
        <f aca="false">Z41</f>
        <v>Co</v>
      </c>
      <c r="AY41" s="212" t="n">
        <f aca="false">COUNT(AA41:AV41)</f>
        <v>19</v>
      </c>
      <c r="AZ41" s="210" t="n">
        <f aca="false">IF(AY41=0,"",MIN(AA41:AV41))</f>
        <v>28.451</v>
      </c>
      <c r="BA41" s="213" t="n">
        <f aca="false">IF(AY41=0,"",MAX(AA41:AV41))</f>
        <v>30.125</v>
      </c>
      <c r="BC41" s="214"/>
    </row>
    <row r="42" customFormat="false" ht="12.75" hidden="false" customHeight="false" outlineLevel="0" collapsed="false">
      <c r="A42" s="73"/>
      <c r="B42" s="31" t="s">
        <v>58</v>
      </c>
      <c r="C42" s="85" t="n">
        <v>24.267</v>
      </c>
      <c r="D42" s="101" t="n">
        <v>24.267</v>
      </c>
      <c r="E42" s="85" t="n">
        <v>23.43</v>
      </c>
      <c r="F42" s="101" t="n">
        <v>23.765</v>
      </c>
      <c r="G42" s="85" t="n">
        <v>23.849</v>
      </c>
      <c r="H42" s="101" t="n">
        <v>23.765</v>
      </c>
      <c r="I42" s="85" t="n">
        <v>23.64</v>
      </c>
      <c r="J42" s="101" t="n">
        <v>23.765</v>
      </c>
      <c r="K42" s="85"/>
      <c r="L42" s="101" t="n">
        <v>23.64</v>
      </c>
      <c r="M42" s="85" t="n">
        <v>23.64</v>
      </c>
      <c r="N42" s="63" t="n">
        <v>23.64</v>
      </c>
      <c r="O42" s="62" t="n">
        <v>23.77</v>
      </c>
      <c r="P42" s="63" t="n">
        <v>23.618</v>
      </c>
      <c r="Q42" s="136"/>
      <c r="R42" s="63"/>
      <c r="S42" s="64"/>
      <c r="T42" s="103" t="s">
        <v>611</v>
      </c>
      <c r="U42" s="62" t="n">
        <v>23.618</v>
      </c>
      <c r="V42" s="102" t="n">
        <v>23.62</v>
      </c>
      <c r="W42" s="64" t="s">
        <v>612</v>
      </c>
      <c r="X42" s="63" t="n">
        <v>23.8</v>
      </c>
      <c r="Z42" s="31" t="s">
        <v>58</v>
      </c>
      <c r="AA42" s="208" t="n">
        <f aca="false">IF(C42="","",VALUE(C42))</f>
        <v>24.267</v>
      </c>
      <c r="AB42" s="209" t="n">
        <f aca="false">IF(D42="","",VALUE(D42))</f>
        <v>24.267</v>
      </c>
      <c r="AC42" s="208" t="n">
        <f aca="false">IF(E42="","",VALUE(E42))</f>
        <v>23.43</v>
      </c>
      <c r="AD42" s="209" t="n">
        <f aca="false">IF(F42="","",VALUE(F42))</f>
        <v>23.765</v>
      </c>
      <c r="AE42" s="208" t="n">
        <f aca="false">IF(G42="","",VALUE(G42))</f>
        <v>23.849</v>
      </c>
      <c r="AF42" s="209" t="n">
        <f aca="false">IF(H42="","",VALUE(H42))</f>
        <v>23.765</v>
      </c>
      <c r="AG42" s="208" t="n">
        <f aca="false">IF(I42="","",VALUE(I42))</f>
        <v>23.64</v>
      </c>
      <c r="AH42" s="209" t="n">
        <f aca="false">IF(J42="","",VALUE(J42))</f>
        <v>23.765</v>
      </c>
      <c r="AI42" s="208" t="str">
        <f aca="false">IF(K42="","",VALUE(K42))</f>
        <v/>
      </c>
      <c r="AJ42" s="209" t="n">
        <f aca="false">IF(L42="","",VALUE(L42))</f>
        <v>23.64</v>
      </c>
      <c r="AK42" s="208" t="n">
        <f aca="false">IF(M42="","",VALUE(M42))</f>
        <v>23.64</v>
      </c>
      <c r="AL42" s="209" t="n">
        <f aca="false">IF(N42="","",VALUE(N42))</f>
        <v>23.64</v>
      </c>
      <c r="AM42" s="208" t="n">
        <f aca="false">IF(O42="","",VALUE(O42))</f>
        <v>23.77</v>
      </c>
      <c r="AN42" s="209" t="n">
        <f aca="false">IF(P42="","",VALUE(P42))</f>
        <v>23.618</v>
      </c>
      <c r="AO42" s="208" t="str">
        <f aca="false">IF(Q42="","",VALUE(Q42))</f>
        <v/>
      </c>
      <c r="AP42" s="209" t="str">
        <f aca="false">IF(R42="","",VALUE(R42))</f>
        <v/>
      </c>
      <c r="AQ42" s="208" t="str">
        <f aca="false">IF(S42="","",VALUE(S42))</f>
        <v/>
      </c>
      <c r="AR42" s="209" t="n">
        <f aca="false">IF(T42="","",VALUE(T42))</f>
        <v>23.64</v>
      </c>
      <c r="AS42" s="208" t="n">
        <f aca="false">IF(U42="","",VALUE(U42))</f>
        <v>23.618</v>
      </c>
      <c r="AT42" s="209" t="n">
        <f aca="false">IF(V42="","",VALUE(V42))</f>
        <v>23.62</v>
      </c>
      <c r="AU42" s="208" t="n">
        <f aca="false">IF(W42="","",VALUE(W42))</f>
        <v>23.618</v>
      </c>
      <c r="AV42" s="209" t="n">
        <f aca="false">IF(X42="","",VALUE(X42))</f>
        <v>23.8</v>
      </c>
      <c r="AW42" s="215"/>
      <c r="AX42" s="211" t="str">
        <f aca="false">Z42</f>
        <v>Cr</v>
      </c>
      <c r="AY42" s="212" t="n">
        <f aca="false">COUNT(AA42:AV42)</f>
        <v>18</v>
      </c>
      <c r="AZ42" s="210" t="n">
        <f aca="false">IF(AY42=0,"",MIN(AA42:AV42))</f>
        <v>23.43</v>
      </c>
      <c r="BA42" s="213" t="n">
        <f aca="false">IF(AY42=0,"",MAX(AA42:AV42))</f>
        <v>24.267</v>
      </c>
      <c r="BC42" s="214"/>
    </row>
    <row r="43" customFormat="false" ht="12.75" hidden="false" customHeight="false" outlineLevel="0" collapsed="false">
      <c r="A43" s="73"/>
      <c r="B43" s="38" t="s">
        <v>59</v>
      </c>
      <c r="C43" s="85"/>
      <c r="D43" s="101"/>
      <c r="E43" s="85" t="n">
        <v>79.496</v>
      </c>
      <c r="F43" s="101" t="n">
        <v>82.843</v>
      </c>
      <c r="G43" s="85" t="n">
        <v>84.349</v>
      </c>
      <c r="H43" s="101" t="n">
        <v>84.098</v>
      </c>
      <c r="I43" s="85"/>
      <c r="J43" s="101" t="n">
        <v>85.228</v>
      </c>
      <c r="K43" s="85" t="n">
        <v>85.149</v>
      </c>
      <c r="L43" s="101" t="n">
        <v>85.061</v>
      </c>
      <c r="M43" s="85" t="n">
        <v>85.228</v>
      </c>
      <c r="N43" s="63" t="n">
        <v>85.23</v>
      </c>
      <c r="O43" s="62" t="n">
        <v>85.23</v>
      </c>
      <c r="P43" s="63" t="n">
        <v>85.147</v>
      </c>
      <c r="Q43" s="136" t="n">
        <v>85.23</v>
      </c>
      <c r="R43" s="63"/>
      <c r="S43" s="64" t="s">
        <v>613</v>
      </c>
      <c r="T43" s="102" t="n">
        <v>85.147</v>
      </c>
      <c r="U43" s="62" t="n">
        <v>85.147</v>
      </c>
      <c r="V43" s="102" t="n">
        <v>85.23</v>
      </c>
      <c r="W43" s="64" t="s">
        <v>613</v>
      </c>
      <c r="X43" s="63" t="n">
        <v>85.23</v>
      </c>
      <c r="Z43" s="38" t="s">
        <v>59</v>
      </c>
      <c r="AA43" s="208" t="str">
        <f aca="false">IF(C43="","",VALUE(C43))</f>
        <v/>
      </c>
      <c r="AB43" s="209" t="str">
        <f aca="false">IF(D43="","",VALUE(D43))</f>
        <v/>
      </c>
      <c r="AC43" s="208" t="n">
        <f aca="false">IF(E43="","",VALUE(E43))</f>
        <v>79.496</v>
      </c>
      <c r="AD43" s="209" t="n">
        <f aca="false">IF(F43="","",VALUE(F43))</f>
        <v>82.843</v>
      </c>
      <c r="AE43" s="208" t="n">
        <f aca="false">IF(G43="","",VALUE(G43))</f>
        <v>84.349</v>
      </c>
      <c r="AF43" s="209" t="n">
        <f aca="false">IF(H43="","",VALUE(H43))</f>
        <v>84.098</v>
      </c>
      <c r="AG43" s="208" t="str">
        <f aca="false">IF(I43="","",VALUE(I43))</f>
        <v/>
      </c>
      <c r="AH43" s="209" t="n">
        <f aca="false">IF(J43="","",VALUE(J43))</f>
        <v>85.228</v>
      </c>
      <c r="AI43" s="208" t="n">
        <f aca="false">IF(K43="","",VALUE(K43))</f>
        <v>85.149</v>
      </c>
      <c r="AJ43" s="209" t="n">
        <f aca="false">IF(L43="","",VALUE(L43))</f>
        <v>85.061</v>
      </c>
      <c r="AK43" s="208" t="n">
        <f aca="false">IF(M43="","",VALUE(M43))</f>
        <v>85.228</v>
      </c>
      <c r="AL43" s="209" t="n">
        <f aca="false">IF(N43="","",VALUE(N43))</f>
        <v>85.23</v>
      </c>
      <c r="AM43" s="208" t="n">
        <f aca="false">IF(O43="","",VALUE(O43))</f>
        <v>85.23</v>
      </c>
      <c r="AN43" s="209" t="n">
        <f aca="false">IF(P43="","",VALUE(P43))</f>
        <v>85.147</v>
      </c>
      <c r="AO43" s="208" t="n">
        <f aca="false">IF(Q43="","",VALUE(Q43))</f>
        <v>85.23</v>
      </c>
      <c r="AP43" s="209" t="str">
        <f aca="false">IF(R43="","",VALUE(R43))</f>
        <v/>
      </c>
      <c r="AQ43" s="208" t="n">
        <f aca="false">IF(S43="","",VALUE(S43))</f>
        <v>85.23</v>
      </c>
      <c r="AR43" s="209" t="n">
        <f aca="false">IF(T43="","",VALUE(T43))</f>
        <v>85.147</v>
      </c>
      <c r="AS43" s="208" t="n">
        <f aca="false">IF(U43="","",VALUE(U43))</f>
        <v>85.147</v>
      </c>
      <c r="AT43" s="209" t="n">
        <f aca="false">IF(V43="","",VALUE(V43))</f>
        <v>85.23</v>
      </c>
      <c r="AU43" s="208" t="n">
        <f aca="false">IF(W43="","",VALUE(W43))</f>
        <v>85.23</v>
      </c>
      <c r="AV43" s="209" t="n">
        <f aca="false">IF(X43="","",VALUE(X43))</f>
        <v>85.23</v>
      </c>
      <c r="AW43" s="215"/>
      <c r="AX43" s="211" t="str">
        <f aca="false">Z43</f>
        <v>Cs</v>
      </c>
      <c r="AY43" s="212" t="n">
        <f aca="false">COUNT(AA43:AV43)</f>
        <v>18</v>
      </c>
      <c r="AZ43" s="210" t="n">
        <f aca="false">IF(AY43=0,"",MIN(AA43:AV43))</f>
        <v>79.496</v>
      </c>
      <c r="BA43" s="213" t="n">
        <f aca="false">IF(AY43=0,"",MAX(AA43:AV43))</f>
        <v>85.23</v>
      </c>
      <c r="BC43" s="214"/>
    </row>
    <row r="44" customFormat="false" ht="12.75" hidden="false" customHeight="false" outlineLevel="0" collapsed="false">
      <c r="A44" s="73"/>
      <c r="B44" s="31" t="s">
        <v>60</v>
      </c>
      <c r="C44" s="85" t="n">
        <v>33.472</v>
      </c>
      <c r="D44" s="101" t="n">
        <v>34.225</v>
      </c>
      <c r="E44" s="85" t="n">
        <v>33.054</v>
      </c>
      <c r="F44" s="101" t="n">
        <v>33.305</v>
      </c>
      <c r="G44" s="85" t="n">
        <v>33.346</v>
      </c>
      <c r="H44" s="101" t="n">
        <v>33.346</v>
      </c>
      <c r="I44" s="85" t="n">
        <v>33.346</v>
      </c>
      <c r="J44" s="101" t="n">
        <v>33.15</v>
      </c>
      <c r="K44" s="85" t="n">
        <v>33.108</v>
      </c>
      <c r="L44" s="101" t="n">
        <v>33.15</v>
      </c>
      <c r="M44" s="85" t="n">
        <v>33.154</v>
      </c>
      <c r="N44" s="63" t="n">
        <v>33.15</v>
      </c>
      <c r="O44" s="64" t="s">
        <v>614</v>
      </c>
      <c r="P44" s="63" t="n">
        <v>33.164</v>
      </c>
      <c r="Q44" s="136" t="n">
        <v>33.15</v>
      </c>
      <c r="R44" s="63"/>
      <c r="S44" s="64" t="s">
        <v>614</v>
      </c>
      <c r="T44" s="102" t="n">
        <v>33.164</v>
      </c>
      <c r="U44" s="62" t="n">
        <v>33.164</v>
      </c>
      <c r="V44" s="102" t="n">
        <v>33.14</v>
      </c>
      <c r="W44" s="64" t="s">
        <v>614</v>
      </c>
      <c r="X44" s="63" t="n">
        <v>33.15</v>
      </c>
      <c r="Z44" s="31" t="s">
        <v>60</v>
      </c>
      <c r="AA44" s="208" t="n">
        <f aca="false">IF(C44="","",VALUE(C44))</f>
        <v>33.472</v>
      </c>
      <c r="AB44" s="209" t="n">
        <f aca="false">IF(D44="","",VALUE(D44))</f>
        <v>34.225</v>
      </c>
      <c r="AC44" s="208" t="n">
        <f aca="false">IF(E44="","",VALUE(E44))</f>
        <v>33.054</v>
      </c>
      <c r="AD44" s="209" t="n">
        <f aca="false">IF(F44="","",VALUE(F44))</f>
        <v>33.305</v>
      </c>
      <c r="AE44" s="208" t="n">
        <f aca="false">IF(G44="","",VALUE(G44))</f>
        <v>33.346</v>
      </c>
      <c r="AF44" s="209" t="n">
        <f aca="false">IF(H44="","",VALUE(H44))</f>
        <v>33.346</v>
      </c>
      <c r="AG44" s="208" t="n">
        <f aca="false">IF(I44="","",VALUE(I44))</f>
        <v>33.346</v>
      </c>
      <c r="AH44" s="209" t="n">
        <f aca="false">IF(J44="","",VALUE(J44))</f>
        <v>33.15</v>
      </c>
      <c r="AI44" s="208" t="n">
        <f aca="false">IF(K44="","",VALUE(K44))</f>
        <v>33.108</v>
      </c>
      <c r="AJ44" s="209" t="n">
        <f aca="false">IF(L44="","",VALUE(L44))</f>
        <v>33.15</v>
      </c>
      <c r="AK44" s="208" t="n">
        <f aca="false">IF(M44="","",VALUE(M44))</f>
        <v>33.154</v>
      </c>
      <c r="AL44" s="209" t="n">
        <f aca="false">IF(N44="","",VALUE(N44))</f>
        <v>33.15</v>
      </c>
      <c r="AM44" s="208" t="n">
        <f aca="false">IF(O44="","",VALUE(O44))</f>
        <v>33.15</v>
      </c>
      <c r="AN44" s="209" t="n">
        <f aca="false">IF(P44="","",VALUE(P44))</f>
        <v>33.164</v>
      </c>
      <c r="AO44" s="208" t="n">
        <f aca="false">IF(Q44="","",VALUE(Q44))</f>
        <v>33.15</v>
      </c>
      <c r="AP44" s="209" t="str">
        <f aca="false">IF(R44="","",VALUE(R44))</f>
        <v/>
      </c>
      <c r="AQ44" s="208" t="n">
        <f aca="false">IF(S44="","",VALUE(S44))</f>
        <v>33.15</v>
      </c>
      <c r="AR44" s="209" t="n">
        <f aca="false">IF(T44="","",VALUE(T44))</f>
        <v>33.164</v>
      </c>
      <c r="AS44" s="208" t="n">
        <f aca="false">IF(U44="","",VALUE(U44))</f>
        <v>33.164</v>
      </c>
      <c r="AT44" s="209" t="n">
        <f aca="false">IF(V44="","",VALUE(V44))</f>
        <v>33.14</v>
      </c>
      <c r="AU44" s="208" t="n">
        <f aca="false">IF(W44="","",VALUE(W44))</f>
        <v>33.15</v>
      </c>
      <c r="AV44" s="209" t="n">
        <f aca="false">IF(X44="","",VALUE(X44))</f>
        <v>33.15</v>
      </c>
      <c r="AW44" s="215"/>
      <c r="AX44" s="211" t="str">
        <f aca="false">Z44</f>
        <v>Cu</v>
      </c>
      <c r="AY44" s="212" t="n">
        <f aca="false">COUNT(AA44:AV44)</f>
        <v>21</v>
      </c>
      <c r="AZ44" s="210" t="n">
        <f aca="false">IF(AY44=0,"",MIN(AA44:AV44))</f>
        <v>33.054</v>
      </c>
      <c r="BA44" s="213" t="n">
        <f aca="false">IF(AY44=0,"",MAX(AA44:AV44))</f>
        <v>34.225</v>
      </c>
      <c r="BC44" s="214"/>
    </row>
    <row r="45" customFormat="false" ht="12.75" hidden="false" customHeight="false" outlineLevel="0" collapsed="false">
      <c r="A45" s="73"/>
      <c r="B45" s="31" t="s">
        <v>61</v>
      </c>
      <c r="C45" s="85"/>
      <c r="D45" s="101"/>
      <c r="E45" s="85"/>
      <c r="F45" s="101"/>
      <c r="G45" s="85" t="n">
        <v>74.768</v>
      </c>
      <c r="H45" s="101" t="n">
        <v>74.894</v>
      </c>
      <c r="I45" s="85"/>
      <c r="J45" s="101" t="n">
        <v>74.768</v>
      </c>
      <c r="K45" s="85"/>
      <c r="L45" s="101" t="n">
        <v>74.894</v>
      </c>
      <c r="M45" s="85" t="n">
        <v>74.894</v>
      </c>
      <c r="N45" s="63" t="n">
        <v>74.89</v>
      </c>
      <c r="O45" s="62" t="n">
        <v>74.77</v>
      </c>
      <c r="P45" s="63"/>
      <c r="Q45" s="136"/>
      <c r="R45" s="63"/>
      <c r="S45" s="64"/>
      <c r="T45" s="102" t="n">
        <v>74.894</v>
      </c>
      <c r="U45" s="62"/>
      <c r="V45" s="102"/>
      <c r="W45" s="62"/>
      <c r="X45" s="63" t="n">
        <v>75.6</v>
      </c>
      <c r="Z45" s="31" t="s">
        <v>61</v>
      </c>
      <c r="AA45" s="208" t="str">
        <f aca="false">IF(C45="","",VALUE(C45))</f>
        <v/>
      </c>
      <c r="AB45" s="209" t="str">
        <f aca="false">IF(D45="","",VALUE(D45))</f>
        <v/>
      </c>
      <c r="AC45" s="208" t="str">
        <f aca="false">IF(E45="","",VALUE(E45))</f>
        <v/>
      </c>
      <c r="AD45" s="209" t="str">
        <f aca="false">IF(F45="","",VALUE(F45))</f>
        <v/>
      </c>
      <c r="AE45" s="208" t="n">
        <f aca="false">IF(G45="","",VALUE(G45))</f>
        <v>74.768</v>
      </c>
      <c r="AF45" s="209" t="n">
        <f aca="false">IF(H45="","",VALUE(H45))</f>
        <v>74.894</v>
      </c>
      <c r="AG45" s="208" t="str">
        <f aca="false">IF(I45="","",VALUE(I45))</f>
        <v/>
      </c>
      <c r="AH45" s="209" t="n">
        <f aca="false">IF(J45="","",VALUE(J45))</f>
        <v>74.768</v>
      </c>
      <c r="AI45" s="208" t="str">
        <f aca="false">IF(K45="","",VALUE(K45))</f>
        <v/>
      </c>
      <c r="AJ45" s="209" t="n">
        <f aca="false">IF(L45="","",VALUE(L45))</f>
        <v>74.894</v>
      </c>
      <c r="AK45" s="208" t="n">
        <f aca="false">IF(M45="","",VALUE(M45))</f>
        <v>74.894</v>
      </c>
      <c r="AL45" s="209" t="n">
        <f aca="false">IF(N45="","",VALUE(N45))</f>
        <v>74.89</v>
      </c>
      <c r="AM45" s="208" t="n">
        <f aca="false">IF(O45="","",VALUE(O45))</f>
        <v>74.77</v>
      </c>
      <c r="AN45" s="209" t="str">
        <f aca="false">IF(P45="","",VALUE(P45))</f>
        <v/>
      </c>
      <c r="AO45" s="208" t="str">
        <f aca="false">IF(Q45="","",VALUE(Q45))</f>
        <v/>
      </c>
      <c r="AP45" s="209" t="str">
        <f aca="false">IF(R45="","",VALUE(R45))</f>
        <v/>
      </c>
      <c r="AQ45" s="208" t="str">
        <f aca="false">IF(S45="","",VALUE(S45))</f>
        <v/>
      </c>
      <c r="AR45" s="209" t="n">
        <f aca="false">IF(T45="","",VALUE(T45))</f>
        <v>74.894</v>
      </c>
      <c r="AS45" s="208" t="str">
        <f aca="false">IF(U45="","",VALUE(U45))</f>
        <v/>
      </c>
      <c r="AT45" s="209" t="str">
        <f aca="false">IF(V45="","",VALUE(V45))</f>
        <v/>
      </c>
      <c r="AU45" s="208" t="str">
        <f aca="false">IF(W45="","",VALUE(W45))</f>
        <v/>
      </c>
      <c r="AV45" s="209" t="n">
        <f aca="false">IF(X45="","",VALUE(X45))</f>
        <v>75.6</v>
      </c>
      <c r="AW45" s="215"/>
      <c r="AX45" s="211" t="str">
        <f aca="false">Z45</f>
        <v>Dy</v>
      </c>
      <c r="AY45" s="212" t="n">
        <f aca="false">COUNT(AA45:AV45)</f>
        <v>9</v>
      </c>
      <c r="AZ45" s="210" t="n">
        <f aca="false">IF(AY45=0,"",MIN(AA45:AV45))</f>
        <v>74.768</v>
      </c>
      <c r="BA45" s="213" t="n">
        <f aca="false">IF(AY45=0,"",MAX(AA45:AV45))</f>
        <v>75.6</v>
      </c>
      <c r="BC45" s="214"/>
    </row>
    <row r="46" customFormat="false" ht="12.75" hidden="false" customHeight="false" outlineLevel="0" collapsed="false">
      <c r="A46" s="73"/>
      <c r="B46" s="31" t="s">
        <v>62</v>
      </c>
      <c r="C46" s="85"/>
      <c r="D46" s="101"/>
      <c r="E46" s="85"/>
      <c r="F46" s="101"/>
      <c r="G46" s="85" t="n">
        <v>73.136</v>
      </c>
      <c r="H46" s="101" t="n">
        <v>73.22</v>
      </c>
      <c r="I46" s="85"/>
      <c r="J46" s="101" t="n">
        <v>73.178</v>
      </c>
      <c r="K46" s="85"/>
      <c r="L46" s="101" t="n">
        <v>73.178</v>
      </c>
      <c r="M46" s="85" t="n">
        <v>73.178</v>
      </c>
      <c r="N46" s="63" t="n">
        <v>73.18</v>
      </c>
      <c r="O46" s="62" t="n">
        <v>73.18</v>
      </c>
      <c r="P46" s="63"/>
      <c r="Q46" s="136"/>
      <c r="R46" s="63"/>
      <c r="S46" s="64"/>
      <c r="T46" s="102" t="n">
        <v>73.178</v>
      </c>
      <c r="U46" s="62"/>
      <c r="V46" s="102"/>
      <c r="W46" s="62"/>
      <c r="X46" s="63" t="n">
        <v>73.18</v>
      </c>
      <c r="Z46" s="31" t="s">
        <v>62</v>
      </c>
      <c r="AA46" s="208" t="str">
        <f aca="false">IF(C46="","",VALUE(C46))</f>
        <v/>
      </c>
      <c r="AB46" s="209" t="str">
        <f aca="false">IF(D46="","",VALUE(D46))</f>
        <v/>
      </c>
      <c r="AC46" s="208" t="str">
        <f aca="false">IF(E46="","",VALUE(E46))</f>
        <v/>
      </c>
      <c r="AD46" s="209" t="str">
        <f aca="false">IF(F46="","",VALUE(F46))</f>
        <v/>
      </c>
      <c r="AE46" s="208" t="n">
        <f aca="false">IF(G46="","",VALUE(G46))</f>
        <v>73.136</v>
      </c>
      <c r="AF46" s="209" t="n">
        <f aca="false">IF(H46="","",VALUE(H46))</f>
        <v>73.22</v>
      </c>
      <c r="AG46" s="208" t="str">
        <f aca="false">IF(I46="","",VALUE(I46))</f>
        <v/>
      </c>
      <c r="AH46" s="209" t="n">
        <f aca="false">IF(J46="","",VALUE(J46))</f>
        <v>73.178</v>
      </c>
      <c r="AI46" s="208" t="str">
        <f aca="false">IF(K46="","",VALUE(K46))</f>
        <v/>
      </c>
      <c r="AJ46" s="209" t="n">
        <f aca="false">IF(L46="","",VALUE(L46))</f>
        <v>73.178</v>
      </c>
      <c r="AK46" s="208" t="n">
        <f aca="false">IF(M46="","",VALUE(M46))</f>
        <v>73.178</v>
      </c>
      <c r="AL46" s="209" t="n">
        <f aca="false">IF(N46="","",VALUE(N46))</f>
        <v>73.18</v>
      </c>
      <c r="AM46" s="208" t="n">
        <f aca="false">IF(O46="","",VALUE(O46))</f>
        <v>73.18</v>
      </c>
      <c r="AN46" s="209" t="str">
        <f aca="false">IF(P46="","",VALUE(P46))</f>
        <v/>
      </c>
      <c r="AO46" s="208" t="str">
        <f aca="false">IF(Q46="","",VALUE(Q46))</f>
        <v/>
      </c>
      <c r="AP46" s="209" t="str">
        <f aca="false">IF(R46="","",VALUE(R46))</f>
        <v/>
      </c>
      <c r="AQ46" s="208" t="str">
        <f aca="false">IF(S46="","",VALUE(S46))</f>
        <v/>
      </c>
      <c r="AR46" s="209" t="n">
        <f aca="false">IF(T46="","",VALUE(T46))</f>
        <v>73.178</v>
      </c>
      <c r="AS46" s="208" t="str">
        <f aca="false">IF(U46="","",VALUE(U46))</f>
        <v/>
      </c>
      <c r="AT46" s="209" t="str">
        <f aca="false">IF(V46="","",VALUE(V46))</f>
        <v/>
      </c>
      <c r="AU46" s="208" t="str">
        <f aca="false">IF(W46="","",VALUE(W46))</f>
        <v/>
      </c>
      <c r="AV46" s="209" t="n">
        <f aca="false">IF(X46="","",VALUE(X46))</f>
        <v>73.18</v>
      </c>
      <c r="AW46" s="215"/>
      <c r="AX46" s="211" t="str">
        <f aca="false">Z46</f>
        <v>Er</v>
      </c>
      <c r="AY46" s="212" t="n">
        <f aca="false">COUNT(AA46:AV46)</f>
        <v>9</v>
      </c>
      <c r="AZ46" s="210" t="n">
        <f aca="false">IF(AY46=0,"",MIN(AA46:AV46))</f>
        <v>73.136</v>
      </c>
      <c r="BA46" s="213" t="n">
        <f aca="false">IF(AY46=0,"",MAX(AA46:AV46))</f>
        <v>73.22</v>
      </c>
      <c r="BC46" s="214"/>
    </row>
    <row r="47" customFormat="false" ht="12.75" hidden="false" customHeight="false" outlineLevel="0" collapsed="false">
      <c r="A47" s="73"/>
      <c r="B47" s="31" t="s">
        <v>63</v>
      </c>
      <c r="C47" s="85"/>
      <c r="D47" s="101"/>
      <c r="E47" s="85"/>
      <c r="F47" s="101"/>
      <c r="G47" s="85"/>
      <c r="H47" s="101"/>
      <c r="I47" s="85"/>
      <c r="J47" s="101"/>
      <c r="K47" s="85"/>
      <c r="L47" s="101"/>
      <c r="M47" s="85"/>
      <c r="N47" s="63"/>
      <c r="O47" s="64"/>
      <c r="P47" s="65"/>
      <c r="Q47" s="136"/>
      <c r="R47" s="63"/>
      <c r="S47" s="64"/>
      <c r="T47" s="102"/>
      <c r="U47" s="62"/>
      <c r="V47" s="102"/>
      <c r="W47" s="62"/>
      <c r="X47" s="63"/>
      <c r="Z47" s="31" t="s">
        <v>63</v>
      </c>
      <c r="AA47" s="208" t="str">
        <f aca="false">IF(C47="","",VALUE(C47))</f>
        <v/>
      </c>
      <c r="AB47" s="209" t="str">
        <f aca="false">IF(D47="","",VALUE(D47))</f>
        <v/>
      </c>
      <c r="AC47" s="208" t="str">
        <f aca="false">IF(E47="","",VALUE(E47))</f>
        <v/>
      </c>
      <c r="AD47" s="209" t="str">
        <f aca="false">IF(F47="","",VALUE(F47))</f>
        <v/>
      </c>
      <c r="AE47" s="208" t="str">
        <f aca="false">IF(G47="","",VALUE(G47))</f>
        <v/>
      </c>
      <c r="AF47" s="209" t="str">
        <f aca="false">IF(H47="","",VALUE(H47))</f>
        <v/>
      </c>
      <c r="AG47" s="208" t="str">
        <f aca="false">IF(I47="","",VALUE(I47))</f>
        <v/>
      </c>
      <c r="AH47" s="209" t="str">
        <f aca="false">IF(J47="","",VALUE(J47))</f>
        <v/>
      </c>
      <c r="AI47" s="208" t="str">
        <f aca="false">IF(K47="","",VALUE(K47))</f>
        <v/>
      </c>
      <c r="AJ47" s="209" t="str">
        <f aca="false">IF(L47="","",VALUE(L47))</f>
        <v/>
      </c>
      <c r="AK47" s="208" t="str">
        <f aca="false">IF(M47="","",VALUE(M47))</f>
        <v/>
      </c>
      <c r="AL47" s="209" t="str">
        <f aca="false">IF(N47="","",VALUE(N47))</f>
        <v/>
      </c>
      <c r="AM47" s="208" t="str">
        <f aca="false">IF(O47="","",VALUE(O47))</f>
        <v/>
      </c>
      <c r="AN47" s="209" t="str">
        <f aca="false">IF(P47="","",VALUE(P47))</f>
        <v/>
      </c>
      <c r="AO47" s="208" t="str">
        <f aca="false">IF(Q47="","",VALUE(Q47))</f>
        <v/>
      </c>
      <c r="AP47" s="209" t="str">
        <f aca="false">IF(R47="","",VALUE(R47))</f>
        <v/>
      </c>
      <c r="AQ47" s="208" t="str">
        <f aca="false">IF(S47="","",VALUE(S47))</f>
        <v/>
      </c>
      <c r="AR47" s="209" t="str">
        <f aca="false">IF(T47="","",VALUE(T47))</f>
        <v/>
      </c>
      <c r="AS47" s="208" t="str">
        <f aca="false">IF(U47="","",VALUE(U47))</f>
        <v/>
      </c>
      <c r="AT47" s="209" t="str">
        <f aca="false">IF(V47="","",VALUE(V47))</f>
        <v/>
      </c>
      <c r="AU47" s="208" t="str">
        <f aca="false">IF(W47="","",VALUE(W47))</f>
        <v/>
      </c>
      <c r="AV47" s="209" t="str">
        <f aca="false">IF(X47="","",VALUE(X47))</f>
        <v/>
      </c>
      <c r="AW47" s="215"/>
      <c r="AX47" s="211" t="str">
        <f aca="false">Z47</f>
        <v>Es</v>
      </c>
      <c r="AY47" s="212" t="n">
        <f aca="false">COUNT(AA47:AV47)</f>
        <v>0</v>
      </c>
      <c r="AZ47" s="210" t="str">
        <f aca="false">IF(AY47=0,"",MIN(AA47:AV47))</f>
        <v/>
      </c>
      <c r="BA47" s="213" t="str">
        <f aca="false">IF(AY47=0,"",MAX(AA47:AV47))</f>
        <v/>
      </c>
      <c r="BC47" s="214"/>
    </row>
    <row r="48" customFormat="false" ht="12.75" hidden="false" customHeight="false" outlineLevel="0" collapsed="false">
      <c r="A48" s="73"/>
      <c r="B48" s="31" t="s">
        <v>64</v>
      </c>
      <c r="C48" s="85"/>
      <c r="D48" s="101"/>
      <c r="E48" s="85"/>
      <c r="F48" s="101"/>
      <c r="G48" s="85" t="n">
        <v>71.128</v>
      </c>
      <c r="H48" s="101" t="n">
        <v>71.128</v>
      </c>
      <c r="I48" s="85"/>
      <c r="J48" s="101" t="n">
        <v>77.781</v>
      </c>
      <c r="K48" s="85"/>
      <c r="L48" s="101" t="n">
        <v>80.793</v>
      </c>
      <c r="M48" s="85" t="n">
        <v>77.822</v>
      </c>
      <c r="N48" s="63" t="n">
        <v>80.79</v>
      </c>
      <c r="O48" s="62" t="n">
        <v>77.78</v>
      </c>
      <c r="P48" s="63"/>
      <c r="Q48" s="136"/>
      <c r="R48" s="63"/>
      <c r="S48" s="64"/>
      <c r="T48" s="102" t="n">
        <v>77.822</v>
      </c>
      <c r="U48" s="62"/>
      <c r="V48" s="102"/>
      <c r="W48" s="62"/>
      <c r="X48" s="63" t="n">
        <v>77.78</v>
      </c>
      <c r="Z48" s="31" t="s">
        <v>64</v>
      </c>
      <c r="AA48" s="208" t="str">
        <f aca="false">IF(C48="","",VALUE(C48))</f>
        <v/>
      </c>
      <c r="AB48" s="209" t="str">
        <f aca="false">IF(D48="","",VALUE(D48))</f>
        <v/>
      </c>
      <c r="AC48" s="208" t="str">
        <f aca="false">IF(E48="","",VALUE(E48))</f>
        <v/>
      </c>
      <c r="AD48" s="209" t="str">
        <f aca="false">IF(F48="","",VALUE(F48))</f>
        <v/>
      </c>
      <c r="AE48" s="208" t="n">
        <f aca="false">IF(G48="","",VALUE(G48))</f>
        <v>71.128</v>
      </c>
      <c r="AF48" s="209" t="n">
        <f aca="false">IF(H48="","",VALUE(H48))</f>
        <v>71.128</v>
      </c>
      <c r="AG48" s="208" t="str">
        <f aca="false">IF(I48="","",VALUE(I48))</f>
        <v/>
      </c>
      <c r="AH48" s="209" t="n">
        <f aca="false">IF(J48="","",VALUE(J48))</f>
        <v>77.781</v>
      </c>
      <c r="AI48" s="208" t="str">
        <f aca="false">IF(K48="","",VALUE(K48))</f>
        <v/>
      </c>
      <c r="AJ48" s="209" t="n">
        <f aca="false">IF(L48="","",VALUE(L48))</f>
        <v>80.793</v>
      </c>
      <c r="AK48" s="208" t="n">
        <f aca="false">IF(M48="","",VALUE(M48))</f>
        <v>77.822</v>
      </c>
      <c r="AL48" s="209" t="n">
        <f aca="false">IF(N48="","",VALUE(N48))</f>
        <v>80.79</v>
      </c>
      <c r="AM48" s="208" t="n">
        <f aca="false">IF(O48="","",VALUE(O48))</f>
        <v>77.78</v>
      </c>
      <c r="AN48" s="209" t="str">
        <f aca="false">IF(P48="","",VALUE(P48))</f>
        <v/>
      </c>
      <c r="AO48" s="208" t="str">
        <f aca="false">IF(Q48="","",VALUE(Q48))</f>
        <v/>
      </c>
      <c r="AP48" s="209" t="str">
        <f aca="false">IF(R48="","",VALUE(R48))</f>
        <v/>
      </c>
      <c r="AQ48" s="208" t="str">
        <f aca="false">IF(S48="","",VALUE(S48))</f>
        <v/>
      </c>
      <c r="AR48" s="209" t="n">
        <f aca="false">IF(T48="","",VALUE(T48))</f>
        <v>77.822</v>
      </c>
      <c r="AS48" s="208" t="str">
        <f aca="false">IF(U48="","",VALUE(U48))</f>
        <v/>
      </c>
      <c r="AT48" s="209" t="str">
        <f aca="false">IF(V48="","",VALUE(V48))</f>
        <v/>
      </c>
      <c r="AU48" s="208" t="str">
        <f aca="false">IF(W48="","",VALUE(W48))</f>
        <v/>
      </c>
      <c r="AV48" s="209" t="n">
        <f aca="false">IF(X48="","",VALUE(X48))</f>
        <v>77.78</v>
      </c>
      <c r="AW48" s="215"/>
      <c r="AX48" s="211" t="str">
        <f aca="false">Z48</f>
        <v>Eu</v>
      </c>
      <c r="AY48" s="212" t="n">
        <f aca="false">COUNT(AA48:AV48)</f>
        <v>9</v>
      </c>
      <c r="AZ48" s="210" t="n">
        <f aca="false">IF(AY48=0,"",MIN(AA48:AV48))</f>
        <v>71.128</v>
      </c>
      <c r="BA48" s="213" t="n">
        <f aca="false">IF(AY48=0,"",MAX(AA48:AV48))</f>
        <v>80.793</v>
      </c>
      <c r="BC48" s="214"/>
    </row>
    <row r="49" customFormat="false" ht="12.75" hidden="false" customHeight="false" outlineLevel="0" collapsed="false">
      <c r="A49" s="73"/>
      <c r="B49" s="38" t="s">
        <v>66</v>
      </c>
      <c r="C49" s="85"/>
      <c r="D49" s="101"/>
      <c r="E49" s="85"/>
      <c r="F49" s="101" t="n">
        <v>203.452</v>
      </c>
      <c r="G49" s="85" t="n">
        <v>202.824</v>
      </c>
      <c r="H49" s="101" t="n">
        <v>202.992</v>
      </c>
      <c r="I49" s="85" t="n">
        <v>202.782</v>
      </c>
      <c r="J49" s="101" t="n">
        <v>202.782</v>
      </c>
      <c r="K49" s="85" t="n">
        <v>202.812</v>
      </c>
      <c r="L49" s="101" t="n">
        <v>202.774</v>
      </c>
      <c r="M49" s="85" t="n">
        <v>202.795</v>
      </c>
      <c r="N49" s="65" t="n">
        <v>202.79</v>
      </c>
      <c r="O49" s="62" t="n">
        <v>202.78</v>
      </c>
      <c r="P49" s="63" t="n">
        <v>202.789</v>
      </c>
      <c r="Q49" s="136" t="n">
        <v>202.791</v>
      </c>
      <c r="R49" s="65" t="s">
        <v>615</v>
      </c>
      <c r="S49" s="64" t="n">
        <v>202.791</v>
      </c>
      <c r="T49" s="102" t="n">
        <v>202.795</v>
      </c>
      <c r="U49" s="64" t="n">
        <v>202.789</v>
      </c>
      <c r="V49" s="103" t="n">
        <v>202.79</v>
      </c>
      <c r="W49" s="64" t="s">
        <v>616</v>
      </c>
      <c r="X49" s="65" t="n">
        <v>202.791</v>
      </c>
      <c r="Z49" s="38" t="s">
        <v>66</v>
      </c>
      <c r="AA49" s="208" t="str">
        <f aca="false">IF(C49="","",VALUE(C49))</f>
        <v/>
      </c>
      <c r="AB49" s="209" t="str">
        <f aca="false">IF(D49="","",VALUE(D49))</f>
        <v/>
      </c>
      <c r="AC49" s="208" t="str">
        <f aca="false">IF(E49="","",VALUE(E49))</f>
        <v/>
      </c>
      <c r="AD49" s="209" t="n">
        <f aca="false">IF(F49="","",VALUE(F49))</f>
        <v>203.452</v>
      </c>
      <c r="AE49" s="208" t="n">
        <f aca="false">IF(G49="","",VALUE(G49))</f>
        <v>202.824</v>
      </c>
      <c r="AF49" s="209" t="n">
        <f aca="false">IF(H49="","",VALUE(H49))</f>
        <v>202.992</v>
      </c>
      <c r="AG49" s="208" t="n">
        <f aca="false">IF(I49="","",VALUE(I49))</f>
        <v>202.782</v>
      </c>
      <c r="AH49" s="209" t="n">
        <f aca="false">IF(J49="","",VALUE(J49))</f>
        <v>202.782</v>
      </c>
      <c r="AI49" s="208" t="n">
        <f aca="false">IF(K49="","",VALUE(K49))</f>
        <v>202.812</v>
      </c>
      <c r="AJ49" s="209" t="n">
        <f aca="false">IF(L49="","",VALUE(L49))</f>
        <v>202.774</v>
      </c>
      <c r="AK49" s="208" t="n">
        <f aca="false">IF(M49="","",VALUE(M49))</f>
        <v>202.795</v>
      </c>
      <c r="AL49" s="209" t="n">
        <f aca="false">IF(N49="","",VALUE(N49))</f>
        <v>202.79</v>
      </c>
      <c r="AM49" s="208" t="n">
        <f aca="false">IF(O49="","",VALUE(O49))</f>
        <v>202.78</v>
      </c>
      <c r="AN49" s="209" t="n">
        <f aca="false">IF(P49="","",VALUE(P49))</f>
        <v>202.789</v>
      </c>
      <c r="AO49" s="208" t="n">
        <f aca="false">IF(Q49="","",VALUE(Q49))</f>
        <v>202.791</v>
      </c>
      <c r="AP49" s="209" t="n">
        <f aca="false">IF(R49="","",VALUE(R49))</f>
        <v>202.79</v>
      </c>
      <c r="AQ49" s="208" t="n">
        <f aca="false">IF(S49="","",VALUE(S49))</f>
        <v>202.791</v>
      </c>
      <c r="AR49" s="209" t="n">
        <f aca="false">IF(T49="","",VALUE(T49))</f>
        <v>202.795</v>
      </c>
      <c r="AS49" s="208" t="n">
        <f aca="false">IF(U49="","",VALUE(U49))</f>
        <v>202.789</v>
      </c>
      <c r="AT49" s="209" t="n">
        <f aca="false">IF(V49="","",VALUE(V49))</f>
        <v>202.79</v>
      </c>
      <c r="AU49" s="208" t="n">
        <f aca="false">IF(W49="","",VALUE(W49))</f>
        <v>202.792</v>
      </c>
      <c r="AV49" s="209" t="n">
        <f aca="false">IF(X49="","",VALUE(X49))</f>
        <v>202.791</v>
      </c>
      <c r="AW49" s="215"/>
      <c r="AX49" s="211" t="str">
        <f aca="false">Z49</f>
        <v>F2</v>
      </c>
      <c r="AY49" s="212" t="n">
        <f aca="false">COUNT(AA49:AV49)</f>
        <v>19</v>
      </c>
      <c r="AZ49" s="210" t="n">
        <f aca="false">IF(AY49=0,"",MIN(AA49:AV49))</f>
        <v>202.774</v>
      </c>
      <c r="BA49" s="213" t="n">
        <f aca="false">IF(AY49=0,"",MAX(AA49:AV49))</f>
        <v>203.452</v>
      </c>
      <c r="BC49" s="214"/>
    </row>
    <row r="50" customFormat="false" ht="12.75" hidden="false" customHeight="false" outlineLevel="0" collapsed="false">
      <c r="A50" s="73"/>
      <c r="B50" s="38" t="s">
        <v>68</v>
      </c>
      <c r="C50" s="85" t="n">
        <v>27.614</v>
      </c>
      <c r="D50" s="101" t="n">
        <v>28.075</v>
      </c>
      <c r="E50" s="85" t="n">
        <v>27.196</v>
      </c>
      <c r="F50" s="101" t="n">
        <v>27.154</v>
      </c>
      <c r="G50" s="85" t="n">
        <v>27.154</v>
      </c>
      <c r="H50" s="101" t="n">
        <v>27.154</v>
      </c>
      <c r="I50" s="85" t="n">
        <v>27.28</v>
      </c>
      <c r="J50" s="101" t="n">
        <v>27.28</v>
      </c>
      <c r="K50" s="85" t="n">
        <v>27.317</v>
      </c>
      <c r="L50" s="101" t="n">
        <v>27.28</v>
      </c>
      <c r="M50" s="85" t="n">
        <v>27.28</v>
      </c>
      <c r="N50" s="63" t="n">
        <v>27.28</v>
      </c>
      <c r="O50" s="62" t="n">
        <v>27.28</v>
      </c>
      <c r="P50" s="63" t="n">
        <v>27.321</v>
      </c>
      <c r="Q50" s="136"/>
      <c r="R50" s="63"/>
      <c r="S50" s="64" t="s">
        <v>617</v>
      </c>
      <c r="T50" s="103" t="s">
        <v>618</v>
      </c>
      <c r="U50" s="62" t="n">
        <v>27.321</v>
      </c>
      <c r="V50" s="102" t="n">
        <v>27.09</v>
      </c>
      <c r="W50" s="64" t="s">
        <v>619</v>
      </c>
      <c r="X50" s="63" t="n">
        <v>27.32</v>
      </c>
      <c r="Z50" s="38" t="s">
        <v>68</v>
      </c>
      <c r="AA50" s="208" t="n">
        <f aca="false">IF(C50="","",VALUE(C50))</f>
        <v>27.614</v>
      </c>
      <c r="AB50" s="209" t="n">
        <f aca="false">IF(D50="","",VALUE(D50))</f>
        <v>28.075</v>
      </c>
      <c r="AC50" s="208" t="n">
        <f aca="false">IF(E50="","",VALUE(E50))</f>
        <v>27.196</v>
      </c>
      <c r="AD50" s="209" t="n">
        <f aca="false">IF(F50="","",VALUE(F50))</f>
        <v>27.154</v>
      </c>
      <c r="AE50" s="208" t="n">
        <f aca="false">IF(G50="","",VALUE(G50))</f>
        <v>27.154</v>
      </c>
      <c r="AF50" s="209" t="n">
        <f aca="false">IF(H50="","",VALUE(H50))</f>
        <v>27.154</v>
      </c>
      <c r="AG50" s="208" t="n">
        <f aca="false">IF(I50="","",VALUE(I50))</f>
        <v>27.28</v>
      </c>
      <c r="AH50" s="209" t="n">
        <f aca="false">IF(J50="","",VALUE(J50))</f>
        <v>27.28</v>
      </c>
      <c r="AI50" s="208" t="n">
        <f aca="false">IF(K50="","",VALUE(K50))</f>
        <v>27.317</v>
      </c>
      <c r="AJ50" s="209" t="n">
        <f aca="false">IF(L50="","",VALUE(L50))</f>
        <v>27.28</v>
      </c>
      <c r="AK50" s="208" t="n">
        <f aca="false">IF(M50="","",VALUE(M50))</f>
        <v>27.28</v>
      </c>
      <c r="AL50" s="209" t="n">
        <f aca="false">IF(N50="","",VALUE(N50))</f>
        <v>27.28</v>
      </c>
      <c r="AM50" s="208" t="n">
        <f aca="false">IF(O50="","",VALUE(O50))</f>
        <v>27.28</v>
      </c>
      <c r="AN50" s="209" t="n">
        <f aca="false">IF(P50="","",VALUE(P50))</f>
        <v>27.321</v>
      </c>
      <c r="AO50" s="208" t="str">
        <f aca="false">IF(Q50="","",VALUE(Q50))</f>
        <v/>
      </c>
      <c r="AP50" s="209" t="str">
        <f aca="false">IF(R50="","",VALUE(R50))</f>
        <v/>
      </c>
      <c r="AQ50" s="208" t="n">
        <f aca="false">IF(S50="","",VALUE(S50))</f>
        <v>27.085</v>
      </c>
      <c r="AR50" s="209" t="n">
        <f aca="false">IF(T50="","",VALUE(T50))</f>
        <v>27.28</v>
      </c>
      <c r="AS50" s="208" t="n">
        <f aca="false">IF(U50="","",VALUE(U50))</f>
        <v>27.321</v>
      </c>
      <c r="AT50" s="209" t="n">
        <f aca="false">IF(V50="","",VALUE(V50))</f>
        <v>27.09</v>
      </c>
      <c r="AU50" s="208" t="n">
        <f aca="false">IF(W50="","",VALUE(W50))</f>
        <v>27.321</v>
      </c>
      <c r="AV50" s="209" t="n">
        <f aca="false">IF(X50="","",VALUE(X50))</f>
        <v>27.32</v>
      </c>
      <c r="AW50" s="215"/>
      <c r="AX50" s="211" t="str">
        <f aca="false">Z50</f>
        <v>Fe</v>
      </c>
      <c r="AY50" s="212" t="n">
        <f aca="false">COUNT(AA50:AV50)</f>
        <v>20</v>
      </c>
      <c r="AZ50" s="210" t="n">
        <f aca="false">IF(AY50=0,"",MIN(AA50:AV50))</f>
        <v>27.085</v>
      </c>
      <c r="BA50" s="213" t="n">
        <f aca="false">IF(AY50=0,"",MAX(AA50:AV50))</f>
        <v>28.075</v>
      </c>
      <c r="BC50" s="214"/>
    </row>
    <row r="51" customFormat="false" ht="12.75" hidden="false" customHeight="false" outlineLevel="0" collapsed="false">
      <c r="A51" s="73"/>
      <c r="B51" s="31" t="s">
        <v>69</v>
      </c>
      <c r="C51" s="85"/>
      <c r="D51" s="101"/>
      <c r="E51" s="85"/>
      <c r="F51" s="101"/>
      <c r="G51" s="85"/>
      <c r="H51" s="101"/>
      <c r="I51" s="85"/>
      <c r="J51" s="101"/>
      <c r="K51" s="85"/>
      <c r="L51" s="101"/>
      <c r="M51" s="85"/>
      <c r="N51" s="63"/>
      <c r="O51" s="64"/>
      <c r="P51" s="65"/>
      <c r="Q51" s="136"/>
      <c r="R51" s="63"/>
      <c r="S51" s="64"/>
      <c r="T51" s="102"/>
      <c r="U51" s="62"/>
      <c r="V51" s="102"/>
      <c r="W51" s="62"/>
      <c r="X51" s="63"/>
      <c r="Z51" s="31" t="s">
        <v>69</v>
      </c>
      <c r="AA51" s="208" t="str">
        <f aca="false">IF(C51="","",VALUE(C51))</f>
        <v/>
      </c>
      <c r="AB51" s="209" t="str">
        <f aca="false">IF(D51="","",VALUE(D51))</f>
        <v/>
      </c>
      <c r="AC51" s="208" t="str">
        <f aca="false">IF(E51="","",VALUE(E51))</f>
        <v/>
      </c>
      <c r="AD51" s="209" t="str">
        <f aca="false">IF(F51="","",VALUE(F51))</f>
        <v/>
      </c>
      <c r="AE51" s="208" t="str">
        <f aca="false">IF(G51="","",VALUE(G51))</f>
        <v/>
      </c>
      <c r="AF51" s="209" t="str">
        <f aca="false">IF(H51="","",VALUE(H51))</f>
        <v/>
      </c>
      <c r="AG51" s="208" t="str">
        <f aca="false">IF(I51="","",VALUE(I51))</f>
        <v/>
      </c>
      <c r="AH51" s="209" t="str">
        <f aca="false">IF(J51="","",VALUE(J51))</f>
        <v/>
      </c>
      <c r="AI51" s="208" t="str">
        <f aca="false">IF(K51="","",VALUE(K51))</f>
        <v/>
      </c>
      <c r="AJ51" s="209" t="str">
        <f aca="false">IF(L51="","",VALUE(L51))</f>
        <v/>
      </c>
      <c r="AK51" s="208" t="str">
        <f aca="false">IF(M51="","",VALUE(M51))</f>
        <v/>
      </c>
      <c r="AL51" s="209" t="str">
        <f aca="false">IF(N51="","",VALUE(N51))</f>
        <v/>
      </c>
      <c r="AM51" s="208" t="str">
        <f aca="false">IF(O51="","",VALUE(O51))</f>
        <v/>
      </c>
      <c r="AN51" s="209" t="str">
        <f aca="false">IF(P51="","",VALUE(P51))</f>
        <v/>
      </c>
      <c r="AO51" s="208" t="str">
        <f aca="false">IF(Q51="","",VALUE(Q51))</f>
        <v/>
      </c>
      <c r="AP51" s="209" t="str">
        <f aca="false">IF(R51="","",VALUE(R51))</f>
        <v/>
      </c>
      <c r="AQ51" s="208" t="str">
        <f aca="false">IF(S51="","",VALUE(S51))</f>
        <v/>
      </c>
      <c r="AR51" s="209" t="str">
        <f aca="false">IF(T51="","",VALUE(T51))</f>
        <v/>
      </c>
      <c r="AS51" s="208" t="str">
        <f aca="false">IF(U51="","",VALUE(U51))</f>
        <v/>
      </c>
      <c r="AT51" s="209" t="str">
        <f aca="false">IF(V51="","",VALUE(V51))</f>
        <v/>
      </c>
      <c r="AU51" s="208" t="str">
        <f aca="false">IF(W51="","",VALUE(W51))</f>
        <v/>
      </c>
      <c r="AV51" s="209" t="str">
        <f aca="false">IF(X51="","",VALUE(X51))</f>
        <v/>
      </c>
      <c r="AW51" s="215"/>
      <c r="AX51" s="211" t="str">
        <f aca="false">Z51</f>
        <v>Fm</v>
      </c>
      <c r="AY51" s="212" t="n">
        <f aca="false">COUNT(AA51:AV51)</f>
        <v>0</v>
      </c>
      <c r="AZ51" s="210" t="str">
        <f aca="false">IF(AY51=0,"",MIN(AA51:AV51))</f>
        <v/>
      </c>
      <c r="BA51" s="213" t="str">
        <f aca="false">IF(AY51=0,"",MAX(AA51:AV51))</f>
        <v/>
      </c>
      <c r="BC51" s="214"/>
    </row>
    <row r="52" customFormat="false" ht="12.75" hidden="false" customHeight="false" outlineLevel="0" collapsed="false">
      <c r="A52" s="73"/>
      <c r="B52" s="38" t="s">
        <v>70</v>
      </c>
      <c r="C52" s="85"/>
      <c r="D52" s="101"/>
      <c r="E52" s="85"/>
      <c r="F52" s="101"/>
      <c r="G52" s="85" t="n">
        <v>94.14</v>
      </c>
      <c r="H52" s="101" t="n">
        <v>94.14</v>
      </c>
      <c r="I52" s="85"/>
      <c r="J52" s="101" t="n">
        <v>95.395</v>
      </c>
      <c r="K52" s="85"/>
      <c r="L52" s="101"/>
      <c r="M52" s="85"/>
      <c r="N52" s="63"/>
      <c r="O52" s="62" t="n">
        <v>95.4</v>
      </c>
      <c r="P52" s="63"/>
      <c r="Q52" s="136"/>
      <c r="R52" s="63"/>
      <c r="S52" s="64"/>
      <c r="T52" s="102"/>
      <c r="U52" s="62"/>
      <c r="V52" s="102"/>
      <c r="W52" s="64"/>
      <c r="X52" s="65" t="s">
        <v>620</v>
      </c>
      <c r="Z52" s="38" t="s">
        <v>70</v>
      </c>
      <c r="AA52" s="208" t="str">
        <f aca="false">IF(C52="","",VALUE(C52))</f>
        <v/>
      </c>
      <c r="AB52" s="209" t="str">
        <f aca="false">IF(D52="","",VALUE(D52))</f>
        <v/>
      </c>
      <c r="AC52" s="208" t="str">
        <f aca="false">IF(E52="","",VALUE(E52))</f>
        <v/>
      </c>
      <c r="AD52" s="209" t="str">
        <f aca="false">IF(F52="","",VALUE(F52))</f>
        <v/>
      </c>
      <c r="AE52" s="208" t="n">
        <f aca="false">IF(G52="","",VALUE(G52))</f>
        <v>94.14</v>
      </c>
      <c r="AF52" s="209" t="n">
        <f aca="false">IF(H52="","",VALUE(H52))</f>
        <v>94.14</v>
      </c>
      <c r="AG52" s="208" t="str">
        <f aca="false">IF(I52="","",VALUE(I52))</f>
        <v/>
      </c>
      <c r="AH52" s="209" t="n">
        <f aca="false">IF(J52="","",VALUE(J52))</f>
        <v>95.395</v>
      </c>
      <c r="AI52" s="208" t="str">
        <f aca="false">IF(K52="","",VALUE(K52))</f>
        <v/>
      </c>
      <c r="AJ52" s="209" t="str">
        <f aca="false">IF(L52="","",VALUE(L52))</f>
        <v/>
      </c>
      <c r="AK52" s="208" t="str">
        <f aca="false">IF(M52="","",VALUE(M52))</f>
        <v/>
      </c>
      <c r="AL52" s="209" t="str">
        <f aca="false">IF(N52="","",VALUE(N52))</f>
        <v/>
      </c>
      <c r="AM52" s="208" t="n">
        <f aca="false">IF(O52="","",VALUE(O52))</f>
        <v>95.4</v>
      </c>
      <c r="AN52" s="209" t="str">
        <f aca="false">IF(P52="","",VALUE(P52))</f>
        <v/>
      </c>
      <c r="AO52" s="208" t="str">
        <f aca="false">IF(Q52="","",VALUE(Q52))</f>
        <v/>
      </c>
      <c r="AP52" s="209" t="str">
        <f aca="false">IF(R52="","",VALUE(R52))</f>
        <v/>
      </c>
      <c r="AQ52" s="208" t="str">
        <f aca="false">IF(S52="","",VALUE(S52))</f>
        <v/>
      </c>
      <c r="AR52" s="209" t="str">
        <f aca="false">IF(T52="","",VALUE(T52))</f>
        <v/>
      </c>
      <c r="AS52" s="208" t="str">
        <f aca="false">IF(U52="","",VALUE(U52))</f>
        <v/>
      </c>
      <c r="AT52" s="209" t="str">
        <f aca="false">IF(V52="","",VALUE(V52))</f>
        <v/>
      </c>
      <c r="AU52" s="208" t="str">
        <f aca="false">IF(W52="","",VALUE(W52))</f>
        <v/>
      </c>
      <c r="AV52" s="209" t="n">
        <f aca="false">IF(X52="","",VALUE(X52))</f>
        <v>95.4</v>
      </c>
      <c r="AW52" s="215"/>
      <c r="AX52" s="211" t="str">
        <f aca="false">Z52</f>
        <v>Fr</v>
      </c>
      <c r="AY52" s="212" t="n">
        <f aca="false">COUNT(AA52:AV52)</f>
        <v>5</v>
      </c>
      <c r="AZ52" s="210" t="n">
        <f aca="false">IF(AY52=0,"",MIN(AA52:AV52))</f>
        <v>94.14</v>
      </c>
      <c r="BA52" s="213" t="n">
        <f aca="false">IF(AY52=0,"",MAX(AA52:AV52))</f>
        <v>95.4</v>
      </c>
      <c r="BC52" s="214"/>
    </row>
    <row r="53" customFormat="false" ht="12.75" hidden="false" customHeight="false" outlineLevel="0" collapsed="false">
      <c r="A53" s="73"/>
      <c r="B53" s="31" t="s">
        <v>71</v>
      </c>
      <c r="C53" s="85"/>
      <c r="D53" s="101"/>
      <c r="E53" s="85" t="n">
        <v>42.677</v>
      </c>
      <c r="F53" s="101" t="n">
        <v>42.677</v>
      </c>
      <c r="G53" s="85" t="n">
        <v>41.087</v>
      </c>
      <c r="H53" s="101" t="n">
        <v>40.878</v>
      </c>
      <c r="I53" s="85"/>
      <c r="J53" s="101" t="n">
        <v>40.878</v>
      </c>
      <c r="K53" s="85"/>
      <c r="L53" s="101" t="n">
        <v>40.827</v>
      </c>
      <c r="M53" s="85" t="n">
        <v>40.827</v>
      </c>
      <c r="N53" s="63" t="n">
        <v>40.83</v>
      </c>
      <c r="O53" s="62" t="n">
        <v>40.88</v>
      </c>
      <c r="P53" s="63" t="n">
        <v>40.838</v>
      </c>
      <c r="Q53" s="136"/>
      <c r="R53" s="63" t="s">
        <v>621</v>
      </c>
      <c r="S53" s="64"/>
      <c r="T53" s="102" t="n">
        <v>40.828</v>
      </c>
      <c r="U53" s="62" t="n">
        <v>40.838</v>
      </c>
      <c r="V53" s="102"/>
      <c r="W53" s="62"/>
      <c r="X53" s="63" t="n">
        <v>40.8</v>
      </c>
      <c r="Z53" s="31" t="s">
        <v>71</v>
      </c>
      <c r="AA53" s="208" t="str">
        <f aca="false">IF(C53="","",VALUE(C53))</f>
        <v/>
      </c>
      <c r="AB53" s="209" t="str">
        <f aca="false">IF(D53="","",VALUE(D53))</f>
        <v/>
      </c>
      <c r="AC53" s="208" t="n">
        <f aca="false">IF(E53="","",VALUE(E53))</f>
        <v>42.677</v>
      </c>
      <c r="AD53" s="209" t="n">
        <f aca="false">IF(F53="","",VALUE(F53))</f>
        <v>42.677</v>
      </c>
      <c r="AE53" s="208" t="n">
        <f aca="false">IF(G53="","",VALUE(G53))</f>
        <v>41.087</v>
      </c>
      <c r="AF53" s="209" t="n">
        <f aca="false">IF(H53="","",VALUE(H53))</f>
        <v>40.878</v>
      </c>
      <c r="AG53" s="208" t="str">
        <f aca="false">IF(I53="","",VALUE(I53))</f>
        <v/>
      </c>
      <c r="AH53" s="209" t="n">
        <f aca="false">IF(J53="","",VALUE(J53))</f>
        <v>40.878</v>
      </c>
      <c r="AI53" s="208" t="str">
        <f aca="false">IF(K53="","",VALUE(K53))</f>
        <v/>
      </c>
      <c r="AJ53" s="209" t="n">
        <f aca="false">IF(L53="","",VALUE(L53))</f>
        <v>40.827</v>
      </c>
      <c r="AK53" s="208" t="n">
        <f aca="false">IF(M53="","",VALUE(M53))</f>
        <v>40.827</v>
      </c>
      <c r="AL53" s="209" t="n">
        <f aca="false">IF(N53="","",VALUE(N53))</f>
        <v>40.83</v>
      </c>
      <c r="AM53" s="208" t="n">
        <f aca="false">IF(O53="","",VALUE(O53))</f>
        <v>40.88</v>
      </c>
      <c r="AN53" s="209" t="n">
        <f aca="false">IF(P53="","",VALUE(P53))</f>
        <v>40.838</v>
      </c>
      <c r="AO53" s="208" t="str">
        <f aca="false">IF(Q53="","",VALUE(Q53))</f>
        <v/>
      </c>
      <c r="AP53" s="209" t="n">
        <f aca="false">IF(R53="","",VALUE(R53))</f>
        <v>41.22</v>
      </c>
      <c r="AQ53" s="208" t="str">
        <f aca="false">IF(S53="","",VALUE(S53))</f>
        <v/>
      </c>
      <c r="AR53" s="209" t="n">
        <f aca="false">IF(T53="","",VALUE(T53))</f>
        <v>40.828</v>
      </c>
      <c r="AS53" s="208" t="n">
        <f aca="false">IF(U53="","",VALUE(U53))</f>
        <v>40.838</v>
      </c>
      <c r="AT53" s="209" t="str">
        <f aca="false">IF(V53="","",VALUE(V53))</f>
        <v/>
      </c>
      <c r="AU53" s="208" t="str">
        <f aca="false">IF(W53="","",VALUE(W53))</f>
        <v/>
      </c>
      <c r="AV53" s="209" t="n">
        <f aca="false">IF(X53="","",VALUE(X53))</f>
        <v>40.8</v>
      </c>
      <c r="AW53" s="215"/>
      <c r="AX53" s="211" t="str">
        <f aca="false">Z53</f>
        <v>Ga</v>
      </c>
      <c r="AY53" s="212" t="n">
        <f aca="false">COUNT(AA53:AV53)</f>
        <v>14</v>
      </c>
      <c r="AZ53" s="210" t="n">
        <f aca="false">IF(AY53=0,"",MIN(AA53:AV53))</f>
        <v>40.8</v>
      </c>
      <c r="BA53" s="213" t="n">
        <f aca="false">IF(AY53=0,"",MAX(AA53:AV53))</f>
        <v>42.677</v>
      </c>
      <c r="BC53" s="214"/>
    </row>
    <row r="54" customFormat="false" ht="12.75" hidden="false" customHeight="false" outlineLevel="0" collapsed="false">
      <c r="A54" s="73"/>
      <c r="B54" s="31" t="s">
        <v>72</v>
      </c>
      <c r="C54" s="85"/>
      <c r="D54" s="101"/>
      <c r="E54" s="85"/>
      <c r="F54" s="101" t="n">
        <v>58.576</v>
      </c>
      <c r="G54" s="85" t="n">
        <v>65.982</v>
      </c>
      <c r="H54" s="101" t="n">
        <v>67.781</v>
      </c>
      <c r="I54" s="85"/>
      <c r="J54" s="101" t="n">
        <v>68.074</v>
      </c>
      <c r="K54" s="85"/>
      <c r="L54" s="101" t="n">
        <v>67.948</v>
      </c>
      <c r="M54" s="85" t="n">
        <v>67.948</v>
      </c>
      <c r="N54" s="63" t="n">
        <v>68.45</v>
      </c>
      <c r="O54" s="62" t="n">
        <v>68.07</v>
      </c>
      <c r="P54" s="63"/>
      <c r="Q54" s="136"/>
      <c r="R54" s="63"/>
      <c r="S54" s="64"/>
      <c r="T54" s="102" t="n">
        <v>67.948</v>
      </c>
      <c r="U54" s="62"/>
      <c r="V54" s="102"/>
      <c r="W54" s="62"/>
      <c r="X54" s="63" t="n">
        <v>68.07</v>
      </c>
      <c r="Z54" s="31" t="s">
        <v>72</v>
      </c>
      <c r="AA54" s="208" t="str">
        <f aca="false">IF(C54="","",VALUE(C54))</f>
        <v/>
      </c>
      <c r="AB54" s="209" t="str">
        <f aca="false">IF(D54="","",VALUE(D54))</f>
        <v/>
      </c>
      <c r="AC54" s="208" t="str">
        <f aca="false">IF(E54="","",VALUE(E54))</f>
        <v/>
      </c>
      <c r="AD54" s="209" t="n">
        <f aca="false">IF(F54="","",VALUE(F54))</f>
        <v>58.576</v>
      </c>
      <c r="AE54" s="208" t="n">
        <f aca="false">IF(G54="","",VALUE(G54))</f>
        <v>65.982</v>
      </c>
      <c r="AF54" s="209" t="n">
        <f aca="false">IF(H54="","",VALUE(H54))</f>
        <v>67.781</v>
      </c>
      <c r="AG54" s="208" t="str">
        <f aca="false">IF(I54="","",VALUE(I54))</f>
        <v/>
      </c>
      <c r="AH54" s="209" t="n">
        <f aca="false">IF(J54="","",VALUE(J54))</f>
        <v>68.074</v>
      </c>
      <c r="AI54" s="208" t="str">
        <f aca="false">IF(K54="","",VALUE(K54))</f>
        <v/>
      </c>
      <c r="AJ54" s="209" t="n">
        <f aca="false">IF(L54="","",VALUE(L54))</f>
        <v>67.948</v>
      </c>
      <c r="AK54" s="208" t="n">
        <f aca="false">IF(M54="","",VALUE(M54))</f>
        <v>67.948</v>
      </c>
      <c r="AL54" s="209" t="n">
        <f aca="false">IF(N54="","",VALUE(N54))</f>
        <v>68.45</v>
      </c>
      <c r="AM54" s="208" t="n">
        <f aca="false">IF(O54="","",VALUE(O54))</f>
        <v>68.07</v>
      </c>
      <c r="AN54" s="209" t="str">
        <f aca="false">IF(P54="","",VALUE(P54))</f>
        <v/>
      </c>
      <c r="AO54" s="208" t="str">
        <f aca="false">IF(Q54="","",VALUE(Q54))</f>
        <v/>
      </c>
      <c r="AP54" s="209" t="str">
        <f aca="false">IF(R54="","",VALUE(R54))</f>
        <v/>
      </c>
      <c r="AQ54" s="208" t="str">
        <f aca="false">IF(S54="","",VALUE(S54))</f>
        <v/>
      </c>
      <c r="AR54" s="209" t="n">
        <f aca="false">IF(T54="","",VALUE(T54))</f>
        <v>67.948</v>
      </c>
      <c r="AS54" s="208" t="str">
        <f aca="false">IF(U54="","",VALUE(U54))</f>
        <v/>
      </c>
      <c r="AT54" s="209" t="str">
        <f aca="false">IF(V54="","",VALUE(V54))</f>
        <v/>
      </c>
      <c r="AU54" s="208" t="str">
        <f aca="false">IF(W54="","",VALUE(W54))</f>
        <v/>
      </c>
      <c r="AV54" s="209" t="n">
        <f aca="false">IF(X54="","",VALUE(X54))</f>
        <v>68.07</v>
      </c>
      <c r="AW54" s="215"/>
      <c r="AX54" s="211" t="str">
        <f aca="false">Z54</f>
        <v>Gd</v>
      </c>
      <c r="AY54" s="212" t="n">
        <f aca="false">COUNT(AA54:AV54)</f>
        <v>10</v>
      </c>
      <c r="AZ54" s="210" t="n">
        <f aca="false">IF(AY54=0,"",MIN(AA54:AV54))</f>
        <v>58.576</v>
      </c>
      <c r="BA54" s="213" t="n">
        <f aca="false">IF(AY54=0,"",MAX(AA54:AV54))</f>
        <v>68.45</v>
      </c>
      <c r="BC54" s="214"/>
    </row>
    <row r="55" customFormat="false" ht="12.75" hidden="false" customHeight="false" outlineLevel="0" collapsed="false">
      <c r="A55" s="73"/>
      <c r="B55" s="31" t="s">
        <v>73</v>
      </c>
      <c r="C55" s="85"/>
      <c r="D55" s="101"/>
      <c r="E55" s="85" t="n">
        <v>40.585</v>
      </c>
      <c r="F55" s="101" t="n">
        <v>42.426</v>
      </c>
      <c r="G55" s="85" t="n">
        <v>31.087</v>
      </c>
      <c r="H55" s="101" t="n">
        <v>31.087</v>
      </c>
      <c r="I55" s="85"/>
      <c r="J55" s="101" t="n">
        <v>31.087</v>
      </c>
      <c r="K55" s="85"/>
      <c r="L55" s="101" t="n">
        <v>31.087</v>
      </c>
      <c r="M55" s="85" t="n">
        <v>31.087</v>
      </c>
      <c r="N55" s="63" t="n">
        <v>31.09</v>
      </c>
      <c r="O55" s="62" t="n">
        <v>31.09</v>
      </c>
      <c r="P55" s="63"/>
      <c r="Q55" s="136" t="n">
        <v>31.09</v>
      </c>
      <c r="R55" s="63" t="s">
        <v>622</v>
      </c>
      <c r="S55" s="64" t="s">
        <v>622</v>
      </c>
      <c r="T55" s="102" t="n">
        <v>31.087</v>
      </c>
      <c r="U55" s="62"/>
      <c r="V55" s="102" t="n">
        <v>31.09</v>
      </c>
      <c r="W55" s="64" t="s">
        <v>622</v>
      </c>
      <c r="X55" s="63" t="n">
        <v>31.09</v>
      </c>
      <c r="Z55" s="31" t="s">
        <v>73</v>
      </c>
      <c r="AA55" s="208" t="str">
        <f aca="false">IF(C55="","",VALUE(C55))</f>
        <v/>
      </c>
      <c r="AB55" s="209" t="str">
        <f aca="false">IF(D55="","",VALUE(D55))</f>
        <v/>
      </c>
      <c r="AC55" s="208" t="n">
        <f aca="false">IF(E55="","",VALUE(E55))</f>
        <v>40.585</v>
      </c>
      <c r="AD55" s="209" t="n">
        <f aca="false">IF(F55="","",VALUE(F55))</f>
        <v>42.426</v>
      </c>
      <c r="AE55" s="208" t="n">
        <f aca="false">IF(G55="","",VALUE(G55))</f>
        <v>31.087</v>
      </c>
      <c r="AF55" s="209" t="n">
        <f aca="false">IF(H55="","",VALUE(H55))</f>
        <v>31.087</v>
      </c>
      <c r="AG55" s="208" t="str">
        <f aca="false">IF(I55="","",VALUE(I55))</f>
        <v/>
      </c>
      <c r="AH55" s="209" t="n">
        <f aca="false">IF(J55="","",VALUE(J55))</f>
        <v>31.087</v>
      </c>
      <c r="AI55" s="208" t="str">
        <f aca="false">IF(K55="","",VALUE(K55))</f>
        <v/>
      </c>
      <c r="AJ55" s="209" t="n">
        <f aca="false">IF(L55="","",VALUE(L55))</f>
        <v>31.087</v>
      </c>
      <c r="AK55" s="208" t="n">
        <f aca="false">IF(M55="","",VALUE(M55))</f>
        <v>31.087</v>
      </c>
      <c r="AL55" s="209" t="n">
        <f aca="false">IF(N55="","",VALUE(N55))</f>
        <v>31.09</v>
      </c>
      <c r="AM55" s="208" t="n">
        <f aca="false">IF(O55="","",VALUE(O55))</f>
        <v>31.09</v>
      </c>
      <c r="AN55" s="209" t="str">
        <f aca="false">IF(P55="","",VALUE(P55))</f>
        <v/>
      </c>
      <c r="AO55" s="208" t="n">
        <f aca="false">IF(Q55="","",VALUE(Q55))</f>
        <v>31.09</v>
      </c>
      <c r="AP55" s="209" t="n">
        <f aca="false">IF(R55="","",VALUE(R55))</f>
        <v>31.09</v>
      </c>
      <c r="AQ55" s="208" t="n">
        <f aca="false">IF(S55="","",VALUE(S55))</f>
        <v>31.09</v>
      </c>
      <c r="AR55" s="209" t="n">
        <f aca="false">IF(T55="","",VALUE(T55))</f>
        <v>31.087</v>
      </c>
      <c r="AS55" s="208" t="str">
        <f aca="false">IF(U55="","",VALUE(U55))</f>
        <v/>
      </c>
      <c r="AT55" s="209" t="n">
        <f aca="false">IF(V55="","",VALUE(V55))</f>
        <v>31.09</v>
      </c>
      <c r="AU55" s="208" t="n">
        <f aca="false">IF(W55="","",VALUE(W55))</f>
        <v>31.09</v>
      </c>
      <c r="AV55" s="209" t="n">
        <f aca="false">IF(X55="","",VALUE(X55))</f>
        <v>31.09</v>
      </c>
      <c r="AW55" s="215"/>
      <c r="AX55" s="211" t="str">
        <f aca="false">Z55</f>
        <v>Ge</v>
      </c>
      <c r="AY55" s="212" t="n">
        <f aca="false">COUNT(AA55:AV55)</f>
        <v>16</v>
      </c>
      <c r="AZ55" s="210" t="n">
        <f aca="false">IF(AY55=0,"",MIN(AA55:AV55))</f>
        <v>31.087</v>
      </c>
      <c r="BA55" s="213" t="n">
        <f aca="false">IF(AY55=0,"",MAX(AA55:AV55))</f>
        <v>42.426</v>
      </c>
      <c r="BC55" s="214"/>
    </row>
    <row r="56" customFormat="false" ht="12.75" hidden="false" customHeight="false" outlineLevel="0" collapsed="false">
      <c r="A56" s="73"/>
      <c r="B56" s="38" t="s">
        <v>75</v>
      </c>
      <c r="C56" s="85" t="n">
        <v>133.161</v>
      </c>
      <c r="D56" s="101" t="n">
        <v>123.286</v>
      </c>
      <c r="E56" s="85" t="n">
        <v>130.776</v>
      </c>
      <c r="F56" s="101" t="n">
        <v>130.696</v>
      </c>
      <c r="G56" s="85" t="n">
        <v>130.692</v>
      </c>
      <c r="H56" s="101" t="n">
        <v>130.692</v>
      </c>
      <c r="I56" s="85" t="n">
        <v>130.684</v>
      </c>
      <c r="J56" s="101" t="n">
        <v>130.684</v>
      </c>
      <c r="K56" s="85" t="n">
        <v>130.684</v>
      </c>
      <c r="L56" s="101" t="n">
        <v>130.684</v>
      </c>
      <c r="M56" s="85" t="n">
        <v>130.679</v>
      </c>
      <c r="N56" s="63" t="n">
        <v>130.68</v>
      </c>
      <c r="O56" s="62" t="n">
        <v>130.684</v>
      </c>
      <c r="P56" s="65" t="s">
        <v>623</v>
      </c>
      <c r="Q56" s="136" t="s">
        <v>623</v>
      </c>
      <c r="R56" s="65" t="s">
        <v>623</v>
      </c>
      <c r="S56" s="64" t="s">
        <v>623</v>
      </c>
      <c r="T56" s="102" t="s">
        <v>623</v>
      </c>
      <c r="U56" s="62" t="s">
        <v>623</v>
      </c>
      <c r="V56" s="102" t="n">
        <v>130.68</v>
      </c>
      <c r="W56" s="64" t="s">
        <v>624</v>
      </c>
      <c r="X56" s="63" t="s">
        <v>623</v>
      </c>
      <c r="Z56" s="38" t="s">
        <v>75</v>
      </c>
      <c r="AA56" s="208" t="n">
        <f aca="false">IF(C56="","",VALUE(C56))</f>
        <v>133.161</v>
      </c>
      <c r="AB56" s="209" t="n">
        <f aca="false">IF(D56="","",VALUE(D56))</f>
        <v>123.286</v>
      </c>
      <c r="AC56" s="208" t="n">
        <f aca="false">IF(E56="","",VALUE(E56))</f>
        <v>130.776</v>
      </c>
      <c r="AD56" s="209" t="n">
        <f aca="false">IF(F56="","",VALUE(F56))</f>
        <v>130.696</v>
      </c>
      <c r="AE56" s="208" t="n">
        <f aca="false">IF(G56="","",VALUE(G56))</f>
        <v>130.692</v>
      </c>
      <c r="AF56" s="209" t="n">
        <f aca="false">IF(H56="","",VALUE(H56))</f>
        <v>130.692</v>
      </c>
      <c r="AG56" s="208" t="n">
        <f aca="false">IF(I56="","",VALUE(I56))</f>
        <v>130.684</v>
      </c>
      <c r="AH56" s="209" t="n">
        <f aca="false">IF(J56="","",VALUE(J56))</f>
        <v>130.684</v>
      </c>
      <c r="AI56" s="208" t="n">
        <f aca="false">IF(K56="","",VALUE(K56))</f>
        <v>130.684</v>
      </c>
      <c r="AJ56" s="209" t="n">
        <f aca="false">IF(L56="","",VALUE(L56))</f>
        <v>130.684</v>
      </c>
      <c r="AK56" s="208" t="n">
        <f aca="false">IF(M56="","",VALUE(M56))</f>
        <v>130.679</v>
      </c>
      <c r="AL56" s="209" t="n">
        <f aca="false">IF(N56="","",VALUE(N56))</f>
        <v>130.68</v>
      </c>
      <c r="AM56" s="208" t="n">
        <f aca="false">IF(O56="","",VALUE(O56))</f>
        <v>130.684</v>
      </c>
      <c r="AN56" s="209" t="n">
        <f aca="false">IF(P56="","",VALUE(P56))</f>
        <v>130.68</v>
      </c>
      <c r="AO56" s="208" t="n">
        <f aca="false">IF(Q56="","",VALUE(Q56))</f>
        <v>130.68</v>
      </c>
      <c r="AP56" s="209" t="n">
        <f aca="false">IF(R56="","",VALUE(R56))</f>
        <v>130.68</v>
      </c>
      <c r="AQ56" s="208" t="n">
        <f aca="false">IF(S56="","",VALUE(S56))</f>
        <v>130.68</v>
      </c>
      <c r="AR56" s="209" t="n">
        <f aca="false">IF(T56="","",VALUE(T56))</f>
        <v>130.68</v>
      </c>
      <c r="AS56" s="208" t="n">
        <f aca="false">IF(U56="","",VALUE(U56))</f>
        <v>130.68</v>
      </c>
      <c r="AT56" s="209" t="n">
        <f aca="false">IF(V56="","",VALUE(V56))</f>
        <v>130.68</v>
      </c>
      <c r="AU56" s="208" t="n">
        <f aca="false">IF(W56="","",VALUE(W56))</f>
        <v>130.681</v>
      </c>
      <c r="AV56" s="209" t="n">
        <f aca="false">IF(X56="","",VALUE(X56))</f>
        <v>130.68</v>
      </c>
      <c r="AW56" s="215"/>
      <c r="AX56" s="211" t="str">
        <f aca="false">Z56</f>
        <v>H2</v>
      </c>
      <c r="AY56" s="212" t="n">
        <f aca="false">COUNT(AA56:AV56)</f>
        <v>22</v>
      </c>
      <c r="AZ56" s="210" t="n">
        <f aca="false">IF(AY56=0,"",MIN(AA56:AV56))</f>
        <v>123.286</v>
      </c>
      <c r="BA56" s="213" t="n">
        <f aca="false">IF(AY56=0,"",MAX(AA56:AV56))</f>
        <v>133.161</v>
      </c>
      <c r="BC56" s="214"/>
    </row>
    <row r="57" customFormat="false" ht="12.75" hidden="false" customHeight="false" outlineLevel="0" collapsed="false">
      <c r="A57" s="73"/>
      <c r="B57" s="31" t="s">
        <v>77</v>
      </c>
      <c r="C57" s="85" t="n">
        <v>122.282</v>
      </c>
      <c r="D57" s="101" t="n">
        <v>124.918</v>
      </c>
      <c r="E57" s="85" t="n">
        <v>126.173</v>
      </c>
      <c r="F57" s="101" t="n">
        <v>126.157</v>
      </c>
      <c r="G57" s="85" t="n">
        <v>126.173</v>
      </c>
      <c r="H57" s="101" t="n">
        <v>126.173</v>
      </c>
      <c r="I57" s="85"/>
      <c r="J57" s="101" t="n">
        <v>126.15</v>
      </c>
      <c r="K57" s="85"/>
      <c r="L57" s="101" t="n">
        <v>126.148</v>
      </c>
      <c r="M57" s="85" t="n">
        <v>126.152</v>
      </c>
      <c r="N57" s="63" t="n">
        <v>126.15</v>
      </c>
      <c r="O57" s="64" t="s">
        <v>625</v>
      </c>
      <c r="P57" s="63" t="n">
        <v>126.152</v>
      </c>
      <c r="Q57" s="136" t="n">
        <v>126.153</v>
      </c>
      <c r="R57" s="63" t="s">
        <v>626</v>
      </c>
      <c r="S57" s="64" t="n">
        <v>126.153</v>
      </c>
      <c r="T57" s="102" t="n">
        <v>126.148</v>
      </c>
      <c r="U57" s="62" t="n">
        <v>126.152</v>
      </c>
      <c r="V57" s="102"/>
      <c r="W57" s="64" t="s">
        <v>627</v>
      </c>
      <c r="X57" s="63" t="n">
        <v>126.153</v>
      </c>
      <c r="Z57" s="31" t="s">
        <v>77</v>
      </c>
      <c r="AA57" s="208" t="n">
        <f aca="false">IF(C57="","",VALUE(C57))</f>
        <v>122.282</v>
      </c>
      <c r="AB57" s="209" t="n">
        <f aca="false">IF(D57="","",VALUE(D57))</f>
        <v>124.918</v>
      </c>
      <c r="AC57" s="208" t="n">
        <f aca="false">IF(E57="","",VALUE(E57))</f>
        <v>126.173</v>
      </c>
      <c r="AD57" s="209" t="n">
        <f aca="false">IF(F57="","",VALUE(F57))</f>
        <v>126.157</v>
      </c>
      <c r="AE57" s="208" t="n">
        <f aca="false">IF(G57="","",VALUE(G57))</f>
        <v>126.173</v>
      </c>
      <c r="AF57" s="209" t="n">
        <f aca="false">IF(H57="","",VALUE(H57))</f>
        <v>126.173</v>
      </c>
      <c r="AG57" s="208" t="str">
        <f aca="false">IF(I57="","",VALUE(I57))</f>
        <v/>
      </c>
      <c r="AH57" s="209" t="n">
        <f aca="false">IF(J57="","",VALUE(J57))</f>
        <v>126.15</v>
      </c>
      <c r="AI57" s="208" t="str">
        <f aca="false">IF(K57="","",VALUE(K57))</f>
        <v/>
      </c>
      <c r="AJ57" s="209" t="n">
        <f aca="false">IF(L57="","",VALUE(L57))</f>
        <v>126.148</v>
      </c>
      <c r="AK57" s="208" t="n">
        <f aca="false">IF(M57="","",VALUE(M57))</f>
        <v>126.152</v>
      </c>
      <c r="AL57" s="209" t="n">
        <f aca="false">IF(N57="","",VALUE(N57))</f>
        <v>126.15</v>
      </c>
      <c r="AM57" s="208" t="n">
        <f aca="false">IF(O57="","",VALUE(O57))</f>
        <v>126.15</v>
      </c>
      <c r="AN57" s="209" t="n">
        <f aca="false">IF(P57="","",VALUE(P57))</f>
        <v>126.152</v>
      </c>
      <c r="AO57" s="208" t="n">
        <f aca="false">IF(Q57="","",VALUE(Q57))</f>
        <v>126.153</v>
      </c>
      <c r="AP57" s="209" t="n">
        <f aca="false">IF(R57="","",VALUE(R57))</f>
        <v>126.152</v>
      </c>
      <c r="AQ57" s="208" t="n">
        <f aca="false">IF(S57="","",VALUE(S57))</f>
        <v>126.153</v>
      </c>
      <c r="AR57" s="209" t="n">
        <f aca="false">IF(T57="","",VALUE(T57))</f>
        <v>126.148</v>
      </c>
      <c r="AS57" s="208" t="n">
        <f aca="false">IF(U57="","",VALUE(U57))</f>
        <v>126.152</v>
      </c>
      <c r="AT57" s="209" t="str">
        <f aca="false">IF(V57="","",VALUE(V57))</f>
        <v/>
      </c>
      <c r="AU57" s="208" t="n">
        <f aca="false">IF(W57="","",VALUE(W57))</f>
        <v>126.154</v>
      </c>
      <c r="AV57" s="209" t="n">
        <f aca="false">IF(X57="","",VALUE(X57))</f>
        <v>126.153</v>
      </c>
      <c r="AW57" s="215"/>
      <c r="AX57" s="211" t="str">
        <f aca="false">Z57</f>
        <v>He</v>
      </c>
      <c r="AY57" s="212" t="n">
        <f aca="false">COUNT(AA57:AV57)</f>
        <v>19</v>
      </c>
      <c r="AZ57" s="210" t="n">
        <f aca="false">IF(AY57=0,"",MIN(AA57:AV57))</f>
        <v>122.282</v>
      </c>
      <c r="BA57" s="213" t="n">
        <f aca="false">IF(AY57=0,"",MAX(AA57:AV57))</f>
        <v>126.173</v>
      </c>
      <c r="BC57" s="214"/>
    </row>
    <row r="58" customFormat="false" ht="12.75" hidden="false" customHeight="false" outlineLevel="0" collapsed="false">
      <c r="A58" s="73"/>
      <c r="B58" s="31" t="s">
        <v>78</v>
      </c>
      <c r="C58" s="85"/>
      <c r="D58" s="101"/>
      <c r="E58" s="85"/>
      <c r="F58" s="101" t="n">
        <v>54.81</v>
      </c>
      <c r="G58" s="85" t="n">
        <v>45.647</v>
      </c>
      <c r="H58" s="101" t="n">
        <v>45.647</v>
      </c>
      <c r="I58" s="85" t="n">
        <v>43.555</v>
      </c>
      <c r="J58" s="101" t="n">
        <v>43.555</v>
      </c>
      <c r="K58" s="85"/>
      <c r="L58" s="101" t="n">
        <v>43.555</v>
      </c>
      <c r="M58" s="85" t="n">
        <v>43.555</v>
      </c>
      <c r="N58" s="63" t="n">
        <v>43.56</v>
      </c>
      <c r="O58" s="62" t="n">
        <v>43.56</v>
      </c>
      <c r="P58" s="65" t="s">
        <v>628</v>
      </c>
      <c r="Q58" s="136"/>
      <c r="R58" s="63"/>
      <c r="S58" s="64"/>
      <c r="T58" s="102" t="n">
        <v>43.555</v>
      </c>
      <c r="U58" s="64" t="s">
        <v>628</v>
      </c>
      <c r="V58" s="102"/>
      <c r="W58" s="62"/>
      <c r="X58" s="63" t="n">
        <v>43.56</v>
      </c>
      <c r="Z58" s="31" t="s">
        <v>78</v>
      </c>
      <c r="AA58" s="208" t="str">
        <f aca="false">IF(C58="","",VALUE(C58))</f>
        <v/>
      </c>
      <c r="AB58" s="209" t="str">
        <f aca="false">IF(D58="","",VALUE(D58))</f>
        <v/>
      </c>
      <c r="AC58" s="208" t="str">
        <f aca="false">IF(E58="","",VALUE(E58))</f>
        <v/>
      </c>
      <c r="AD58" s="209" t="n">
        <f aca="false">IF(F58="","",VALUE(F58))</f>
        <v>54.81</v>
      </c>
      <c r="AE58" s="208" t="n">
        <f aca="false">IF(G58="","",VALUE(G58))</f>
        <v>45.647</v>
      </c>
      <c r="AF58" s="209" t="n">
        <f aca="false">IF(H58="","",VALUE(H58))</f>
        <v>45.647</v>
      </c>
      <c r="AG58" s="208" t="n">
        <f aca="false">IF(I58="","",VALUE(I58))</f>
        <v>43.555</v>
      </c>
      <c r="AH58" s="209" t="n">
        <f aca="false">IF(J58="","",VALUE(J58))</f>
        <v>43.555</v>
      </c>
      <c r="AI58" s="208" t="str">
        <f aca="false">IF(K58="","",VALUE(K58))</f>
        <v/>
      </c>
      <c r="AJ58" s="209" t="n">
        <f aca="false">IF(L58="","",VALUE(L58))</f>
        <v>43.555</v>
      </c>
      <c r="AK58" s="208" t="n">
        <f aca="false">IF(M58="","",VALUE(M58))</f>
        <v>43.555</v>
      </c>
      <c r="AL58" s="209" t="n">
        <f aca="false">IF(N58="","",VALUE(N58))</f>
        <v>43.56</v>
      </c>
      <c r="AM58" s="208" t="n">
        <f aca="false">IF(O58="","",VALUE(O58))</f>
        <v>43.56</v>
      </c>
      <c r="AN58" s="209" t="n">
        <f aca="false">IF(P58="","",VALUE(P58))</f>
        <v>43.56</v>
      </c>
      <c r="AO58" s="208" t="str">
        <f aca="false">IF(Q58="","",VALUE(Q58))</f>
        <v/>
      </c>
      <c r="AP58" s="209" t="str">
        <f aca="false">IF(R58="","",VALUE(R58))</f>
        <v/>
      </c>
      <c r="AQ58" s="208" t="str">
        <f aca="false">IF(S58="","",VALUE(S58))</f>
        <v/>
      </c>
      <c r="AR58" s="209" t="n">
        <f aca="false">IF(T58="","",VALUE(T58))</f>
        <v>43.555</v>
      </c>
      <c r="AS58" s="208" t="n">
        <f aca="false">IF(U58="","",VALUE(U58))</f>
        <v>43.56</v>
      </c>
      <c r="AT58" s="209" t="str">
        <f aca="false">IF(V58="","",VALUE(V58))</f>
        <v/>
      </c>
      <c r="AU58" s="208" t="str">
        <f aca="false">IF(W58="","",VALUE(W58))</f>
        <v/>
      </c>
      <c r="AV58" s="209" t="n">
        <f aca="false">IF(X58="","",VALUE(X58))</f>
        <v>43.56</v>
      </c>
      <c r="AW58" s="215"/>
      <c r="AX58" s="211" t="str">
        <f aca="false">Z58</f>
        <v>Hf</v>
      </c>
      <c r="AY58" s="212" t="n">
        <f aca="false">COUNT(AA58:AV58)</f>
        <v>13</v>
      </c>
      <c r="AZ58" s="210" t="n">
        <f aca="false">IF(AY58=0,"",MIN(AA58:AV58))</f>
        <v>43.555</v>
      </c>
      <c r="BA58" s="213" t="n">
        <f aca="false">IF(AY58=0,"",MAX(AA58:AV58))</f>
        <v>54.81</v>
      </c>
      <c r="BC58" s="214"/>
    </row>
    <row r="59" customFormat="false" ht="12.75" hidden="false" customHeight="false" outlineLevel="0" collapsed="false">
      <c r="A59" s="73"/>
      <c r="B59" s="31" t="s">
        <v>79</v>
      </c>
      <c r="C59" s="85" t="n">
        <v>74.475</v>
      </c>
      <c r="D59" s="101" t="n">
        <v>74.475</v>
      </c>
      <c r="E59" s="85" t="n">
        <v>77.404</v>
      </c>
      <c r="F59" s="101" t="n">
        <v>77.404</v>
      </c>
      <c r="G59" s="85" t="n">
        <v>76.107</v>
      </c>
      <c r="H59" s="101" t="n">
        <v>76.023</v>
      </c>
      <c r="I59" s="85" t="n">
        <v>76.023</v>
      </c>
      <c r="J59" s="101" t="n">
        <v>76.023</v>
      </c>
      <c r="K59" s="85" t="n">
        <v>76.027</v>
      </c>
      <c r="L59" s="101" t="n">
        <v>75.898</v>
      </c>
      <c r="M59" s="85" t="n">
        <v>75.898</v>
      </c>
      <c r="N59" s="65" t="s">
        <v>544</v>
      </c>
      <c r="O59" s="62" t="n">
        <v>76.02</v>
      </c>
      <c r="P59" s="63" t="n">
        <v>76.028</v>
      </c>
      <c r="Q59" s="141" t="s">
        <v>544</v>
      </c>
      <c r="R59" s="65"/>
      <c r="S59" s="64" t="s">
        <v>629</v>
      </c>
      <c r="T59" s="102" t="n">
        <v>75.898</v>
      </c>
      <c r="U59" s="62" t="n">
        <v>76.028</v>
      </c>
      <c r="V59" s="103" t="s">
        <v>544</v>
      </c>
      <c r="W59" s="64" t="s">
        <v>630</v>
      </c>
      <c r="X59" s="65" t="s">
        <v>544</v>
      </c>
      <c r="Z59" s="31" t="s">
        <v>79</v>
      </c>
      <c r="AA59" s="208" t="n">
        <f aca="false">IF(C59="","",VALUE(C59))</f>
        <v>74.475</v>
      </c>
      <c r="AB59" s="209" t="n">
        <f aca="false">IF(D59="","",VALUE(D59))</f>
        <v>74.475</v>
      </c>
      <c r="AC59" s="208" t="n">
        <f aca="false">IF(E59="","",VALUE(E59))</f>
        <v>77.404</v>
      </c>
      <c r="AD59" s="209" t="n">
        <f aca="false">IF(F59="","",VALUE(F59))</f>
        <v>77.404</v>
      </c>
      <c r="AE59" s="208" t="n">
        <f aca="false">IF(G59="","",VALUE(G59))</f>
        <v>76.107</v>
      </c>
      <c r="AF59" s="209" t="n">
        <f aca="false">IF(H59="","",VALUE(H59))</f>
        <v>76.023</v>
      </c>
      <c r="AG59" s="208" t="n">
        <f aca="false">IF(I59="","",VALUE(I59))</f>
        <v>76.023</v>
      </c>
      <c r="AH59" s="209" t="n">
        <f aca="false">IF(J59="","",VALUE(J59))</f>
        <v>76.023</v>
      </c>
      <c r="AI59" s="208" t="n">
        <f aca="false">IF(K59="","",VALUE(K59))</f>
        <v>76.027</v>
      </c>
      <c r="AJ59" s="209" t="n">
        <f aca="false">IF(L59="","",VALUE(L59))</f>
        <v>75.898</v>
      </c>
      <c r="AK59" s="208" t="n">
        <f aca="false">IF(M59="","",VALUE(M59))</f>
        <v>75.898</v>
      </c>
      <c r="AL59" s="209" t="n">
        <f aca="false">IF(N59="","",VALUE(N59))</f>
        <v>75.9</v>
      </c>
      <c r="AM59" s="208" t="n">
        <f aca="false">IF(O59="","",VALUE(O59))</f>
        <v>76.02</v>
      </c>
      <c r="AN59" s="209" t="n">
        <f aca="false">IF(P59="","",VALUE(P59))</f>
        <v>76.028</v>
      </c>
      <c r="AO59" s="208" t="n">
        <f aca="false">IF(Q59="","",VALUE(Q59))</f>
        <v>75.9</v>
      </c>
      <c r="AP59" s="209" t="str">
        <f aca="false">IF(R59="","",VALUE(R59))</f>
        <v/>
      </c>
      <c r="AQ59" s="208" t="n">
        <f aca="false">IF(S59="","",VALUE(S59))</f>
        <v>75.9</v>
      </c>
      <c r="AR59" s="209" t="n">
        <f aca="false">IF(T59="","",VALUE(T59))</f>
        <v>75.898</v>
      </c>
      <c r="AS59" s="208" t="n">
        <f aca="false">IF(U59="","",VALUE(U59))</f>
        <v>76.028</v>
      </c>
      <c r="AT59" s="209" t="n">
        <f aca="false">IF(V59="","",VALUE(V59))</f>
        <v>75.9</v>
      </c>
      <c r="AU59" s="208" t="n">
        <f aca="false">IF(W59="","",VALUE(W59))</f>
        <v>76.028</v>
      </c>
      <c r="AV59" s="209" t="n">
        <f aca="false">IF(X59="","",VALUE(X59))</f>
        <v>75.9</v>
      </c>
      <c r="AW59" s="215"/>
      <c r="AX59" s="211" t="str">
        <f aca="false">Z59</f>
        <v>Hg</v>
      </c>
      <c r="AY59" s="212" t="n">
        <f aca="false">COUNT(AA59:AV59)</f>
        <v>21</v>
      </c>
      <c r="AZ59" s="210" t="n">
        <f aca="false">IF(AY59=0,"",MIN(AA59:AV59))</f>
        <v>74.475</v>
      </c>
      <c r="BA59" s="213" t="n">
        <f aca="false">IF(AY59=0,"",MAX(AA59:AV59))</f>
        <v>77.404</v>
      </c>
      <c r="BC59" s="214"/>
    </row>
    <row r="60" customFormat="false" ht="12.75" hidden="false" customHeight="false" outlineLevel="0" collapsed="false">
      <c r="A60" s="73"/>
      <c r="B60" s="31" t="s">
        <v>80</v>
      </c>
      <c r="C60" s="85"/>
      <c r="D60" s="101"/>
      <c r="E60" s="85"/>
      <c r="F60" s="101"/>
      <c r="G60" s="85" t="n">
        <v>74.35</v>
      </c>
      <c r="H60" s="101" t="n">
        <v>75.312</v>
      </c>
      <c r="I60" s="85"/>
      <c r="J60" s="101" t="n">
        <v>75.312</v>
      </c>
      <c r="K60" s="85"/>
      <c r="L60" s="101" t="n">
        <v>75.019</v>
      </c>
      <c r="M60" s="85" t="n">
        <v>75.019</v>
      </c>
      <c r="N60" s="63" t="n">
        <v>75.02</v>
      </c>
      <c r="O60" s="62" t="n">
        <v>75.3</v>
      </c>
      <c r="P60" s="63"/>
      <c r="Q60" s="136"/>
      <c r="R60" s="63"/>
      <c r="S60" s="64"/>
      <c r="T60" s="102" t="n">
        <v>75.019</v>
      </c>
      <c r="U60" s="62"/>
      <c r="V60" s="102"/>
      <c r="W60" s="62"/>
      <c r="X60" s="63" t="n">
        <v>75.3</v>
      </c>
      <c r="Z60" s="31" t="s">
        <v>80</v>
      </c>
      <c r="AA60" s="208" t="str">
        <f aca="false">IF(C60="","",VALUE(C60))</f>
        <v/>
      </c>
      <c r="AB60" s="209" t="str">
        <f aca="false">IF(D60="","",VALUE(D60))</f>
        <v/>
      </c>
      <c r="AC60" s="208" t="str">
        <f aca="false">IF(E60="","",VALUE(E60))</f>
        <v/>
      </c>
      <c r="AD60" s="209" t="str">
        <f aca="false">IF(F60="","",VALUE(F60))</f>
        <v/>
      </c>
      <c r="AE60" s="208" t="n">
        <f aca="false">IF(G60="","",VALUE(G60))</f>
        <v>74.35</v>
      </c>
      <c r="AF60" s="209" t="n">
        <f aca="false">IF(H60="","",VALUE(H60))</f>
        <v>75.312</v>
      </c>
      <c r="AG60" s="208" t="str">
        <f aca="false">IF(I60="","",VALUE(I60))</f>
        <v/>
      </c>
      <c r="AH60" s="209" t="n">
        <f aca="false">IF(J60="","",VALUE(J60))</f>
        <v>75.312</v>
      </c>
      <c r="AI60" s="208" t="str">
        <f aca="false">IF(K60="","",VALUE(K60))</f>
        <v/>
      </c>
      <c r="AJ60" s="209" t="n">
        <f aca="false">IF(L60="","",VALUE(L60))</f>
        <v>75.019</v>
      </c>
      <c r="AK60" s="208" t="n">
        <f aca="false">IF(M60="","",VALUE(M60))</f>
        <v>75.019</v>
      </c>
      <c r="AL60" s="209" t="n">
        <f aca="false">IF(N60="","",VALUE(N60))</f>
        <v>75.02</v>
      </c>
      <c r="AM60" s="208" t="n">
        <f aca="false">IF(O60="","",VALUE(O60))</f>
        <v>75.3</v>
      </c>
      <c r="AN60" s="209" t="str">
        <f aca="false">IF(P60="","",VALUE(P60))</f>
        <v/>
      </c>
      <c r="AO60" s="208" t="str">
        <f aca="false">IF(Q60="","",VALUE(Q60))</f>
        <v/>
      </c>
      <c r="AP60" s="209" t="str">
        <f aca="false">IF(R60="","",VALUE(R60))</f>
        <v/>
      </c>
      <c r="AQ60" s="208" t="str">
        <f aca="false">IF(S60="","",VALUE(S60))</f>
        <v/>
      </c>
      <c r="AR60" s="209" t="n">
        <f aca="false">IF(T60="","",VALUE(T60))</f>
        <v>75.019</v>
      </c>
      <c r="AS60" s="208" t="str">
        <f aca="false">IF(U60="","",VALUE(U60))</f>
        <v/>
      </c>
      <c r="AT60" s="209" t="str">
        <f aca="false">IF(V60="","",VALUE(V60))</f>
        <v/>
      </c>
      <c r="AU60" s="208" t="str">
        <f aca="false">IF(W60="","",VALUE(W60))</f>
        <v/>
      </c>
      <c r="AV60" s="209" t="n">
        <f aca="false">IF(X60="","",VALUE(X60))</f>
        <v>75.3</v>
      </c>
      <c r="AW60" s="215"/>
      <c r="AX60" s="211" t="str">
        <f aca="false">Z60</f>
        <v>Ho</v>
      </c>
      <c r="AY60" s="212" t="n">
        <f aca="false">COUNT(AA60:AV60)</f>
        <v>9</v>
      </c>
      <c r="AZ60" s="210" t="n">
        <f aca="false">IF(AY60=0,"",MIN(AA60:AV60))</f>
        <v>74.35</v>
      </c>
      <c r="BA60" s="213" t="n">
        <f aca="false">IF(AY60=0,"",MAX(AA60:AV60))</f>
        <v>75.312</v>
      </c>
      <c r="BC60" s="214"/>
    </row>
    <row r="61" customFormat="false" ht="12.75" hidden="false" customHeight="false" outlineLevel="0" collapsed="false">
      <c r="A61" s="73"/>
      <c r="B61" s="38" t="s">
        <v>82</v>
      </c>
      <c r="C61" s="85" t="n">
        <v>131.378</v>
      </c>
      <c r="D61" s="101" t="n">
        <v>111.294</v>
      </c>
      <c r="E61" s="85" t="n">
        <v>116.734</v>
      </c>
      <c r="F61" s="101" t="n">
        <v>116.734</v>
      </c>
      <c r="G61" s="85" t="n">
        <v>116.734</v>
      </c>
      <c r="H61" s="101" t="n">
        <v>116.148</v>
      </c>
      <c r="I61" s="85" t="n">
        <v>116.135</v>
      </c>
      <c r="J61" s="101" t="n">
        <v>116.135</v>
      </c>
      <c r="K61" s="85" t="n">
        <v>116.139</v>
      </c>
      <c r="L61" s="101" t="n">
        <v>116.148</v>
      </c>
      <c r="M61" s="85" t="n">
        <v>116.139</v>
      </c>
      <c r="N61" s="63" t="n">
        <v>116.15</v>
      </c>
      <c r="O61" s="62" t="n">
        <v>116.135</v>
      </c>
      <c r="P61" s="63" t="n">
        <v>116.142</v>
      </c>
      <c r="Q61" s="141" t="s">
        <v>545</v>
      </c>
      <c r="R61" s="65" t="s">
        <v>631</v>
      </c>
      <c r="S61" s="64" t="s">
        <v>631</v>
      </c>
      <c r="T61" s="102" t="n">
        <v>116.142</v>
      </c>
      <c r="U61" s="62" t="n">
        <v>116.142</v>
      </c>
      <c r="V61" s="102" t="n">
        <v>116.14</v>
      </c>
      <c r="W61" s="64" t="s">
        <v>632</v>
      </c>
      <c r="X61" s="63" t="n">
        <v>116.14</v>
      </c>
      <c r="Z61" s="38" t="s">
        <v>82</v>
      </c>
      <c r="AA61" s="208" t="n">
        <f aca="false">IF(C61="","",VALUE(C61))</f>
        <v>131.378</v>
      </c>
      <c r="AB61" s="209" t="n">
        <f aca="false">IF(D61="","",VALUE(D61))</f>
        <v>111.294</v>
      </c>
      <c r="AC61" s="208" t="n">
        <f aca="false">IF(E61="","",VALUE(E61))</f>
        <v>116.734</v>
      </c>
      <c r="AD61" s="209" t="n">
        <f aca="false">IF(F61="","",VALUE(F61))</f>
        <v>116.734</v>
      </c>
      <c r="AE61" s="208" t="n">
        <f aca="false">IF(G61="","",VALUE(G61))</f>
        <v>116.734</v>
      </c>
      <c r="AF61" s="209" t="n">
        <f aca="false">IF(H61="","",VALUE(H61))</f>
        <v>116.148</v>
      </c>
      <c r="AG61" s="208" t="n">
        <f aca="false">IF(I61="","",VALUE(I61))</f>
        <v>116.135</v>
      </c>
      <c r="AH61" s="209" t="n">
        <f aca="false">IF(J61="","",VALUE(J61))</f>
        <v>116.135</v>
      </c>
      <c r="AI61" s="208" t="n">
        <f aca="false">IF(K61="","",VALUE(K61))</f>
        <v>116.139</v>
      </c>
      <c r="AJ61" s="209" t="n">
        <f aca="false">IF(L61="","",VALUE(L61))</f>
        <v>116.148</v>
      </c>
      <c r="AK61" s="208" t="n">
        <f aca="false">IF(M61="","",VALUE(M61))</f>
        <v>116.139</v>
      </c>
      <c r="AL61" s="209" t="n">
        <f aca="false">IF(N61="","",VALUE(N61))</f>
        <v>116.15</v>
      </c>
      <c r="AM61" s="208" t="n">
        <f aca="false">IF(O61="","",VALUE(O61))</f>
        <v>116.135</v>
      </c>
      <c r="AN61" s="209" t="n">
        <f aca="false">IF(P61="","",VALUE(P61))</f>
        <v>116.142</v>
      </c>
      <c r="AO61" s="208" t="n">
        <f aca="false">IF(Q61="","",VALUE(Q61))</f>
        <v>116.14</v>
      </c>
      <c r="AP61" s="209" t="n">
        <f aca="false">IF(R61="","",VALUE(R61))</f>
        <v>116.14</v>
      </c>
      <c r="AQ61" s="208" t="n">
        <f aca="false">IF(S61="","",VALUE(S61))</f>
        <v>116.14</v>
      </c>
      <c r="AR61" s="209" t="n">
        <f aca="false">IF(T61="","",VALUE(T61))</f>
        <v>116.142</v>
      </c>
      <c r="AS61" s="208" t="n">
        <f aca="false">IF(U61="","",VALUE(U61))</f>
        <v>116.142</v>
      </c>
      <c r="AT61" s="209" t="n">
        <f aca="false">IF(V61="","",VALUE(V61))</f>
        <v>116.14</v>
      </c>
      <c r="AU61" s="208" t="n">
        <f aca="false">IF(W61="","",VALUE(W61))</f>
        <v>116.139</v>
      </c>
      <c r="AV61" s="209" t="n">
        <f aca="false">IF(X61="","",VALUE(X61))</f>
        <v>116.14</v>
      </c>
      <c r="AW61" s="215"/>
      <c r="AX61" s="211" t="str">
        <f aca="false">Z61</f>
        <v>I2</v>
      </c>
      <c r="AY61" s="212" t="n">
        <f aca="false">COUNT(AA61:AV61)</f>
        <v>22</v>
      </c>
      <c r="AZ61" s="210" t="n">
        <f aca="false">IF(AY61=0,"",MIN(AA61:AV61))</f>
        <v>111.294</v>
      </c>
      <c r="BA61" s="213" t="n">
        <f aca="false">IF(AY61=0,"",MAX(AA61:AV61))</f>
        <v>131.378</v>
      </c>
      <c r="BC61" s="214"/>
    </row>
    <row r="62" customFormat="false" ht="12.75" hidden="false" customHeight="false" outlineLevel="0" collapsed="false">
      <c r="A62" s="73"/>
      <c r="B62" s="31" t="s">
        <v>84</v>
      </c>
      <c r="C62" s="85"/>
      <c r="D62" s="101"/>
      <c r="E62" s="85" t="n">
        <v>60.668</v>
      </c>
      <c r="F62" s="101" t="n">
        <v>52.3</v>
      </c>
      <c r="G62" s="85" t="n">
        <v>57.823</v>
      </c>
      <c r="H62" s="101" t="n">
        <v>58.158</v>
      </c>
      <c r="I62" s="85"/>
      <c r="J62" s="101" t="n">
        <v>57.823</v>
      </c>
      <c r="K62" s="85"/>
      <c r="L62" s="101" t="n">
        <v>57.823</v>
      </c>
      <c r="M62" s="85" t="n">
        <v>57.823</v>
      </c>
      <c r="N62" s="63" t="n">
        <v>57.84</v>
      </c>
      <c r="O62" s="62" t="n">
        <v>57.82</v>
      </c>
      <c r="P62" s="63"/>
      <c r="Q62" s="136"/>
      <c r="R62" s="63" t="s">
        <v>633</v>
      </c>
      <c r="S62" s="64"/>
      <c r="T62" s="102" t="n">
        <v>57.823</v>
      </c>
      <c r="U62" s="62"/>
      <c r="V62" s="102"/>
      <c r="W62" s="62"/>
      <c r="X62" s="63" t="n">
        <v>57.8</v>
      </c>
      <c r="Z62" s="31" t="s">
        <v>84</v>
      </c>
      <c r="AA62" s="208" t="str">
        <f aca="false">IF(C62="","",VALUE(C62))</f>
        <v/>
      </c>
      <c r="AB62" s="209" t="str">
        <f aca="false">IF(D62="","",VALUE(D62))</f>
        <v/>
      </c>
      <c r="AC62" s="208" t="n">
        <f aca="false">IF(E62="","",VALUE(E62))</f>
        <v>60.668</v>
      </c>
      <c r="AD62" s="209" t="n">
        <f aca="false">IF(F62="","",VALUE(F62))</f>
        <v>52.3</v>
      </c>
      <c r="AE62" s="208" t="n">
        <f aca="false">IF(G62="","",VALUE(G62))</f>
        <v>57.823</v>
      </c>
      <c r="AF62" s="209" t="n">
        <f aca="false">IF(H62="","",VALUE(H62))</f>
        <v>58.158</v>
      </c>
      <c r="AG62" s="208" t="str">
        <f aca="false">IF(I62="","",VALUE(I62))</f>
        <v/>
      </c>
      <c r="AH62" s="209" t="n">
        <f aca="false">IF(J62="","",VALUE(J62))</f>
        <v>57.823</v>
      </c>
      <c r="AI62" s="208" t="str">
        <f aca="false">IF(K62="","",VALUE(K62))</f>
        <v/>
      </c>
      <c r="AJ62" s="209" t="n">
        <f aca="false">IF(L62="","",VALUE(L62))</f>
        <v>57.823</v>
      </c>
      <c r="AK62" s="208" t="n">
        <f aca="false">IF(M62="","",VALUE(M62))</f>
        <v>57.823</v>
      </c>
      <c r="AL62" s="209" t="n">
        <f aca="false">IF(N62="","",VALUE(N62))</f>
        <v>57.84</v>
      </c>
      <c r="AM62" s="208" t="n">
        <f aca="false">IF(O62="","",VALUE(O62))</f>
        <v>57.82</v>
      </c>
      <c r="AN62" s="209" t="str">
        <f aca="false">IF(P62="","",VALUE(P62))</f>
        <v/>
      </c>
      <c r="AO62" s="208" t="str">
        <f aca="false">IF(Q62="","",VALUE(Q62))</f>
        <v/>
      </c>
      <c r="AP62" s="209" t="n">
        <f aca="false">IF(R62="","",VALUE(R62))</f>
        <v>57.65</v>
      </c>
      <c r="AQ62" s="208" t="str">
        <f aca="false">IF(S62="","",VALUE(S62))</f>
        <v/>
      </c>
      <c r="AR62" s="209" t="n">
        <f aca="false">IF(T62="","",VALUE(T62))</f>
        <v>57.823</v>
      </c>
      <c r="AS62" s="208" t="str">
        <f aca="false">IF(U62="","",VALUE(U62))</f>
        <v/>
      </c>
      <c r="AT62" s="209" t="str">
        <f aca="false">IF(V62="","",VALUE(V62))</f>
        <v/>
      </c>
      <c r="AU62" s="208" t="str">
        <f aca="false">IF(W62="","",VALUE(W62))</f>
        <v/>
      </c>
      <c r="AV62" s="209" t="n">
        <f aca="false">IF(X62="","",VALUE(X62))</f>
        <v>57.8</v>
      </c>
      <c r="AW62" s="215"/>
      <c r="AX62" s="211" t="str">
        <f aca="false">Z62</f>
        <v>In</v>
      </c>
      <c r="AY62" s="212" t="n">
        <f aca="false">COUNT(AA62:AV62)</f>
        <v>12</v>
      </c>
      <c r="AZ62" s="210" t="n">
        <f aca="false">IF(AY62=0,"",MIN(AA62:AV62))</f>
        <v>52.3</v>
      </c>
      <c r="BA62" s="213" t="n">
        <f aca="false">IF(AY62=0,"",MAX(AA62:AV62))</f>
        <v>60.668</v>
      </c>
      <c r="BC62" s="214"/>
    </row>
    <row r="63" customFormat="false" ht="12.75" hidden="false" customHeight="false" outlineLevel="0" collapsed="false">
      <c r="A63" s="73"/>
      <c r="B63" s="31" t="s">
        <v>85</v>
      </c>
      <c r="C63" s="85" t="n">
        <v>36.401</v>
      </c>
      <c r="D63" s="101" t="n">
        <v>36.401</v>
      </c>
      <c r="E63" s="85" t="n">
        <v>36.401</v>
      </c>
      <c r="F63" s="101" t="n">
        <v>36.401</v>
      </c>
      <c r="G63" s="85" t="n">
        <v>36.401</v>
      </c>
      <c r="H63" s="101" t="n">
        <v>35.48</v>
      </c>
      <c r="I63" s="85"/>
      <c r="J63" s="101" t="n">
        <v>35.48</v>
      </c>
      <c r="K63" s="85"/>
      <c r="L63" s="101" t="n">
        <v>35.505</v>
      </c>
      <c r="M63" s="85" t="n">
        <v>35.485</v>
      </c>
      <c r="N63" s="63" t="n">
        <v>35.48</v>
      </c>
      <c r="O63" s="62" t="n">
        <v>35.48</v>
      </c>
      <c r="P63" s="63"/>
      <c r="Q63" s="136"/>
      <c r="R63" s="63"/>
      <c r="S63" s="64"/>
      <c r="T63" s="102" t="n">
        <v>35.505</v>
      </c>
      <c r="U63" s="62"/>
      <c r="V63" s="102"/>
      <c r="W63" s="62"/>
      <c r="X63" s="63" t="n">
        <v>35.48</v>
      </c>
      <c r="Z63" s="31" t="s">
        <v>85</v>
      </c>
      <c r="AA63" s="208" t="n">
        <f aca="false">IF(C63="","",VALUE(C63))</f>
        <v>36.401</v>
      </c>
      <c r="AB63" s="209" t="n">
        <f aca="false">IF(D63="","",VALUE(D63))</f>
        <v>36.401</v>
      </c>
      <c r="AC63" s="208" t="n">
        <f aca="false">IF(E63="","",VALUE(E63))</f>
        <v>36.401</v>
      </c>
      <c r="AD63" s="209" t="n">
        <f aca="false">IF(F63="","",VALUE(F63))</f>
        <v>36.401</v>
      </c>
      <c r="AE63" s="208" t="n">
        <f aca="false">IF(G63="","",VALUE(G63))</f>
        <v>36.401</v>
      </c>
      <c r="AF63" s="209" t="n">
        <f aca="false">IF(H63="","",VALUE(H63))</f>
        <v>35.48</v>
      </c>
      <c r="AG63" s="208" t="str">
        <f aca="false">IF(I63="","",VALUE(I63))</f>
        <v/>
      </c>
      <c r="AH63" s="209" t="n">
        <f aca="false">IF(J63="","",VALUE(J63))</f>
        <v>35.48</v>
      </c>
      <c r="AI63" s="208" t="str">
        <f aca="false">IF(K63="","",VALUE(K63))</f>
        <v/>
      </c>
      <c r="AJ63" s="209" t="n">
        <f aca="false">IF(L63="","",VALUE(L63))</f>
        <v>35.505</v>
      </c>
      <c r="AK63" s="208" t="n">
        <f aca="false">IF(M63="","",VALUE(M63))</f>
        <v>35.485</v>
      </c>
      <c r="AL63" s="209" t="n">
        <f aca="false">IF(N63="","",VALUE(N63))</f>
        <v>35.48</v>
      </c>
      <c r="AM63" s="208" t="n">
        <f aca="false">IF(O63="","",VALUE(O63))</f>
        <v>35.48</v>
      </c>
      <c r="AN63" s="209" t="str">
        <f aca="false">IF(P63="","",VALUE(P63))</f>
        <v/>
      </c>
      <c r="AO63" s="208" t="str">
        <f aca="false">IF(Q63="","",VALUE(Q63))</f>
        <v/>
      </c>
      <c r="AP63" s="209" t="str">
        <f aca="false">IF(R63="","",VALUE(R63))</f>
        <v/>
      </c>
      <c r="AQ63" s="208" t="str">
        <f aca="false">IF(S63="","",VALUE(S63))</f>
        <v/>
      </c>
      <c r="AR63" s="209" t="n">
        <f aca="false">IF(T63="","",VALUE(T63))</f>
        <v>35.505</v>
      </c>
      <c r="AS63" s="208" t="str">
        <f aca="false">IF(U63="","",VALUE(U63))</f>
        <v/>
      </c>
      <c r="AT63" s="209" t="str">
        <f aca="false">IF(V63="","",VALUE(V63))</f>
        <v/>
      </c>
      <c r="AU63" s="208" t="str">
        <f aca="false">IF(W63="","",VALUE(W63))</f>
        <v/>
      </c>
      <c r="AV63" s="209" t="n">
        <f aca="false">IF(X63="","",VALUE(X63))</f>
        <v>35.48</v>
      </c>
      <c r="AW63" s="215"/>
      <c r="AX63" s="211" t="str">
        <f aca="false">Z63</f>
        <v>Ir</v>
      </c>
      <c r="AY63" s="212" t="n">
        <f aca="false">COUNT(AA63:AV63)</f>
        <v>13</v>
      </c>
      <c r="AZ63" s="210" t="n">
        <f aca="false">IF(AY63=0,"",MIN(AA63:AV63))</f>
        <v>35.48</v>
      </c>
      <c r="BA63" s="213" t="n">
        <f aca="false">IF(AY63=0,"",MAX(AA63:AV63))</f>
        <v>36.401</v>
      </c>
      <c r="BC63" s="214"/>
    </row>
    <row r="64" customFormat="false" ht="12.75" hidden="false" customHeight="false" outlineLevel="0" collapsed="false">
      <c r="A64" s="73"/>
      <c r="B64" s="38" t="s">
        <v>86</v>
      </c>
      <c r="C64" s="85" t="n">
        <v>82.425</v>
      </c>
      <c r="D64" s="101" t="n">
        <v>69.454</v>
      </c>
      <c r="E64" s="85" t="n">
        <v>63.597</v>
      </c>
      <c r="F64" s="101" t="n">
        <v>63.597</v>
      </c>
      <c r="G64" s="85" t="n">
        <v>64.392</v>
      </c>
      <c r="H64" s="101" t="n">
        <v>64.183</v>
      </c>
      <c r="I64" s="85" t="n">
        <v>64.768</v>
      </c>
      <c r="J64" s="101" t="n">
        <v>64.183</v>
      </c>
      <c r="K64" s="85" t="n">
        <v>64.672</v>
      </c>
      <c r="L64" s="101" t="n">
        <v>64.685</v>
      </c>
      <c r="M64" s="85" t="n">
        <v>64.672</v>
      </c>
      <c r="N64" s="63" t="n">
        <v>64.68</v>
      </c>
      <c r="O64" s="62" t="n">
        <v>64.18</v>
      </c>
      <c r="P64" s="65" t="s">
        <v>634</v>
      </c>
      <c r="Q64" s="136" t="n">
        <v>64.68</v>
      </c>
      <c r="R64" s="63"/>
      <c r="S64" s="64" t="s">
        <v>635</v>
      </c>
      <c r="T64" s="103" t="s">
        <v>634</v>
      </c>
      <c r="U64" s="64" t="s">
        <v>634</v>
      </c>
      <c r="V64" s="102" t="n">
        <v>64.67</v>
      </c>
      <c r="W64" s="64" t="s">
        <v>635</v>
      </c>
      <c r="X64" s="63" t="n">
        <v>64.68</v>
      </c>
      <c r="Z64" s="38" t="s">
        <v>86</v>
      </c>
      <c r="AA64" s="208" t="n">
        <f aca="false">IF(C64="","",VALUE(C64))</f>
        <v>82.425</v>
      </c>
      <c r="AB64" s="209" t="n">
        <f aca="false">IF(D64="","",VALUE(D64))</f>
        <v>69.454</v>
      </c>
      <c r="AC64" s="208" t="n">
        <f aca="false">IF(E64="","",VALUE(E64))</f>
        <v>63.597</v>
      </c>
      <c r="AD64" s="209" t="n">
        <f aca="false">IF(F64="","",VALUE(F64))</f>
        <v>63.597</v>
      </c>
      <c r="AE64" s="208" t="n">
        <f aca="false">IF(G64="","",VALUE(G64))</f>
        <v>64.392</v>
      </c>
      <c r="AF64" s="209" t="n">
        <f aca="false">IF(H64="","",VALUE(H64))</f>
        <v>64.183</v>
      </c>
      <c r="AG64" s="208" t="n">
        <f aca="false">IF(I64="","",VALUE(I64))</f>
        <v>64.768</v>
      </c>
      <c r="AH64" s="209" t="n">
        <f aca="false">IF(J64="","",VALUE(J64))</f>
        <v>64.183</v>
      </c>
      <c r="AI64" s="208" t="n">
        <f aca="false">IF(K64="","",VALUE(K64))</f>
        <v>64.672</v>
      </c>
      <c r="AJ64" s="209" t="n">
        <f aca="false">IF(L64="","",VALUE(L64))</f>
        <v>64.685</v>
      </c>
      <c r="AK64" s="208" t="n">
        <f aca="false">IF(M64="","",VALUE(M64))</f>
        <v>64.672</v>
      </c>
      <c r="AL64" s="209" t="n">
        <f aca="false">IF(N64="","",VALUE(N64))</f>
        <v>64.68</v>
      </c>
      <c r="AM64" s="208" t="n">
        <f aca="false">IF(O64="","",VALUE(O64))</f>
        <v>64.18</v>
      </c>
      <c r="AN64" s="209" t="n">
        <f aca="false">IF(P64="","",VALUE(P64))</f>
        <v>64.67</v>
      </c>
      <c r="AO64" s="208" t="n">
        <f aca="false">IF(Q64="","",VALUE(Q64))</f>
        <v>64.68</v>
      </c>
      <c r="AP64" s="209" t="str">
        <f aca="false">IF(R64="","",VALUE(R64))</f>
        <v/>
      </c>
      <c r="AQ64" s="208" t="n">
        <f aca="false">IF(S64="","",VALUE(S64))</f>
        <v>64.68</v>
      </c>
      <c r="AR64" s="209" t="n">
        <f aca="false">IF(T64="","",VALUE(T64))</f>
        <v>64.67</v>
      </c>
      <c r="AS64" s="208" t="n">
        <f aca="false">IF(U64="","",VALUE(U64))</f>
        <v>64.67</v>
      </c>
      <c r="AT64" s="209" t="n">
        <f aca="false">IF(V64="","",VALUE(V64))</f>
        <v>64.67</v>
      </c>
      <c r="AU64" s="208" t="n">
        <f aca="false">IF(W64="","",VALUE(W64))</f>
        <v>64.68</v>
      </c>
      <c r="AV64" s="209" t="n">
        <f aca="false">IF(X64="","",VALUE(X64))</f>
        <v>64.68</v>
      </c>
      <c r="AW64" s="215"/>
      <c r="AX64" s="211" t="str">
        <f aca="false">Z64</f>
        <v>K</v>
      </c>
      <c r="AY64" s="212" t="n">
        <f aca="false">COUNT(AA64:AV64)</f>
        <v>21</v>
      </c>
      <c r="AZ64" s="210" t="n">
        <f aca="false">IF(AY64=0,"",MIN(AA64:AV64))</f>
        <v>63.597</v>
      </c>
      <c r="BA64" s="213" t="n">
        <f aca="false">IF(AY64=0,"",MAX(AA64:AV64))</f>
        <v>82.425</v>
      </c>
      <c r="BC64" s="214"/>
    </row>
    <row r="65" customFormat="false" ht="12.75" hidden="false" customHeight="false" outlineLevel="0" collapsed="false">
      <c r="A65" s="73"/>
      <c r="B65" s="31" t="s">
        <v>87</v>
      </c>
      <c r="C65" s="85"/>
      <c r="D65" s="101" t="n">
        <v>162.783</v>
      </c>
      <c r="E65" s="85" t="n">
        <v>163.997</v>
      </c>
      <c r="F65" s="101" t="n">
        <v>164.08</v>
      </c>
      <c r="G65" s="85" t="n">
        <v>164.08</v>
      </c>
      <c r="H65" s="101" t="n">
        <v>164.08</v>
      </c>
      <c r="I65" s="85"/>
      <c r="J65" s="101" t="n">
        <v>164.082</v>
      </c>
      <c r="K65" s="85"/>
      <c r="L65" s="101" t="n">
        <v>164.085</v>
      </c>
      <c r="M65" s="85" t="n">
        <v>164.085</v>
      </c>
      <c r="N65" s="63" t="n">
        <v>164.08</v>
      </c>
      <c r="O65" s="62" t="n">
        <v>164.082</v>
      </c>
      <c r="P65" s="63" t="n">
        <v>164.084</v>
      </c>
      <c r="Q65" s="136" t="n">
        <v>164.085</v>
      </c>
      <c r="R65" s="63" t="s">
        <v>636</v>
      </c>
      <c r="S65" s="64" t="n">
        <v>164.085</v>
      </c>
      <c r="T65" s="102" t="n">
        <v>164.085</v>
      </c>
      <c r="U65" s="62" t="n">
        <v>164.084</v>
      </c>
      <c r="V65" s="102"/>
      <c r="W65" s="64" t="s">
        <v>637</v>
      </c>
      <c r="X65" s="65" t="s">
        <v>638</v>
      </c>
      <c r="Z65" s="31" t="s">
        <v>87</v>
      </c>
      <c r="AA65" s="208" t="str">
        <f aca="false">IF(C65="","",VALUE(C65))</f>
        <v/>
      </c>
      <c r="AB65" s="209" t="n">
        <f aca="false">IF(D65="","",VALUE(D65))</f>
        <v>162.783</v>
      </c>
      <c r="AC65" s="208" t="n">
        <f aca="false">IF(E65="","",VALUE(E65))</f>
        <v>163.997</v>
      </c>
      <c r="AD65" s="209" t="n">
        <f aca="false">IF(F65="","",VALUE(F65))</f>
        <v>164.08</v>
      </c>
      <c r="AE65" s="208" t="n">
        <f aca="false">IF(G65="","",VALUE(G65))</f>
        <v>164.08</v>
      </c>
      <c r="AF65" s="209" t="n">
        <f aca="false">IF(H65="","",VALUE(H65))</f>
        <v>164.08</v>
      </c>
      <c r="AG65" s="208" t="str">
        <f aca="false">IF(I65="","",VALUE(I65))</f>
        <v/>
      </c>
      <c r="AH65" s="209" t="n">
        <f aca="false">IF(J65="","",VALUE(J65))</f>
        <v>164.082</v>
      </c>
      <c r="AI65" s="208" t="str">
        <f aca="false">IF(K65="","",VALUE(K65))</f>
        <v/>
      </c>
      <c r="AJ65" s="209" t="n">
        <f aca="false">IF(L65="","",VALUE(L65))</f>
        <v>164.085</v>
      </c>
      <c r="AK65" s="208" t="n">
        <f aca="false">IF(M65="","",VALUE(M65))</f>
        <v>164.085</v>
      </c>
      <c r="AL65" s="209" t="n">
        <f aca="false">IF(N65="","",VALUE(N65))</f>
        <v>164.08</v>
      </c>
      <c r="AM65" s="208" t="n">
        <f aca="false">IF(O65="","",VALUE(O65))</f>
        <v>164.082</v>
      </c>
      <c r="AN65" s="209" t="n">
        <f aca="false">IF(P65="","",VALUE(P65))</f>
        <v>164.084</v>
      </c>
      <c r="AO65" s="208" t="n">
        <f aca="false">IF(Q65="","",VALUE(Q65))</f>
        <v>164.085</v>
      </c>
      <c r="AP65" s="209" t="n">
        <f aca="false">IF(R65="","",VALUE(R65))</f>
        <v>164.084</v>
      </c>
      <c r="AQ65" s="208" t="n">
        <f aca="false">IF(S65="","",VALUE(S65))</f>
        <v>164.085</v>
      </c>
      <c r="AR65" s="209" t="n">
        <f aca="false">IF(T65="","",VALUE(T65))</f>
        <v>164.085</v>
      </c>
      <c r="AS65" s="208" t="n">
        <f aca="false">IF(U65="","",VALUE(U65))</f>
        <v>164.084</v>
      </c>
      <c r="AT65" s="209" t="str">
        <f aca="false">IF(V65="","",VALUE(V65))</f>
        <v/>
      </c>
      <c r="AU65" s="208" t="n">
        <f aca="false">IF(W65="","",VALUE(W65))</f>
        <v>164.086</v>
      </c>
      <c r="AV65" s="209" t="n">
        <f aca="false">IF(X65="","",VALUE(X65))</f>
        <v>164.085</v>
      </c>
      <c r="AW65" s="215"/>
      <c r="AX65" s="211" t="str">
        <f aca="false">Z65</f>
        <v>Kr</v>
      </c>
      <c r="AY65" s="212" t="n">
        <f aca="false">COUNT(AA65:AV65)</f>
        <v>18</v>
      </c>
      <c r="AZ65" s="210" t="n">
        <f aca="false">IF(AY65=0,"",MIN(AA65:AV65))</f>
        <v>162.783</v>
      </c>
      <c r="BA65" s="213" t="n">
        <f aca="false">IF(AY65=0,"",MAX(AA65:AV65))</f>
        <v>164.086</v>
      </c>
      <c r="BC65" s="214"/>
    </row>
    <row r="66" customFormat="false" ht="12.75" hidden="false" customHeight="false" outlineLevel="0" collapsed="false">
      <c r="A66" s="73"/>
      <c r="B66" s="31" t="s">
        <v>88</v>
      </c>
      <c r="C66" s="85" t="n">
        <v>57.321</v>
      </c>
      <c r="D66" s="101" t="n">
        <v>57.321</v>
      </c>
      <c r="E66" s="85" t="n">
        <v>57.321</v>
      </c>
      <c r="F66" s="101" t="n">
        <v>57.321</v>
      </c>
      <c r="G66" s="85" t="n">
        <v>56.902</v>
      </c>
      <c r="H66" s="101" t="n">
        <v>56.902</v>
      </c>
      <c r="I66" s="85"/>
      <c r="J66" s="101" t="n">
        <v>56.902</v>
      </c>
      <c r="K66" s="85"/>
      <c r="L66" s="101" t="n">
        <v>56.902</v>
      </c>
      <c r="M66" s="85" t="n">
        <v>56.902</v>
      </c>
      <c r="N66" s="65" t="s">
        <v>639</v>
      </c>
      <c r="O66" s="62" t="n">
        <v>56.9</v>
      </c>
      <c r="P66" s="63"/>
      <c r="Q66" s="136"/>
      <c r="R66" s="63"/>
      <c r="S66" s="64"/>
      <c r="T66" s="102" t="n">
        <v>56.902</v>
      </c>
      <c r="U66" s="62"/>
      <c r="V66" s="102"/>
      <c r="W66" s="62"/>
      <c r="X66" s="63" t="n">
        <v>56.9</v>
      </c>
      <c r="Z66" s="31" t="s">
        <v>88</v>
      </c>
      <c r="AA66" s="208" t="n">
        <f aca="false">IF(C66="","",VALUE(C66))</f>
        <v>57.321</v>
      </c>
      <c r="AB66" s="209" t="n">
        <f aca="false">IF(D66="","",VALUE(D66))</f>
        <v>57.321</v>
      </c>
      <c r="AC66" s="208" t="n">
        <f aca="false">IF(E66="","",VALUE(E66))</f>
        <v>57.321</v>
      </c>
      <c r="AD66" s="209" t="n">
        <f aca="false">IF(F66="","",VALUE(F66))</f>
        <v>57.321</v>
      </c>
      <c r="AE66" s="208" t="n">
        <f aca="false">IF(G66="","",VALUE(G66))</f>
        <v>56.902</v>
      </c>
      <c r="AF66" s="209" t="n">
        <f aca="false">IF(H66="","",VALUE(H66))</f>
        <v>56.902</v>
      </c>
      <c r="AG66" s="208" t="str">
        <f aca="false">IF(I66="","",VALUE(I66))</f>
        <v/>
      </c>
      <c r="AH66" s="209" t="n">
        <f aca="false">IF(J66="","",VALUE(J66))</f>
        <v>56.902</v>
      </c>
      <c r="AI66" s="208" t="str">
        <f aca="false">IF(K66="","",VALUE(K66))</f>
        <v/>
      </c>
      <c r="AJ66" s="209" t="n">
        <f aca="false">IF(L66="","",VALUE(L66))</f>
        <v>56.902</v>
      </c>
      <c r="AK66" s="208" t="n">
        <f aca="false">IF(M66="","",VALUE(M66))</f>
        <v>56.902</v>
      </c>
      <c r="AL66" s="209" t="n">
        <f aca="false">IF(N66="","",VALUE(N66))</f>
        <v>56.9</v>
      </c>
      <c r="AM66" s="208" t="n">
        <f aca="false">IF(O66="","",VALUE(O66))</f>
        <v>56.9</v>
      </c>
      <c r="AN66" s="209" t="str">
        <f aca="false">IF(P66="","",VALUE(P66))</f>
        <v/>
      </c>
      <c r="AO66" s="208" t="str">
        <f aca="false">IF(Q66="","",VALUE(Q66))</f>
        <v/>
      </c>
      <c r="AP66" s="209" t="str">
        <f aca="false">IF(R66="","",VALUE(R66))</f>
        <v/>
      </c>
      <c r="AQ66" s="208" t="str">
        <f aca="false">IF(S66="","",VALUE(S66))</f>
        <v/>
      </c>
      <c r="AR66" s="209" t="n">
        <f aca="false">IF(T66="","",VALUE(T66))</f>
        <v>56.902</v>
      </c>
      <c r="AS66" s="208" t="str">
        <f aca="false">IF(U66="","",VALUE(U66))</f>
        <v/>
      </c>
      <c r="AT66" s="209" t="str">
        <f aca="false">IF(V66="","",VALUE(V66))</f>
        <v/>
      </c>
      <c r="AU66" s="208" t="str">
        <f aca="false">IF(W66="","",VALUE(W66))</f>
        <v/>
      </c>
      <c r="AV66" s="209" t="n">
        <f aca="false">IF(X66="","",VALUE(X66))</f>
        <v>56.9</v>
      </c>
      <c r="AW66" s="215"/>
      <c r="AX66" s="211" t="str">
        <f aca="false">Z66</f>
        <v>La</v>
      </c>
      <c r="AY66" s="212" t="n">
        <f aca="false">COUNT(AA66:AV66)</f>
        <v>13</v>
      </c>
      <c r="AZ66" s="210" t="n">
        <f aca="false">IF(AY66=0,"",MIN(AA66:AV66))</f>
        <v>56.9</v>
      </c>
      <c r="BA66" s="213" t="n">
        <f aca="false">IF(AY66=0,"",MAX(AA66:AV66))</f>
        <v>57.321</v>
      </c>
      <c r="BC66" s="214"/>
    </row>
    <row r="67" customFormat="false" ht="12.75" hidden="false" customHeight="false" outlineLevel="0" collapsed="false">
      <c r="A67" s="73"/>
      <c r="B67" s="38" t="s">
        <v>89</v>
      </c>
      <c r="C67" s="85" t="n">
        <v>31.798</v>
      </c>
      <c r="D67" s="101" t="n">
        <v>31.798</v>
      </c>
      <c r="E67" s="85" t="n">
        <v>31.798</v>
      </c>
      <c r="F67" s="101" t="n">
        <v>28.033</v>
      </c>
      <c r="G67" s="85" t="n">
        <v>28.242</v>
      </c>
      <c r="H67" s="101" t="n">
        <v>28.033</v>
      </c>
      <c r="I67" s="85" t="n">
        <v>29.079</v>
      </c>
      <c r="J67" s="101" t="n">
        <v>29.121</v>
      </c>
      <c r="K67" s="85" t="n">
        <v>29.096</v>
      </c>
      <c r="L67" s="101" t="n">
        <v>29.275</v>
      </c>
      <c r="M67" s="85" t="n">
        <v>29.096</v>
      </c>
      <c r="N67" s="63" t="n">
        <v>29.12</v>
      </c>
      <c r="O67" s="62" t="n">
        <v>29.12</v>
      </c>
      <c r="P67" s="63" t="n">
        <v>29.085</v>
      </c>
      <c r="Q67" s="136" t="n">
        <v>29.12</v>
      </c>
      <c r="R67" s="63"/>
      <c r="S67" s="64" t="s">
        <v>640</v>
      </c>
      <c r="T67" s="103" t="s">
        <v>641</v>
      </c>
      <c r="U67" s="62" t="n">
        <v>29.085</v>
      </c>
      <c r="V67" s="102" t="n">
        <v>29.09</v>
      </c>
      <c r="W67" s="64" t="s">
        <v>640</v>
      </c>
      <c r="X67" s="63" t="n">
        <v>29.12</v>
      </c>
      <c r="Z67" s="38" t="s">
        <v>89</v>
      </c>
      <c r="AA67" s="208" t="n">
        <f aca="false">IF(C67="","",VALUE(C67))</f>
        <v>31.798</v>
      </c>
      <c r="AB67" s="209" t="n">
        <f aca="false">IF(D67="","",VALUE(D67))</f>
        <v>31.798</v>
      </c>
      <c r="AC67" s="208" t="n">
        <f aca="false">IF(E67="","",VALUE(E67))</f>
        <v>31.798</v>
      </c>
      <c r="AD67" s="209" t="n">
        <f aca="false">IF(F67="","",VALUE(F67))</f>
        <v>28.033</v>
      </c>
      <c r="AE67" s="208" t="n">
        <f aca="false">IF(G67="","",VALUE(G67))</f>
        <v>28.242</v>
      </c>
      <c r="AF67" s="209" t="n">
        <f aca="false">IF(H67="","",VALUE(H67))</f>
        <v>28.033</v>
      </c>
      <c r="AG67" s="208" t="n">
        <f aca="false">IF(I67="","",VALUE(I67))</f>
        <v>29.079</v>
      </c>
      <c r="AH67" s="209" t="n">
        <f aca="false">IF(J67="","",VALUE(J67))</f>
        <v>29.121</v>
      </c>
      <c r="AI67" s="208" t="n">
        <f aca="false">IF(K67="","",VALUE(K67))</f>
        <v>29.096</v>
      </c>
      <c r="AJ67" s="209" t="n">
        <f aca="false">IF(L67="","",VALUE(L67))</f>
        <v>29.275</v>
      </c>
      <c r="AK67" s="208" t="n">
        <f aca="false">IF(M67="","",VALUE(M67))</f>
        <v>29.096</v>
      </c>
      <c r="AL67" s="209" t="n">
        <f aca="false">IF(N67="","",VALUE(N67))</f>
        <v>29.12</v>
      </c>
      <c r="AM67" s="208" t="n">
        <f aca="false">IF(O67="","",VALUE(O67))</f>
        <v>29.12</v>
      </c>
      <c r="AN67" s="209" t="n">
        <f aca="false">IF(P67="","",VALUE(P67))</f>
        <v>29.085</v>
      </c>
      <c r="AO67" s="208" t="n">
        <f aca="false">IF(Q67="","",VALUE(Q67))</f>
        <v>29.12</v>
      </c>
      <c r="AP67" s="209" t="str">
        <f aca="false">IF(R67="","",VALUE(R67))</f>
        <v/>
      </c>
      <c r="AQ67" s="208" t="n">
        <f aca="false">IF(S67="","",VALUE(S67))</f>
        <v>29.12</v>
      </c>
      <c r="AR67" s="209" t="n">
        <f aca="false">IF(T67="","",VALUE(T67))</f>
        <v>29.08</v>
      </c>
      <c r="AS67" s="208" t="n">
        <f aca="false">IF(U67="","",VALUE(U67))</f>
        <v>29.085</v>
      </c>
      <c r="AT67" s="209" t="n">
        <f aca="false">IF(V67="","",VALUE(V67))</f>
        <v>29.09</v>
      </c>
      <c r="AU67" s="208" t="n">
        <f aca="false">IF(W67="","",VALUE(W67))</f>
        <v>29.12</v>
      </c>
      <c r="AV67" s="209" t="n">
        <f aca="false">IF(X67="","",VALUE(X67))</f>
        <v>29.12</v>
      </c>
      <c r="AW67" s="215"/>
      <c r="AX67" s="211" t="str">
        <f aca="false">Z67</f>
        <v>Li</v>
      </c>
      <c r="AY67" s="212" t="n">
        <f aca="false">COUNT(AA67:AV67)</f>
        <v>21</v>
      </c>
      <c r="AZ67" s="210" t="n">
        <f aca="false">IF(AY67=0,"",MIN(AA67:AV67))</f>
        <v>28.033</v>
      </c>
      <c r="BA67" s="213" t="n">
        <f aca="false">IF(AY67=0,"",MAX(AA67:AV67))</f>
        <v>31.798</v>
      </c>
      <c r="BC67" s="214"/>
    </row>
    <row r="68" customFormat="false" ht="12.75" hidden="false" customHeight="false" outlineLevel="0" collapsed="false">
      <c r="A68" s="73"/>
      <c r="B68" s="31" t="s">
        <v>90</v>
      </c>
      <c r="C68" s="85"/>
      <c r="D68" s="101"/>
      <c r="E68" s="85"/>
      <c r="F68" s="101"/>
      <c r="G68" s="85"/>
      <c r="H68" s="101"/>
      <c r="I68" s="85"/>
      <c r="J68" s="101"/>
      <c r="K68" s="85"/>
      <c r="L68" s="101"/>
      <c r="M68" s="85"/>
      <c r="N68" s="63"/>
      <c r="O68" s="64"/>
      <c r="P68" s="65"/>
      <c r="Q68" s="136"/>
      <c r="R68" s="63"/>
      <c r="S68" s="64"/>
      <c r="T68" s="102"/>
      <c r="U68" s="62"/>
      <c r="V68" s="102"/>
      <c r="W68" s="62"/>
      <c r="X68" s="63"/>
      <c r="Z68" s="31" t="s">
        <v>90</v>
      </c>
      <c r="AA68" s="208" t="str">
        <f aca="false">IF(C68="","",VALUE(C68))</f>
        <v/>
      </c>
      <c r="AB68" s="209" t="str">
        <f aca="false">IF(D68="","",VALUE(D68))</f>
        <v/>
      </c>
      <c r="AC68" s="208" t="str">
        <f aca="false">IF(E68="","",VALUE(E68))</f>
        <v/>
      </c>
      <c r="AD68" s="209" t="str">
        <f aca="false">IF(F68="","",VALUE(F68))</f>
        <v/>
      </c>
      <c r="AE68" s="208" t="str">
        <f aca="false">IF(G68="","",VALUE(G68))</f>
        <v/>
      </c>
      <c r="AF68" s="209" t="str">
        <f aca="false">IF(H68="","",VALUE(H68))</f>
        <v/>
      </c>
      <c r="AG68" s="208" t="str">
        <f aca="false">IF(I68="","",VALUE(I68))</f>
        <v/>
      </c>
      <c r="AH68" s="209" t="str">
        <f aca="false">IF(J68="","",VALUE(J68))</f>
        <v/>
      </c>
      <c r="AI68" s="208" t="str">
        <f aca="false">IF(K68="","",VALUE(K68))</f>
        <v/>
      </c>
      <c r="AJ68" s="209" t="str">
        <f aca="false">IF(L68="","",VALUE(L68))</f>
        <v/>
      </c>
      <c r="AK68" s="208" t="str">
        <f aca="false">IF(M68="","",VALUE(M68))</f>
        <v/>
      </c>
      <c r="AL68" s="209" t="str">
        <f aca="false">IF(N68="","",VALUE(N68))</f>
        <v/>
      </c>
      <c r="AM68" s="208" t="str">
        <f aca="false">IF(O68="","",VALUE(O68))</f>
        <v/>
      </c>
      <c r="AN68" s="209" t="str">
        <f aca="false">IF(P68="","",VALUE(P68))</f>
        <v/>
      </c>
      <c r="AO68" s="208" t="str">
        <f aca="false">IF(Q68="","",VALUE(Q68))</f>
        <v/>
      </c>
      <c r="AP68" s="209" t="str">
        <f aca="false">IF(R68="","",VALUE(R68))</f>
        <v/>
      </c>
      <c r="AQ68" s="208" t="str">
        <f aca="false">IF(S68="","",VALUE(S68))</f>
        <v/>
      </c>
      <c r="AR68" s="209" t="str">
        <f aca="false">IF(T68="","",VALUE(T68))</f>
        <v/>
      </c>
      <c r="AS68" s="208" t="str">
        <f aca="false">IF(U68="","",VALUE(U68))</f>
        <v/>
      </c>
      <c r="AT68" s="209" t="str">
        <f aca="false">IF(V68="","",VALUE(V68))</f>
        <v/>
      </c>
      <c r="AU68" s="208" t="str">
        <f aca="false">IF(W68="","",VALUE(W68))</f>
        <v/>
      </c>
      <c r="AV68" s="209" t="str">
        <f aca="false">IF(X68="","",VALUE(X68))</f>
        <v/>
      </c>
      <c r="AW68" s="215"/>
      <c r="AX68" s="211" t="str">
        <f aca="false">Z68</f>
        <v>Lr</v>
      </c>
      <c r="AY68" s="212" t="n">
        <f aca="false">COUNT(AA68:AV68)</f>
        <v>0</v>
      </c>
      <c r="AZ68" s="210" t="str">
        <f aca="false">IF(AY68=0,"",MIN(AA68:AV68))</f>
        <v/>
      </c>
      <c r="BA68" s="213" t="str">
        <f aca="false">IF(AY68=0,"",MAX(AA68:AV68))</f>
        <v/>
      </c>
      <c r="BC68" s="214"/>
    </row>
    <row r="69" customFormat="false" ht="12.75" hidden="false" customHeight="false" outlineLevel="0" collapsed="false">
      <c r="A69" s="73"/>
      <c r="B69" s="31" t="s">
        <v>91</v>
      </c>
      <c r="C69" s="85"/>
      <c r="D69" s="101"/>
      <c r="E69" s="85"/>
      <c r="F69" s="101"/>
      <c r="G69" s="85" t="n">
        <v>49.162</v>
      </c>
      <c r="H69" s="101" t="n">
        <v>49.371</v>
      </c>
      <c r="I69" s="85"/>
      <c r="J69" s="101" t="n">
        <v>50.961</v>
      </c>
      <c r="K69" s="85"/>
      <c r="L69" s="101" t="n">
        <v>50.961</v>
      </c>
      <c r="M69" s="85" t="n">
        <v>50.961</v>
      </c>
      <c r="N69" s="63" t="n">
        <v>50.96</v>
      </c>
      <c r="O69" s="62" t="n">
        <v>50.96</v>
      </c>
      <c r="P69" s="63"/>
      <c r="Q69" s="136"/>
      <c r="R69" s="63"/>
      <c r="S69" s="64"/>
      <c r="T69" s="102" t="n">
        <v>50.961</v>
      </c>
      <c r="U69" s="62"/>
      <c r="V69" s="102"/>
      <c r="W69" s="62"/>
      <c r="X69" s="63" t="n">
        <v>50.96</v>
      </c>
      <c r="Z69" s="31" t="s">
        <v>91</v>
      </c>
      <c r="AA69" s="208" t="str">
        <f aca="false">IF(C69="","",VALUE(C69))</f>
        <v/>
      </c>
      <c r="AB69" s="209" t="str">
        <f aca="false">IF(D69="","",VALUE(D69))</f>
        <v/>
      </c>
      <c r="AC69" s="208" t="str">
        <f aca="false">IF(E69="","",VALUE(E69))</f>
        <v/>
      </c>
      <c r="AD69" s="209" t="str">
        <f aca="false">IF(F69="","",VALUE(F69))</f>
        <v/>
      </c>
      <c r="AE69" s="208" t="n">
        <f aca="false">IF(G69="","",VALUE(G69))</f>
        <v>49.162</v>
      </c>
      <c r="AF69" s="209" t="n">
        <f aca="false">IF(H69="","",VALUE(H69))</f>
        <v>49.371</v>
      </c>
      <c r="AG69" s="208" t="str">
        <f aca="false">IF(I69="","",VALUE(I69))</f>
        <v/>
      </c>
      <c r="AH69" s="209" t="n">
        <f aca="false">IF(J69="","",VALUE(J69))</f>
        <v>50.961</v>
      </c>
      <c r="AI69" s="208" t="str">
        <f aca="false">IF(K69="","",VALUE(K69))</f>
        <v/>
      </c>
      <c r="AJ69" s="209" t="n">
        <f aca="false">IF(L69="","",VALUE(L69))</f>
        <v>50.961</v>
      </c>
      <c r="AK69" s="208" t="n">
        <f aca="false">IF(M69="","",VALUE(M69))</f>
        <v>50.961</v>
      </c>
      <c r="AL69" s="209" t="n">
        <f aca="false">IF(N69="","",VALUE(N69))</f>
        <v>50.96</v>
      </c>
      <c r="AM69" s="208" t="n">
        <f aca="false">IF(O69="","",VALUE(O69))</f>
        <v>50.96</v>
      </c>
      <c r="AN69" s="209" t="str">
        <f aca="false">IF(P69="","",VALUE(P69))</f>
        <v/>
      </c>
      <c r="AO69" s="208" t="str">
        <f aca="false">IF(Q69="","",VALUE(Q69))</f>
        <v/>
      </c>
      <c r="AP69" s="209" t="str">
        <f aca="false">IF(R69="","",VALUE(R69))</f>
        <v/>
      </c>
      <c r="AQ69" s="208" t="str">
        <f aca="false">IF(S69="","",VALUE(S69))</f>
        <v/>
      </c>
      <c r="AR69" s="209" t="n">
        <f aca="false">IF(T69="","",VALUE(T69))</f>
        <v>50.961</v>
      </c>
      <c r="AS69" s="208" t="str">
        <f aca="false">IF(U69="","",VALUE(U69))</f>
        <v/>
      </c>
      <c r="AT69" s="209" t="str">
        <f aca="false">IF(V69="","",VALUE(V69))</f>
        <v/>
      </c>
      <c r="AU69" s="208" t="str">
        <f aca="false">IF(W69="","",VALUE(W69))</f>
        <v/>
      </c>
      <c r="AV69" s="209" t="n">
        <f aca="false">IF(X69="","",VALUE(X69))</f>
        <v>50.96</v>
      </c>
      <c r="AW69" s="215"/>
      <c r="AX69" s="211" t="str">
        <f aca="false">Z69</f>
        <v>Lu</v>
      </c>
      <c r="AY69" s="212" t="n">
        <f aca="false">COUNT(AA69:AV69)</f>
        <v>9</v>
      </c>
      <c r="AZ69" s="210" t="n">
        <f aca="false">IF(AY69=0,"",MIN(AA69:AV69))</f>
        <v>49.162</v>
      </c>
      <c r="BA69" s="213" t="n">
        <f aca="false">IF(AY69=0,"",MAX(AA69:AV69))</f>
        <v>50.961</v>
      </c>
      <c r="BC69" s="214"/>
    </row>
    <row r="70" customFormat="false" ht="12.75" hidden="false" customHeight="false" outlineLevel="0" collapsed="false">
      <c r="A70" s="73"/>
      <c r="B70" s="31" t="s">
        <v>92</v>
      </c>
      <c r="C70" s="85"/>
      <c r="D70" s="101"/>
      <c r="E70" s="85"/>
      <c r="F70" s="101"/>
      <c r="G70" s="85"/>
      <c r="H70" s="101"/>
      <c r="I70" s="85"/>
      <c r="J70" s="101"/>
      <c r="K70" s="85"/>
      <c r="L70" s="101"/>
      <c r="M70" s="85"/>
      <c r="N70" s="63"/>
      <c r="O70" s="64"/>
      <c r="P70" s="65"/>
      <c r="Q70" s="136"/>
      <c r="R70" s="63"/>
      <c r="S70" s="64"/>
      <c r="T70" s="102"/>
      <c r="U70" s="62"/>
      <c r="V70" s="102"/>
      <c r="W70" s="62"/>
      <c r="X70" s="63"/>
      <c r="Z70" s="31" t="s">
        <v>92</v>
      </c>
      <c r="AA70" s="208" t="str">
        <f aca="false">IF(C70="","",VALUE(C70))</f>
        <v/>
      </c>
      <c r="AB70" s="209" t="str">
        <f aca="false">IF(D70="","",VALUE(D70))</f>
        <v/>
      </c>
      <c r="AC70" s="208" t="str">
        <f aca="false">IF(E70="","",VALUE(E70))</f>
        <v/>
      </c>
      <c r="AD70" s="209" t="str">
        <f aca="false">IF(F70="","",VALUE(F70))</f>
        <v/>
      </c>
      <c r="AE70" s="208" t="str">
        <f aca="false">IF(G70="","",VALUE(G70))</f>
        <v/>
      </c>
      <c r="AF70" s="209" t="str">
        <f aca="false">IF(H70="","",VALUE(H70))</f>
        <v/>
      </c>
      <c r="AG70" s="208" t="str">
        <f aca="false">IF(I70="","",VALUE(I70))</f>
        <v/>
      </c>
      <c r="AH70" s="209" t="str">
        <f aca="false">IF(J70="","",VALUE(J70))</f>
        <v/>
      </c>
      <c r="AI70" s="208" t="str">
        <f aca="false">IF(K70="","",VALUE(K70))</f>
        <v/>
      </c>
      <c r="AJ70" s="209" t="str">
        <f aca="false">IF(L70="","",VALUE(L70))</f>
        <v/>
      </c>
      <c r="AK70" s="208" t="str">
        <f aca="false">IF(M70="","",VALUE(M70))</f>
        <v/>
      </c>
      <c r="AL70" s="209" t="str">
        <f aca="false">IF(N70="","",VALUE(N70))</f>
        <v/>
      </c>
      <c r="AM70" s="208" t="str">
        <f aca="false">IF(O70="","",VALUE(O70))</f>
        <v/>
      </c>
      <c r="AN70" s="209" t="str">
        <f aca="false">IF(P70="","",VALUE(P70))</f>
        <v/>
      </c>
      <c r="AO70" s="208" t="str">
        <f aca="false">IF(Q70="","",VALUE(Q70))</f>
        <v/>
      </c>
      <c r="AP70" s="209" t="str">
        <f aca="false">IF(R70="","",VALUE(R70))</f>
        <v/>
      </c>
      <c r="AQ70" s="208" t="str">
        <f aca="false">IF(S70="","",VALUE(S70))</f>
        <v/>
      </c>
      <c r="AR70" s="209" t="str">
        <f aca="false">IF(T70="","",VALUE(T70))</f>
        <v/>
      </c>
      <c r="AS70" s="208" t="str">
        <f aca="false">IF(U70="","",VALUE(U70))</f>
        <v/>
      </c>
      <c r="AT70" s="209" t="str">
        <f aca="false">IF(V70="","",VALUE(V70))</f>
        <v/>
      </c>
      <c r="AU70" s="208" t="str">
        <f aca="false">IF(W70="","",VALUE(W70))</f>
        <v/>
      </c>
      <c r="AV70" s="209" t="str">
        <f aca="false">IF(X70="","",VALUE(X70))</f>
        <v/>
      </c>
      <c r="AW70" s="215"/>
      <c r="AX70" s="211" t="str">
        <f aca="false">Z70</f>
        <v>Md</v>
      </c>
      <c r="AY70" s="212" t="n">
        <f aca="false">COUNT(AA70:AV70)</f>
        <v>0</v>
      </c>
      <c r="AZ70" s="210" t="str">
        <f aca="false">IF(AY70=0,"",MIN(AA70:AV70))</f>
        <v/>
      </c>
      <c r="BA70" s="213" t="str">
        <f aca="false">IF(AY70=0,"",MAX(AA70:AV70))</f>
        <v/>
      </c>
      <c r="BC70" s="214"/>
    </row>
    <row r="71" customFormat="false" ht="12.75" hidden="false" customHeight="false" outlineLevel="0" collapsed="false">
      <c r="A71" s="73"/>
      <c r="B71" s="31" t="s">
        <v>93</v>
      </c>
      <c r="C71" s="85" t="n">
        <v>34.727</v>
      </c>
      <c r="D71" s="101" t="n">
        <v>34.727</v>
      </c>
      <c r="E71" s="85" t="n">
        <v>32.635</v>
      </c>
      <c r="F71" s="101" t="n">
        <v>32.51</v>
      </c>
      <c r="G71" s="85" t="n">
        <v>32.677</v>
      </c>
      <c r="H71" s="101" t="n">
        <v>32.677</v>
      </c>
      <c r="I71" s="85" t="n">
        <v>32.677</v>
      </c>
      <c r="J71" s="101" t="n">
        <v>32.677</v>
      </c>
      <c r="K71" s="85" t="n">
        <v>32.694</v>
      </c>
      <c r="L71" s="101" t="n">
        <v>32.677</v>
      </c>
      <c r="M71" s="85" t="n">
        <v>32.677</v>
      </c>
      <c r="N71" s="63" t="n">
        <v>32.68</v>
      </c>
      <c r="O71" s="62" t="n">
        <v>32.68</v>
      </c>
      <c r="P71" s="63" t="n">
        <v>32.671</v>
      </c>
      <c r="Q71" s="136" t="n">
        <v>32.67</v>
      </c>
      <c r="R71" s="65" t="s">
        <v>642</v>
      </c>
      <c r="S71" s="64" t="s">
        <v>643</v>
      </c>
      <c r="T71" s="102" t="n">
        <v>32.677</v>
      </c>
      <c r="U71" s="62" t="n">
        <v>32.671</v>
      </c>
      <c r="V71" s="102" t="n">
        <v>32.67</v>
      </c>
      <c r="W71" s="64" t="s">
        <v>644</v>
      </c>
      <c r="X71" s="63" t="n">
        <v>32.67</v>
      </c>
      <c r="Z71" s="31" t="s">
        <v>93</v>
      </c>
      <c r="AA71" s="208" t="n">
        <f aca="false">IF(C71="","",VALUE(C71))</f>
        <v>34.727</v>
      </c>
      <c r="AB71" s="209" t="n">
        <f aca="false">IF(D71="","",VALUE(D71))</f>
        <v>34.727</v>
      </c>
      <c r="AC71" s="208" t="n">
        <f aca="false">IF(E71="","",VALUE(E71))</f>
        <v>32.635</v>
      </c>
      <c r="AD71" s="209" t="n">
        <f aca="false">IF(F71="","",VALUE(F71))</f>
        <v>32.51</v>
      </c>
      <c r="AE71" s="208" t="n">
        <f aca="false">IF(G71="","",VALUE(G71))</f>
        <v>32.677</v>
      </c>
      <c r="AF71" s="209" t="n">
        <f aca="false">IF(H71="","",VALUE(H71))</f>
        <v>32.677</v>
      </c>
      <c r="AG71" s="208" t="n">
        <f aca="false">IF(I71="","",VALUE(I71))</f>
        <v>32.677</v>
      </c>
      <c r="AH71" s="209" t="n">
        <f aca="false">IF(J71="","",VALUE(J71))</f>
        <v>32.677</v>
      </c>
      <c r="AI71" s="208" t="n">
        <f aca="false">IF(K71="","",VALUE(K71))</f>
        <v>32.694</v>
      </c>
      <c r="AJ71" s="209" t="n">
        <f aca="false">IF(L71="","",VALUE(L71))</f>
        <v>32.677</v>
      </c>
      <c r="AK71" s="208" t="n">
        <f aca="false">IF(M71="","",VALUE(M71))</f>
        <v>32.677</v>
      </c>
      <c r="AL71" s="209" t="n">
        <f aca="false">IF(N71="","",VALUE(N71))</f>
        <v>32.68</v>
      </c>
      <c r="AM71" s="208" t="n">
        <f aca="false">IF(O71="","",VALUE(O71))</f>
        <v>32.68</v>
      </c>
      <c r="AN71" s="209" t="n">
        <f aca="false">IF(P71="","",VALUE(P71))</f>
        <v>32.671</v>
      </c>
      <c r="AO71" s="208" t="n">
        <f aca="false">IF(Q71="","",VALUE(Q71))</f>
        <v>32.67</v>
      </c>
      <c r="AP71" s="209" t="n">
        <f aca="false">IF(R71="","",VALUE(R71))</f>
        <v>32.68</v>
      </c>
      <c r="AQ71" s="208" t="n">
        <f aca="false">IF(S71="","",VALUE(S71))</f>
        <v>32.67</v>
      </c>
      <c r="AR71" s="209" t="n">
        <f aca="false">IF(T71="","",VALUE(T71))</f>
        <v>32.677</v>
      </c>
      <c r="AS71" s="208" t="n">
        <f aca="false">IF(U71="","",VALUE(U71))</f>
        <v>32.671</v>
      </c>
      <c r="AT71" s="209" t="n">
        <f aca="false">IF(V71="","",VALUE(V71))</f>
        <v>32.67</v>
      </c>
      <c r="AU71" s="208" t="n">
        <f aca="false">IF(W71="","",VALUE(W71))</f>
        <v>32.535</v>
      </c>
      <c r="AV71" s="209" t="n">
        <f aca="false">IF(X71="","",VALUE(X71))</f>
        <v>32.67</v>
      </c>
      <c r="AW71" s="215"/>
      <c r="AX71" s="211" t="str">
        <f aca="false">Z71</f>
        <v>Mg</v>
      </c>
      <c r="AY71" s="212" t="n">
        <f aca="false">COUNT(AA71:AV71)</f>
        <v>22</v>
      </c>
      <c r="AZ71" s="210" t="n">
        <f aca="false">IF(AY71=0,"",MIN(AA71:AV71))</f>
        <v>32.51</v>
      </c>
      <c r="BA71" s="213" t="n">
        <f aca="false">IF(AY71=0,"",MAX(AA71:AV71))</f>
        <v>34.727</v>
      </c>
      <c r="BC71" s="214"/>
    </row>
    <row r="72" customFormat="false" ht="12.75" hidden="false" customHeight="false" outlineLevel="0" collapsed="false">
      <c r="A72" s="73"/>
      <c r="B72" s="31" t="s">
        <v>94</v>
      </c>
      <c r="C72" s="85" t="n">
        <v>30.543</v>
      </c>
      <c r="D72" s="101" t="n">
        <v>30.543</v>
      </c>
      <c r="E72" s="85" t="n">
        <v>30.543</v>
      </c>
      <c r="F72" s="101" t="n">
        <v>31.757</v>
      </c>
      <c r="G72" s="85" t="n">
        <v>32.008</v>
      </c>
      <c r="H72" s="101" t="n">
        <v>31.966</v>
      </c>
      <c r="I72" s="85" t="n">
        <v>32.008</v>
      </c>
      <c r="J72" s="101" t="n">
        <v>32.008</v>
      </c>
      <c r="K72" s="85"/>
      <c r="L72" s="101" t="n">
        <v>32.008</v>
      </c>
      <c r="M72" s="85" t="n">
        <v>32.008</v>
      </c>
      <c r="N72" s="63" t="n">
        <v>32.01</v>
      </c>
      <c r="O72" s="62" t="n">
        <v>32.01</v>
      </c>
      <c r="P72" s="65" t="s">
        <v>645</v>
      </c>
      <c r="Q72" s="136"/>
      <c r="R72" s="63"/>
      <c r="S72" s="64"/>
      <c r="T72" s="102" t="n">
        <v>32.008</v>
      </c>
      <c r="U72" s="64" t="s">
        <v>645</v>
      </c>
      <c r="V72" s="102" t="n">
        <v>32.01</v>
      </c>
      <c r="W72" s="64" t="s">
        <v>645</v>
      </c>
      <c r="X72" s="63" t="n">
        <v>32.01</v>
      </c>
      <c r="Z72" s="31" t="s">
        <v>94</v>
      </c>
      <c r="AA72" s="208" t="n">
        <f aca="false">IF(C72="","",VALUE(C72))</f>
        <v>30.543</v>
      </c>
      <c r="AB72" s="209" t="n">
        <f aca="false">IF(D72="","",VALUE(D72))</f>
        <v>30.543</v>
      </c>
      <c r="AC72" s="208" t="n">
        <f aca="false">IF(E72="","",VALUE(E72))</f>
        <v>30.543</v>
      </c>
      <c r="AD72" s="209" t="n">
        <f aca="false">IF(F72="","",VALUE(F72))</f>
        <v>31.757</v>
      </c>
      <c r="AE72" s="208" t="n">
        <f aca="false">IF(G72="","",VALUE(G72))</f>
        <v>32.008</v>
      </c>
      <c r="AF72" s="209" t="n">
        <f aca="false">IF(H72="","",VALUE(H72))</f>
        <v>31.966</v>
      </c>
      <c r="AG72" s="208" t="n">
        <f aca="false">IF(I72="","",VALUE(I72))</f>
        <v>32.008</v>
      </c>
      <c r="AH72" s="209" t="n">
        <f aca="false">IF(J72="","",VALUE(J72))</f>
        <v>32.008</v>
      </c>
      <c r="AI72" s="208" t="str">
        <f aca="false">IF(K72="","",VALUE(K72))</f>
        <v/>
      </c>
      <c r="AJ72" s="209" t="n">
        <f aca="false">IF(L72="","",VALUE(L72))</f>
        <v>32.008</v>
      </c>
      <c r="AK72" s="208" t="n">
        <f aca="false">IF(M72="","",VALUE(M72))</f>
        <v>32.008</v>
      </c>
      <c r="AL72" s="209" t="n">
        <f aca="false">IF(N72="","",VALUE(N72))</f>
        <v>32.01</v>
      </c>
      <c r="AM72" s="208" t="n">
        <f aca="false">IF(O72="","",VALUE(O72))</f>
        <v>32.01</v>
      </c>
      <c r="AN72" s="209" t="n">
        <f aca="false">IF(P72="","",VALUE(P72))</f>
        <v>32.01</v>
      </c>
      <c r="AO72" s="208" t="str">
        <f aca="false">IF(Q72="","",VALUE(Q72))</f>
        <v/>
      </c>
      <c r="AP72" s="209" t="str">
        <f aca="false">IF(R72="","",VALUE(R72))</f>
        <v/>
      </c>
      <c r="AQ72" s="208" t="str">
        <f aca="false">IF(S72="","",VALUE(S72))</f>
        <v/>
      </c>
      <c r="AR72" s="209" t="n">
        <f aca="false">IF(T72="","",VALUE(T72))</f>
        <v>32.008</v>
      </c>
      <c r="AS72" s="208" t="n">
        <f aca="false">IF(U72="","",VALUE(U72))</f>
        <v>32.01</v>
      </c>
      <c r="AT72" s="209" t="n">
        <f aca="false">IF(V72="","",VALUE(V72))</f>
        <v>32.01</v>
      </c>
      <c r="AU72" s="208" t="n">
        <f aca="false">IF(W72="","",VALUE(W72))</f>
        <v>32.01</v>
      </c>
      <c r="AV72" s="209" t="n">
        <f aca="false">IF(X72="","",VALUE(X72))</f>
        <v>32.01</v>
      </c>
      <c r="AW72" s="215"/>
      <c r="AX72" s="211" t="str">
        <f aca="false">Z72</f>
        <v>Mn</v>
      </c>
      <c r="AY72" s="212" t="n">
        <f aca="false">COUNT(AA72:AV72)</f>
        <v>18</v>
      </c>
      <c r="AZ72" s="210" t="n">
        <f aca="false">IF(AY72=0,"",MIN(AA72:AV72))</f>
        <v>30.543</v>
      </c>
      <c r="BA72" s="213" t="n">
        <f aca="false">IF(AY72=0,"",MAX(AA72:AV72))</f>
        <v>32.01</v>
      </c>
      <c r="BC72" s="214"/>
    </row>
    <row r="73" customFormat="false" ht="12.75" hidden="false" customHeight="false" outlineLevel="0" collapsed="false">
      <c r="A73" s="73"/>
      <c r="B73" s="31" t="s">
        <v>95</v>
      </c>
      <c r="C73" s="85" t="n">
        <v>31.38</v>
      </c>
      <c r="D73" s="101" t="n">
        <v>31.38</v>
      </c>
      <c r="E73" s="85" t="n">
        <v>28.451</v>
      </c>
      <c r="F73" s="101" t="n">
        <v>28.577</v>
      </c>
      <c r="G73" s="85" t="n">
        <v>28.577</v>
      </c>
      <c r="H73" s="101" t="n">
        <v>28.535</v>
      </c>
      <c r="I73" s="85" t="n">
        <v>28.66</v>
      </c>
      <c r="J73" s="101" t="n">
        <v>28.66</v>
      </c>
      <c r="K73" s="85" t="n">
        <v>28.606</v>
      </c>
      <c r="L73" s="101" t="n">
        <v>28.66</v>
      </c>
      <c r="M73" s="85" t="n">
        <v>28.66</v>
      </c>
      <c r="N73" s="63" t="n">
        <v>28.66</v>
      </c>
      <c r="O73" s="62" t="n">
        <v>28.66</v>
      </c>
      <c r="P73" s="63" t="n">
        <v>28.605</v>
      </c>
      <c r="Q73" s="136"/>
      <c r="R73" s="63"/>
      <c r="S73" s="64"/>
      <c r="T73" s="102" t="n">
        <v>28.593</v>
      </c>
      <c r="U73" s="62" t="n">
        <v>28.605</v>
      </c>
      <c r="V73" s="102" t="n">
        <v>28.66</v>
      </c>
      <c r="W73" s="64" t="s">
        <v>646</v>
      </c>
      <c r="X73" s="63" t="n">
        <v>28.71</v>
      </c>
      <c r="Z73" s="31" t="s">
        <v>95</v>
      </c>
      <c r="AA73" s="208" t="n">
        <f aca="false">IF(C73="","",VALUE(C73))</f>
        <v>31.38</v>
      </c>
      <c r="AB73" s="209" t="n">
        <f aca="false">IF(D73="","",VALUE(D73))</f>
        <v>31.38</v>
      </c>
      <c r="AC73" s="208" t="n">
        <f aca="false">IF(E73="","",VALUE(E73))</f>
        <v>28.451</v>
      </c>
      <c r="AD73" s="209" t="n">
        <f aca="false">IF(F73="","",VALUE(F73))</f>
        <v>28.577</v>
      </c>
      <c r="AE73" s="208" t="n">
        <f aca="false">IF(G73="","",VALUE(G73))</f>
        <v>28.577</v>
      </c>
      <c r="AF73" s="209" t="n">
        <f aca="false">IF(H73="","",VALUE(H73))</f>
        <v>28.535</v>
      </c>
      <c r="AG73" s="208" t="n">
        <f aca="false">IF(I73="","",VALUE(I73))</f>
        <v>28.66</v>
      </c>
      <c r="AH73" s="209" t="n">
        <f aca="false">IF(J73="","",VALUE(J73))</f>
        <v>28.66</v>
      </c>
      <c r="AI73" s="208" t="n">
        <f aca="false">IF(K73="","",VALUE(K73))</f>
        <v>28.606</v>
      </c>
      <c r="AJ73" s="209" t="n">
        <f aca="false">IF(L73="","",VALUE(L73))</f>
        <v>28.66</v>
      </c>
      <c r="AK73" s="208" t="n">
        <f aca="false">IF(M73="","",VALUE(M73))</f>
        <v>28.66</v>
      </c>
      <c r="AL73" s="209" t="n">
        <f aca="false">IF(N73="","",VALUE(N73))</f>
        <v>28.66</v>
      </c>
      <c r="AM73" s="208" t="n">
        <f aca="false">IF(O73="","",VALUE(O73))</f>
        <v>28.66</v>
      </c>
      <c r="AN73" s="209" t="n">
        <f aca="false">IF(P73="","",VALUE(P73))</f>
        <v>28.605</v>
      </c>
      <c r="AO73" s="208" t="str">
        <f aca="false">IF(Q73="","",VALUE(Q73))</f>
        <v/>
      </c>
      <c r="AP73" s="209" t="str">
        <f aca="false">IF(R73="","",VALUE(R73))</f>
        <v/>
      </c>
      <c r="AQ73" s="208" t="str">
        <f aca="false">IF(S73="","",VALUE(S73))</f>
        <v/>
      </c>
      <c r="AR73" s="209" t="n">
        <f aca="false">IF(T73="","",VALUE(T73))</f>
        <v>28.593</v>
      </c>
      <c r="AS73" s="208" t="n">
        <f aca="false">IF(U73="","",VALUE(U73))</f>
        <v>28.605</v>
      </c>
      <c r="AT73" s="209" t="n">
        <f aca="false">IF(V73="","",VALUE(V73))</f>
        <v>28.66</v>
      </c>
      <c r="AU73" s="208" t="n">
        <f aca="false">IF(W73="","",VALUE(W73))</f>
        <v>28.605</v>
      </c>
      <c r="AV73" s="209" t="n">
        <f aca="false">IF(X73="","",VALUE(X73))</f>
        <v>28.71</v>
      </c>
      <c r="AW73" s="215"/>
      <c r="AX73" s="211" t="str">
        <f aca="false">Z73</f>
        <v>Mo</v>
      </c>
      <c r="AY73" s="212" t="n">
        <f aca="false">COUNT(AA73:AV73)</f>
        <v>19</v>
      </c>
      <c r="AZ73" s="210" t="n">
        <f aca="false">IF(AY73=0,"",MIN(AA73:AV73))</f>
        <v>28.451</v>
      </c>
      <c r="BA73" s="213" t="n">
        <f aca="false">IF(AY73=0,"",MAX(AA73:AV73))</f>
        <v>31.38</v>
      </c>
      <c r="BC73" s="214"/>
    </row>
    <row r="74" customFormat="false" ht="12.75" hidden="false" customHeight="false" outlineLevel="0" collapsed="false">
      <c r="A74" s="73"/>
      <c r="B74" s="38" t="s">
        <v>97</v>
      </c>
      <c r="C74" s="85" t="n">
        <v>190.9</v>
      </c>
      <c r="D74" s="101" t="n">
        <v>190.9</v>
      </c>
      <c r="E74" s="85" t="n">
        <v>191.737</v>
      </c>
      <c r="F74" s="101" t="n">
        <v>191.599</v>
      </c>
      <c r="G74" s="85" t="n">
        <v>191.611</v>
      </c>
      <c r="H74" s="101" t="n">
        <v>191.611</v>
      </c>
      <c r="I74" s="85" t="n">
        <v>191.611</v>
      </c>
      <c r="J74" s="101" t="n">
        <v>191.611</v>
      </c>
      <c r="K74" s="85" t="n">
        <v>191.611</v>
      </c>
      <c r="L74" s="101" t="n">
        <v>191.611</v>
      </c>
      <c r="M74" s="85" t="n">
        <v>191.611</v>
      </c>
      <c r="N74" s="63" t="n">
        <v>191.61</v>
      </c>
      <c r="O74" s="64" t="n">
        <v>191.61</v>
      </c>
      <c r="P74" s="65" t="n">
        <v>191.609</v>
      </c>
      <c r="Q74" s="136" t="n">
        <v>191.609</v>
      </c>
      <c r="R74" s="65" t="s">
        <v>647</v>
      </c>
      <c r="S74" s="64" t="n">
        <v>191.609</v>
      </c>
      <c r="T74" s="102" t="n">
        <v>191.609</v>
      </c>
      <c r="U74" s="62" t="n">
        <v>191.609</v>
      </c>
      <c r="V74" s="102" t="n">
        <v>191.61</v>
      </c>
      <c r="W74" s="64" t="s">
        <v>648</v>
      </c>
      <c r="X74" s="63" t="n">
        <v>191.609</v>
      </c>
      <c r="Z74" s="38" t="s">
        <v>97</v>
      </c>
      <c r="AA74" s="208" t="n">
        <f aca="false">IF(C74="","",VALUE(C74))</f>
        <v>190.9</v>
      </c>
      <c r="AB74" s="209" t="n">
        <f aca="false">IF(D74="","",VALUE(D74))</f>
        <v>190.9</v>
      </c>
      <c r="AC74" s="208" t="n">
        <f aca="false">IF(E74="","",VALUE(E74))</f>
        <v>191.737</v>
      </c>
      <c r="AD74" s="209" t="n">
        <f aca="false">IF(F74="","",VALUE(F74))</f>
        <v>191.599</v>
      </c>
      <c r="AE74" s="208" t="n">
        <f aca="false">IF(G74="","",VALUE(G74))</f>
        <v>191.611</v>
      </c>
      <c r="AF74" s="209" t="n">
        <f aca="false">IF(H74="","",VALUE(H74))</f>
        <v>191.611</v>
      </c>
      <c r="AG74" s="208" t="n">
        <f aca="false">IF(I74="","",VALUE(I74))</f>
        <v>191.611</v>
      </c>
      <c r="AH74" s="209" t="n">
        <f aca="false">IF(J74="","",VALUE(J74))</f>
        <v>191.611</v>
      </c>
      <c r="AI74" s="208" t="n">
        <f aca="false">IF(K74="","",VALUE(K74))</f>
        <v>191.611</v>
      </c>
      <c r="AJ74" s="209" t="n">
        <f aca="false">IF(L74="","",VALUE(L74))</f>
        <v>191.611</v>
      </c>
      <c r="AK74" s="208" t="n">
        <f aca="false">IF(M74="","",VALUE(M74))</f>
        <v>191.611</v>
      </c>
      <c r="AL74" s="209" t="n">
        <f aca="false">IF(N74="","",VALUE(N74))</f>
        <v>191.61</v>
      </c>
      <c r="AM74" s="208" t="n">
        <f aca="false">IF(O74="","",VALUE(O74))</f>
        <v>191.61</v>
      </c>
      <c r="AN74" s="209" t="n">
        <f aca="false">IF(P74="","",VALUE(P74))</f>
        <v>191.609</v>
      </c>
      <c r="AO74" s="208" t="n">
        <f aca="false">IF(Q74="","",VALUE(Q74))</f>
        <v>191.609</v>
      </c>
      <c r="AP74" s="209" t="n">
        <f aca="false">IF(R74="","",VALUE(R74))</f>
        <v>191.607</v>
      </c>
      <c r="AQ74" s="208" t="n">
        <f aca="false">IF(S74="","",VALUE(S74))</f>
        <v>191.609</v>
      </c>
      <c r="AR74" s="209" t="n">
        <f aca="false">IF(T74="","",VALUE(T74))</f>
        <v>191.609</v>
      </c>
      <c r="AS74" s="208" t="n">
        <f aca="false">IF(U74="","",VALUE(U74))</f>
        <v>191.609</v>
      </c>
      <c r="AT74" s="209" t="n">
        <f aca="false">IF(V74="","",VALUE(V74))</f>
        <v>191.61</v>
      </c>
      <c r="AU74" s="208" t="n">
        <f aca="false">IF(W74="","",VALUE(W74))</f>
        <v>191.61</v>
      </c>
      <c r="AV74" s="209" t="n">
        <f aca="false">IF(X74="","",VALUE(X74))</f>
        <v>191.609</v>
      </c>
      <c r="AW74" s="215"/>
      <c r="AX74" s="211" t="str">
        <f aca="false">Z74</f>
        <v>N2</v>
      </c>
      <c r="AY74" s="212" t="n">
        <f aca="false">COUNT(AA74:AV74)</f>
        <v>22</v>
      </c>
      <c r="AZ74" s="210" t="n">
        <f aca="false">IF(AY74=0,"",MIN(AA74:AV74))</f>
        <v>190.9</v>
      </c>
      <c r="BA74" s="213" t="n">
        <f aca="false">IF(AY74=0,"",MAX(AA74:AV74))</f>
        <v>191.737</v>
      </c>
      <c r="BC74" s="214"/>
    </row>
    <row r="75" customFormat="false" ht="12.75" hidden="false" customHeight="false" outlineLevel="0" collapsed="false">
      <c r="A75" s="73"/>
      <c r="B75" s="38" t="s">
        <v>99</v>
      </c>
      <c r="C75" s="85" t="n">
        <v>51.045</v>
      </c>
      <c r="D75" s="101" t="n">
        <v>51.045</v>
      </c>
      <c r="E75" s="85" t="n">
        <v>51.045</v>
      </c>
      <c r="F75" s="101" t="n">
        <v>51.045</v>
      </c>
      <c r="G75" s="85" t="n">
        <v>51.087</v>
      </c>
      <c r="H75" s="101" t="n">
        <v>51.212</v>
      </c>
      <c r="I75" s="85" t="n">
        <v>51.212</v>
      </c>
      <c r="J75" s="101" t="n">
        <v>51.212</v>
      </c>
      <c r="K75" s="85" t="n">
        <v>51.455</v>
      </c>
      <c r="L75" s="101" t="n">
        <v>51.17</v>
      </c>
      <c r="M75" s="85" t="n">
        <v>51.455</v>
      </c>
      <c r="N75" s="65" t="s">
        <v>548</v>
      </c>
      <c r="O75" s="62" t="n">
        <v>51.21</v>
      </c>
      <c r="P75" s="63" t="n">
        <v>51.455</v>
      </c>
      <c r="Q75" s="141" t="s">
        <v>548</v>
      </c>
      <c r="R75" s="65"/>
      <c r="S75" s="64" t="s">
        <v>649</v>
      </c>
      <c r="T75" s="102" t="n">
        <v>51.455</v>
      </c>
      <c r="U75" s="62" t="n">
        <v>51.455</v>
      </c>
      <c r="V75" s="102" t="n">
        <v>51.46</v>
      </c>
      <c r="W75" s="64" t="s">
        <v>649</v>
      </c>
      <c r="X75" s="65" t="s">
        <v>548</v>
      </c>
      <c r="Z75" s="38" t="s">
        <v>99</v>
      </c>
      <c r="AA75" s="208" t="n">
        <f aca="false">IF(C75="","",VALUE(C75))</f>
        <v>51.045</v>
      </c>
      <c r="AB75" s="209" t="n">
        <f aca="false">IF(D75="","",VALUE(D75))</f>
        <v>51.045</v>
      </c>
      <c r="AC75" s="208" t="n">
        <f aca="false">IF(E75="","",VALUE(E75))</f>
        <v>51.045</v>
      </c>
      <c r="AD75" s="209" t="n">
        <f aca="false">IF(F75="","",VALUE(F75))</f>
        <v>51.045</v>
      </c>
      <c r="AE75" s="208" t="n">
        <f aca="false">IF(G75="","",VALUE(G75))</f>
        <v>51.087</v>
      </c>
      <c r="AF75" s="209" t="n">
        <f aca="false">IF(H75="","",VALUE(H75))</f>
        <v>51.212</v>
      </c>
      <c r="AG75" s="208" t="n">
        <f aca="false">IF(I75="","",VALUE(I75))</f>
        <v>51.212</v>
      </c>
      <c r="AH75" s="209" t="n">
        <f aca="false">IF(J75="","",VALUE(J75))</f>
        <v>51.212</v>
      </c>
      <c r="AI75" s="208" t="n">
        <f aca="false">IF(K75="","",VALUE(K75))</f>
        <v>51.455</v>
      </c>
      <c r="AJ75" s="209" t="n">
        <f aca="false">IF(L75="","",VALUE(L75))</f>
        <v>51.17</v>
      </c>
      <c r="AK75" s="208" t="n">
        <f aca="false">IF(M75="","",VALUE(M75))</f>
        <v>51.455</v>
      </c>
      <c r="AL75" s="209" t="n">
        <f aca="false">IF(N75="","",VALUE(N75))</f>
        <v>51.3</v>
      </c>
      <c r="AM75" s="208" t="n">
        <f aca="false">IF(O75="","",VALUE(O75))</f>
        <v>51.21</v>
      </c>
      <c r="AN75" s="209" t="n">
        <f aca="false">IF(P75="","",VALUE(P75))</f>
        <v>51.455</v>
      </c>
      <c r="AO75" s="208" t="n">
        <f aca="false">IF(Q75="","",VALUE(Q75))</f>
        <v>51.3</v>
      </c>
      <c r="AP75" s="209" t="str">
        <f aca="false">IF(R75="","",VALUE(R75))</f>
        <v/>
      </c>
      <c r="AQ75" s="208" t="n">
        <f aca="false">IF(S75="","",VALUE(S75))</f>
        <v>51.3</v>
      </c>
      <c r="AR75" s="209" t="n">
        <f aca="false">IF(T75="","",VALUE(T75))</f>
        <v>51.455</v>
      </c>
      <c r="AS75" s="208" t="n">
        <f aca="false">IF(U75="","",VALUE(U75))</f>
        <v>51.455</v>
      </c>
      <c r="AT75" s="209" t="n">
        <f aca="false">IF(V75="","",VALUE(V75))</f>
        <v>51.46</v>
      </c>
      <c r="AU75" s="208" t="n">
        <f aca="false">IF(W75="","",VALUE(W75))</f>
        <v>51.3</v>
      </c>
      <c r="AV75" s="209" t="n">
        <f aca="false">IF(X75="","",VALUE(X75))</f>
        <v>51.3</v>
      </c>
      <c r="AW75" s="215"/>
      <c r="AX75" s="211" t="str">
        <f aca="false">Z75</f>
        <v>Na</v>
      </c>
      <c r="AY75" s="212" t="n">
        <f aca="false">COUNT(AA75:AV75)</f>
        <v>21</v>
      </c>
      <c r="AZ75" s="210" t="n">
        <f aca="false">IF(AY75=0,"",MIN(AA75:AV75))</f>
        <v>51.045</v>
      </c>
      <c r="BA75" s="213" t="n">
        <f aca="false">IF(AY75=0,"",MAX(AA75:AV75))</f>
        <v>51.46</v>
      </c>
      <c r="BC75" s="214"/>
    </row>
    <row r="76" customFormat="false" ht="12.75" hidden="false" customHeight="false" outlineLevel="0" collapsed="false">
      <c r="A76" s="73"/>
      <c r="B76" s="31" t="s">
        <v>100</v>
      </c>
      <c r="C76" s="85"/>
      <c r="D76" s="101"/>
      <c r="E76" s="85"/>
      <c r="F76" s="101" t="n">
        <v>34.727</v>
      </c>
      <c r="G76" s="85" t="n">
        <v>36.526</v>
      </c>
      <c r="H76" s="101" t="n">
        <v>37.656</v>
      </c>
      <c r="I76" s="85" t="n">
        <v>36.401</v>
      </c>
      <c r="J76" s="101" t="n">
        <v>36.401</v>
      </c>
      <c r="K76" s="85"/>
      <c r="L76" s="101" t="n">
        <v>36.401</v>
      </c>
      <c r="M76" s="85" t="n">
        <v>36.401</v>
      </c>
      <c r="N76" s="65" t="s">
        <v>650</v>
      </c>
      <c r="O76" s="64" t="s">
        <v>650</v>
      </c>
      <c r="P76" s="63" t="n">
        <v>36.464</v>
      </c>
      <c r="Q76" s="136"/>
      <c r="R76" s="63"/>
      <c r="S76" s="64"/>
      <c r="T76" s="102" t="n">
        <v>36.401</v>
      </c>
      <c r="U76" s="62" t="n">
        <v>36.464</v>
      </c>
      <c r="V76" s="102"/>
      <c r="W76" s="64" t="s">
        <v>651</v>
      </c>
      <c r="X76" s="63" t="n">
        <v>36.4</v>
      </c>
      <c r="Z76" s="31" t="s">
        <v>100</v>
      </c>
      <c r="AA76" s="208" t="str">
        <f aca="false">IF(C76="","",VALUE(C76))</f>
        <v/>
      </c>
      <c r="AB76" s="209" t="str">
        <f aca="false">IF(D76="","",VALUE(D76))</f>
        <v/>
      </c>
      <c r="AC76" s="208" t="str">
        <f aca="false">IF(E76="","",VALUE(E76))</f>
        <v/>
      </c>
      <c r="AD76" s="209" t="n">
        <f aca="false">IF(F76="","",VALUE(F76))</f>
        <v>34.727</v>
      </c>
      <c r="AE76" s="208" t="n">
        <f aca="false">IF(G76="","",VALUE(G76))</f>
        <v>36.526</v>
      </c>
      <c r="AF76" s="209" t="n">
        <f aca="false">IF(H76="","",VALUE(H76))</f>
        <v>37.656</v>
      </c>
      <c r="AG76" s="208" t="n">
        <f aca="false">IF(I76="","",VALUE(I76))</f>
        <v>36.401</v>
      </c>
      <c r="AH76" s="209" t="n">
        <f aca="false">IF(J76="","",VALUE(J76))</f>
        <v>36.401</v>
      </c>
      <c r="AI76" s="208" t="str">
        <f aca="false">IF(K76="","",VALUE(K76))</f>
        <v/>
      </c>
      <c r="AJ76" s="209" t="n">
        <f aca="false">IF(L76="","",VALUE(L76))</f>
        <v>36.401</v>
      </c>
      <c r="AK76" s="208" t="n">
        <f aca="false">IF(M76="","",VALUE(M76))</f>
        <v>36.401</v>
      </c>
      <c r="AL76" s="209" t="n">
        <f aca="false">IF(N76="","",VALUE(N76))</f>
        <v>36.4</v>
      </c>
      <c r="AM76" s="208" t="n">
        <f aca="false">IF(O76="","",VALUE(O76))</f>
        <v>36.4</v>
      </c>
      <c r="AN76" s="209" t="n">
        <f aca="false">IF(P76="","",VALUE(P76))</f>
        <v>36.464</v>
      </c>
      <c r="AO76" s="208" t="str">
        <f aca="false">IF(Q76="","",VALUE(Q76))</f>
        <v/>
      </c>
      <c r="AP76" s="209" t="str">
        <f aca="false">IF(R76="","",VALUE(R76))</f>
        <v/>
      </c>
      <c r="AQ76" s="208" t="str">
        <f aca="false">IF(S76="","",VALUE(S76))</f>
        <v/>
      </c>
      <c r="AR76" s="209" t="n">
        <f aca="false">IF(T76="","",VALUE(T76))</f>
        <v>36.401</v>
      </c>
      <c r="AS76" s="208" t="n">
        <f aca="false">IF(U76="","",VALUE(U76))</f>
        <v>36.464</v>
      </c>
      <c r="AT76" s="209" t="str">
        <f aca="false">IF(V76="","",VALUE(V76))</f>
        <v/>
      </c>
      <c r="AU76" s="208" t="n">
        <f aca="false">IF(W76="","",VALUE(W76))</f>
        <v>36.464</v>
      </c>
      <c r="AV76" s="209" t="n">
        <f aca="false">IF(X76="","",VALUE(X76))</f>
        <v>36.4</v>
      </c>
      <c r="AW76" s="215"/>
      <c r="AX76" s="211" t="str">
        <f aca="false">Z76</f>
        <v>Nb</v>
      </c>
      <c r="AY76" s="212" t="n">
        <f aca="false">COUNT(AA76:AV76)</f>
        <v>14</v>
      </c>
      <c r="AZ76" s="210" t="n">
        <f aca="false">IF(AY76=0,"",MIN(AA76:AV76))</f>
        <v>34.727</v>
      </c>
      <c r="BA76" s="213" t="n">
        <f aca="false">IF(AY76=0,"",MAX(AA76:AV76))</f>
        <v>37.656</v>
      </c>
      <c r="BC76" s="214"/>
    </row>
    <row r="77" customFormat="false" ht="12.75" hidden="false" customHeight="false" outlineLevel="0" collapsed="false">
      <c r="A77" s="73"/>
      <c r="B77" s="31" t="s">
        <v>101</v>
      </c>
      <c r="C77" s="85"/>
      <c r="D77" s="101"/>
      <c r="E77" s="85"/>
      <c r="F77" s="101"/>
      <c r="G77" s="85" t="n">
        <v>73.22</v>
      </c>
      <c r="H77" s="101" t="n">
        <v>73.22</v>
      </c>
      <c r="I77" s="85"/>
      <c r="J77" s="101" t="n">
        <v>71.546</v>
      </c>
      <c r="K77" s="85"/>
      <c r="L77" s="101" t="n">
        <v>71.086</v>
      </c>
      <c r="M77" s="85" t="n">
        <v>71.546</v>
      </c>
      <c r="N77" s="63" t="n">
        <v>71.09</v>
      </c>
      <c r="O77" s="62" t="n">
        <v>71.5</v>
      </c>
      <c r="P77" s="63"/>
      <c r="Q77" s="136"/>
      <c r="R77" s="63"/>
      <c r="S77" s="64"/>
      <c r="T77" s="102" t="n">
        <v>71.086</v>
      </c>
      <c r="U77" s="62"/>
      <c r="V77" s="102"/>
      <c r="W77" s="64"/>
      <c r="X77" s="65" t="s">
        <v>652</v>
      </c>
      <c r="Z77" s="31" t="s">
        <v>101</v>
      </c>
      <c r="AA77" s="208" t="str">
        <f aca="false">IF(C77="","",VALUE(C77))</f>
        <v/>
      </c>
      <c r="AB77" s="209" t="str">
        <f aca="false">IF(D77="","",VALUE(D77))</f>
        <v/>
      </c>
      <c r="AC77" s="208" t="str">
        <f aca="false">IF(E77="","",VALUE(E77))</f>
        <v/>
      </c>
      <c r="AD77" s="209" t="str">
        <f aca="false">IF(F77="","",VALUE(F77))</f>
        <v/>
      </c>
      <c r="AE77" s="208" t="n">
        <f aca="false">IF(G77="","",VALUE(G77))</f>
        <v>73.22</v>
      </c>
      <c r="AF77" s="209" t="n">
        <f aca="false">IF(H77="","",VALUE(H77))</f>
        <v>73.22</v>
      </c>
      <c r="AG77" s="208" t="str">
        <f aca="false">IF(I77="","",VALUE(I77))</f>
        <v/>
      </c>
      <c r="AH77" s="209" t="n">
        <f aca="false">IF(J77="","",VALUE(J77))</f>
        <v>71.546</v>
      </c>
      <c r="AI77" s="208" t="str">
        <f aca="false">IF(K77="","",VALUE(K77))</f>
        <v/>
      </c>
      <c r="AJ77" s="209" t="n">
        <f aca="false">IF(L77="","",VALUE(L77))</f>
        <v>71.086</v>
      </c>
      <c r="AK77" s="208" t="n">
        <f aca="false">IF(M77="","",VALUE(M77))</f>
        <v>71.546</v>
      </c>
      <c r="AL77" s="209" t="n">
        <f aca="false">IF(N77="","",VALUE(N77))</f>
        <v>71.09</v>
      </c>
      <c r="AM77" s="208" t="n">
        <f aca="false">IF(O77="","",VALUE(O77))</f>
        <v>71.5</v>
      </c>
      <c r="AN77" s="209" t="str">
        <f aca="false">IF(P77="","",VALUE(P77))</f>
        <v/>
      </c>
      <c r="AO77" s="208" t="str">
        <f aca="false">IF(Q77="","",VALUE(Q77))</f>
        <v/>
      </c>
      <c r="AP77" s="209" t="str">
        <f aca="false">IF(R77="","",VALUE(R77))</f>
        <v/>
      </c>
      <c r="AQ77" s="208" t="str">
        <f aca="false">IF(S77="","",VALUE(S77))</f>
        <v/>
      </c>
      <c r="AR77" s="209" t="n">
        <f aca="false">IF(T77="","",VALUE(T77))</f>
        <v>71.086</v>
      </c>
      <c r="AS77" s="208" t="str">
        <f aca="false">IF(U77="","",VALUE(U77))</f>
        <v/>
      </c>
      <c r="AT77" s="209" t="str">
        <f aca="false">IF(V77="","",VALUE(V77))</f>
        <v/>
      </c>
      <c r="AU77" s="208" t="str">
        <f aca="false">IF(W77="","",VALUE(W77))</f>
        <v/>
      </c>
      <c r="AV77" s="209" t="n">
        <f aca="false">IF(X77="","",VALUE(X77))</f>
        <v>71.6</v>
      </c>
      <c r="AW77" s="215"/>
      <c r="AX77" s="211" t="str">
        <f aca="false">Z77</f>
        <v>Nd</v>
      </c>
      <c r="AY77" s="212" t="n">
        <f aca="false">COUNT(AA77:AV77)</f>
        <v>9</v>
      </c>
      <c r="AZ77" s="210" t="n">
        <f aca="false">IF(AY77=0,"",MIN(AA77:AV77))</f>
        <v>71.086</v>
      </c>
      <c r="BA77" s="213" t="n">
        <f aca="false">IF(AY77=0,"",MAX(AA77:AV77))</f>
        <v>73.22</v>
      </c>
      <c r="BC77" s="214"/>
    </row>
    <row r="78" customFormat="false" ht="12.75" hidden="false" customHeight="false" outlineLevel="0" collapsed="false">
      <c r="A78" s="73"/>
      <c r="B78" s="31" t="s">
        <v>102</v>
      </c>
      <c r="C78" s="85"/>
      <c r="D78" s="101" t="n">
        <v>145.127</v>
      </c>
      <c r="E78" s="85" t="n">
        <v>146.382</v>
      </c>
      <c r="F78" s="101" t="n">
        <v>146.332</v>
      </c>
      <c r="G78" s="85" t="n">
        <v>146.34</v>
      </c>
      <c r="H78" s="101" t="n">
        <v>146.34</v>
      </c>
      <c r="I78" s="85"/>
      <c r="J78" s="101" t="n">
        <v>146.328</v>
      </c>
      <c r="K78" s="85"/>
      <c r="L78" s="101" t="n">
        <v>146.328</v>
      </c>
      <c r="M78" s="85" t="n">
        <v>146.328</v>
      </c>
      <c r="N78" s="63" t="n">
        <v>146.32</v>
      </c>
      <c r="O78" s="62" t="n">
        <v>146.328</v>
      </c>
      <c r="P78" s="63" t="n">
        <v>146.327</v>
      </c>
      <c r="Q78" s="136" t="n">
        <v>146.328</v>
      </c>
      <c r="R78" s="63" t="s">
        <v>653</v>
      </c>
      <c r="S78" s="64" t="n">
        <v>146.328</v>
      </c>
      <c r="T78" s="102" t="n">
        <v>146.324</v>
      </c>
      <c r="U78" s="62" t="n">
        <v>146.327</v>
      </c>
      <c r="V78" s="102"/>
      <c r="W78" s="64" t="s">
        <v>654</v>
      </c>
      <c r="X78" s="63" t="n">
        <v>146.328</v>
      </c>
      <c r="Z78" s="31" t="s">
        <v>102</v>
      </c>
      <c r="AA78" s="208" t="str">
        <f aca="false">IF(C78="","",VALUE(C78))</f>
        <v/>
      </c>
      <c r="AB78" s="209" t="n">
        <f aca="false">IF(D78="","",VALUE(D78))</f>
        <v>145.127</v>
      </c>
      <c r="AC78" s="208" t="n">
        <f aca="false">IF(E78="","",VALUE(E78))</f>
        <v>146.382</v>
      </c>
      <c r="AD78" s="209" t="n">
        <f aca="false">IF(F78="","",VALUE(F78))</f>
        <v>146.332</v>
      </c>
      <c r="AE78" s="208" t="n">
        <f aca="false">IF(G78="","",VALUE(G78))</f>
        <v>146.34</v>
      </c>
      <c r="AF78" s="209" t="n">
        <f aca="false">IF(H78="","",VALUE(H78))</f>
        <v>146.34</v>
      </c>
      <c r="AG78" s="208" t="str">
        <f aca="false">IF(I78="","",VALUE(I78))</f>
        <v/>
      </c>
      <c r="AH78" s="209" t="n">
        <f aca="false">IF(J78="","",VALUE(J78))</f>
        <v>146.328</v>
      </c>
      <c r="AI78" s="208" t="str">
        <f aca="false">IF(K78="","",VALUE(K78))</f>
        <v/>
      </c>
      <c r="AJ78" s="209" t="n">
        <f aca="false">IF(L78="","",VALUE(L78))</f>
        <v>146.328</v>
      </c>
      <c r="AK78" s="208" t="n">
        <f aca="false">IF(M78="","",VALUE(M78))</f>
        <v>146.328</v>
      </c>
      <c r="AL78" s="209" t="n">
        <f aca="false">IF(N78="","",VALUE(N78))</f>
        <v>146.32</v>
      </c>
      <c r="AM78" s="208" t="n">
        <f aca="false">IF(O78="","",VALUE(O78))</f>
        <v>146.328</v>
      </c>
      <c r="AN78" s="209" t="n">
        <f aca="false">IF(P78="","",VALUE(P78))</f>
        <v>146.327</v>
      </c>
      <c r="AO78" s="208" t="n">
        <f aca="false">IF(Q78="","",VALUE(Q78))</f>
        <v>146.328</v>
      </c>
      <c r="AP78" s="209" t="n">
        <f aca="false">IF(R78="","",VALUE(R78))</f>
        <v>146.327</v>
      </c>
      <c r="AQ78" s="208" t="n">
        <f aca="false">IF(S78="","",VALUE(S78))</f>
        <v>146.328</v>
      </c>
      <c r="AR78" s="209" t="n">
        <f aca="false">IF(T78="","",VALUE(T78))</f>
        <v>146.324</v>
      </c>
      <c r="AS78" s="208" t="n">
        <f aca="false">IF(U78="","",VALUE(U78))</f>
        <v>146.327</v>
      </c>
      <c r="AT78" s="209" t="str">
        <f aca="false">IF(V78="","",VALUE(V78))</f>
        <v/>
      </c>
      <c r="AU78" s="208" t="n">
        <f aca="false">IF(W78="","",VALUE(W78))</f>
        <v>146.33</v>
      </c>
      <c r="AV78" s="209" t="n">
        <f aca="false">IF(X78="","",VALUE(X78))</f>
        <v>146.328</v>
      </c>
      <c r="AW78" s="215"/>
      <c r="AX78" s="211" t="str">
        <f aca="false">Z78</f>
        <v>Ne</v>
      </c>
      <c r="AY78" s="212" t="n">
        <f aca="false">COUNT(AA78:AV78)</f>
        <v>18</v>
      </c>
      <c r="AZ78" s="210" t="n">
        <f aca="false">IF(AY78=0,"",MIN(AA78:AV78))</f>
        <v>145.127</v>
      </c>
      <c r="BA78" s="213" t="n">
        <f aca="false">IF(AY78=0,"",MAX(AA78:AV78))</f>
        <v>146.382</v>
      </c>
      <c r="BC78" s="214"/>
    </row>
    <row r="79" customFormat="false" ht="12.75" hidden="false" customHeight="false" outlineLevel="0" collapsed="false">
      <c r="A79" s="73"/>
      <c r="B79" s="31" t="s">
        <v>103</v>
      </c>
      <c r="C79" s="85" t="n">
        <v>30.125</v>
      </c>
      <c r="D79" s="101" t="n">
        <v>30.125</v>
      </c>
      <c r="E79" s="85" t="n">
        <v>29.706</v>
      </c>
      <c r="F79" s="101" t="n">
        <v>30.125</v>
      </c>
      <c r="G79" s="85" t="n">
        <v>29.874</v>
      </c>
      <c r="H79" s="101" t="n">
        <v>29.874</v>
      </c>
      <c r="I79" s="85" t="n">
        <v>29.874</v>
      </c>
      <c r="J79" s="101" t="n">
        <v>29.874</v>
      </c>
      <c r="K79" s="85"/>
      <c r="L79" s="101" t="n">
        <v>29.874</v>
      </c>
      <c r="M79" s="85" t="n">
        <v>29.874</v>
      </c>
      <c r="N79" s="63" t="n">
        <v>29.87</v>
      </c>
      <c r="O79" s="62" t="n">
        <v>29.87</v>
      </c>
      <c r="P79" s="65" t="s">
        <v>655</v>
      </c>
      <c r="Q79" s="136"/>
      <c r="R79" s="63"/>
      <c r="S79" s="64" t="s">
        <v>655</v>
      </c>
      <c r="T79" s="102" t="n">
        <v>29.874</v>
      </c>
      <c r="U79" s="64" t="s">
        <v>655</v>
      </c>
      <c r="V79" s="102" t="n">
        <v>29.87</v>
      </c>
      <c r="W79" s="64" t="s">
        <v>655</v>
      </c>
      <c r="X79" s="63" t="n">
        <v>29.87</v>
      </c>
      <c r="Z79" s="31" t="s">
        <v>103</v>
      </c>
      <c r="AA79" s="208" t="n">
        <f aca="false">IF(C79="","",VALUE(C79))</f>
        <v>30.125</v>
      </c>
      <c r="AB79" s="209" t="n">
        <f aca="false">IF(D79="","",VALUE(D79))</f>
        <v>30.125</v>
      </c>
      <c r="AC79" s="208" t="n">
        <f aca="false">IF(E79="","",VALUE(E79))</f>
        <v>29.706</v>
      </c>
      <c r="AD79" s="209" t="n">
        <f aca="false">IF(F79="","",VALUE(F79))</f>
        <v>30.125</v>
      </c>
      <c r="AE79" s="208" t="n">
        <f aca="false">IF(G79="","",VALUE(G79))</f>
        <v>29.874</v>
      </c>
      <c r="AF79" s="209" t="n">
        <f aca="false">IF(H79="","",VALUE(H79))</f>
        <v>29.874</v>
      </c>
      <c r="AG79" s="208" t="n">
        <f aca="false">IF(I79="","",VALUE(I79))</f>
        <v>29.874</v>
      </c>
      <c r="AH79" s="209" t="n">
        <f aca="false">IF(J79="","",VALUE(J79))</f>
        <v>29.874</v>
      </c>
      <c r="AI79" s="208" t="str">
        <f aca="false">IF(K79="","",VALUE(K79))</f>
        <v/>
      </c>
      <c r="AJ79" s="209" t="n">
        <f aca="false">IF(L79="","",VALUE(L79))</f>
        <v>29.874</v>
      </c>
      <c r="AK79" s="208" t="n">
        <f aca="false">IF(M79="","",VALUE(M79))</f>
        <v>29.874</v>
      </c>
      <c r="AL79" s="209" t="n">
        <f aca="false">IF(N79="","",VALUE(N79))</f>
        <v>29.87</v>
      </c>
      <c r="AM79" s="208" t="n">
        <f aca="false">IF(O79="","",VALUE(O79))</f>
        <v>29.87</v>
      </c>
      <c r="AN79" s="209" t="n">
        <f aca="false">IF(P79="","",VALUE(P79))</f>
        <v>29.87</v>
      </c>
      <c r="AO79" s="208" t="str">
        <f aca="false">IF(Q79="","",VALUE(Q79))</f>
        <v/>
      </c>
      <c r="AP79" s="209" t="str">
        <f aca="false">IF(R79="","",VALUE(R79))</f>
        <v/>
      </c>
      <c r="AQ79" s="208" t="n">
        <f aca="false">IF(S79="","",VALUE(S79))</f>
        <v>29.87</v>
      </c>
      <c r="AR79" s="209" t="n">
        <f aca="false">IF(T79="","",VALUE(T79))</f>
        <v>29.874</v>
      </c>
      <c r="AS79" s="208" t="n">
        <f aca="false">IF(U79="","",VALUE(U79))</f>
        <v>29.87</v>
      </c>
      <c r="AT79" s="209" t="n">
        <f aca="false">IF(V79="","",VALUE(V79))</f>
        <v>29.87</v>
      </c>
      <c r="AU79" s="208" t="n">
        <f aca="false">IF(W79="","",VALUE(W79))</f>
        <v>29.87</v>
      </c>
      <c r="AV79" s="209" t="n">
        <f aca="false">IF(X79="","",VALUE(X79))</f>
        <v>29.87</v>
      </c>
      <c r="AW79" s="215"/>
      <c r="AX79" s="211" t="str">
        <f aca="false">Z79</f>
        <v>Ni</v>
      </c>
      <c r="AY79" s="212" t="n">
        <f aca="false">COUNT(AA79:AV79)</f>
        <v>19</v>
      </c>
      <c r="AZ79" s="210" t="n">
        <f aca="false">IF(AY79=0,"",MIN(AA79:AV79))</f>
        <v>29.706</v>
      </c>
      <c r="BA79" s="213" t="n">
        <f aca="false">IF(AY79=0,"",MAX(AA79:AV79))</f>
        <v>30.125</v>
      </c>
      <c r="BC79" s="214"/>
    </row>
    <row r="80" customFormat="false" ht="12.75" hidden="false" customHeight="false" outlineLevel="0" collapsed="false">
      <c r="A80" s="73"/>
      <c r="B80" s="31" t="s">
        <v>104</v>
      </c>
      <c r="C80" s="85"/>
      <c r="D80" s="101"/>
      <c r="E80" s="85"/>
      <c r="F80" s="101"/>
      <c r="G80" s="85"/>
      <c r="H80" s="101"/>
      <c r="I80" s="85"/>
      <c r="J80" s="101"/>
      <c r="K80" s="85"/>
      <c r="L80" s="101"/>
      <c r="M80" s="85"/>
      <c r="N80" s="63"/>
      <c r="O80" s="64"/>
      <c r="P80" s="65"/>
      <c r="Q80" s="136"/>
      <c r="R80" s="63"/>
      <c r="S80" s="64"/>
      <c r="T80" s="102"/>
      <c r="U80" s="62"/>
      <c r="V80" s="102"/>
      <c r="W80" s="62"/>
      <c r="X80" s="63"/>
      <c r="Z80" s="31" t="s">
        <v>104</v>
      </c>
      <c r="AA80" s="208" t="str">
        <f aca="false">IF(C80="","",VALUE(C80))</f>
        <v/>
      </c>
      <c r="AB80" s="209" t="str">
        <f aca="false">IF(D80="","",VALUE(D80))</f>
        <v/>
      </c>
      <c r="AC80" s="208" t="str">
        <f aca="false">IF(E80="","",VALUE(E80))</f>
        <v/>
      </c>
      <c r="AD80" s="209" t="str">
        <f aca="false">IF(F80="","",VALUE(F80))</f>
        <v/>
      </c>
      <c r="AE80" s="208" t="str">
        <f aca="false">IF(G80="","",VALUE(G80))</f>
        <v/>
      </c>
      <c r="AF80" s="209" t="str">
        <f aca="false">IF(H80="","",VALUE(H80))</f>
        <v/>
      </c>
      <c r="AG80" s="208" t="str">
        <f aca="false">IF(I80="","",VALUE(I80))</f>
        <v/>
      </c>
      <c r="AH80" s="209" t="str">
        <f aca="false">IF(J80="","",VALUE(J80))</f>
        <v/>
      </c>
      <c r="AI80" s="208" t="str">
        <f aca="false">IF(K80="","",VALUE(K80))</f>
        <v/>
      </c>
      <c r="AJ80" s="209" t="str">
        <f aca="false">IF(L80="","",VALUE(L80))</f>
        <v/>
      </c>
      <c r="AK80" s="208" t="str">
        <f aca="false">IF(M80="","",VALUE(M80))</f>
        <v/>
      </c>
      <c r="AL80" s="209" t="str">
        <f aca="false">IF(N80="","",VALUE(N80))</f>
        <v/>
      </c>
      <c r="AM80" s="208" t="str">
        <f aca="false">IF(O80="","",VALUE(O80))</f>
        <v/>
      </c>
      <c r="AN80" s="209" t="str">
        <f aca="false">IF(P80="","",VALUE(P80))</f>
        <v/>
      </c>
      <c r="AO80" s="208" t="str">
        <f aca="false">IF(Q80="","",VALUE(Q80))</f>
        <v/>
      </c>
      <c r="AP80" s="209" t="str">
        <f aca="false">IF(R80="","",VALUE(R80))</f>
        <v/>
      </c>
      <c r="AQ80" s="208" t="str">
        <f aca="false">IF(S80="","",VALUE(S80))</f>
        <v/>
      </c>
      <c r="AR80" s="209" t="str">
        <f aca="false">IF(T80="","",VALUE(T80))</f>
        <v/>
      </c>
      <c r="AS80" s="208" t="str">
        <f aca="false">IF(U80="","",VALUE(U80))</f>
        <v/>
      </c>
      <c r="AT80" s="209" t="str">
        <f aca="false">IF(V80="","",VALUE(V80))</f>
        <v/>
      </c>
      <c r="AU80" s="208" t="str">
        <f aca="false">IF(W80="","",VALUE(W80))</f>
        <v/>
      </c>
      <c r="AV80" s="209" t="str">
        <f aca="false">IF(X80="","",VALUE(X80))</f>
        <v/>
      </c>
      <c r="AW80" s="215"/>
      <c r="AX80" s="211" t="str">
        <f aca="false">Z80</f>
        <v>No</v>
      </c>
      <c r="AY80" s="212" t="n">
        <f aca="false">COUNT(AA80:AV80)</f>
        <v>0</v>
      </c>
      <c r="AZ80" s="210" t="str">
        <f aca="false">IF(AY80=0,"",MIN(AA80:AV80))</f>
        <v/>
      </c>
      <c r="BA80" s="213" t="str">
        <f aca="false">IF(AY80=0,"",MAX(AA80:AV80))</f>
        <v/>
      </c>
      <c r="BC80" s="214"/>
    </row>
    <row r="81" customFormat="false" ht="12.75" hidden="false" customHeight="false" outlineLevel="0" collapsed="false">
      <c r="A81" s="73"/>
      <c r="B81" s="31" t="s">
        <v>105</v>
      </c>
      <c r="C81" s="85"/>
      <c r="D81" s="101"/>
      <c r="E81" s="85"/>
      <c r="F81" s="101"/>
      <c r="G81" s="85"/>
      <c r="H81" s="101"/>
      <c r="I81" s="85"/>
      <c r="J81" s="101"/>
      <c r="K81" s="85"/>
      <c r="L81" s="101"/>
      <c r="M81" s="85" t="n">
        <v>50.459</v>
      </c>
      <c r="N81" s="63"/>
      <c r="O81" s="64"/>
      <c r="P81" s="65"/>
      <c r="Q81" s="136"/>
      <c r="R81" s="63"/>
      <c r="S81" s="64" t="s">
        <v>656</v>
      </c>
      <c r="T81" s="102" t="n">
        <v>50.459</v>
      </c>
      <c r="U81" s="62"/>
      <c r="V81" s="102"/>
      <c r="W81" s="62"/>
      <c r="X81" s="63"/>
      <c r="Z81" s="31" t="s">
        <v>105</v>
      </c>
      <c r="AA81" s="208" t="str">
        <f aca="false">IF(C81="","",VALUE(C81))</f>
        <v/>
      </c>
      <c r="AB81" s="209" t="str">
        <f aca="false">IF(D81="","",VALUE(D81))</f>
        <v/>
      </c>
      <c r="AC81" s="208" t="str">
        <f aca="false">IF(E81="","",VALUE(E81))</f>
        <v/>
      </c>
      <c r="AD81" s="209" t="str">
        <f aca="false">IF(F81="","",VALUE(F81))</f>
        <v/>
      </c>
      <c r="AE81" s="208" t="str">
        <f aca="false">IF(G81="","",VALUE(G81))</f>
        <v/>
      </c>
      <c r="AF81" s="209" t="str">
        <f aca="false">IF(H81="","",VALUE(H81))</f>
        <v/>
      </c>
      <c r="AG81" s="208" t="str">
        <f aca="false">IF(I81="","",VALUE(I81))</f>
        <v/>
      </c>
      <c r="AH81" s="209" t="str">
        <f aca="false">IF(J81="","",VALUE(J81))</f>
        <v/>
      </c>
      <c r="AI81" s="208" t="str">
        <f aca="false">IF(K81="","",VALUE(K81))</f>
        <v/>
      </c>
      <c r="AJ81" s="209" t="str">
        <f aca="false">IF(L81="","",VALUE(L81))</f>
        <v/>
      </c>
      <c r="AK81" s="208" t="n">
        <f aca="false">IF(M81="","",VALUE(M81))</f>
        <v>50.459</v>
      </c>
      <c r="AL81" s="209" t="str">
        <f aca="false">IF(N81="","",VALUE(N81))</f>
        <v/>
      </c>
      <c r="AM81" s="208" t="str">
        <f aca="false">IF(O81="","",VALUE(O81))</f>
        <v/>
      </c>
      <c r="AN81" s="209" t="str">
        <f aca="false">IF(P81="","",VALUE(P81))</f>
        <v/>
      </c>
      <c r="AO81" s="208" t="str">
        <f aca="false">IF(Q81="","",VALUE(Q81))</f>
        <v/>
      </c>
      <c r="AP81" s="209" t="str">
        <f aca="false">IF(R81="","",VALUE(R81))</f>
        <v/>
      </c>
      <c r="AQ81" s="208" t="n">
        <f aca="false">IF(S81="","",VALUE(S81))</f>
        <v>50.46</v>
      </c>
      <c r="AR81" s="209" t="n">
        <f aca="false">IF(T81="","",VALUE(T81))</f>
        <v>50.459</v>
      </c>
      <c r="AS81" s="208" t="str">
        <f aca="false">IF(U81="","",VALUE(U81))</f>
        <v/>
      </c>
      <c r="AT81" s="209" t="str">
        <f aca="false">IF(V81="","",VALUE(V81))</f>
        <v/>
      </c>
      <c r="AU81" s="208" t="str">
        <f aca="false">IF(W81="","",VALUE(W81))</f>
        <v/>
      </c>
      <c r="AV81" s="209" t="str">
        <f aca="false">IF(X81="","",VALUE(X81))</f>
        <v/>
      </c>
      <c r="AW81" s="215"/>
      <c r="AX81" s="211" t="str">
        <f aca="false">Z81</f>
        <v>Np</v>
      </c>
      <c r="AY81" s="212" t="n">
        <f aca="false">COUNT(AA81:AV81)</f>
        <v>3</v>
      </c>
      <c r="AZ81" s="210" t="n">
        <f aca="false">IF(AY81=0,"",MIN(AA81:AV81))</f>
        <v>50.459</v>
      </c>
      <c r="BA81" s="213" t="n">
        <f aca="false">IF(AY81=0,"",MAX(AA81:AV81))</f>
        <v>50.46</v>
      </c>
      <c r="BC81" s="214"/>
    </row>
    <row r="82" customFormat="false" ht="12.75" hidden="false" customHeight="false" outlineLevel="0" collapsed="false">
      <c r="A82" s="73"/>
      <c r="B82" s="38" t="s">
        <v>107</v>
      </c>
      <c r="C82" s="85" t="n">
        <v>201.778</v>
      </c>
      <c r="D82" s="101" t="n">
        <v>200.941</v>
      </c>
      <c r="E82" s="85" t="n">
        <v>205.251</v>
      </c>
      <c r="F82" s="101" t="n">
        <v>205.138</v>
      </c>
      <c r="G82" s="85" t="n">
        <v>205.167</v>
      </c>
      <c r="H82" s="101" t="n">
        <v>205.167</v>
      </c>
      <c r="I82" s="85" t="n">
        <v>205.109</v>
      </c>
      <c r="J82" s="101" t="n">
        <v>205.138</v>
      </c>
      <c r="K82" s="85" t="n">
        <v>205.142</v>
      </c>
      <c r="L82" s="101" t="n">
        <v>205.142</v>
      </c>
      <c r="M82" s="85" t="n">
        <v>205.146</v>
      </c>
      <c r="N82" s="63" t="n">
        <v>205.15</v>
      </c>
      <c r="O82" s="62" t="n">
        <v>205.138</v>
      </c>
      <c r="P82" s="63" t="n">
        <v>205.147</v>
      </c>
      <c r="Q82" s="136" t="n">
        <v>205.152</v>
      </c>
      <c r="R82" s="65" t="s">
        <v>657</v>
      </c>
      <c r="S82" s="64" t="n">
        <v>205.152</v>
      </c>
      <c r="T82" s="102" t="n">
        <v>205.147</v>
      </c>
      <c r="U82" s="62" t="n">
        <v>205.147</v>
      </c>
      <c r="V82" s="102" t="n">
        <v>205.15</v>
      </c>
      <c r="W82" s="64" t="s">
        <v>658</v>
      </c>
      <c r="X82" s="63" t="n">
        <v>205.152</v>
      </c>
      <c r="Z82" s="38" t="s">
        <v>107</v>
      </c>
      <c r="AA82" s="208" t="n">
        <f aca="false">IF(C82="","",VALUE(C82))</f>
        <v>201.778</v>
      </c>
      <c r="AB82" s="209" t="n">
        <f aca="false">IF(D82="","",VALUE(D82))</f>
        <v>200.941</v>
      </c>
      <c r="AC82" s="208" t="n">
        <f aca="false">IF(E82="","",VALUE(E82))</f>
        <v>205.251</v>
      </c>
      <c r="AD82" s="209" t="n">
        <f aca="false">IF(F82="","",VALUE(F82))</f>
        <v>205.138</v>
      </c>
      <c r="AE82" s="208" t="n">
        <f aca="false">IF(G82="","",VALUE(G82))</f>
        <v>205.167</v>
      </c>
      <c r="AF82" s="209" t="n">
        <f aca="false">IF(H82="","",VALUE(H82))</f>
        <v>205.167</v>
      </c>
      <c r="AG82" s="208" t="n">
        <f aca="false">IF(I82="","",VALUE(I82))</f>
        <v>205.109</v>
      </c>
      <c r="AH82" s="209" t="n">
        <f aca="false">IF(J82="","",VALUE(J82))</f>
        <v>205.138</v>
      </c>
      <c r="AI82" s="208" t="n">
        <f aca="false">IF(K82="","",VALUE(K82))</f>
        <v>205.142</v>
      </c>
      <c r="AJ82" s="209" t="n">
        <f aca="false">IF(L82="","",VALUE(L82))</f>
        <v>205.142</v>
      </c>
      <c r="AK82" s="208" t="n">
        <f aca="false">IF(M82="","",VALUE(M82))</f>
        <v>205.146</v>
      </c>
      <c r="AL82" s="209" t="n">
        <f aca="false">IF(N82="","",VALUE(N82))</f>
        <v>205.15</v>
      </c>
      <c r="AM82" s="208" t="n">
        <f aca="false">IF(O82="","",VALUE(O82))</f>
        <v>205.138</v>
      </c>
      <c r="AN82" s="209" t="n">
        <f aca="false">IF(P82="","",VALUE(P82))</f>
        <v>205.147</v>
      </c>
      <c r="AO82" s="208" t="n">
        <f aca="false">IF(Q82="","",VALUE(Q82))</f>
        <v>205.152</v>
      </c>
      <c r="AP82" s="209" t="n">
        <f aca="false">IF(R82="","",VALUE(R82))</f>
        <v>205.148</v>
      </c>
      <c r="AQ82" s="208" t="n">
        <f aca="false">IF(S82="","",VALUE(S82))</f>
        <v>205.152</v>
      </c>
      <c r="AR82" s="209" t="n">
        <f aca="false">IF(T82="","",VALUE(T82))</f>
        <v>205.147</v>
      </c>
      <c r="AS82" s="208" t="n">
        <f aca="false">IF(U82="","",VALUE(U82))</f>
        <v>205.147</v>
      </c>
      <c r="AT82" s="209" t="n">
        <f aca="false">IF(V82="","",VALUE(V82))</f>
        <v>205.15</v>
      </c>
      <c r="AU82" s="208" t="n">
        <f aca="false">IF(W82="","",VALUE(W82))</f>
        <v>205.149</v>
      </c>
      <c r="AV82" s="209" t="n">
        <f aca="false">IF(X82="","",VALUE(X82))</f>
        <v>205.152</v>
      </c>
      <c r="AW82" s="215"/>
      <c r="AX82" s="211" t="str">
        <f aca="false">Z82</f>
        <v>O2</v>
      </c>
      <c r="AY82" s="212" t="n">
        <f aca="false">COUNT(AA82:AV82)</f>
        <v>22</v>
      </c>
      <c r="AZ82" s="210" t="n">
        <f aca="false">IF(AY82=0,"",MIN(AA82:AV82))</f>
        <v>200.941</v>
      </c>
      <c r="BA82" s="213" t="n">
        <f aca="false">IF(AY82=0,"",MAX(AA82:AV82))</f>
        <v>205.251</v>
      </c>
      <c r="BC82" s="214"/>
    </row>
    <row r="83" customFormat="false" ht="12.75" hidden="false" customHeight="false" outlineLevel="0" collapsed="false">
      <c r="A83" s="73"/>
      <c r="B83" s="31" t="s">
        <v>109</v>
      </c>
      <c r="C83" s="85" t="n">
        <v>32.635</v>
      </c>
      <c r="D83" s="101" t="n">
        <v>32.635</v>
      </c>
      <c r="E83" s="85" t="n">
        <v>32.635</v>
      </c>
      <c r="F83" s="101" t="n">
        <v>32.635</v>
      </c>
      <c r="G83" s="85" t="n">
        <v>32.635</v>
      </c>
      <c r="H83" s="101" t="n">
        <v>32.635</v>
      </c>
      <c r="I83" s="85"/>
      <c r="J83" s="101" t="n">
        <v>32.635</v>
      </c>
      <c r="K83" s="85"/>
      <c r="L83" s="101" t="n">
        <v>32.635</v>
      </c>
      <c r="M83" s="85" t="n">
        <v>32.635</v>
      </c>
      <c r="N83" s="63" t="n">
        <v>32.64</v>
      </c>
      <c r="O83" s="64" t="n">
        <v>32.6</v>
      </c>
      <c r="P83" s="65"/>
      <c r="Q83" s="136"/>
      <c r="R83" s="63"/>
      <c r="S83" s="64"/>
      <c r="T83" s="102" t="n">
        <v>32.635</v>
      </c>
      <c r="U83" s="62"/>
      <c r="V83" s="102"/>
      <c r="W83" s="62"/>
      <c r="X83" s="63" t="n">
        <v>32.6</v>
      </c>
      <c r="Z83" s="31" t="s">
        <v>109</v>
      </c>
      <c r="AA83" s="208" t="n">
        <f aca="false">IF(C83="","",VALUE(C83))</f>
        <v>32.635</v>
      </c>
      <c r="AB83" s="209" t="n">
        <f aca="false">IF(D83="","",VALUE(D83))</f>
        <v>32.635</v>
      </c>
      <c r="AC83" s="208" t="n">
        <f aca="false">IF(E83="","",VALUE(E83))</f>
        <v>32.635</v>
      </c>
      <c r="AD83" s="209" t="n">
        <f aca="false">IF(F83="","",VALUE(F83))</f>
        <v>32.635</v>
      </c>
      <c r="AE83" s="208" t="n">
        <f aca="false">IF(G83="","",VALUE(G83))</f>
        <v>32.635</v>
      </c>
      <c r="AF83" s="209" t="n">
        <f aca="false">IF(H83="","",VALUE(H83))</f>
        <v>32.635</v>
      </c>
      <c r="AG83" s="208" t="str">
        <f aca="false">IF(I83="","",VALUE(I83))</f>
        <v/>
      </c>
      <c r="AH83" s="209" t="n">
        <f aca="false">IF(J83="","",VALUE(J83))</f>
        <v>32.635</v>
      </c>
      <c r="AI83" s="208" t="str">
        <f aca="false">IF(K83="","",VALUE(K83))</f>
        <v/>
      </c>
      <c r="AJ83" s="209" t="n">
        <f aca="false">IF(L83="","",VALUE(L83))</f>
        <v>32.635</v>
      </c>
      <c r="AK83" s="208" t="n">
        <f aca="false">IF(M83="","",VALUE(M83))</f>
        <v>32.635</v>
      </c>
      <c r="AL83" s="209" t="n">
        <f aca="false">IF(N83="","",VALUE(N83))</f>
        <v>32.64</v>
      </c>
      <c r="AM83" s="208" t="n">
        <f aca="false">IF(O83="","",VALUE(O83))</f>
        <v>32.6</v>
      </c>
      <c r="AN83" s="209" t="str">
        <f aca="false">IF(P83="","",VALUE(P83))</f>
        <v/>
      </c>
      <c r="AO83" s="208" t="str">
        <f aca="false">IF(Q83="","",VALUE(Q83))</f>
        <v/>
      </c>
      <c r="AP83" s="209" t="str">
        <f aca="false">IF(R83="","",VALUE(R83))</f>
        <v/>
      </c>
      <c r="AQ83" s="208" t="str">
        <f aca="false">IF(S83="","",VALUE(S83))</f>
        <v/>
      </c>
      <c r="AR83" s="209" t="n">
        <f aca="false">IF(T83="","",VALUE(T83))</f>
        <v>32.635</v>
      </c>
      <c r="AS83" s="208" t="str">
        <f aca="false">IF(U83="","",VALUE(U83))</f>
        <v/>
      </c>
      <c r="AT83" s="209" t="str">
        <f aca="false">IF(V83="","",VALUE(V83))</f>
        <v/>
      </c>
      <c r="AU83" s="208" t="str">
        <f aca="false">IF(W83="","",VALUE(W83))</f>
        <v/>
      </c>
      <c r="AV83" s="209" t="n">
        <f aca="false">IF(X83="","",VALUE(X83))</f>
        <v>32.6</v>
      </c>
      <c r="AW83" s="215"/>
      <c r="AX83" s="211" t="str">
        <f aca="false">Z83</f>
        <v>Os</v>
      </c>
      <c r="AY83" s="212" t="n">
        <f aca="false">COUNT(AA83:AV83)</f>
        <v>13</v>
      </c>
      <c r="AZ83" s="210" t="n">
        <f aca="false">IF(AY83=0,"",MIN(AA83:AV83))</f>
        <v>32.6</v>
      </c>
      <c r="BA83" s="213" t="n">
        <f aca="false">IF(AY83=0,"",MAX(AA83:AV83))</f>
        <v>32.64</v>
      </c>
      <c r="BC83" s="214"/>
    </row>
    <row r="84" customFormat="false" ht="12.75" hidden="false" customHeight="false" outlineLevel="0" collapsed="false">
      <c r="A84" s="73"/>
      <c r="B84" s="31" t="s">
        <v>110</v>
      </c>
      <c r="C84" s="85"/>
      <c r="D84" s="101"/>
      <c r="E84" s="85"/>
      <c r="F84" s="101" t="n">
        <v>44.35</v>
      </c>
      <c r="G84" s="85" t="n">
        <v>22.845</v>
      </c>
      <c r="H84" s="101" t="n">
        <v>41.003</v>
      </c>
      <c r="I84" s="85" t="n">
        <v>22.803</v>
      </c>
      <c r="J84" s="101" t="n">
        <v>41.087</v>
      </c>
      <c r="K84" s="85" t="n">
        <v>22.803</v>
      </c>
      <c r="L84" s="101" t="n">
        <v>41.003</v>
      </c>
      <c r="M84" s="85" t="n">
        <v>41.087</v>
      </c>
      <c r="N84" s="65" t="s">
        <v>659</v>
      </c>
      <c r="O84" s="62" t="n">
        <v>41.09</v>
      </c>
      <c r="P84" s="63" t="n">
        <v>41.077</v>
      </c>
      <c r="Q84" s="136" t="n">
        <v>41.09</v>
      </c>
      <c r="R84" s="65" t="s">
        <v>660</v>
      </c>
      <c r="S84" s="64" t="s">
        <v>660</v>
      </c>
      <c r="T84" s="103" t="s">
        <v>661</v>
      </c>
      <c r="U84" s="62" t="n">
        <v>41.077</v>
      </c>
      <c r="V84" s="102" t="n">
        <v>41.09</v>
      </c>
      <c r="W84" s="64" t="s">
        <v>660</v>
      </c>
      <c r="X84" s="63" t="n">
        <v>41.09</v>
      </c>
      <c r="Z84" s="31" t="s">
        <v>110</v>
      </c>
      <c r="AA84" s="208" t="str">
        <f aca="false">IF(C84="","",VALUE(C84))</f>
        <v/>
      </c>
      <c r="AB84" s="209" t="str">
        <f aca="false">IF(D84="","",VALUE(D84))</f>
        <v/>
      </c>
      <c r="AC84" s="208" t="str">
        <f aca="false">IF(E84="","",VALUE(E84))</f>
        <v/>
      </c>
      <c r="AD84" s="209" t="n">
        <f aca="false">IF(F84="","",VALUE(F84))</f>
        <v>44.35</v>
      </c>
      <c r="AE84" s="208" t="n">
        <f aca="false">IF(G84="","",VALUE(G84))</f>
        <v>22.845</v>
      </c>
      <c r="AF84" s="209" t="n">
        <f aca="false">IF(H84="","",VALUE(H84))</f>
        <v>41.003</v>
      </c>
      <c r="AG84" s="208" t="n">
        <f aca="false">IF(I84="","",VALUE(I84))</f>
        <v>22.803</v>
      </c>
      <c r="AH84" s="209" t="n">
        <f aca="false">IF(J84="","",VALUE(J84))</f>
        <v>41.087</v>
      </c>
      <c r="AI84" s="208" t="n">
        <f aca="false">IF(K84="","",VALUE(K84))</f>
        <v>22.803</v>
      </c>
      <c r="AJ84" s="209" t="n">
        <f aca="false">IF(L84="","",VALUE(L84))</f>
        <v>41.003</v>
      </c>
      <c r="AK84" s="208" t="n">
        <f aca="false">IF(M84="","",VALUE(M84))</f>
        <v>41.087</v>
      </c>
      <c r="AL84" s="209" t="n">
        <f aca="false">IF(N84="","",VALUE(N84))</f>
        <v>22.85</v>
      </c>
      <c r="AM84" s="208" t="n">
        <f aca="false">IF(O84="","",VALUE(O84))</f>
        <v>41.09</v>
      </c>
      <c r="AN84" s="209" t="n">
        <f aca="false">IF(P84="","",VALUE(P84))</f>
        <v>41.077</v>
      </c>
      <c r="AO84" s="208" t="n">
        <f aca="false">IF(Q84="","",VALUE(Q84))</f>
        <v>41.09</v>
      </c>
      <c r="AP84" s="209" t="n">
        <f aca="false">IF(R84="","",VALUE(R84))</f>
        <v>41.09</v>
      </c>
      <c r="AQ84" s="208" t="n">
        <f aca="false">IF(S84="","",VALUE(S84))</f>
        <v>41.09</v>
      </c>
      <c r="AR84" s="209" t="n">
        <f aca="false">IF(T84="","",VALUE(T84))</f>
        <v>41.07</v>
      </c>
      <c r="AS84" s="208" t="n">
        <f aca="false">IF(U84="","",VALUE(U84))</f>
        <v>41.077</v>
      </c>
      <c r="AT84" s="209" t="n">
        <f aca="false">IF(V84="","",VALUE(V84))</f>
        <v>41.09</v>
      </c>
      <c r="AU84" s="208" t="n">
        <f aca="false">IF(W84="","",VALUE(W84))</f>
        <v>41.09</v>
      </c>
      <c r="AV84" s="209" t="n">
        <f aca="false">IF(X84="","",VALUE(X84))</f>
        <v>41.09</v>
      </c>
      <c r="AW84" s="215"/>
      <c r="AX84" s="211" t="str">
        <f aca="false">Z84</f>
        <v>P</v>
      </c>
      <c r="AY84" s="212" t="n">
        <f aca="false">COUNT(AA84:AV84)</f>
        <v>19</v>
      </c>
      <c r="AZ84" s="216" t="n">
        <f aca="false">IF(AY84=0,"",MIN(AA84:AV84))</f>
        <v>22.803</v>
      </c>
      <c r="BA84" s="217" t="n">
        <f aca="false">IF(AY84=0,"",MAX(AA84:AV84))</f>
        <v>44.35</v>
      </c>
      <c r="BC84" s="214"/>
    </row>
    <row r="85" customFormat="false" ht="12.75" hidden="false" customHeight="false" outlineLevel="0" collapsed="false">
      <c r="A85" s="73"/>
      <c r="B85" s="31" t="s">
        <v>111</v>
      </c>
      <c r="C85" s="85"/>
      <c r="D85" s="101"/>
      <c r="E85" s="85"/>
      <c r="F85" s="101"/>
      <c r="G85" s="85" t="n">
        <v>51.882</v>
      </c>
      <c r="H85" s="101" t="n">
        <v>51.882</v>
      </c>
      <c r="I85" s="85"/>
      <c r="J85" s="101" t="n">
        <v>51.882</v>
      </c>
      <c r="K85" s="85"/>
      <c r="L85" s="101"/>
      <c r="M85" s="85" t="n">
        <v>51.882</v>
      </c>
      <c r="N85" s="63"/>
      <c r="O85" s="62" t="n">
        <v>51.9</v>
      </c>
      <c r="P85" s="63"/>
      <c r="Q85" s="136"/>
      <c r="R85" s="63"/>
      <c r="S85" s="64"/>
      <c r="T85" s="102" t="n">
        <v>51.882</v>
      </c>
      <c r="U85" s="62"/>
      <c r="V85" s="102"/>
      <c r="W85" s="62"/>
      <c r="X85" s="63" t="n">
        <v>51.8</v>
      </c>
      <c r="Z85" s="31" t="s">
        <v>111</v>
      </c>
      <c r="AA85" s="208" t="str">
        <f aca="false">IF(C85="","",VALUE(C85))</f>
        <v/>
      </c>
      <c r="AB85" s="209" t="str">
        <f aca="false">IF(D85="","",VALUE(D85))</f>
        <v/>
      </c>
      <c r="AC85" s="208" t="str">
        <f aca="false">IF(E85="","",VALUE(E85))</f>
        <v/>
      </c>
      <c r="AD85" s="209" t="str">
        <f aca="false">IF(F85="","",VALUE(F85))</f>
        <v/>
      </c>
      <c r="AE85" s="208" t="n">
        <f aca="false">IF(G85="","",VALUE(G85))</f>
        <v>51.882</v>
      </c>
      <c r="AF85" s="209" t="n">
        <f aca="false">IF(H85="","",VALUE(H85))</f>
        <v>51.882</v>
      </c>
      <c r="AG85" s="208" t="str">
        <f aca="false">IF(I85="","",VALUE(I85))</f>
        <v/>
      </c>
      <c r="AH85" s="209" t="n">
        <f aca="false">IF(J85="","",VALUE(J85))</f>
        <v>51.882</v>
      </c>
      <c r="AI85" s="208" t="str">
        <f aca="false">IF(K85="","",VALUE(K85))</f>
        <v/>
      </c>
      <c r="AJ85" s="209" t="str">
        <f aca="false">IF(L85="","",VALUE(L85))</f>
        <v/>
      </c>
      <c r="AK85" s="208" t="n">
        <f aca="false">IF(M85="","",VALUE(M85))</f>
        <v>51.882</v>
      </c>
      <c r="AL85" s="209" t="str">
        <f aca="false">IF(N85="","",VALUE(N85))</f>
        <v/>
      </c>
      <c r="AM85" s="208" t="n">
        <f aca="false">IF(O85="","",VALUE(O85))</f>
        <v>51.9</v>
      </c>
      <c r="AN85" s="209" t="str">
        <f aca="false">IF(P85="","",VALUE(P85))</f>
        <v/>
      </c>
      <c r="AO85" s="208" t="str">
        <f aca="false">IF(Q85="","",VALUE(Q85))</f>
        <v/>
      </c>
      <c r="AP85" s="209" t="str">
        <f aca="false">IF(R85="","",VALUE(R85))</f>
        <v/>
      </c>
      <c r="AQ85" s="208" t="str">
        <f aca="false">IF(S85="","",VALUE(S85))</f>
        <v/>
      </c>
      <c r="AR85" s="209" t="n">
        <f aca="false">IF(T85="","",VALUE(T85))</f>
        <v>51.882</v>
      </c>
      <c r="AS85" s="208" t="str">
        <f aca="false">IF(U85="","",VALUE(U85))</f>
        <v/>
      </c>
      <c r="AT85" s="209" t="str">
        <f aca="false">IF(V85="","",VALUE(V85))</f>
        <v/>
      </c>
      <c r="AU85" s="208" t="str">
        <f aca="false">IF(W85="","",VALUE(W85))</f>
        <v/>
      </c>
      <c r="AV85" s="209" t="n">
        <f aca="false">IF(X85="","",VALUE(X85))</f>
        <v>51.8</v>
      </c>
      <c r="AW85" s="215"/>
      <c r="AX85" s="211" t="str">
        <f aca="false">Z85</f>
        <v>Pa</v>
      </c>
      <c r="AY85" s="212" t="n">
        <f aca="false">COUNT(AA85:AV85)</f>
        <v>7</v>
      </c>
      <c r="AZ85" s="210" t="n">
        <f aca="false">IF(AY85=0,"",MIN(AA85:AV85))</f>
        <v>51.8</v>
      </c>
      <c r="BA85" s="213" t="n">
        <f aca="false">IF(AY85=0,"",MAX(AA85:AV85))</f>
        <v>51.9</v>
      </c>
      <c r="BC85" s="214"/>
    </row>
    <row r="86" customFormat="false" ht="12.75" hidden="false" customHeight="false" outlineLevel="0" collapsed="false">
      <c r="A86" s="73"/>
      <c r="B86" s="31" t="s">
        <v>112</v>
      </c>
      <c r="C86" s="85" t="n">
        <v>64.434</v>
      </c>
      <c r="D86" s="101" t="n">
        <v>64.978</v>
      </c>
      <c r="E86" s="85" t="n">
        <v>65.27</v>
      </c>
      <c r="F86" s="101" t="n">
        <v>64.894</v>
      </c>
      <c r="G86" s="85" t="n">
        <v>64.81</v>
      </c>
      <c r="H86" s="101" t="n">
        <v>64.81</v>
      </c>
      <c r="I86" s="85" t="n">
        <v>65.061</v>
      </c>
      <c r="J86" s="101" t="n">
        <v>64.81</v>
      </c>
      <c r="K86" s="85" t="n">
        <v>64.785</v>
      </c>
      <c r="L86" s="101" t="n">
        <v>65.061</v>
      </c>
      <c r="M86" s="85" t="n">
        <v>64.81</v>
      </c>
      <c r="N86" s="63" t="n">
        <v>65.06</v>
      </c>
      <c r="O86" s="62" t="n">
        <v>64.81</v>
      </c>
      <c r="P86" s="63" t="n">
        <v>64.785</v>
      </c>
      <c r="Q86" s="141" t="s">
        <v>551</v>
      </c>
      <c r="R86" s="65" t="s">
        <v>662</v>
      </c>
      <c r="S86" s="64" t="s">
        <v>662</v>
      </c>
      <c r="T86" s="102" t="n">
        <v>64.785</v>
      </c>
      <c r="U86" s="62" t="n">
        <v>64.785</v>
      </c>
      <c r="V86" s="102" t="n">
        <v>64.8</v>
      </c>
      <c r="W86" s="64" t="s">
        <v>662</v>
      </c>
      <c r="X86" s="65" t="s">
        <v>551</v>
      </c>
      <c r="Z86" s="31" t="s">
        <v>112</v>
      </c>
      <c r="AA86" s="208" t="n">
        <f aca="false">IF(C86="","",VALUE(C86))</f>
        <v>64.434</v>
      </c>
      <c r="AB86" s="209" t="n">
        <f aca="false">IF(D86="","",VALUE(D86))</f>
        <v>64.978</v>
      </c>
      <c r="AC86" s="208" t="n">
        <f aca="false">IF(E86="","",VALUE(E86))</f>
        <v>65.27</v>
      </c>
      <c r="AD86" s="209" t="n">
        <f aca="false">IF(F86="","",VALUE(F86))</f>
        <v>64.894</v>
      </c>
      <c r="AE86" s="208" t="n">
        <f aca="false">IF(G86="","",VALUE(G86))</f>
        <v>64.81</v>
      </c>
      <c r="AF86" s="209" t="n">
        <f aca="false">IF(H86="","",VALUE(H86))</f>
        <v>64.81</v>
      </c>
      <c r="AG86" s="208" t="n">
        <f aca="false">IF(I86="","",VALUE(I86))</f>
        <v>65.061</v>
      </c>
      <c r="AH86" s="209" t="n">
        <f aca="false">IF(J86="","",VALUE(J86))</f>
        <v>64.81</v>
      </c>
      <c r="AI86" s="208" t="n">
        <f aca="false">IF(K86="","",VALUE(K86))</f>
        <v>64.785</v>
      </c>
      <c r="AJ86" s="209" t="n">
        <f aca="false">IF(L86="","",VALUE(L86))</f>
        <v>65.061</v>
      </c>
      <c r="AK86" s="208" t="n">
        <f aca="false">IF(M86="","",VALUE(M86))</f>
        <v>64.81</v>
      </c>
      <c r="AL86" s="209" t="n">
        <f aca="false">IF(N86="","",VALUE(N86))</f>
        <v>65.06</v>
      </c>
      <c r="AM86" s="208" t="n">
        <f aca="false">IF(O86="","",VALUE(O86))</f>
        <v>64.81</v>
      </c>
      <c r="AN86" s="209" t="n">
        <f aca="false">IF(P86="","",VALUE(P86))</f>
        <v>64.785</v>
      </c>
      <c r="AO86" s="208" t="n">
        <f aca="false">IF(Q86="","",VALUE(Q86))</f>
        <v>64.8</v>
      </c>
      <c r="AP86" s="209" t="n">
        <f aca="false">IF(R86="","",VALUE(R86))</f>
        <v>64.8</v>
      </c>
      <c r="AQ86" s="208" t="n">
        <f aca="false">IF(S86="","",VALUE(S86))</f>
        <v>64.8</v>
      </c>
      <c r="AR86" s="209" t="n">
        <f aca="false">IF(T86="","",VALUE(T86))</f>
        <v>64.785</v>
      </c>
      <c r="AS86" s="208" t="n">
        <f aca="false">IF(U86="","",VALUE(U86))</f>
        <v>64.785</v>
      </c>
      <c r="AT86" s="209" t="n">
        <f aca="false">IF(V86="","",VALUE(V86))</f>
        <v>64.8</v>
      </c>
      <c r="AU86" s="208" t="n">
        <f aca="false">IF(W86="","",VALUE(W86))</f>
        <v>64.8</v>
      </c>
      <c r="AV86" s="209" t="n">
        <f aca="false">IF(X86="","",VALUE(X86))</f>
        <v>64.8</v>
      </c>
      <c r="AW86" s="215"/>
      <c r="AX86" s="211" t="str">
        <f aca="false">Z86</f>
        <v>Pb</v>
      </c>
      <c r="AY86" s="212" t="n">
        <f aca="false">COUNT(AA86:AV86)</f>
        <v>22</v>
      </c>
      <c r="AZ86" s="210" t="n">
        <f aca="false">IF(AY86=0,"",MIN(AA86:AV86))</f>
        <v>64.434</v>
      </c>
      <c r="BA86" s="213" t="n">
        <f aca="false">IF(AY86=0,"",MAX(AA86:AV86))</f>
        <v>65.27</v>
      </c>
      <c r="BC86" s="214"/>
    </row>
    <row r="87" customFormat="false" ht="12.75" hidden="false" customHeight="false" outlineLevel="0" collapsed="false">
      <c r="A87" s="73"/>
      <c r="B87" s="38" t="s">
        <v>113</v>
      </c>
      <c r="C87" s="85" t="n">
        <v>37.238</v>
      </c>
      <c r="D87" s="101" t="n">
        <v>37.238</v>
      </c>
      <c r="E87" s="85" t="n">
        <v>37.238</v>
      </c>
      <c r="F87" s="101" t="n">
        <v>37.238</v>
      </c>
      <c r="G87" s="85" t="n">
        <v>37.865</v>
      </c>
      <c r="H87" s="101" t="n">
        <v>37.907</v>
      </c>
      <c r="I87" s="85"/>
      <c r="J87" s="101" t="n">
        <v>37.572</v>
      </c>
      <c r="K87" s="85"/>
      <c r="L87" s="101" t="n">
        <v>37.823</v>
      </c>
      <c r="M87" s="85" t="n">
        <v>37.71</v>
      </c>
      <c r="N87" s="63" t="n">
        <v>37.82</v>
      </c>
      <c r="O87" s="62" t="n">
        <v>37.57</v>
      </c>
      <c r="P87" s="63"/>
      <c r="Q87" s="136"/>
      <c r="R87" s="63"/>
      <c r="S87" s="64"/>
      <c r="T87" s="102" t="n">
        <v>37.823</v>
      </c>
      <c r="U87" s="62"/>
      <c r="V87" s="102"/>
      <c r="W87" s="62"/>
      <c r="X87" s="63" t="n">
        <v>37.61</v>
      </c>
      <c r="Z87" s="38" t="s">
        <v>113</v>
      </c>
      <c r="AA87" s="208" t="n">
        <f aca="false">IF(C87="","",VALUE(C87))</f>
        <v>37.238</v>
      </c>
      <c r="AB87" s="209" t="n">
        <f aca="false">IF(D87="","",VALUE(D87))</f>
        <v>37.238</v>
      </c>
      <c r="AC87" s="208" t="n">
        <f aca="false">IF(E87="","",VALUE(E87))</f>
        <v>37.238</v>
      </c>
      <c r="AD87" s="209" t="n">
        <f aca="false">IF(F87="","",VALUE(F87))</f>
        <v>37.238</v>
      </c>
      <c r="AE87" s="208" t="n">
        <f aca="false">IF(G87="","",VALUE(G87))</f>
        <v>37.865</v>
      </c>
      <c r="AF87" s="209" t="n">
        <f aca="false">IF(H87="","",VALUE(H87))</f>
        <v>37.907</v>
      </c>
      <c r="AG87" s="208" t="str">
        <f aca="false">IF(I87="","",VALUE(I87))</f>
        <v/>
      </c>
      <c r="AH87" s="209" t="n">
        <f aca="false">IF(J87="","",VALUE(J87))</f>
        <v>37.572</v>
      </c>
      <c r="AI87" s="208" t="str">
        <f aca="false">IF(K87="","",VALUE(K87))</f>
        <v/>
      </c>
      <c r="AJ87" s="209" t="n">
        <f aca="false">IF(L87="","",VALUE(L87))</f>
        <v>37.823</v>
      </c>
      <c r="AK87" s="208" t="n">
        <f aca="false">IF(M87="","",VALUE(M87))</f>
        <v>37.71</v>
      </c>
      <c r="AL87" s="209" t="n">
        <f aca="false">IF(N87="","",VALUE(N87))</f>
        <v>37.82</v>
      </c>
      <c r="AM87" s="208" t="n">
        <f aca="false">IF(O87="","",VALUE(O87))</f>
        <v>37.57</v>
      </c>
      <c r="AN87" s="209" t="str">
        <f aca="false">IF(P87="","",VALUE(P87))</f>
        <v/>
      </c>
      <c r="AO87" s="208" t="str">
        <f aca="false">IF(Q87="","",VALUE(Q87))</f>
        <v/>
      </c>
      <c r="AP87" s="209" t="str">
        <f aca="false">IF(R87="","",VALUE(R87))</f>
        <v/>
      </c>
      <c r="AQ87" s="208" t="str">
        <f aca="false">IF(S87="","",VALUE(S87))</f>
        <v/>
      </c>
      <c r="AR87" s="209" t="n">
        <f aca="false">IF(T87="","",VALUE(T87))</f>
        <v>37.823</v>
      </c>
      <c r="AS87" s="208" t="str">
        <f aca="false">IF(U87="","",VALUE(U87))</f>
        <v/>
      </c>
      <c r="AT87" s="209" t="str">
        <f aca="false">IF(V87="","",VALUE(V87))</f>
        <v/>
      </c>
      <c r="AU87" s="208" t="str">
        <f aca="false">IF(W87="","",VALUE(W87))</f>
        <v/>
      </c>
      <c r="AV87" s="209" t="n">
        <f aca="false">IF(X87="","",VALUE(X87))</f>
        <v>37.61</v>
      </c>
      <c r="AW87" s="215"/>
      <c r="AX87" s="211" t="str">
        <f aca="false">Z87</f>
        <v>Pd</v>
      </c>
      <c r="AY87" s="212" t="n">
        <f aca="false">COUNT(AA87:AV87)</f>
        <v>13</v>
      </c>
      <c r="AZ87" s="210" t="n">
        <f aca="false">IF(AY87=0,"",MIN(AA87:AV87))</f>
        <v>37.238</v>
      </c>
      <c r="BA87" s="213" t="n">
        <f aca="false">IF(AY87=0,"",MAX(AA87:AV87))</f>
        <v>37.907</v>
      </c>
      <c r="BC87" s="214"/>
    </row>
    <row r="88" customFormat="false" ht="12.75" hidden="false" customHeight="false" outlineLevel="0" collapsed="false">
      <c r="A88" s="73"/>
      <c r="B88" s="31" t="s">
        <v>114</v>
      </c>
      <c r="C88" s="85"/>
      <c r="D88" s="101"/>
      <c r="E88" s="85"/>
      <c r="F88" s="101"/>
      <c r="G88" s="85" t="n">
        <v>72.007</v>
      </c>
      <c r="H88" s="101" t="n">
        <v>71.965</v>
      </c>
      <c r="I88" s="85"/>
      <c r="J88" s="101"/>
      <c r="K88" s="85"/>
      <c r="L88" s="101"/>
      <c r="M88" s="85"/>
      <c r="N88" s="63"/>
      <c r="O88" s="64"/>
      <c r="P88" s="65"/>
      <c r="Q88" s="136"/>
      <c r="R88" s="63"/>
      <c r="S88" s="64"/>
      <c r="T88" s="102"/>
      <c r="U88" s="62"/>
      <c r="V88" s="102"/>
      <c r="W88" s="62"/>
      <c r="X88" s="63"/>
      <c r="Z88" s="31" t="s">
        <v>114</v>
      </c>
      <c r="AA88" s="208" t="str">
        <f aca="false">IF(C88="","",VALUE(C88))</f>
        <v/>
      </c>
      <c r="AB88" s="209" t="str">
        <f aca="false">IF(D88="","",VALUE(D88))</f>
        <v/>
      </c>
      <c r="AC88" s="208" t="str">
        <f aca="false">IF(E88="","",VALUE(E88))</f>
        <v/>
      </c>
      <c r="AD88" s="209" t="str">
        <f aca="false">IF(F88="","",VALUE(F88))</f>
        <v/>
      </c>
      <c r="AE88" s="208" t="n">
        <f aca="false">IF(G88="","",VALUE(G88))</f>
        <v>72.007</v>
      </c>
      <c r="AF88" s="209" t="n">
        <f aca="false">IF(H88="","",VALUE(H88))</f>
        <v>71.965</v>
      </c>
      <c r="AG88" s="208" t="str">
        <f aca="false">IF(I88="","",VALUE(I88))</f>
        <v/>
      </c>
      <c r="AH88" s="209" t="str">
        <f aca="false">IF(J88="","",VALUE(J88))</f>
        <v/>
      </c>
      <c r="AI88" s="208" t="str">
        <f aca="false">IF(K88="","",VALUE(K88))</f>
        <v/>
      </c>
      <c r="AJ88" s="209" t="str">
        <f aca="false">IF(L88="","",VALUE(L88))</f>
        <v/>
      </c>
      <c r="AK88" s="208" t="str">
        <f aca="false">IF(M88="","",VALUE(M88))</f>
        <v/>
      </c>
      <c r="AL88" s="209" t="str">
        <f aca="false">IF(N88="","",VALUE(N88))</f>
        <v/>
      </c>
      <c r="AM88" s="208" t="str">
        <f aca="false">IF(O88="","",VALUE(O88))</f>
        <v/>
      </c>
      <c r="AN88" s="209" t="str">
        <f aca="false">IF(P88="","",VALUE(P88))</f>
        <v/>
      </c>
      <c r="AO88" s="208" t="str">
        <f aca="false">IF(Q88="","",VALUE(Q88))</f>
        <v/>
      </c>
      <c r="AP88" s="209" t="str">
        <f aca="false">IF(R88="","",VALUE(R88))</f>
        <v/>
      </c>
      <c r="AQ88" s="208" t="str">
        <f aca="false">IF(S88="","",VALUE(S88))</f>
        <v/>
      </c>
      <c r="AR88" s="209" t="str">
        <f aca="false">IF(T88="","",VALUE(T88))</f>
        <v/>
      </c>
      <c r="AS88" s="208" t="str">
        <f aca="false">IF(U88="","",VALUE(U88))</f>
        <v/>
      </c>
      <c r="AT88" s="209" t="str">
        <f aca="false">IF(V88="","",VALUE(V88))</f>
        <v/>
      </c>
      <c r="AU88" s="208" t="str">
        <f aca="false">IF(W88="","",VALUE(W88))</f>
        <v/>
      </c>
      <c r="AV88" s="209" t="str">
        <f aca="false">IF(X88="","",VALUE(X88))</f>
        <v/>
      </c>
      <c r="AW88" s="215"/>
      <c r="AX88" s="211" t="str">
        <f aca="false">Z88</f>
        <v>Pm</v>
      </c>
      <c r="AY88" s="212" t="n">
        <f aca="false">COUNT(AA88:AV88)</f>
        <v>2</v>
      </c>
      <c r="AZ88" s="210" t="n">
        <f aca="false">IF(AY88=0,"",MIN(AA88:AV88))</f>
        <v>71.965</v>
      </c>
      <c r="BA88" s="213" t="n">
        <f aca="false">IF(AY88=0,"",MAX(AA88:AV88))</f>
        <v>72.007</v>
      </c>
      <c r="BC88" s="214"/>
    </row>
    <row r="89" customFormat="false" ht="12.75" hidden="false" customHeight="false" outlineLevel="0" collapsed="false">
      <c r="A89" s="73"/>
      <c r="B89" s="38" t="s">
        <v>115</v>
      </c>
      <c r="C89" s="85"/>
      <c r="D89" s="101"/>
      <c r="E89" s="85"/>
      <c r="F89" s="101"/>
      <c r="G89" s="85" t="n">
        <v>62.76</v>
      </c>
      <c r="H89" s="101" t="n">
        <v>62.76</v>
      </c>
      <c r="I89" s="85"/>
      <c r="J89" s="101"/>
      <c r="K89" s="85"/>
      <c r="L89" s="101"/>
      <c r="M89" s="85"/>
      <c r="N89" s="63"/>
      <c r="O89" s="64"/>
      <c r="P89" s="65"/>
      <c r="Q89" s="136"/>
      <c r="R89" s="63"/>
      <c r="S89" s="64"/>
      <c r="T89" s="102"/>
      <c r="U89" s="62"/>
      <c r="V89" s="102"/>
      <c r="W89" s="62"/>
      <c r="X89" s="63" t="n">
        <v>62.8</v>
      </c>
      <c r="Z89" s="38" t="s">
        <v>115</v>
      </c>
      <c r="AA89" s="208" t="str">
        <f aca="false">IF(C89="","",VALUE(C89))</f>
        <v/>
      </c>
      <c r="AB89" s="209" t="str">
        <f aca="false">IF(D89="","",VALUE(D89))</f>
        <v/>
      </c>
      <c r="AC89" s="208" t="str">
        <f aca="false">IF(E89="","",VALUE(E89))</f>
        <v/>
      </c>
      <c r="AD89" s="209" t="str">
        <f aca="false">IF(F89="","",VALUE(F89))</f>
        <v/>
      </c>
      <c r="AE89" s="208" t="n">
        <f aca="false">IF(G89="","",VALUE(G89))</f>
        <v>62.76</v>
      </c>
      <c r="AF89" s="209" t="n">
        <f aca="false">IF(H89="","",VALUE(H89))</f>
        <v>62.76</v>
      </c>
      <c r="AG89" s="208" t="str">
        <f aca="false">IF(I89="","",VALUE(I89))</f>
        <v/>
      </c>
      <c r="AH89" s="209" t="str">
        <f aca="false">IF(J89="","",VALUE(J89))</f>
        <v/>
      </c>
      <c r="AI89" s="208" t="str">
        <f aca="false">IF(K89="","",VALUE(K89))</f>
        <v/>
      </c>
      <c r="AJ89" s="209" t="str">
        <f aca="false">IF(L89="","",VALUE(L89))</f>
        <v/>
      </c>
      <c r="AK89" s="208" t="str">
        <f aca="false">IF(M89="","",VALUE(M89))</f>
        <v/>
      </c>
      <c r="AL89" s="209" t="str">
        <f aca="false">IF(N89="","",VALUE(N89))</f>
        <v/>
      </c>
      <c r="AM89" s="208" t="str">
        <f aca="false">IF(O89="","",VALUE(O89))</f>
        <v/>
      </c>
      <c r="AN89" s="209" t="str">
        <f aca="false">IF(P89="","",VALUE(P89))</f>
        <v/>
      </c>
      <c r="AO89" s="208" t="str">
        <f aca="false">IF(Q89="","",VALUE(Q89))</f>
        <v/>
      </c>
      <c r="AP89" s="209" t="str">
        <f aca="false">IF(R89="","",VALUE(R89))</f>
        <v/>
      </c>
      <c r="AQ89" s="208" t="str">
        <f aca="false">IF(S89="","",VALUE(S89))</f>
        <v/>
      </c>
      <c r="AR89" s="209" t="str">
        <f aca="false">IF(T89="","",VALUE(T89))</f>
        <v/>
      </c>
      <c r="AS89" s="208" t="str">
        <f aca="false">IF(U89="","",VALUE(U89))</f>
        <v/>
      </c>
      <c r="AT89" s="209" t="str">
        <f aca="false">IF(V89="","",VALUE(V89))</f>
        <v/>
      </c>
      <c r="AU89" s="208" t="str">
        <f aca="false">IF(W89="","",VALUE(W89))</f>
        <v/>
      </c>
      <c r="AV89" s="209" t="n">
        <f aca="false">IF(X89="","",VALUE(X89))</f>
        <v>62.8</v>
      </c>
      <c r="AW89" s="215"/>
      <c r="AX89" s="211" t="str">
        <f aca="false">Z89</f>
        <v>Po</v>
      </c>
      <c r="AY89" s="212" t="n">
        <f aca="false">COUNT(AA89:AV89)</f>
        <v>3</v>
      </c>
      <c r="AZ89" s="210" t="n">
        <f aca="false">IF(AY89=0,"",MIN(AA89:AV89))</f>
        <v>62.76</v>
      </c>
      <c r="BA89" s="213" t="n">
        <f aca="false">IF(AY89=0,"",MAX(AA89:AV89))</f>
        <v>62.8</v>
      </c>
      <c r="BC89" s="214"/>
    </row>
    <row r="90" customFormat="false" ht="12.75" hidden="false" customHeight="false" outlineLevel="0" collapsed="false">
      <c r="A90" s="73"/>
      <c r="B90" s="31" t="s">
        <v>116</v>
      </c>
      <c r="C90" s="85"/>
      <c r="D90" s="101"/>
      <c r="E90" s="85" t="n">
        <v>53.137</v>
      </c>
      <c r="F90" s="101"/>
      <c r="G90" s="85" t="n">
        <v>73.011</v>
      </c>
      <c r="H90" s="101" t="n">
        <v>73.638</v>
      </c>
      <c r="I90" s="85"/>
      <c r="J90" s="101" t="n">
        <v>73.22</v>
      </c>
      <c r="K90" s="85"/>
      <c r="L90" s="101" t="n">
        <v>73.931</v>
      </c>
      <c r="M90" s="85" t="n">
        <v>73.931</v>
      </c>
      <c r="N90" s="63" t="n">
        <v>73.93</v>
      </c>
      <c r="O90" s="62" t="n">
        <v>73.2</v>
      </c>
      <c r="P90" s="63"/>
      <c r="Q90" s="136"/>
      <c r="R90" s="63"/>
      <c r="S90" s="64"/>
      <c r="T90" s="102" t="n">
        <v>73.931</v>
      </c>
      <c r="U90" s="62"/>
      <c r="V90" s="102"/>
      <c r="W90" s="62"/>
      <c r="X90" s="63" t="n">
        <v>73.2</v>
      </c>
      <c r="Z90" s="31" t="s">
        <v>116</v>
      </c>
      <c r="AA90" s="208" t="str">
        <f aca="false">IF(C90="","",VALUE(C90))</f>
        <v/>
      </c>
      <c r="AB90" s="209" t="str">
        <f aca="false">IF(D90="","",VALUE(D90))</f>
        <v/>
      </c>
      <c r="AC90" s="208" t="n">
        <f aca="false">IF(E90="","",VALUE(E90))</f>
        <v>53.137</v>
      </c>
      <c r="AD90" s="209" t="str">
        <f aca="false">IF(F90="","",VALUE(F90))</f>
        <v/>
      </c>
      <c r="AE90" s="208" t="n">
        <f aca="false">IF(G90="","",VALUE(G90))</f>
        <v>73.011</v>
      </c>
      <c r="AF90" s="209" t="n">
        <f aca="false">IF(H90="","",VALUE(H90))</f>
        <v>73.638</v>
      </c>
      <c r="AG90" s="208" t="str">
        <f aca="false">IF(I90="","",VALUE(I90))</f>
        <v/>
      </c>
      <c r="AH90" s="209" t="n">
        <f aca="false">IF(J90="","",VALUE(J90))</f>
        <v>73.22</v>
      </c>
      <c r="AI90" s="208" t="str">
        <f aca="false">IF(K90="","",VALUE(K90))</f>
        <v/>
      </c>
      <c r="AJ90" s="209" t="n">
        <f aca="false">IF(L90="","",VALUE(L90))</f>
        <v>73.931</v>
      </c>
      <c r="AK90" s="208" t="n">
        <f aca="false">IF(M90="","",VALUE(M90))</f>
        <v>73.931</v>
      </c>
      <c r="AL90" s="209" t="n">
        <f aca="false">IF(N90="","",VALUE(N90))</f>
        <v>73.93</v>
      </c>
      <c r="AM90" s="208" t="n">
        <f aca="false">IF(O90="","",VALUE(O90))</f>
        <v>73.2</v>
      </c>
      <c r="AN90" s="209" t="str">
        <f aca="false">IF(P90="","",VALUE(P90))</f>
        <v/>
      </c>
      <c r="AO90" s="208" t="str">
        <f aca="false">IF(Q90="","",VALUE(Q90))</f>
        <v/>
      </c>
      <c r="AP90" s="209" t="str">
        <f aca="false">IF(R90="","",VALUE(R90))</f>
        <v/>
      </c>
      <c r="AQ90" s="208" t="str">
        <f aca="false">IF(S90="","",VALUE(S90))</f>
        <v/>
      </c>
      <c r="AR90" s="209" t="n">
        <f aca="false">IF(T90="","",VALUE(T90))</f>
        <v>73.931</v>
      </c>
      <c r="AS90" s="208" t="str">
        <f aca="false">IF(U90="","",VALUE(U90))</f>
        <v/>
      </c>
      <c r="AT90" s="209" t="str">
        <f aca="false">IF(V90="","",VALUE(V90))</f>
        <v/>
      </c>
      <c r="AU90" s="208" t="str">
        <f aca="false">IF(W90="","",VALUE(W90))</f>
        <v/>
      </c>
      <c r="AV90" s="209" t="n">
        <f aca="false">IF(X90="","",VALUE(X90))</f>
        <v>73.2</v>
      </c>
      <c r="AW90" s="215"/>
      <c r="AX90" s="211" t="str">
        <f aca="false">Z90</f>
        <v>Pr</v>
      </c>
      <c r="AY90" s="212" t="n">
        <f aca="false">COUNT(AA90:AV90)</f>
        <v>10</v>
      </c>
      <c r="AZ90" s="210" t="n">
        <f aca="false">IF(AY90=0,"",MIN(AA90:AV90))</f>
        <v>53.137</v>
      </c>
      <c r="BA90" s="213" t="n">
        <f aca="false">IF(AY90=0,"",MAX(AA90:AV90))</f>
        <v>73.931</v>
      </c>
      <c r="BC90" s="214"/>
    </row>
    <row r="91" customFormat="false" ht="12.75" hidden="false" customHeight="false" outlineLevel="0" collapsed="false">
      <c r="A91" s="73"/>
      <c r="B91" s="31" t="s">
        <v>117</v>
      </c>
      <c r="C91" s="85" t="n">
        <v>41.84</v>
      </c>
      <c r="D91" s="101" t="n">
        <v>41.84</v>
      </c>
      <c r="E91" s="85" t="n">
        <v>41.84</v>
      </c>
      <c r="F91" s="101" t="n">
        <v>41.84</v>
      </c>
      <c r="G91" s="85" t="n">
        <v>41.84</v>
      </c>
      <c r="H91" s="101" t="n">
        <v>41.631</v>
      </c>
      <c r="I91" s="85" t="n">
        <v>41.631</v>
      </c>
      <c r="J91" s="101" t="n">
        <v>41.631</v>
      </c>
      <c r="K91" s="85"/>
      <c r="L91" s="101" t="n">
        <v>41.631</v>
      </c>
      <c r="M91" s="85" t="n">
        <v>41.631</v>
      </c>
      <c r="N91" s="63" t="n">
        <v>41.63</v>
      </c>
      <c r="O91" s="62" t="n">
        <v>41.63</v>
      </c>
      <c r="P91" s="63"/>
      <c r="Q91" s="136"/>
      <c r="R91" s="63"/>
      <c r="S91" s="64"/>
      <c r="T91" s="102" t="n">
        <v>41.631</v>
      </c>
      <c r="U91" s="62"/>
      <c r="V91" s="102" t="n">
        <v>41.63</v>
      </c>
      <c r="W91" s="62"/>
      <c r="X91" s="63" t="n">
        <v>41.63</v>
      </c>
      <c r="Z91" s="31" t="s">
        <v>117</v>
      </c>
      <c r="AA91" s="208" t="n">
        <f aca="false">IF(C91="","",VALUE(C91))</f>
        <v>41.84</v>
      </c>
      <c r="AB91" s="209" t="n">
        <f aca="false">IF(D91="","",VALUE(D91))</f>
        <v>41.84</v>
      </c>
      <c r="AC91" s="208" t="n">
        <f aca="false">IF(E91="","",VALUE(E91))</f>
        <v>41.84</v>
      </c>
      <c r="AD91" s="209" t="n">
        <f aca="false">IF(F91="","",VALUE(F91))</f>
        <v>41.84</v>
      </c>
      <c r="AE91" s="208" t="n">
        <f aca="false">IF(G91="","",VALUE(G91))</f>
        <v>41.84</v>
      </c>
      <c r="AF91" s="209" t="n">
        <f aca="false">IF(H91="","",VALUE(H91))</f>
        <v>41.631</v>
      </c>
      <c r="AG91" s="208" t="n">
        <f aca="false">IF(I91="","",VALUE(I91))</f>
        <v>41.631</v>
      </c>
      <c r="AH91" s="209" t="n">
        <f aca="false">IF(J91="","",VALUE(J91))</f>
        <v>41.631</v>
      </c>
      <c r="AI91" s="208" t="str">
        <f aca="false">IF(K91="","",VALUE(K91))</f>
        <v/>
      </c>
      <c r="AJ91" s="209" t="n">
        <f aca="false">IF(L91="","",VALUE(L91))</f>
        <v>41.631</v>
      </c>
      <c r="AK91" s="208" t="n">
        <f aca="false">IF(M91="","",VALUE(M91))</f>
        <v>41.631</v>
      </c>
      <c r="AL91" s="209" t="n">
        <f aca="false">IF(N91="","",VALUE(N91))</f>
        <v>41.63</v>
      </c>
      <c r="AM91" s="208" t="n">
        <f aca="false">IF(O91="","",VALUE(O91))</f>
        <v>41.63</v>
      </c>
      <c r="AN91" s="209" t="str">
        <f aca="false">IF(P91="","",VALUE(P91))</f>
        <v/>
      </c>
      <c r="AO91" s="208" t="str">
        <f aca="false">IF(Q91="","",VALUE(Q91))</f>
        <v/>
      </c>
      <c r="AP91" s="209" t="str">
        <f aca="false">IF(R91="","",VALUE(R91))</f>
        <v/>
      </c>
      <c r="AQ91" s="208" t="str">
        <f aca="false">IF(S91="","",VALUE(S91))</f>
        <v/>
      </c>
      <c r="AR91" s="209" t="n">
        <f aca="false">IF(T91="","",VALUE(T91))</f>
        <v>41.631</v>
      </c>
      <c r="AS91" s="208" t="str">
        <f aca="false">IF(U91="","",VALUE(U91))</f>
        <v/>
      </c>
      <c r="AT91" s="209" t="n">
        <f aca="false">IF(V91="","",VALUE(V91))</f>
        <v>41.63</v>
      </c>
      <c r="AU91" s="208" t="str">
        <f aca="false">IF(W91="","",VALUE(W91))</f>
        <v/>
      </c>
      <c r="AV91" s="209" t="n">
        <f aca="false">IF(X91="","",VALUE(X91))</f>
        <v>41.63</v>
      </c>
      <c r="AW91" s="215"/>
      <c r="AX91" s="211" t="str">
        <f aca="false">Z91</f>
        <v>Pt</v>
      </c>
      <c r="AY91" s="212" t="n">
        <f aca="false">COUNT(AA91:AV91)</f>
        <v>15</v>
      </c>
      <c r="AZ91" s="210" t="n">
        <f aca="false">IF(AY91=0,"",MIN(AA91:AV91))</f>
        <v>41.63</v>
      </c>
      <c r="BA91" s="213" t="n">
        <f aca="false">IF(AY91=0,"",MAX(AA91:AV91))</f>
        <v>41.84</v>
      </c>
      <c r="BC91" s="214"/>
    </row>
    <row r="92" customFormat="false" ht="12.75" hidden="false" customHeight="false" outlineLevel="0" collapsed="false">
      <c r="A92" s="73"/>
      <c r="B92" s="31" t="s">
        <v>118</v>
      </c>
      <c r="C92" s="85"/>
      <c r="D92" s="101"/>
      <c r="E92" s="85"/>
      <c r="F92" s="101"/>
      <c r="G92" s="85"/>
      <c r="H92" s="101"/>
      <c r="I92" s="85"/>
      <c r="J92" s="101"/>
      <c r="K92" s="85"/>
      <c r="L92" s="101" t="n">
        <v>51.463</v>
      </c>
      <c r="M92" s="85" t="n">
        <v>56.149</v>
      </c>
      <c r="N92" s="63" t="n">
        <v>51.46</v>
      </c>
      <c r="O92" s="64"/>
      <c r="P92" s="65"/>
      <c r="Q92" s="136"/>
      <c r="R92" s="63"/>
      <c r="S92" s="64" t="s">
        <v>663</v>
      </c>
      <c r="T92" s="102" t="n">
        <v>51.463</v>
      </c>
      <c r="U92" s="62"/>
      <c r="V92" s="102"/>
      <c r="W92" s="62"/>
      <c r="X92" s="63" t="n">
        <v>51.5</v>
      </c>
      <c r="Z92" s="31" t="s">
        <v>118</v>
      </c>
      <c r="AA92" s="208" t="str">
        <f aca="false">IF(C92="","",VALUE(C92))</f>
        <v/>
      </c>
      <c r="AB92" s="209" t="str">
        <f aca="false">IF(D92="","",VALUE(D92))</f>
        <v/>
      </c>
      <c r="AC92" s="208" t="str">
        <f aca="false">IF(E92="","",VALUE(E92))</f>
        <v/>
      </c>
      <c r="AD92" s="209" t="str">
        <f aca="false">IF(F92="","",VALUE(F92))</f>
        <v/>
      </c>
      <c r="AE92" s="208" t="str">
        <f aca="false">IF(G92="","",VALUE(G92))</f>
        <v/>
      </c>
      <c r="AF92" s="209" t="str">
        <f aca="false">IF(H92="","",VALUE(H92))</f>
        <v/>
      </c>
      <c r="AG92" s="208" t="str">
        <f aca="false">IF(I92="","",VALUE(I92))</f>
        <v/>
      </c>
      <c r="AH92" s="209" t="str">
        <f aca="false">IF(J92="","",VALUE(J92))</f>
        <v/>
      </c>
      <c r="AI92" s="208" t="str">
        <f aca="false">IF(K92="","",VALUE(K92))</f>
        <v/>
      </c>
      <c r="AJ92" s="209" t="n">
        <f aca="false">IF(L92="","",VALUE(L92))</f>
        <v>51.463</v>
      </c>
      <c r="AK92" s="208" t="n">
        <f aca="false">IF(M92="","",VALUE(M92))</f>
        <v>56.149</v>
      </c>
      <c r="AL92" s="209" t="n">
        <f aca="false">IF(N92="","",VALUE(N92))</f>
        <v>51.46</v>
      </c>
      <c r="AM92" s="208" t="str">
        <f aca="false">IF(O92="","",VALUE(O92))</f>
        <v/>
      </c>
      <c r="AN92" s="209" t="str">
        <f aca="false">IF(P92="","",VALUE(P92))</f>
        <v/>
      </c>
      <c r="AO92" s="208" t="str">
        <f aca="false">IF(Q92="","",VALUE(Q92))</f>
        <v/>
      </c>
      <c r="AP92" s="209" t="str">
        <f aca="false">IF(R92="","",VALUE(R92))</f>
        <v/>
      </c>
      <c r="AQ92" s="208" t="n">
        <f aca="false">IF(S92="","",VALUE(S92))</f>
        <v>54.46</v>
      </c>
      <c r="AR92" s="209" t="n">
        <f aca="false">IF(T92="","",VALUE(T92))</f>
        <v>51.463</v>
      </c>
      <c r="AS92" s="208" t="str">
        <f aca="false">IF(U92="","",VALUE(U92))</f>
        <v/>
      </c>
      <c r="AT92" s="209" t="str">
        <f aca="false">IF(V92="","",VALUE(V92))</f>
        <v/>
      </c>
      <c r="AU92" s="208" t="str">
        <f aca="false">IF(W92="","",VALUE(W92))</f>
        <v/>
      </c>
      <c r="AV92" s="209" t="n">
        <f aca="false">IF(X92="","",VALUE(X92))</f>
        <v>51.5</v>
      </c>
      <c r="AW92" s="215"/>
      <c r="AX92" s="211" t="str">
        <f aca="false">Z92</f>
        <v>Pu</v>
      </c>
      <c r="AY92" s="212" t="n">
        <f aca="false">COUNT(AA92:AV92)</f>
        <v>6</v>
      </c>
      <c r="AZ92" s="210" t="n">
        <f aca="false">IF(AY92=0,"",MIN(AA92:AV92))</f>
        <v>51.46</v>
      </c>
      <c r="BA92" s="213" t="n">
        <f aca="false">IF(AY92=0,"",MAX(AA92:AV92))</f>
        <v>56.149</v>
      </c>
      <c r="BC92" s="214"/>
    </row>
    <row r="93" customFormat="false" ht="12.75" hidden="false" customHeight="false" outlineLevel="0" collapsed="false">
      <c r="A93" s="73"/>
      <c r="B93" s="38" t="s">
        <v>119</v>
      </c>
      <c r="C93" s="85"/>
      <c r="D93" s="101"/>
      <c r="E93" s="85"/>
      <c r="F93" s="101" t="n">
        <v>71.128</v>
      </c>
      <c r="G93" s="85" t="n">
        <v>71.128</v>
      </c>
      <c r="H93" s="101" t="n">
        <v>71.128</v>
      </c>
      <c r="I93" s="85"/>
      <c r="J93" s="101" t="n">
        <v>71.128</v>
      </c>
      <c r="K93" s="85"/>
      <c r="L93" s="101"/>
      <c r="M93" s="85"/>
      <c r="N93" s="63"/>
      <c r="O93" s="64" t="s">
        <v>664</v>
      </c>
      <c r="P93" s="63"/>
      <c r="Q93" s="136"/>
      <c r="R93" s="63"/>
      <c r="S93" s="64"/>
      <c r="T93" s="102"/>
      <c r="U93" s="62"/>
      <c r="V93" s="102"/>
      <c r="W93" s="62"/>
      <c r="X93" s="63" t="n">
        <v>71</v>
      </c>
      <c r="Z93" s="38" t="s">
        <v>119</v>
      </c>
      <c r="AA93" s="208" t="str">
        <f aca="false">IF(C93="","",VALUE(C93))</f>
        <v/>
      </c>
      <c r="AB93" s="209" t="str">
        <f aca="false">IF(D93="","",VALUE(D93))</f>
        <v/>
      </c>
      <c r="AC93" s="208" t="str">
        <f aca="false">IF(E93="","",VALUE(E93))</f>
        <v/>
      </c>
      <c r="AD93" s="209" t="n">
        <f aca="false">IF(F93="","",VALUE(F93))</f>
        <v>71.128</v>
      </c>
      <c r="AE93" s="208" t="n">
        <f aca="false">IF(G93="","",VALUE(G93))</f>
        <v>71.128</v>
      </c>
      <c r="AF93" s="209" t="n">
        <f aca="false">IF(H93="","",VALUE(H93))</f>
        <v>71.128</v>
      </c>
      <c r="AG93" s="208" t="str">
        <f aca="false">IF(I93="","",VALUE(I93))</f>
        <v/>
      </c>
      <c r="AH93" s="209" t="n">
        <f aca="false">IF(J93="","",VALUE(J93))</f>
        <v>71.128</v>
      </c>
      <c r="AI93" s="208" t="str">
        <f aca="false">IF(K93="","",VALUE(K93))</f>
        <v/>
      </c>
      <c r="AJ93" s="209" t="str">
        <f aca="false">IF(L93="","",VALUE(L93))</f>
        <v/>
      </c>
      <c r="AK93" s="208" t="str">
        <f aca="false">IF(M93="","",VALUE(M93))</f>
        <v/>
      </c>
      <c r="AL93" s="209" t="str">
        <f aca="false">IF(N93="","",VALUE(N93))</f>
        <v/>
      </c>
      <c r="AM93" s="208" t="n">
        <f aca="false">IF(O93="","",VALUE(O93))</f>
        <v>71</v>
      </c>
      <c r="AN93" s="209" t="str">
        <f aca="false">IF(P93="","",VALUE(P93))</f>
        <v/>
      </c>
      <c r="AO93" s="208" t="str">
        <f aca="false">IF(Q93="","",VALUE(Q93))</f>
        <v/>
      </c>
      <c r="AP93" s="209" t="str">
        <f aca="false">IF(R93="","",VALUE(R93))</f>
        <v/>
      </c>
      <c r="AQ93" s="208" t="str">
        <f aca="false">IF(S93="","",VALUE(S93))</f>
        <v/>
      </c>
      <c r="AR93" s="209" t="str">
        <f aca="false">IF(T93="","",VALUE(T93))</f>
        <v/>
      </c>
      <c r="AS93" s="208" t="str">
        <f aca="false">IF(U93="","",VALUE(U93))</f>
        <v/>
      </c>
      <c r="AT93" s="209" t="str">
        <f aca="false">IF(V93="","",VALUE(V93))</f>
        <v/>
      </c>
      <c r="AU93" s="208" t="str">
        <f aca="false">IF(W93="","",VALUE(W93))</f>
        <v/>
      </c>
      <c r="AV93" s="209" t="n">
        <f aca="false">IF(X93="","",VALUE(X93))</f>
        <v>71</v>
      </c>
      <c r="AW93" s="215"/>
      <c r="AX93" s="211" t="str">
        <f aca="false">Z93</f>
        <v>Ra</v>
      </c>
      <c r="AY93" s="212" t="n">
        <f aca="false">COUNT(AA93:AV93)</f>
        <v>6</v>
      </c>
      <c r="AZ93" s="210" t="n">
        <f aca="false">IF(AY93=0,"",MIN(AA93:AV93))</f>
        <v>71</v>
      </c>
      <c r="BA93" s="213" t="n">
        <f aca="false">IF(AY93=0,"",MAX(AA93:AV93))</f>
        <v>71.128</v>
      </c>
      <c r="BC93" s="214"/>
    </row>
    <row r="94" customFormat="false" ht="12.75" hidden="false" customHeight="false" outlineLevel="0" collapsed="false">
      <c r="A94" s="73"/>
      <c r="B94" s="38" t="s">
        <v>120</v>
      </c>
      <c r="C94" s="85"/>
      <c r="D94" s="101"/>
      <c r="E94" s="85" t="n">
        <v>71.965</v>
      </c>
      <c r="F94" s="101" t="n">
        <v>69.454</v>
      </c>
      <c r="G94" s="85" t="n">
        <v>76.232</v>
      </c>
      <c r="H94" s="101" t="n">
        <v>75.73</v>
      </c>
      <c r="I94" s="85"/>
      <c r="J94" s="101" t="n">
        <v>76.776</v>
      </c>
      <c r="K94" s="85"/>
      <c r="L94" s="101" t="n">
        <v>76.776</v>
      </c>
      <c r="M94" s="85" t="n">
        <v>76.776</v>
      </c>
      <c r="N94" s="63" t="n">
        <v>76.78</v>
      </c>
      <c r="O94" s="62" t="n">
        <v>76.78</v>
      </c>
      <c r="P94" s="63" t="n">
        <v>76.778</v>
      </c>
      <c r="Q94" s="136" t="n">
        <v>76.78</v>
      </c>
      <c r="R94" s="63"/>
      <c r="S94" s="64" t="s">
        <v>665</v>
      </c>
      <c r="T94" s="103" t="s">
        <v>665</v>
      </c>
      <c r="U94" s="62" t="n">
        <v>76.778</v>
      </c>
      <c r="V94" s="102"/>
      <c r="W94" s="64" t="s">
        <v>665</v>
      </c>
      <c r="X94" s="63" t="n">
        <v>76.78</v>
      </c>
      <c r="Z94" s="38" t="s">
        <v>120</v>
      </c>
      <c r="AA94" s="208" t="str">
        <f aca="false">IF(C94="","",VALUE(C94))</f>
        <v/>
      </c>
      <c r="AB94" s="209" t="str">
        <f aca="false">IF(D94="","",VALUE(D94))</f>
        <v/>
      </c>
      <c r="AC94" s="208" t="n">
        <f aca="false">IF(E94="","",VALUE(E94))</f>
        <v>71.965</v>
      </c>
      <c r="AD94" s="209" t="n">
        <f aca="false">IF(F94="","",VALUE(F94))</f>
        <v>69.454</v>
      </c>
      <c r="AE94" s="208" t="n">
        <f aca="false">IF(G94="","",VALUE(G94))</f>
        <v>76.232</v>
      </c>
      <c r="AF94" s="209" t="n">
        <f aca="false">IF(H94="","",VALUE(H94))</f>
        <v>75.73</v>
      </c>
      <c r="AG94" s="208" t="str">
        <f aca="false">IF(I94="","",VALUE(I94))</f>
        <v/>
      </c>
      <c r="AH94" s="209" t="n">
        <f aca="false">IF(J94="","",VALUE(J94))</f>
        <v>76.776</v>
      </c>
      <c r="AI94" s="208" t="str">
        <f aca="false">IF(K94="","",VALUE(K94))</f>
        <v/>
      </c>
      <c r="AJ94" s="209" t="n">
        <f aca="false">IF(L94="","",VALUE(L94))</f>
        <v>76.776</v>
      </c>
      <c r="AK94" s="208" t="n">
        <f aca="false">IF(M94="","",VALUE(M94))</f>
        <v>76.776</v>
      </c>
      <c r="AL94" s="209" t="n">
        <f aca="false">IF(N94="","",VALUE(N94))</f>
        <v>76.78</v>
      </c>
      <c r="AM94" s="208" t="n">
        <f aca="false">IF(O94="","",VALUE(O94))</f>
        <v>76.78</v>
      </c>
      <c r="AN94" s="209" t="n">
        <f aca="false">IF(P94="","",VALUE(P94))</f>
        <v>76.778</v>
      </c>
      <c r="AO94" s="208" t="n">
        <f aca="false">IF(Q94="","",VALUE(Q94))</f>
        <v>76.78</v>
      </c>
      <c r="AP94" s="209" t="str">
        <f aca="false">IF(R94="","",VALUE(R94))</f>
        <v/>
      </c>
      <c r="AQ94" s="208" t="n">
        <f aca="false">IF(S94="","",VALUE(S94))</f>
        <v>76.78</v>
      </c>
      <c r="AR94" s="209" t="n">
        <f aca="false">IF(T94="","",VALUE(T94))</f>
        <v>76.78</v>
      </c>
      <c r="AS94" s="208" t="n">
        <f aca="false">IF(U94="","",VALUE(U94))</f>
        <v>76.778</v>
      </c>
      <c r="AT94" s="209" t="str">
        <f aca="false">IF(V94="","",VALUE(V94))</f>
        <v/>
      </c>
      <c r="AU94" s="208" t="n">
        <f aca="false">IF(W94="","",VALUE(W94))</f>
        <v>76.78</v>
      </c>
      <c r="AV94" s="209" t="n">
        <f aca="false">IF(X94="","",VALUE(X94))</f>
        <v>76.78</v>
      </c>
      <c r="AW94" s="215"/>
      <c r="AX94" s="211" t="str">
        <f aca="false">Z94</f>
        <v>Rb</v>
      </c>
      <c r="AY94" s="212" t="n">
        <f aca="false">COUNT(AA94:AV94)</f>
        <v>16</v>
      </c>
      <c r="AZ94" s="210" t="n">
        <f aca="false">IF(AY94=0,"",MIN(AA94:AV94))</f>
        <v>69.454</v>
      </c>
      <c r="BA94" s="213" t="n">
        <f aca="false">IF(AY94=0,"",MAX(AA94:AV94))</f>
        <v>76.78</v>
      </c>
      <c r="BC94" s="214"/>
    </row>
    <row r="95" customFormat="false" ht="12.75" hidden="false" customHeight="false" outlineLevel="0" collapsed="false">
      <c r="A95" s="73"/>
      <c r="B95" s="31" t="s">
        <v>121</v>
      </c>
      <c r="C95" s="85"/>
      <c r="D95" s="101"/>
      <c r="E95" s="85"/>
      <c r="F95" s="101" t="n">
        <v>41.84</v>
      </c>
      <c r="G95" s="85" t="n">
        <v>37.196</v>
      </c>
      <c r="H95" s="101" t="n">
        <v>37.196</v>
      </c>
      <c r="I95" s="85"/>
      <c r="J95" s="101" t="n">
        <v>36.861</v>
      </c>
      <c r="K95" s="85"/>
      <c r="L95" s="101" t="n">
        <v>36.526</v>
      </c>
      <c r="M95" s="85" t="n">
        <v>36.526</v>
      </c>
      <c r="N95" s="63" t="n">
        <v>36.53</v>
      </c>
      <c r="O95" s="62" t="n">
        <v>36.86</v>
      </c>
      <c r="P95" s="63"/>
      <c r="Q95" s="136"/>
      <c r="R95" s="63"/>
      <c r="S95" s="64"/>
      <c r="T95" s="102" t="n">
        <v>36.526</v>
      </c>
      <c r="U95" s="62"/>
      <c r="V95" s="102"/>
      <c r="W95" s="62"/>
      <c r="X95" s="63" t="n">
        <v>36.9</v>
      </c>
      <c r="Z95" s="31" t="s">
        <v>121</v>
      </c>
      <c r="AA95" s="208" t="str">
        <f aca="false">IF(C95="","",VALUE(C95))</f>
        <v/>
      </c>
      <c r="AB95" s="209" t="str">
        <f aca="false">IF(D95="","",VALUE(D95))</f>
        <v/>
      </c>
      <c r="AC95" s="208" t="str">
        <f aca="false">IF(E95="","",VALUE(E95))</f>
        <v/>
      </c>
      <c r="AD95" s="209" t="n">
        <f aca="false">IF(F95="","",VALUE(F95))</f>
        <v>41.84</v>
      </c>
      <c r="AE95" s="208" t="n">
        <f aca="false">IF(G95="","",VALUE(G95))</f>
        <v>37.196</v>
      </c>
      <c r="AF95" s="209" t="n">
        <f aca="false">IF(H95="","",VALUE(H95))</f>
        <v>37.196</v>
      </c>
      <c r="AG95" s="208" t="str">
        <f aca="false">IF(I95="","",VALUE(I95))</f>
        <v/>
      </c>
      <c r="AH95" s="209" t="n">
        <f aca="false">IF(J95="","",VALUE(J95))</f>
        <v>36.861</v>
      </c>
      <c r="AI95" s="208" t="str">
        <f aca="false">IF(K95="","",VALUE(K95))</f>
        <v/>
      </c>
      <c r="AJ95" s="209" t="n">
        <f aca="false">IF(L95="","",VALUE(L95))</f>
        <v>36.526</v>
      </c>
      <c r="AK95" s="208" t="n">
        <f aca="false">IF(M95="","",VALUE(M95))</f>
        <v>36.526</v>
      </c>
      <c r="AL95" s="209" t="n">
        <f aca="false">IF(N95="","",VALUE(N95))</f>
        <v>36.53</v>
      </c>
      <c r="AM95" s="208" t="n">
        <f aca="false">IF(O95="","",VALUE(O95))</f>
        <v>36.86</v>
      </c>
      <c r="AN95" s="209" t="str">
        <f aca="false">IF(P95="","",VALUE(P95))</f>
        <v/>
      </c>
      <c r="AO95" s="208" t="str">
        <f aca="false">IF(Q95="","",VALUE(Q95))</f>
        <v/>
      </c>
      <c r="AP95" s="209" t="str">
        <f aca="false">IF(R95="","",VALUE(R95))</f>
        <v/>
      </c>
      <c r="AQ95" s="208" t="str">
        <f aca="false">IF(S95="","",VALUE(S95))</f>
        <v/>
      </c>
      <c r="AR95" s="209" t="n">
        <f aca="false">IF(T95="","",VALUE(T95))</f>
        <v>36.526</v>
      </c>
      <c r="AS95" s="208" t="str">
        <f aca="false">IF(U95="","",VALUE(U95))</f>
        <v/>
      </c>
      <c r="AT95" s="209" t="str">
        <f aca="false">IF(V95="","",VALUE(V95))</f>
        <v/>
      </c>
      <c r="AU95" s="208" t="str">
        <f aca="false">IF(W95="","",VALUE(W95))</f>
        <v/>
      </c>
      <c r="AV95" s="209" t="n">
        <f aca="false">IF(X95="","",VALUE(X95))</f>
        <v>36.9</v>
      </c>
      <c r="AW95" s="215"/>
      <c r="AX95" s="211" t="str">
        <f aca="false">Z95</f>
        <v>Re</v>
      </c>
      <c r="AY95" s="212" t="n">
        <f aca="false">COUNT(AA95:AV95)</f>
        <v>10</v>
      </c>
      <c r="AZ95" s="210" t="n">
        <f aca="false">IF(AY95=0,"",MIN(AA95:AV95))</f>
        <v>36.526</v>
      </c>
      <c r="BA95" s="213" t="n">
        <f aca="false">IF(AY95=0,"",MAX(AA95:AV95))</f>
        <v>41.84</v>
      </c>
      <c r="BC95" s="214"/>
    </row>
    <row r="96" customFormat="false" ht="12.75" hidden="false" customHeight="false" outlineLevel="0" collapsed="false">
      <c r="A96" s="73"/>
      <c r="B96" s="38" t="s">
        <v>122</v>
      </c>
      <c r="C96" s="85" t="n">
        <v>31.798</v>
      </c>
      <c r="D96" s="101" t="n">
        <v>31.798</v>
      </c>
      <c r="E96" s="85" t="n">
        <v>31.798</v>
      </c>
      <c r="F96" s="101" t="n">
        <v>31.798</v>
      </c>
      <c r="G96" s="85" t="n">
        <v>31.798</v>
      </c>
      <c r="H96" s="101" t="n">
        <v>31.506</v>
      </c>
      <c r="I96" s="85"/>
      <c r="J96" s="101" t="n">
        <v>31.506</v>
      </c>
      <c r="K96" s="85"/>
      <c r="L96" s="101" t="n">
        <v>31.506</v>
      </c>
      <c r="M96" s="85" t="n">
        <v>31.556</v>
      </c>
      <c r="N96" s="63" t="n">
        <v>31.54</v>
      </c>
      <c r="O96" s="62" t="n">
        <v>31.51</v>
      </c>
      <c r="P96" s="63"/>
      <c r="Q96" s="136"/>
      <c r="R96" s="63"/>
      <c r="S96" s="64"/>
      <c r="T96" s="102" t="n">
        <v>31.505</v>
      </c>
      <c r="U96" s="62"/>
      <c r="V96" s="102"/>
      <c r="W96" s="62"/>
      <c r="X96" s="63" t="n">
        <v>31.51</v>
      </c>
      <c r="Z96" s="38" t="s">
        <v>122</v>
      </c>
      <c r="AA96" s="208" t="n">
        <f aca="false">IF(C96="","",VALUE(C96))</f>
        <v>31.798</v>
      </c>
      <c r="AB96" s="209" t="n">
        <f aca="false">IF(D96="","",VALUE(D96))</f>
        <v>31.798</v>
      </c>
      <c r="AC96" s="208" t="n">
        <f aca="false">IF(E96="","",VALUE(E96))</f>
        <v>31.798</v>
      </c>
      <c r="AD96" s="209" t="n">
        <f aca="false">IF(F96="","",VALUE(F96))</f>
        <v>31.798</v>
      </c>
      <c r="AE96" s="208" t="n">
        <f aca="false">IF(G96="","",VALUE(G96))</f>
        <v>31.798</v>
      </c>
      <c r="AF96" s="209" t="n">
        <f aca="false">IF(H96="","",VALUE(H96))</f>
        <v>31.506</v>
      </c>
      <c r="AG96" s="208" t="str">
        <f aca="false">IF(I96="","",VALUE(I96))</f>
        <v/>
      </c>
      <c r="AH96" s="209" t="n">
        <f aca="false">IF(J96="","",VALUE(J96))</f>
        <v>31.506</v>
      </c>
      <c r="AI96" s="208" t="str">
        <f aca="false">IF(K96="","",VALUE(K96))</f>
        <v/>
      </c>
      <c r="AJ96" s="209" t="n">
        <f aca="false">IF(L96="","",VALUE(L96))</f>
        <v>31.506</v>
      </c>
      <c r="AK96" s="208" t="n">
        <f aca="false">IF(M96="","",VALUE(M96))</f>
        <v>31.556</v>
      </c>
      <c r="AL96" s="209" t="n">
        <f aca="false">IF(N96="","",VALUE(N96))</f>
        <v>31.54</v>
      </c>
      <c r="AM96" s="208" t="n">
        <f aca="false">IF(O96="","",VALUE(O96))</f>
        <v>31.51</v>
      </c>
      <c r="AN96" s="209" t="str">
        <f aca="false">IF(P96="","",VALUE(P96))</f>
        <v/>
      </c>
      <c r="AO96" s="208" t="str">
        <f aca="false">IF(Q96="","",VALUE(Q96))</f>
        <v/>
      </c>
      <c r="AP96" s="209" t="str">
        <f aca="false">IF(R96="","",VALUE(R96))</f>
        <v/>
      </c>
      <c r="AQ96" s="208" t="str">
        <f aca="false">IF(S96="","",VALUE(S96))</f>
        <v/>
      </c>
      <c r="AR96" s="209" t="n">
        <f aca="false">IF(T96="","",VALUE(T96))</f>
        <v>31.505</v>
      </c>
      <c r="AS96" s="208" t="str">
        <f aca="false">IF(U96="","",VALUE(U96))</f>
        <v/>
      </c>
      <c r="AT96" s="209" t="str">
        <f aca="false">IF(V96="","",VALUE(V96))</f>
        <v/>
      </c>
      <c r="AU96" s="208" t="str">
        <f aca="false">IF(W96="","",VALUE(W96))</f>
        <v/>
      </c>
      <c r="AV96" s="209" t="n">
        <f aca="false">IF(X96="","",VALUE(X96))</f>
        <v>31.51</v>
      </c>
      <c r="AW96" s="215"/>
      <c r="AX96" s="211" t="str">
        <f aca="false">Z96</f>
        <v>Rh</v>
      </c>
      <c r="AY96" s="212" t="n">
        <f aca="false">COUNT(AA96:AV96)</f>
        <v>13</v>
      </c>
      <c r="AZ96" s="210" t="n">
        <f aca="false">IF(AY96=0,"",MIN(AA96:AV96))</f>
        <v>31.505</v>
      </c>
      <c r="BA96" s="213" t="n">
        <f aca="false">IF(AY96=0,"",MAX(AA96:AV96))</f>
        <v>31.798</v>
      </c>
      <c r="BC96" s="214"/>
    </row>
    <row r="97" customFormat="false" ht="12.75" hidden="false" customHeight="false" outlineLevel="0" collapsed="false">
      <c r="A97" s="73"/>
      <c r="B97" s="31" t="s">
        <v>123</v>
      </c>
      <c r="C97" s="85"/>
      <c r="D97" s="101" t="n">
        <v>175.042</v>
      </c>
      <c r="E97" s="85" t="n">
        <v>176.256</v>
      </c>
      <c r="F97" s="101" t="n">
        <v>176.256</v>
      </c>
      <c r="G97" s="85" t="n">
        <v>176.256</v>
      </c>
      <c r="H97" s="101" t="n">
        <v>176.256</v>
      </c>
      <c r="I97" s="85"/>
      <c r="J97" s="101" t="n">
        <v>176.214</v>
      </c>
      <c r="K97" s="85"/>
      <c r="L97" s="101" t="n">
        <v>176.231</v>
      </c>
      <c r="M97" s="85"/>
      <c r="N97" s="63" t="n">
        <v>176.23</v>
      </c>
      <c r="O97" s="62" t="n">
        <v>176.21</v>
      </c>
      <c r="P97" s="63" t="n">
        <v>176.235</v>
      </c>
      <c r="Q97" s="136"/>
      <c r="R97" s="63" t="s">
        <v>666</v>
      </c>
      <c r="S97" s="64"/>
      <c r="T97" s="102" t="n">
        <v>176.231</v>
      </c>
      <c r="U97" s="62" t="n">
        <v>176.235</v>
      </c>
      <c r="V97" s="102"/>
      <c r="W97" s="62"/>
      <c r="X97" s="63" t="n">
        <v>176.235</v>
      </c>
      <c r="Z97" s="31" t="s">
        <v>123</v>
      </c>
      <c r="AA97" s="208" t="str">
        <f aca="false">IF(C97="","",VALUE(C97))</f>
        <v/>
      </c>
      <c r="AB97" s="209" t="n">
        <f aca="false">IF(D97="","",VALUE(D97))</f>
        <v>175.042</v>
      </c>
      <c r="AC97" s="208" t="n">
        <f aca="false">IF(E97="","",VALUE(E97))</f>
        <v>176.256</v>
      </c>
      <c r="AD97" s="209" t="n">
        <f aca="false">IF(F97="","",VALUE(F97))</f>
        <v>176.256</v>
      </c>
      <c r="AE97" s="208" t="n">
        <f aca="false">IF(G97="","",VALUE(G97))</f>
        <v>176.256</v>
      </c>
      <c r="AF97" s="209" t="n">
        <f aca="false">IF(H97="","",VALUE(H97))</f>
        <v>176.256</v>
      </c>
      <c r="AG97" s="208" t="str">
        <f aca="false">IF(I97="","",VALUE(I97))</f>
        <v/>
      </c>
      <c r="AH97" s="209" t="n">
        <f aca="false">IF(J97="","",VALUE(J97))</f>
        <v>176.214</v>
      </c>
      <c r="AI97" s="208" t="str">
        <f aca="false">IF(K97="","",VALUE(K97))</f>
        <v/>
      </c>
      <c r="AJ97" s="209" t="n">
        <f aca="false">IF(L97="","",VALUE(L97))</f>
        <v>176.231</v>
      </c>
      <c r="AK97" s="208" t="str">
        <f aca="false">IF(M97="","",VALUE(M97))</f>
        <v/>
      </c>
      <c r="AL97" s="209" t="n">
        <f aca="false">IF(N97="","",VALUE(N97))</f>
        <v>176.23</v>
      </c>
      <c r="AM97" s="208" t="n">
        <f aca="false">IF(O97="","",VALUE(O97))</f>
        <v>176.21</v>
      </c>
      <c r="AN97" s="209" t="n">
        <f aca="false">IF(P97="","",VALUE(P97))</f>
        <v>176.235</v>
      </c>
      <c r="AO97" s="208" t="str">
        <f aca="false">IF(Q97="","",VALUE(Q97))</f>
        <v/>
      </c>
      <c r="AP97" s="209" t="n">
        <f aca="false">IF(R97="","",VALUE(R97))</f>
        <v>176.235</v>
      </c>
      <c r="AQ97" s="208" t="str">
        <f aca="false">IF(S97="","",VALUE(S97))</f>
        <v/>
      </c>
      <c r="AR97" s="209" t="n">
        <f aca="false">IF(T97="","",VALUE(T97))</f>
        <v>176.231</v>
      </c>
      <c r="AS97" s="208" t="n">
        <f aca="false">IF(U97="","",VALUE(U97))</f>
        <v>176.235</v>
      </c>
      <c r="AT97" s="209" t="str">
        <f aca="false">IF(V97="","",VALUE(V97))</f>
        <v/>
      </c>
      <c r="AU97" s="208" t="str">
        <f aca="false">IF(W97="","",VALUE(W97))</f>
        <v/>
      </c>
      <c r="AV97" s="209" t="n">
        <f aca="false">IF(X97="","",VALUE(X97))</f>
        <v>176.235</v>
      </c>
      <c r="AW97" s="215"/>
      <c r="AX97" s="211" t="str">
        <f aca="false">Z97</f>
        <v>Rn</v>
      </c>
      <c r="AY97" s="212" t="n">
        <f aca="false">COUNT(AA97:AV97)</f>
        <v>14</v>
      </c>
      <c r="AZ97" s="210" t="n">
        <f aca="false">IF(AY97=0,"",MIN(AA97:AV97))</f>
        <v>175.042</v>
      </c>
      <c r="BA97" s="213" t="n">
        <f aca="false">IF(AY97=0,"",MAX(AA97:AV97))</f>
        <v>176.256</v>
      </c>
      <c r="BC97" s="214"/>
    </row>
    <row r="98" customFormat="false" ht="12.75" hidden="false" customHeight="false" outlineLevel="0" collapsed="false">
      <c r="A98" s="73"/>
      <c r="B98" s="38" t="s">
        <v>124</v>
      </c>
      <c r="C98" s="85" t="n">
        <v>28.87</v>
      </c>
      <c r="D98" s="101" t="n">
        <v>28.87</v>
      </c>
      <c r="E98" s="85" t="n">
        <v>28.87</v>
      </c>
      <c r="F98" s="101" t="n">
        <v>28.87</v>
      </c>
      <c r="G98" s="85" t="n">
        <v>28.87</v>
      </c>
      <c r="H98" s="101" t="n">
        <v>28.535</v>
      </c>
      <c r="I98" s="85"/>
      <c r="J98" s="101" t="n">
        <v>28.535</v>
      </c>
      <c r="K98" s="85"/>
      <c r="L98" s="101" t="n">
        <v>28.535</v>
      </c>
      <c r="M98" s="85" t="n">
        <v>28.614</v>
      </c>
      <c r="N98" s="63" t="n">
        <v>28.53</v>
      </c>
      <c r="O98" s="62" t="n">
        <v>28.53</v>
      </c>
      <c r="P98" s="63"/>
      <c r="Q98" s="136"/>
      <c r="R98" s="63"/>
      <c r="S98" s="64"/>
      <c r="T98" s="102" t="n">
        <v>28.535</v>
      </c>
      <c r="U98" s="62"/>
      <c r="V98" s="102"/>
      <c r="W98" s="62"/>
      <c r="X98" s="63" t="n">
        <v>28.53</v>
      </c>
      <c r="Z98" s="38" t="s">
        <v>124</v>
      </c>
      <c r="AA98" s="208" t="n">
        <f aca="false">IF(C98="","",VALUE(C98))</f>
        <v>28.87</v>
      </c>
      <c r="AB98" s="209" t="n">
        <f aca="false">IF(D98="","",VALUE(D98))</f>
        <v>28.87</v>
      </c>
      <c r="AC98" s="208" t="n">
        <f aca="false">IF(E98="","",VALUE(E98))</f>
        <v>28.87</v>
      </c>
      <c r="AD98" s="209" t="n">
        <f aca="false">IF(F98="","",VALUE(F98))</f>
        <v>28.87</v>
      </c>
      <c r="AE98" s="208" t="n">
        <f aca="false">IF(G98="","",VALUE(G98))</f>
        <v>28.87</v>
      </c>
      <c r="AF98" s="209" t="n">
        <f aca="false">IF(H98="","",VALUE(H98))</f>
        <v>28.535</v>
      </c>
      <c r="AG98" s="208" t="str">
        <f aca="false">IF(I98="","",VALUE(I98))</f>
        <v/>
      </c>
      <c r="AH98" s="209" t="n">
        <f aca="false">IF(J98="","",VALUE(J98))</f>
        <v>28.535</v>
      </c>
      <c r="AI98" s="208" t="str">
        <f aca="false">IF(K98="","",VALUE(K98))</f>
        <v/>
      </c>
      <c r="AJ98" s="209" t="n">
        <f aca="false">IF(L98="","",VALUE(L98))</f>
        <v>28.535</v>
      </c>
      <c r="AK98" s="208" t="n">
        <f aca="false">IF(M98="","",VALUE(M98))</f>
        <v>28.614</v>
      </c>
      <c r="AL98" s="209" t="n">
        <f aca="false">IF(N98="","",VALUE(N98))</f>
        <v>28.53</v>
      </c>
      <c r="AM98" s="208" t="n">
        <f aca="false">IF(O98="","",VALUE(O98))</f>
        <v>28.53</v>
      </c>
      <c r="AN98" s="209" t="str">
        <f aca="false">IF(P98="","",VALUE(P98))</f>
        <v/>
      </c>
      <c r="AO98" s="208" t="str">
        <f aca="false">IF(Q98="","",VALUE(Q98))</f>
        <v/>
      </c>
      <c r="AP98" s="209" t="str">
        <f aca="false">IF(R98="","",VALUE(R98))</f>
        <v/>
      </c>
      <c r="AQ98" s="208" t="str">
        <f aca="false">IF(S98="","",VALUE(S98))</f>
        <v/>
      </c>
      <c r="AR98" s="209" t="n">
        <f aca="false">IF(T98="","",VALUE(T98))</f>
        <v>28.535</v>
      </c>
      <c r="AS98" s="208" t="str">
        <f aca="false">IF(U98="","",VALUE(U98))</f>
        <v/>
      </c>
      <c r="AT98" s="209" t="str">
        <f aca="false">IF(V98="","",VALUE(V98))</f>
        <v/>
      </c>
      <c r="AU98" s="208" t="str">
        <f aca="false">IF(W98="","",VALUE(W98))</f>
        <v/>
      </c>
      <c r="AV98" s="209" t="n">
        <f aca="false">IF(X98="","",VALUE(X98))</f>
        <v>28.53</v>
      </c>
      <c r="AW98" s="215"/>
      <c r="AX98" s="211" t="str">
        <f aca="false">Z98</f>
        <v>Ru</v>
      </c>
      <c r="AY98" s="212" t="n">
        <f aca="false">COUNT(AA98:AV98)</f>
        <v>13</v>
      </c>
      <c r="AZ98" s="210" t="n">
        <f aca="false">IF(AY98=0,"",MIN(AA98:AV98))</f>
        <v>28.53</v>
      </c>
      <c r="BA98" s="213" t="n">
        <f aca="false">IF(AY98=0,"",MAX(AA98:AV98))</f>
        <v>28.87</v>
      </c>
      <c r="BC98" s="214"/>
    </row>
    <row r="99" customFormat="false" ht="12.75" hidden="false" customHeight="false" outlineLevel="0" collapsed="false">
      <c r="A99" s="73"/>
      <c r="B99" s="38" t="s">
        <v>125</v>
      </c>
      <c r="C99" s="85" t="n">
        <v>31.798</v>
      </c>
      <c r="D99" s="101" t="n">
        <v>31.798</v>
      </c>
      <c r="E99" s="85" t="n">
        <v>31.798</v>
      </c>
      <c r="F99" s="101" t="n">
        <v>31.882</v>
      </c>
      <c r="G99" s="85" t="n">
        <v>31.882</v>
      </c>
      <c r="H99" s="101" t="n">
        <v>31.882</v>
      </c>
      <c r="I99" s="85" t="n">
        <v>31.798</v>
      </c>
      <c r="J99" s="101" t="n">
        <v>31.798</v>
      </c>
      <c r="K99" s="85" t="n">
        <v>31.928</v>
      </c>
      <c r="L99" s="101" t="n">
        <v>31.798</v>
      </c>
      <c r="M99" s="85" t="n">
        <v>32.054</v>
      </c>
      <c r="N99" s="65" t="s">
        <v>667</v>
      </c>
      <c r="O99" s="64" t="s">
        <v>667</v>
      </c>
      <c r="P99" s="63" t="n">
        <v>32.056</v>
      </c>
      <c r="Q99" s="136" t="n">
        <v>32.054</v>
      </c>
      <c r="R99" s="63" t="s">
        <v>668</v>
      </c>
      <c r="S99" s="64" t="n">
        <v>32.054</v>
      </c>
      <c r="T99" s="102" t="n">
        <v>32.056</v>
      </c>
      <c r="U99" s="62" t="n">
        <v>32.056</v>
      </c>
      <c r="V99" s="102" t="n">
        <v>32.05</v>
      </c>
      <c r="W99" s="64" t="s">
        <v>668</v>
      </c>
      <c r="X99" s="63" t="n">
        <v>32.054</v>
      </c>
      <c r="Z99" s="38" t="s">
        <v>125</v>
      </c>
      <c r="AA99" s="208" t="n">
        <f aca="false">IF(C99="","",VALUE(C99))</f>
        <v>31.798</v>
      </c>
      <c r="AB99" s="209" t="n">
        <f aca="false">IF(D99="","",VALUE(D99))</f>
        <v>31.798</v>
      </c>
      <c r="AC99" s="208" t="n">
        <f aca="false">IF(E99="","",VALUE(E99))</f>
        <v>31.798</v>
      </c>
      <c r="AD99" s="209" t="n">
        <f aca="false">IF(F99="","",VALUE(F99))</f>
        <v>31.882</v>
      </c>
      <c r="AE99" s="208" t="n">
        <f aca="false">IF(G99="","",VALUE(G99))</f>
        <v>31.882</v>
      </c>
      <c r="AF99" s="209" t="n">
        <f aca="false">IF(H99="","",VALUE(H99))</f>
        <v>31.882</v>
      </c>
      <c r="AG99" s="208" t="n">
        <f aca="false">IF(I99="","",VALUE(I99))</f>
        <v>31.798</v>
      </c>
      <c r="AH99" s="209" t="n">
        <f aca="false">IF(J99="","",VALUE(J99))</f>
        <v>31.798</v>
      </c>
      <c r="AI99" s="208" t="n">
        <f aca="false">IF(K99="","",VALUE(K99))</f>
        <v>31.928</v>
      </c>
      <c r="AJ99" s="209" t="n">
        <f aca="false">IF(L99="","",VALUE(L99))</f>
        <v>31.798</v>
      </c>
      <c r="AK99" s="208" t="n">
        <f aca="false">IF(M99="","",VALUE(M99))</f>
        <v>32.054</v>
      </c>
      <c r="AL99" s="209" t="n">
        <f aca="false">IF(N99="","",VALUE(N99))</f>
        <v>31.8</v>
      </c>
      <c r="AM99" s="208" t="n">
        <f aca="false">IF(O99="","",VALUE(O99))</f>
        <v>31.8</v>
      </c>
      <c r="AN99" s="209" t="n">
        <f aca="false">IF(P99="","",VALUE(P99))</f>
        <v>32.056</v>
      </c>
      <c r="AO99" s="208" t="n">
        <f aca="false">IF(Q99="","",VALUE(Q99))</f>
        <v>32.054</v>
      </c>
      <c r="AP99" s="209" t="n">
        <f aca="false">IF(R99="","",VALUE(R99))</f>
        <v>32.07</v>
      </c>
      <c r="AQ99" s="208" t="n">
        <f aca="false">IF(S99="","",VALUE(S99))</f>
        <v>32.054</v>
      </c>
      <c r="AR99" s="209" t="n">
        <f aca="false">IF(T99="","",VALUE(T99))</f>
        <v>32.056</v>
      </c>
      <c r="AS99" s="208" t="n">
        <f aca="false">IF(U99="","",VALUE(U99))</f>
        <v>32.056</v>
      </c>
      <c r="AT99" s="209" t="n">
        <f aca="false">IF(V99="","",VALUE(V99))</f>
        <v>32.05</v>
      </c>
      <c r="AU99" s="208" t="n">
        <f aca="false">IF(W99="","",VALUE(W99))</f>
        <v>32.07</v>
      </c>
      <c r="AV99" s="209" t="n">
        <f aca="false">IF(X99="","",VALUE(X99))</f>
        <v>32.054</v>
      </c>
      <c r="AW99" s="215"/>
      <c r="AX99" s="211" t="str">
        <f aca="false">Z99</f>
        <v>S</v>
      </c>
      <c r="AY99" s="212" t="n">
        <f aca="false">COUNT(AA99:AV99)</f>
        <v>22</v>
      </c>
      <c r="AZ99" s="210" t="n">
        <f aca="false">IF(AY99=0,"",MIN(AA99:AV99))</f>
        <v>31.798</v>
      </c>
      <c r="BA99" s="213" t="n">
        <f aca="false">IF(AY99=0,"",MAX(AA99:AV99))</f>
        <v>32.07</v>
      </c>
      <c r="BC99" s="214"/>
    </row>
    <row r="100" customFormat="false" ht="12.75" hidden="false" customHeight="false" outlineLevel="0" collapsed="false">
      <c r="A100" s="73"/>
      <c r="B100" s="31" t="s">
        <v>126</v>
      </c>
      <c r="C100" s="85"/>
      <c r="D100" s="101"/>
      <c r="E100" s="85" t="n">
        <v>43.932</v>
      </c>
      <c r="F100" s="101" t="n">
        <v>43.932</v>
      </c>
      <c r="G100" s="85" t="n">
        <v>45.689</v>
      </c>
      <c r="H100" s="101" t="n">
        <v>45.689</v>
      </c>
      <c r="I100" s="85" t="n">
        <v>45.689</v>
      </c>
      <c r="J100" s="101" t="n">
        <v>45.689</v>
      </c>
      <c r="K100" s="85"/>
      <c r="L100" s="101" t="n">
        <v>45.522</v>
      </c>
      <c r="M100" s="85" t="n">
        <v>45.522</v>
      </c>
      <c r="N100" s="63" t="n">
        <v>45.52</v>
      </c>
      <c r="O100" s="62" t="n">
        <v>45.69</v>
      </c>
      <c r="P100" s="63"/>
      <c r="Q100" s="136"/>
      <c r="R100" s="63"/>
      <c r="S100" s="64" t="s">
        <v>669</v>
      </c>
      <c r="T100" s="102" t="n">
        <v>45.522</v>
      </c>
      <c r="U100" s="62"/>
      <c r="V100" s="102" t="n">
        <v>45.52</v>
      </c>
      <c r="W100" s="62"/>
      <c r="X100" s="63" t="n">
        <v>45.7</v>
      </c>
      <c r="Z100" s="31" t="s">
        <v>126</v>
      </c>
      <c r="AA100" s="208" t="str">
        <f aca="false">IF(C100="","",VALUE(C100))</f>
        <v/>
      </c>
      <c r="AB100" s="209" t="str">
        <f aca="false">IF(D100="","",VALUE(D100))</f>
        <v/>
      </c>
      <c r="AC100" s="208" t="n">
        <f aca="false">IF(E100="","",VALUE(E100))</f>
        <v>43.932</v>
      </c>
      <c r="AD100" s="209" t="n">
        <f aca="false">IF(F100="","",VALUE(F100))</f>
        <v>43.932</v>
      </c>
      <c r="AE100" s="208" t="n">
        <f aca="false">IF(G100="","",VALUE(G100))</f>
        <v>45.689</v>
      </c>
      <c r="AF100" s="209" t="n">
        <f aca="false">IF(H100="","",VALUE(H100))</f>
        <v>45.689</v>
      </c>
      <c r="AG100" s="208" t="n">
        <f aca="false">IF(I100="","",VALUE(I100))</f>
        <v>45.689</v>
      </c>
      <c r="AH100" s="209" t="n">
        <f aca="false">IF(J100="","",VALUE(J100))</f>
        <v>45.689</v>
      </c>
      <c r="AI100" s="208" t="str">
        <f aca="false">IF(K100="","",VALUE(K100))</f>
        <v/>
      </c>
      <c r="AJ100" s="209" t="n">
        <f aca="false">IF(L100="","",VALUE(L100))</f>
        <v>45.522</v>
      </c>
      <c r="AK100" s="208" t="n">
        <f aca="false">IF(M100="","",VALUE(M100))</f>
        <v>45.522</v>
      </c>
      <c r="AL100" s="209" t="n">
        <f aca="false">IF(N100="","",VALUE(N100))</f>
        <v>45.52</v>
      </c>
      <c r="AM100" s="208" t="n">
        <f aca="false">IF(O100="","",VALUE(O100))</f>
        <v>45.69</v>
      </c>
      <c r="AN100" s="209" t="str">
        <f aca="false">IF(P100="","",VALUE(P100))</f>
        <v/>
      </c>
      <c r="AO100" s="208" t="str">
        <f aca="false">IF(Q100="","",VALUE(Q100))</f>
        <v/>
      </c>
      <c r="AP100" s="209" t="str">
        <f aca="false">IF(R100="","",VALUE(R100))</f>
        <v/>
      </c>
      <c r="AQ100" s="208" t="n">
        <f aca="false">IF(S100="","",VALUE(S100))</f>
        <v>45.52</v>
      </c>
      <c r="AR100" s="209" t="n">
        <f aca="false">IF(T100="","",VALUE(T100))</f>
        <v>45.522</v>
      </c>
      <c r="AS100" s="208" t="str">
        <f aca="false">IF(U100="","",VALUE(U100))</f>
        <v/>
      </c>
      <c r="AT100" s="209" t="n">
        <f aca="false">IF(V100="","",VALUE(V100))</f>
        <v>45.52</v>
      </c>
      <c r="AU100" s="208" t="str">
        <f aca="false">IF(W100="","",VALUE(W100))</f>
        <v/>
      </c>
      <c r="AV100" s="209" t="n">
        <f aca="false">IF(X100="","",VALUE(X100))</f>
        <v>45.7</v>
      </c>
      <c r="AW100" s="215"/>
      <c r="AX100" s="211" t="str">
        <f aca="false">Z100</f>
        <v>Sb</v>
      </c>
      <c r="AY100" s="212" t="n">
        <f aca="false">COUNT(AA100:AV100)</f>
        <v>14</v>
      </c>
      <c r="AZ100" s="210" t="n">
        <f aca="false">IF(AY100=0,"",MIN(AA100:AV100))</f>
        <v>43.932</v>
      </c>
      <c r="BA100" s="213" t="n">
        <f aca="false">IF(AY100=0,"",MAX(AA100:AV100))</f>
        <v>45.7</v>
      </c>
      <c r="BC100" s="214"/>
    </row>
    <row r="101" customFormat="false" ht="12.75" hidden="false" customHeight="false" outlineLevel="0" collapsed="false">
      <c r="A101" s="73"/>
      <c r="B101" s="31" t="s">
        <v>127</v>
      </c>
      <c r="C101" s="85"/>
      <c r="D101" s="101"/>
      <c r="E101" s="85"/>
      <c r="F101" s="101"/>
      <c r="G101" s="85" t="n">
        <v>37.656</v>
      </c>
      <c r="H101" s="101" t="n">
        <v>37.656</v>
      </c>
      <c r="I101" s="85"/>
      <c r="J101" s="101" t="n">
        <v>34.644</v>
      </c>
      <c r="K101" s="85"/>
      <c r="L101" s="101" t="n">
        <v>34.644</v>
      </c>
      <c r="M101" s="85" t="n">
        <v>34.644</v>
      </c>
      <c r="N101" s="63" t="n">
        <v>34.64</v>
      </c>
      <c r="O101" s="62" t="n">
        <v>34.64</v>
      </c>
      <c r="P101" s="63"/>
      <c r="Q101" s="136"/>
      <c r="R101" s="63"/>
      <c r="S101" s="64"/>
      <c r="T101" s="102" t="n">
        <v>34.644</v>
      </c>
      <c r="U101" s="62"/>
      <c r="V101" s="102"/>
      <c r="W101" s="62"/>
      <c r="X101" s="63" t="n">
        <v>34.64</v>
      </c>
      <c r="Z101" s="31" t="s">
        <v>127</v>
      </c>
      <c r="AA101" s="208" t="str">
        <f aca="false">IF(C101="","",VALUE(C101))</f>
        <v/>
      </c>
      <c r="AB101" s="209" t="str">
        <f aca="false">IF(D101="","",VALUE(D101))</f>
        <v/>
      </c>
      <c r="AC101" s="208" t="str">
        <f aca="false">IF(E101="","",VALUE(E101))</f>
        <v/>
      </c>
      <c r="AD101" s="209" t="str">
        <f aca="false">IF(F101="","",VALUE(F101))</f>
        <v/>
      </c>
      <c r="AE101" s="208" t="n">
        <f aca="false">IF(G101="","",VALUE(G101))</f>
        <v>37.656</v>
      </c>
      <c r="AF101" s="209" t="n">
        <f aca="false">IF(H101="","",VALUE(H101))</f>
        <v>37.656</v>
      </c>
      <c r="AG101" s="208" t="str">
        <f aca="false">IF(I101="","",VALUE(I101))</f>
        <v/>
      </c>
      <c r="AH101" s="209" t="n">
        <f aca="false">IF(J101="","",VALUE(J101))</f>
        <v>34.644</v>
      </c>
      <c r="AI101" s="208" t="str">
        <f aca="false">IF(K101="","",VALUE(K101))</f>
        <v/>
      </c>
      <c r="AJ101" s="209" t="n">
        <f aca="false">IF(L101="","",VALUE(L101))</f>
        <v>34.644</v>
      </c>
      <c r="AK101" s="208" t="n">
        <f aca="false">IF(M101="","",VALUE(M101))</f>
        <v>34.644</v>
      </c>
      <c r="AL101" s="209" t="n">
        <f aca="false">IF(N101="","",VALUE(N101))</f>
        <v>34.64</v>
      </c>
      <c r="AM101" s="208" t="n">
        <f aca="false">IF(O101="","",VALUE(O101))</f>
        <v>34.64</v>
      </c>
      <c r="AN101" s="209" t="str">
        <f aca="false">IF(P101="","",VALUE(P101))</f>
        <v/>
      </c>
      <c r="AO101" s="208" t="str">
        <f aca="false">IF(Q101="","",VALUE(Q101))</f>
        <v/>
      </c>
      <c r="AP101" s="209" t="str">
        <f aca="false">IF(R101="","",VALUE(R101))</f>
        <v/>
      </c>
      <c r="AQ101" s="208" t="str">
        <f aca="false">IF(S101="","",VALUE(S101))</f>
        <v/>
      </c>
      <c r="AR101" s="209" t="n">
        <f aca="false">IF(T101="","",VALUE(T101))</f>
        <v>34.644</v>
      </c>
      <c r="AS101" s="208" t="str">
        <f aca="false">IF(U101="","",VALUE(U101))</f>
        <v/>
      </c>
      <c r="AT101" s="209" t="str">
        <f aca="false">IF(V101="","",VALUE(V101))</f>
        <v/>
      </c>
      <c r="AU101" s="208" t="str">
        <f aca="false">IF(W101="","",VALUE(W101))</f>
        <v/>
      </c>
      <c r="AV101" s="209" t="n">
        <f aca="false">IF(X101="","",VALUE(X101))</f>
        <v>34.64</v>
      </c>
      <c r="AW101" s="215"/>
      <c r="AX101" s="211" t="str">
        <f aca="false">Z101</f>
        <v>Sc</v>
      </c>
      <c r="AY101" s="212" t="n">
        <f aca="false">COUNT(AA101:AV101)</f>
        <v>9</v>
      </c>
      <c r="AZ101" s="210" t="n">
        <f aca="false">IF(AY101=0,"",MIN(AA101:AV101))</f>
        <v>34.64</v>
      </c>
      <c r="BA101" s="213" t="n">
        <f aca="false">IF(AY101=0,"",MAX(AA101:AV101))</f>
        <v>37.656</v>
      </c>
      <c r="BC101" s="214"/>
    </row>
    <row r="102" customFormat="false" ht="12.75" hidden="false" customHeight="false" outlineLevel="0" collapsed="false">
      <c r="A102" s="73"/>
      <c r="B102" s="38" t="s">
        <v>128</v>
      </c>
      <c r="C102" s="85"/>
      <c r="D102" s="101"/>
      <c r="E102" s="85"/>
      <c r="F102" s="101" t="n">
        <v>41.84</v>
      </c>
      <c r="G102" s="85" t="n">
        <v>42.468</v>
      </c>
      <c r="H102" s="101" t="n">
        <v>42.426</v>
      </c>
      <c r="I102" s="85" t="n">
        <v>42.442</v>
      </c>
      <c r="J102" s="101" t="n">
        <v>42.442</v>
      </c>
      <c r="K102" s="85"/>
      <c r="L102" s="101" t="n">
        <v>41.966</v>
      </c>
      <c r="M102" s="85" t="n">
        <v>42.442</v>
      </c>
      <c r="N102" s="63" t="n">
        <v>42.27</v>
      </c>
      <c r="O102" s="62" t="n">
        <v>42.442</v>
      </c>
      <c r="P102" s="63"/>
      <c r="Q102" s="136"/>
      <c r="R102" s="63"/>
      <c r="S102" s="64" t="s">
        <v>670</v>
      </c>
      <c r="T102" s="102" t="n">
        <v>42.258</v>
      </c>
      <c r="U102" s="62"/>
      <c r="V102" s="102" t="n">
        <v>42.27</v>
      </c>
      <c r="W102" s="62"/>
      <c r="X102" s="63" t="n">
        <v>41.97</v>
      </c>
      <c r="Z102" s="38" t="s">
        <v>128</v>
      </c>
      <c r="AA102" s="208" t="str">
        <f aca="false">IF(C102="","",VALUE(C102))</f>
        <v/>
      </c>
      <c r="AB102" s="209" t="str">
        <f aca="false">IF(D102="","",VALUE(D102))</f>
        <v/>
      </c>
      <c r="AC102" s="208" t="str">
        <f aca="false">IF(E102="","",VALUE(E102))</f>
        <v/>
      </c>
      <c r="AD102" s="209" t="n">
        <f aca="false">IF(F102="","",VALUE(F102))</f>
        <v>41.84</v>
      </c>
      <c r="AE102" s="208" t="n">
        <f aca="false">IF(G102="","",VALUE(G102))</f>
        <v>42.468</v>
      </c>
      <c r="AF102" s="209" t="n">
        <f aca="false">IF(H102="","",VALUE(H102))</f>
        <v>42.426</v>
      </c>
      <c r="AG102" s="208" t="n">
        <f aca="false">IF(I102="","",VALUE(I102))</f>
        <v>42.442</v>
      </c>
      <c r="AH102" s="209" t="n">
        <f aca="false">IF(J102="","",VALUE(J102))</f>
        <v>42.442</v>
      </c>
      <c r="AI102" s="208" t="str">
        <f aca="false">IF(K102="","",VALUE(K102))</f>
        <v/>
      </c>
      <c r="AJ102" s="209" t="n">
        <f aca="false">IF(L102="","",VALUE(L102))</f>
        <v>41.966</v>
      </c>
      <c r="AK102" s="208" t="n">
        <f aca="false">IF(M102="","",VALUE(M102))</f>
        <v>42.442</v>
      </c>
      <c r="AL102" s="209" t="n">
        <f aca="false">IF(N102="","",VALUE(N102))</f>
        <v>42.27</v>
      </c>
      <c r="AM102" s="208" t="n">
        <f aca="false">IF(O102="","",VALUE(O102))</f>
        <v>42.442</v>
      </c>
      <c r="AN102" s="209" t="str">
        <f aca="false">IF(P102="","",VALUE(P102))</f>
        <v/>
      </c>
      <c r="AO102" s="208" t="str">
        <f aca="false">IF(Q102="","",VALUE(Q102))</f>
        <v/>
      </c>
      <c r="AP102" s="209" t="str">
        <f aca="false">IF(R102="","",VALUE(R102))</f>
        <v/>
      </c>
      <c r="AQ102" s="208" t="n">
        <f aca="false">IF(S102="","",VALUE(S102))</f>
        <v>42.09</v>
      </c>
      <c r="AR102" s="209" t="n">
        <f aca="false">IF(T102="","",VALUE(T102))</f>
        <v>42.258</v>
      </c>
      <c r="AS102" s="208" t="str">
        <f aca="false">IF(U102="","",VALUE(U102))</f>
        <v/>
      </c>
      <c r="AT102" s="209" t="n">
        <f aca="false">IF(V102="","",VALUE(V102))</f>
        <v>42.27</v>
      </c>
      <c r="AU102" s="208" t="str">
        <f aca="false">IF(W102="","",VALUE(W102))</f>
        <v/>
      </c>
      <c r="AV102" s="209" t="n">
        <f aca="false">IF(X102="","",VALUE(X102))</f>
        <v>41.97</v>
      </c>
      <c r="AW102" s="215"/>
      <c r="AX102" s="211" t="str">
        <f aca="false">Z102</f>
        <v>Se</v>
      </c>
      <c r="AY102" s="212" t="n">
        <f aca="false">COUNT(AA102:AV102)</f>
        <v>13</v>
      </c>
      <c r="AZ102" s="210" t="n">
        <f aca="false">IF(AY102=0,"",MIN(AA102:AV102))</f>
        <v>41.84</v>
      </c>
      <c r="BA102" s="213" t="n">
        <f aca="false">IF(AY102=0,"",MAX(AA102:AV102))</f>
        <v>42.468</v>
      </c>
      <c r="BC102" s="214"/>
    </row>
    <row r="103" customFormat="false" ht="12.75" hidden="false" customHeight="false" outlineLevel="0" collapsed="false">
      <c r="A103" s="73"/>
      <c r="B103" s="31" t="s">
        <v>129</v>
      </c>
      <c r="C103" s="85" t="n">
        <v>19.665</v>
      </c>
      <c r="D103" s="101" t="n">
        <v>19.665</v>
      </c>
      <c r="E103" s="85" t="n">
        <v>18.828</v>
      </c>
      <c r="F103" s="101" t="n">
        <v>18.702</v>
      </c>
      <c r="G103" s="85" t="n">
        <v>18.954</v>
      </c>
      <c r="H103" s="101" t="n">
        <v>18.87</v>
      </c>
      <c r="I103" s="85" t="n">
        <v>18.828</v>
      </c>
      <c r="J103" s="101" t="n">
        <v>18.828</v>
      </c>
      <c r="K103" s="85" t="n">
        <v>18.82</v>
      </c>
      <c r="L103" s="101" t="n">
        <v>18.828</v>
      </c>
      <c r="M103" s="85" t="n">
        <v>18.828</v>
      </c>
      <c r="N103" s="63" t="n">
        <v>18.81</v>
      </c>
      <c r="O103" s="62" t="n">
        <v>18.83</v>
      </c>
      <c r="P103" s="65" t="s">
        <v>671</v>
      </c>
      <c r="Q103" s="136" t="n">
        <v>18.81</v>
      </c>
      <c r="R103" s="63" t="s">
        <v>672</v>
      </c>
      <c r="S103" s="64" t="s">
        <v>672</v>
      </c>
      <c r="T103" s="103" t="s">
        <v>671</v>
      </c>
      <c r="U103" s="64" t="s">
        <v>671</v>
      </c>
      <c r="V103" s="102" t="n">
        <v>18.81</v>
      </c>
      <c r="W103" s="64" t="s">
        <v>672</v>
      </c>
      <c r="X103" s="63" t="n">
        <v>18.81</v>
      </c>
      <c r="Z103" s="31" t="s">
        <v>129</v>
      </c>
      <c r="AA103" s="208" t="n">
        <f aca="false">IF(C103="","",VALUE(C103))</f>
        <v>19.665</v>
      </c>
      <c r="AB103" s="209" t="n">
        <f aca="false">IF(D103="","",VALUE(D103))</f>
        <v>19.665</v>
      </c>
      <c r="AC103" s="208" t="n">
        <f aca="false">IF(E103="","",VALUE(E103))</f>
        <v>18.828</v>
      </c>
      <c r="AD103" s="209" t="n">
        <f aca="false">IF(F103="","",VALUE(F103))</f>
        <v>18.702</v>
      </c>
      <c r="AE103" s="208" t="n">
        <f aca="false">IF(G103="","",VALUE(G103))</f>
        <v>18.954</v>
      </c>
      <c r="AF103" s="209" t="n">
        <f aca="false">IF(H103="","",VALUE(H103))</f>
        <v>18.87</v>
      </c>
      <c r="AG103" s="208" t="n">
        <f aca="false">IF(I103="","",VALUE(I103))</f>
        <v>18.828</v>
      </c>
      <c r="AH103" s="209" t="n">
        <f aca="false">IF(J103="","",VALUE(J103))</f>
        <v>18.828</v>
      </c>
      <c r="AI103" s="208" t="n">
        <f aca="false">IF(K103="","",VALUE(K103))</f>
        <v>18.82</v>
      </c>
      <c r="AJ103" s="209" t="n">
        <f aca="false">IF(L103="","",VALUE(L103))</f>
        <v>18.828</v>
      </c>
      <c r="AK103" s="208" t="n">
        <f aca="false">IF(M103="","",VALUE(M103))</f>
        <v>18.828</v>
      </c>
      <c r="AL103" s="209" t="n">
        <f aca="false">IF(N103="","",VALUE(N103))</f>
        <v>18.81</v>
      </c>
      <c r="AM103" s="208" t="n">
        <f aca="false">IF(O103="","",VALUE(O103))</f>
        <v>18.83</v>
      </c>
      <c r="AN103" s="209" t="n">
        <f aca="false">IF(P103="","",VALUE(P103))</f>
        <v>18.82</v>
      </c>
      <c r="AO103" s="208" t="n">
        <f aca="false">IF(Q103="","",VALUE(Q103))</f>
        <v>18.81</v>
      </c>
      <c r="AP103" s="209" t="n">
        <f aca="false">IF(R103="","",VALUE(R103))</f>
        <v>18.81</v>
      </c>
      <c r="AQ103" s="208" t="n">
        <f aca="false">IF(S103="","",VALUE(S103))</f>
        <v>18.81</v>
      </c>
      <c r="AR103" s="209" t="n">
        <f aca="false">IF(T103="","",VALUE(T103))</f>
        <v>18.82</v>
      </c>
      <c r="AS103" s="208" t="n">
        <f aca="false">IF(U103="","",VALUE(U103))</f>
        <v>18.82</v>
      </c>
      <c r="AT103" s="209" t="n">
        <f aca="false">IF(V103="","",VALUE(V103))</f>
        <v>18.81</v>
      </c>
      <c r="AU103" s="208" t="n">
        <f aca="false">IF(W103="","",VALUE(W103))</f>
        <v>18.81</v>
      </c>
      <c r="AV103" s="209" t="n">
        <f aca="false">IF(X103="","",VALUE(X103))</f>
        <v>18.81</v>
      </c>
      <c r="AW103" s="215"/>
      <c r="AX103" s="211" t="str">
        <f aca="false">Z103</f>
        <v>Si</v>
      </c>
      <c r="AY103" s="212" t="n">
        <f aca="false">COUNT(AA103:AV103)</f>
        <v>22</v>
      </c>
      <c r="AZ103" s="210" t="n">
        <f aca="false">IF(AY103=0,"",MIN(AA103:AV103))</f>
        <v>18.702</v>
      </c>
      <c r="BA103" s="213" t="n">
        <f aca="false">IF(AY103=0,"",MAX(AA103:AV103))</f>
        <v>19.665</v>
      </c>
      <c r="BC103" s="214"/>
    </row>
    <row r="104" customFormat="false" ht="12.75" hidden="false" customHeight="false" outlineLevel="0" collapsed="false">
      <c r="A104" s="73"/>
      <c r="B104" s="31" t="s">
        <v>130</v>
      </c>
      <c r="C104" s="85"/>
      <c r="D104" s="101"/>
      <c r="E104" s="85"/>
      <c r="F104" s="101"/>
      <c r="G104" s="85" t="n">
        <v>68.116</v>
      </c>
      <c r="H104" s="101" t="n">
        <v>68.199</v>
      </c>
      <c r="I104" s="85"/>
      <c r="J104" s="101" t="n">
        <v>69.58</v>
      </c>
      <c r="K104" s="85"/>
      <c r="L104" s="101" t="n">
        <v>69.496</v>
      </c>
      <c r="M104" s="85" t="n">
        <v>69.58</v>
      </c>
      <c r="N104" s="65" t="s">
        <v>673</v>
      </c>
      <c r="O104" s="62" t="n">
        <v>69.58</v>
      </c>
      <c r="P104" s="63"/>
      <c r="Q104" s="136"/>
      <c r="R104" s="63"/>
      <c r="S104" s="64"/>
      <c r="T104" s="102" t="n">
        <v>69.496</v>
      </c>
      <c r="U104" s="62"/>
      <c r="V104" s="102"/>
      <c r="W104" s="62"/>
      <c r="X104" s="63" t="n">
        <v>69.58</v>
      </c>
      <c r="Z104" s="31" t="s">
        <v>130</v>
      </c>
      <c r="AA104" s="208" t="str">
        <f aca="false">IF(C104="","",VALUE(C104))</f>
        <v/>
      </c>
      <c r="AB104" s="209" t="str">
        <f aca="false">IF(D104="","",VALUE(D104))</f>
        <v/>
      </c>
      <c r="AC104" s="208" t="str">
        <f aca="false">IF(E104="","",VALUE(E104))</f>
        <v/>
      </c>
      <c r="AD104" s="209" t="str">
        <f aca="false">IF(F104="","",VALUE(F104))</f>
        <v/>
      </c>
      <c r="AE104" s="208" t="n">
        <f aca="false">IF(G104="","",VALUE(G104))</f>
        <v>68.116</v>
      </c>
      <c r="AF104" s="209" t="n">
        <f aca="false">IF(H104="","",VALUE(H104))</f>
        <v>68.199</v>
      </c>
      <c r="AG104" s="208" t="str">
        <f aca="false">IF(I104="","",VALUE(I104))</f>
        <v/>
      </c>
      <c r="AH104" s="209" t="n">
        <f aca="false">IF(J104="","",VALUE(J104))</f>
        <v>69.58</v>
      </c>
      <c r="AI104" s="208" t="str">
        <f aca="false">IF(K104="","",VALUE(K104))</f>
        <v/>
      </c>
      <c r="AJ104" s="209" t="n">
        <f aca="false">IF(L104="","",VALUE(L104))</f>
        <v>69.496</v>
      </c>
      <c r="AK104" s="208" t="n">
        <f aca="false">IF(M104="","",VALUE(M104))</f>
        <v>69.58</v>
      </c>
      <c r="AL104" s="209" t="n">
        <f aca="false">IF(N104="","",VALUE(N104))</f>
        <v>69.5</v>
      </c>
      <c r="AM104" s="208" t="n">
        <f aca="false">IF(O104="","",VALUE(O104))</f>
        <v>69.58</v>
      </c>
      <c r="AN104" s="209" t="str">
        <f aca="false">IF(P104="","",VALUE(P104))</f>
        <v/>
      </c>
      <c r="AO104" s="208" t="str">
        <f aca="false">IF(Q104="","",VALUE(Q104))</f>
        <v/>
      </c>
      <c r="AP104" s="209" t="str">
        <f aca="false">IF(R104="","",VALUE(R104))</f>
        <v/>
      </c>
      <c r="AQ104" s="208" t="str">
        <f aca="false">IF(S104="","",VALUE(S104))</f>
        <v/>
      </c>
      <c r="AR104" s="209" t="n">
        <f aca="false">IF(T104="","",VALUE(T104))</f>
        <v>69.496</v>
      </c>
      <c r="AS104" s="208" t="str">
        <f aca="false">IF(U104="","",VALUE(U104))</f>
        <v/>
      </c>
      <c r="AT104" s="209" t="str">
        <f aca="false">IF(V104="","",VALUE(V104))</f>
        <v/>
      </c>
      <c r="AU104" s="208" t="str">
        <f aca="false">IF(W104="","",VALUE(W104))</f>
        <v/>
      </c>
      <c r="AV104" s="209" t="n">
        <f aca="false">IF(X104="","",VALUE(X104))</f>
        <v>69.58</v>
      </c>
      <c r="AW104" s="215"/>
      <c r="AX104" s="211" t="str">
        <f aca="false">Z104</f>
        <v>Sm</v>
      </c>
      <c r="AY104" s="212" t="n">
        <f aca="false">COUNT(AA104:AV104)</f>
        <v>9</v>
      </c>
      <c r="AZ104" s="210" t="n">
        <f aca="false">IF(AY104=0,"",MIN(AA104:AV104))</f>
        <v>68.116</v>
      </c>
      <c r="BA104" s="213" t="n">
        <f aca="false">IF(AY104=0,"",MAX(AA104:AV104))</f>
        <v>69.58</v>
      </c>
      <c r="BC104" s="214"/>
    </row>
    <row r="105" customFormat="false" ht="12.75" hidden="false" customHeight="false" outlineLevel="0" collapsed="false">
      <c r="A105" s="73"/>
      <c r="B105" s="31" t="s">
        <v>131</v>
      </c>
      <c r="C105" s="85" t="n">
        <v>48.116</v>
      </c>
      <c r="D105" s="101" t="n">
        <v>46.735</v>
      </c>
      <c r="E105" s="85" t="n">
        <v>51.463</v>
      </c>
      <c r="F105" s="101" t="n">
        <v>51.463</v>
      </c>
      <c r="G105" s="85" t="n">
        <v>51.421</v>
      </c>
      <c r="H105" s="101" t="n">
        <v>51.421</v>
      </c>
      <c r="I105" s="85" t="n">
        <v>51.547</v>
      </c>
      <c r="J105" s="101" t="n">
        <v>51.547</v>
      </c>
      <c r="K105" s="85"/>
      <c r="L105" s="101" t="n">
        <v>51.195</v>
      </c>
      <c r="M105" s="85" t="n">
        <v>51.195</v>
      </c>
      <c r="N105" s="65" t="s">
        <v>674</v>
      </c>
      <c r="O105" s="62" t="n">
        <v>51.55</v>
      </c>
      <c r="P105" s="63"/>
      <c r="Q105" s="136" t="n">
        <v>51.18</v>
      </c>
      <c r="R105" s="63" t="s">
        <v>675</v>
      </c>
      <c r="S105" s="64" t="s">
        <v>675</v>
      </c>
      <c r="T105" s="102" t="n">
        <v>51.195</v>
      </c>
      <c r="U105" s="62"/>
      <c r="V105" s="102" t="n">
        <v>51.18</v>
      </c>
      <c r="W105" s="64" t="s">
        <v>675</v>
      </c>
      <c r="X105" s="63" t="n">
        <v>51.08</v>
      </c>
      <c r="Z105" s="31" t="s">
        <v>131</v>
      </c>
      <c r="AA105" s="208" t="n">
        <f aca="false">IF(C105="","",VALUE(C105))</f>
        <v>48.116</v>
      </c>
      <c r="AB105" s="209" t="n">
        <f aca="false">IF(D105="","",VALUE(D105))</f>
        <v>46.735</v>
      </c>
      <c r="AC105" s="208" t="n">
        <f aca="false">IF(E105="","",VALUE(E105))</f>
        <v>51.463</v>
      </c>
      <c r="AD105" s="209" t="n">
        <f aca="false">IF(F105="","",VALUE(F105))</f>
        <v>51.463</v>
      </c>
      <c r="AE105" s="208" t="n">
        <f aca="false">IF(G105="","",VALUE(G105))</f>
        <v>51.421</v>
      </c>
      <c r="AF105" s="209" t="n">
        <f aca="false">IF(H105="","",VALUE(H105))</f>
        <v>51.421</v>
      </c>
      <c r="AG105" s="208" t="n">
        <f aca="false">IF(I105="","",VALUE(I105))</f>
        <v>51.547</v>
      </c>
      <c r="AH105" s="209" t="n">
        <f aca="false">IF(J105="","",VALUE(J105))</f>
        <v>51.547</v>
      </c>
      <c r="AI105" s="208" t="str">
        <f aca="false">IF(K105="","",VALUE(K105))</f>
        <v/>
      </c>
      <c r="AJ105" s="209" t="n">
        <f aca="false">IF(L105="","",VALUE(L105))</f>
        <v>51.195</v>
      </c>
      <c r="AK105" s="208" t="n">
        <f aca="false">IF(M105="","",VALUE(M105))</f>
        <v>51.195</v>
      </c>
      <c r="AL105" s="209" t="n">
        <f aca="false">IF(N105="","",VALUE(N105))</f>
        <v>51.2</v>
      </c>
      <c r="AM105" s="208" t="n">
        <f aca="false">IF(O105="","",VALUE(O105))</f>
        <v>51.55</v>
      </c>
      <c r="AN105" s="209" t="str">
        <f aca="false">IF(P105="","",VALUE(P105))</f>
        <v/>
      </c>
      <c r="AO105" s="208" t="n">
        <f aca="false">IF(Q105="","",VALUE(Q105))</f>
        <v>51.18</v>
      </c>
      <c r="AP105" s="209" t="n">
        <f aca="false">IF(R105="","",VALUE(R105))</f>
        <v>51.18</v>
      </c>
      <c r="AQ105" s="208" t="n">
        <f aca="false">IF(S105="","",VALUE(S105))</f>
        <v>51.18</v>
      </c>
      <c r="AR105" s="209" t="n">
        <f aca="false">IF(T105="","",VALUE(T105))</f>
        <v>51.195</v>
      </c>
      <c r="AS105" s="208" t="str">
        <f aca="false">IF(U105="","",VALUE(U105))</f>
        <v/>
      </c>
      <c r="AT105" s="209" t="n">
        <f aca="false">IF(V105="","",VALUE(V105))</f>
        <v>51.18</v>
      </c>
      <c r="AU105" s="208" t="n">
        <f aca="false">IF(W105="","",VALUE(W105))</f>
        <v>51.18</v>
      </c>
      <c r="AV105" s="209" t="n">
        <f aca="false">IF(X105="","",VALUE(X105))</f>
        <v>51.08</v>
      </c>
      <c r="AW105" s="215"/>
      <c r="AX105" s="211" t="str">
        <f aca="false">Z105</f>
        <v>Sn</v>
      </c>
      <c r="AY105" s="212" t="n">
        <f aca="false">COUNT(AA105:AV105)</f>
        <v>19</v>
      </c>
      <c r="AZ105" s="210" t="n">
        <f aca="false">IF(AY105=0,"",MIN(AA105:AV105))</f>
        <v>46.735</v>
      </c>
      <c r="BA105" s="213" t="n">
        <f aca="false">IF(AY105=0,"",MAX(AA105:AV105))</f>
        <v>51.55</v>
      </c>
      <c r="BC105" s="214"/>
    </row>
    <row r="106" customFormat="false" ht="12.75" hidden="false" customHeight="false" outlineLevel="0" collapsed="false">
      <c r="A106" s="73"/>
      <c r="B106" s="38" t="s">
        <v>132</v>
      </c>
      <c r="C106" s="85"/>
      <c r="D106" s="101"/>
      <c r="E106" s="85"/>
      <c r="F106" s="101" t="n">
        <v>54.392</v>
      </c>
      <c r="G106" s="85" t="n">
        <v>52.3</v>
      </c>
      <c r="H106" s="101" t="n">
        <v>52.3</v>
      </c>
      <c r="I106" s="85" t="n">
        <v>52.3</v>
      </c>
      <c r="J106" s="101" t="n">
        <v>52.3</v>
      </c>
      <c r="K106" s="85"/>
      <c r="L106" s="101" t="n">
        <v>52.3</v>
      </c>
      <c r="M106" s="85" t="n">
        <v>52.3</v>
      </c>
      <c r="N106" s="65" t="s">
        <v>676</v>
      </c>
      <c r="O106" s="62" t="n">
        <v>52.3</v>
      </c>
      <c r="P106" s="63" t="n">
        <v>55.694</v>
      </c>
      <c r="Q106" s="136"/>
      <c r="R106" s="63" t="s">
        <v>677</v>
      </c>
      <c r="S106" s="64" t="s">
        <v>677</v>
      </c>
      <c r="T106" s="103" t="s">
        <v>678</v>
      </c>
      <c r="U106" s="62" t="n">
        <v>55.694</v>
      </c>
      <c r="V106" s="102" t="n">
        <v>55.69</v>
      </c>
      <c r="W106" s="64" t="s">
        <v>679</v>
      </c>
      <c r="X106" s="65" t="s">
        <v>680</v>
      </c>
      <c r="Z106" s="38" t="s">
        <v>132</v>
      </c>
      <c r="AA106" s="208" t="str">
        <f aca="false">IF(C106="","",VALUE(C106))</f>
        <v/>
      </c>
      <c r="AB106" s="209" t="str">
        <f aca="false">IF(D106="","",VALUE(D106))</f>
        <v/>
      </c>
      <c r="AC106" s="208" t="str">
        <f aca="false">IF(E106="","",VALUE(E106))</f>
        <v/>
      </c>
      <c r="AD106" s="209" t="n">
        <f aca="false">IF(F106="","",VALUE(F106))</f>
        <v>54.392</v>
      </c>
      <c r="AE106" s="208" t="n">
        <f aca="false">IF(G106="","",VALUE(G106))</f>
        <v>52.3</v>
      </c>
      <c r="AF106" s="209" t="n">
        <f aca="false">IF(H106="","",VALUE(H106))</f>
        <v>52.3</v>
      </c>
      <c r="AG106" s="208" t="n">
        <f aca="false">IF(I106="","",VALUE(I106))</f>
        <v>52.3</v>
      </c>
      <c r="AH106" s="209" t="n">
        <f aca="false">IF(J106="","",VALUE(J106))</f>
        <v>52.3</v>
      </c>
      <c r="AI106" s="208" t="str">
        <f aca="false">IF(K106="","",VALUE(K106))</f>
        <v/>
      </c>
      <c r="AJ106" s="209" t="n">
        <f aca="false">IF(L106="","",VALUE(L106))</f>
        <v>52.3</v>
      </c>
      <c r="AK106" s="208" t="n">
        <f aca="false">IF(M106="","",VALUE(M106))</f>
        <v>52.3</v>
      </c>
      <c r="AL106" s="209" t="n">
        <f aca="false">IF(N106="","",VALUE(N106))</f>
        <v>55.4</v>
      </c>
      <c r="AM106" s="208" t="n">
        <f aca="false">IF(O106="","",VALUE(O106))</f>
        <v>52.3</v>
      </c>
      <c r="AN106" s="209" t="n">
        <f aca="false">IF(P106="","",VALUE(P106))</f>
        <v>55.694</v>
      </c>
      <c r="AO106" s="208" t="str">
        <f aca="false">IF(Q106="","",VALUE(Q106))</f>
        <v/>
      </c>
      <c r="AP106" s="209" t="n">
        <f aca="false">IF(R106="","",VALUE(R106))</f>
        <v>55.7</v>
      </c>
      <c r="AQ106" s="208" t="n">
        <f aca="false">IF(S106="","",VALUE(S106))</f>
        <v>55.7</v>
      </c>
      <c r="AR106" s="209" t="n">
        <f aca="false">IF(T106="","",VALUE(T106))</f>
        <v>55.69</v>
      </c>
      <c r="AS106" s="208" t="n">
        <f aca="false">IF(U106="","",VALUE(U106))</f>
        <v>55.694</v>
      </c>
      <c r="AT106" s="209" t="n">
        <f aca="false">IF(V106="","",VALUE(V106))</f>
        <v>55.69</v>
      </c>
      <c r="AU106" s="208" t="n">
        <f aca="false">IF(W106="","",VALUE(W106))</f>
        <v>54.999</v>
      </c>
      <c r="AV106" s="209" t="n">
        <f aca="false">IF(X106="","",VALUE(X106))</f>
        <v>55</v>
      </c>
      <c r="AW106" s="215"/>
      <c r="AX106" s="211" t="str">
        <f aca="false">Z106</f>
        <v>Sr</v>
      </c>
      <c r="AY106" s="212" t="n">
        <f aca="false">COUNT(AA106:AV106)</f>
        <v>17</v>
      </c>
      <c r="AZ106" s="210" t="n">
        <f aca="false">IF(AY106=0,"",MIN(AA106:AV106))</f>
        <v>52.3</v>
      </c>
      <c r="BA106" s="213" t="n">
        <f aca="false">IF(AY106=0,"",MAX(AA106:AV106))</f>
        <v>55.7</v>
      </c>
      <c r="BC106" s="214"/>
    </row>
    <row r="107" customFormat="false" ht="12.75" hidden="false" customHeight="false" outlineLevel="0" collapsed="false">
      <c r="A107" s="73"/>
      <c r="B107" s="31" t="s">
        <v>133</v>
      </c>
      <c r="C107" s="85"/>
      <c r="D107" s="101"/>
      <c r="E107" s="85" t="n">
        <v>39.33</v>
      </c>
      <c r="F107" s="101" t="n">
        <v>41.422</v>
      </c>
      <c r="G107" s="85" t="n">
        <v>41.422</v>
      </c>
      <c r="H107" s="101" t="n">
        <v>41.505</v>
      </c>
      <c r="I107" s="85"/>
      <c r="J107" s="101" t="n">
        <v>41.505</v>
      </c>
      <c r="K107" s="85"/>
      <c r="L107" s="101" t="n">
        <v>41.505</v>
      </c>
      <c r="M107" s="85" t="n">
        <v>41.505</v>
      </c>
      <c r="N107" s="63" t="n">
        <v>41.51</v>
      </c>
      <c r="O107" s="62" t="n">
        <v>41.51</v>
      </c>
      <c r="P107" s="63" t="n">
        <v>41.471</v>
      </c>
      <c r="Q107" s="136"/>
      <c r="R107" s="63"/>
      <c r="S107" s="64"/>
      <c r="T107" s="102" t="n">
        <v>41.505</v>
      </c>
      <c r="U107" s="62" t="n">
        <v>41.471</v>
      </c>
      <c r="V107" s="102"/>
      <c r="W107" s="64" t="s">
        <v>681</v>
      </c>
      <c r="X107" s="63" t="n">
        <v>41.47</v>
      </c>
      <c r="Z107" s="31" t="s">
        <v>133</v>
      </c>
      <c r="AA107" s="208" t="str">
        <f aca="false">IF(C107="","",VALUE(C107))</f>
        <v/>
      </c>
      <c r="AB107" s="209" t="str">
        <f aca="false">IF(D107="","",VALUE(D107))</f>
        <v/>
      </c>
      <c r="AC107" s="208" t="n">
        <f aca="false">IF(E107="","",VALUE(E107))</f>
        <v>39.33</v>
      </c>
      <c r="AD107" s="209" t="n">
        <f aca="false">IF(F107="","",VALUE(F107))</f>
        <v>41.422</v>
      </c>
      <c r="AE107" s="208" t="n">
        <f aca="false">IF(G107="","",VALUE(G107))</f>
        <v>41.422</v>
      </c>
      <c r="AF107" s="209" t="n">
        <f aca="false">IF(H107="","",VALUE(H107))</f>
        <v>41.505</v>
      </c>
      <c r="AG107" s="208" t="str">
        <f aca="false">IF(I107="","",VALUE(I107))</f>
        <v/>
      </c>
      <c r="AH107" s="209" t="n">
        <f aca="false">IF(J107="","",VALUE(J107))</f>
        <v>41.505</v>
      </c>
      <c r="AI107" s="208" t="str">
        <f aca="false">IF(K107="","",VALUE(K107))</f>
        <v/>
      </c>
      <c r="AJ107" s="209" t="n">
        <f aca="false">IF(L107="","",VALUE(L107))</f>
        <v>41.505</v>
      </c>
      <c r="AK107" s="208" t="n">
        <f aca="false">IF(M107="","",VALUE(M107))</f>
        <v>41.505</v>
      </c>
      <c r="AL107" s="209" t="n">
        <f aca="false">IF(N107="","",VALUE(N107))</f>
        <v>41.51</v>
      </c>
      <c r="AM107" s="208" t="n">
        <f aca="false">IF(O107="","",VALUE(O107))</f>
        <v>41.51</v>
      </c>
      <c r="AN107" s="209" t="n">
        <f aca="false">IF(P107="","",VALUE(P107))</f>
        <v>41.471</v>
      </c>
      <c r="AO107" s="208" t="str">
        <f aca="false">IF(Q107="","",VALUE(Q107))</f>
        <v/>
      </c>
      <c r="AP107" s="209" t="str">
        <f aca="false">IF(R107="","",VALUE(R107))</f>
        <v/>
      </c>
      <c r="AQ107" s="208" t="str">
        <f aca="false">IF(S107="","",VALUE(S107))</f>
        <v/>
      </c>
      <c r="AR107" s="209" t="n">
        <f aca="false">IF(T107="","",VALUE(T107))</f>
        <v>41.505</v>
      </c>
      <c r="AS107" s="208" t="n">
        <f aca="false">IF(U107="","",VALUE(U107))</f>
        <v>41.471</v>
      </c>
      <c r="AT107" s="209" t="str">
        <f aca="false">IF(V107="","",VALUE(V107))</f>
        <v/>
      </c>
      <c r="AU107" s="208" t="n">
        <f aca="false">IF(W107="","",VALUE(W107))</f>
        <v>41.471</v>
      </c>
      <c r="AV107" s="209" t="n">
        <f aca="false">IF(X107="","",VALUE(X107))</f>
        <v>41.47</v>
      </c>
      <c r="AW107" s="215"/>
      <c r="AX107" s="211" t="str">
        <f aca="false">Z107</f>
        <v>Ta</v>
      </c>
      <c r="AY107" s="212" t="n">
        <f aca="false">COUNT(AA107:AV107)</f>
        <v>14</v>
      </c>
      <c r="AZ107" s="210" t="n">
        <f aca="false">IF(AY107=0,"",MIN(AA107:AV107))</f>
        <v>39.33</v>
      </c>
      <c r="BA107" s="213" t="n">
        <f aca="false">IF(AY107=0,"",MAX(AA107:AV107))</f>
        <v>41.51</v>
      </c>
      <c r="BC107" s="214"/>
    </row>
    <row r="108" customFormat="false" ht="12.75" hidden="false" customHeight="false" outlineLevel="0" collapsed="false">
      <c r="A108" s="73"/>
      <c r="B108" s="31" t="s">
        <v>134</v>
      </c>
      <c r="C108" s="85"/>
      <c r="D108" s="101"/>
      <c r="E108" s="85"/>
      <c r="F108" s="101"/>
      <c r="G108" s="85" t="n">
        <v>73.053</v>
      </c>
      <c r="H108" s="101" t="n">
        <v>73.22</v>
      </c>
      <c r="I108" s="85"/>
      <c r="J108" s="101" t="n">
        <v>73.22</v>
      </c>
      <c r="K108" s="85"/>
      <c r="L108" s="101" t="n">
        <v>73.304</v>
      </c>
      <c r="M108" s="85" t="n">
        <v>73.304</v>
      </c>
      <c r="N108" s="65" t="s">
        <v>682</v>
      </c>
      <c r="O108" s="62" t="n">
        <v>73.22</v>
      </c>
      <c r="P108" s="63"/>
      <c r="Q108" s="136"/>
      <c r="R108" s="63"/>
      <c r="S108" s="64"/>
      <c r="T108" s="102" t="n">
        <v>73.304</v>
      </c>
      <c r="U108" s="62"/>
      <c r="V108" s="102"/>
      <c r="W108" s="62"/>
      <c r="X108" s="63" t="n">
        <v>73.22</v>
      </c>
      <c r="Z108" s="31" t="s">
        <v>134</v>
      </c>
      <c r="AA108" s="208" t="str">
        <f aca="false">IF(C108="","",VALUE(C108))</f>
        <v/>
      </c>
      <c r="AB108" s="209" t="str">
        <f aca="false">IF(D108="","",VALUE(D108))</f>
        <v/>
      </c>
      <c r="AC108" s="208" t="str">
        <f aca="false">IF(E108="","",VALUE(E108))</f>
        <v/>
      </c>
      <c r="AD108" s="209" t="str">
        <f aca="false">IF(F108="","",VALUE(F108))</f>
        <v/>
      </c>
      <c r="AE108" s="208" t="n">
        <f aca="false">IF(G108="","",VALUE(G108))</f>
        <v>73.053</v>
      </c>
      <c r="AF108" s="209" t="n">
        <f aca="false">IF(H108="","",VALUE(H108))</f>
        <v>73.22</v>
      </c>
      <c r="AG108" s="208" t="str">
        <f aca="false">IF(I108="","",VALUE(I108))</f>
        <v/>
      </c>
      <c r="AH108" s="209" t="n">
        <f aca="false">IF(J108="","",VALUE(J108))</f>
        <v>73.22</v>
      </c>
      <c r="AI108" s="208" t="str">
        <f aca="false">IF(K108="","",VALUE(K108))</f>
        <v/>
      </c>
      <c r="AJ108" s="209" t="n">
        <f aca="false">IF(L108="","",VALUE(L108))</f>
        <v>73.304</v>
      </c>
      <c r="AK108" s="208" t="n">
        <f aca="false">IF(M108="","",VALUE(M108))</f>
        <v>73.304</v>
      </c>
      <c r="AL108" s="209" t="n">
        <f aca="false">IF(N108="","",VALUE(N108))</f>
        <v>73.3</v>
      </c>
      <c r="AM108" s="208" t="n">
        <f aca="false">IF(O108="","",VALUE(O108))</f>
        <v>73.22</v>
      </c>
      <c r="AN108" s="209" t="str">
        <f aca="false">IF(P108="","",VALUE(P108))</f>
        <v/>
      </c>
      <c r="AO108" s="208" t="str">
        <f aca="false">IF(Q108="","",VALUE(Q108))</f>
        <v/>
      </c>
      <c r="AP108" s="209" t="str">
        <f aca="false">IF(R108="","",VALUE(R108))</f>
        <v/>
      </c>
      <c r="AQ108" s="208" t="str">
        <f aca="false">IF(S108="","",VALUE(S108))</f>
        <v/>
      </c>
      <c r="AR108" s="209" t="n">
        <f aca="false">IF(T108="","",VALUE(T108))</f>
        <v>73.304</v>
      </c>
      <c r="AS108" s="208" t="str">
        <f aca="false">IF(U108="","",VALUE(U108))</f>
        <v/>
      </c>
      <c r="AT108" s="209" t="str">
        <f aca="false">IF(V108="","",VALUE(V108))</f>
        <v/>
      </c>
      <c r="AU108" s="208" t="str">
        <f aca="false">IF(W108="","",VALUE(W108))</f>
        <v/>
      </c>
      <c r="AV108" s="209" t="n">
        <f aca="false">IF(X108="","",VALUE(X108))</f>
        <v>73.22</v>
      </c>
      <c r="AW108" s="215"/>
      <c r="AX108" s="211" t="str">
        <f aca="false">Z108</f>
        <v>Tb</v>
      </c>
      <c r="AY108" s="212" t="n">
        <f aca="false">COUNT(AA108:AV108)</f>
        <v>9</v>
      </c>
      <c r="AZ108" s="210" t="n">
        <f aca="false">IF(AY108=0,"",MIN(AA108:AV108))</f>
        <v>73.053</v>
      </c>
      <c r="BA108" s="213" t="n">
        <f aca="false">IF(AY108=0,"",MAX(AA108:AV108))</f>
        <v>73.304</v>
      </c>
      <c r="BC108" s="214"/>
    </row>
    <row r="109" customFormat="false" ht="12.75" hidden="false" customHeight="false" outlineLevel="0" collapsed="false">
      <c r="A109" s="73"/>
      <c r="B109" s="31" t="s">
        <v>135</v>
      </c>
      <c r="C109" s="85"/>
      <c r="D109" s="101"/>
      <c r="E109" s="85"/>
      <c r="F109" s="101" t="n">
        <v>37.656</v>
      </c>
      <c r="G109" s="85" t="n">
        <v>33.472</v>
      </c>
      <c r="H109" s="101" t="n">
        <v>33.472</v>
      </c>
      <c r="I109" s="85"/>
      <c r="J109" s="101"/>
      <c r="K109" s="85"/>
      <c r="L109" s="101" t="n">
        <v>33.472</v>
      </c>
      <c r="M109" s="85"/>
      <c r="N109" s="63"/>
      <c r="O109" s="64"/>
      <c r="P109" s="65"/>
      <c r="Q109" s="136"/>
      <c r="R109" s="63"/>
      <c r="S109" s="64" t="s">
        <v>683</v>
      </c>
      <c r="T109" s="102" t="n">
        <v>33.472</v>
      </c>
      <c r="U109" s="62"/>
      <c r="V109" s="102"/>
      <c r="W109" s="62"/>
      <c r="X109" s="63" t="n">
        <v>33.47</v>
      </c>
      <c r="Z109" s="31" t="s">
        <v>135</v>
      </c>
      <c r="AA109" s="208" t="str">
        <f aca="false">IF(C109="","",VALUE(C109))</f>
        <v/>
      </c>
      <c r="AB109" s="209" t="str">
        <f aca="false">IF(D109="","",VALUE(D109))</f>
        <v/>
      </c>
      <c r="AC109" s="208" t="str">
        <f aca="false">IF(E109="","",VALUE(E109))</f>
        <v/>
      </c>
      <c r="AD109" s="209" t="n">
        <f aca="false">IF(F109="","",VALUE(F109))</f>
        <v>37.656</v>
      </c>
      <c r="AE109" s="208" t="n">
        <f aca="false">IF(G109="","",VALUE(G109))</f>
        <v>33.472</v>
      </c>
      <c r="AF109" s="209" t="n">
        <f aca="false">IF(H109="","",VALUE(H109))</f>
        <v>33.472</v>
      </c>
      <c r="AG109" s="208" t="str">
        <f aca="false">IF(I109="","",VALUE(I109))</f>
        <v/>
      </c>
      <c r="AH109" s="209" t="str">
        <f aca="false">IF(J109="","",VALUE(J109))</f>
        <v/>
      </c>
      <c r="AI109" s="208" t="str">
        <f aca="false">IF(K109="","",VALUE(K109))</f>
        <v/>
      </c>
      <c r="AJ109" s="209" t="n">
        <f aca="false">IF(L109="","",VALUE(L109))</f>
        <v>33.472</v>
      </c>
      <c r="AK109" s="208" t="str">
        <f aca="false">IF(M109="","",VALUE(M109))</f>
        <v/>
      </c>
      <c r="AL109" s="209" t="str">
        <f aca="false">IF(N109="","",VALUE(N109))</f>
        <v/>
      </c>
      <c r="AM109" s="208" t="str">
        <f aca="false">IF(O109="","",VALUE(O109))</f>
        <v/>
      </c>
      <c r="AN109" s="209" t="str">
        <f aca="false">IF(P109="","",VALUE(P109))</f>
        <v/>
      </c>
      <c r="AO109" s="208" t="str">
        <f aca="false">IF(Q109="","",VALUE(Q109))</f>
        <v/>
      </c>
      <c r="AP109" s="209" t="str">
        <f aca="false">IF(R109="","",VALUE(R109))</f>
        <v/>
      </c>
      <c r="AQ109" s="208" t="n">
        <f aca="false">IF(S109="","",VALUE(S109))</f>
        <v>32.506</v>
      </c>
      <c r="AR109" s="209" t="n">
        <f aca="false">IF(T109="","",VALUE(T109))</f>
        <v>33.472</v>
      </c>
      <c r="AS109" s="208" t="str">
        <f aca="false">IF(U109="","",VALUE(U109))</f>
        <v/>
      </c>
      <c r="AT109" s="209" t="str">
        <f aca="false">IF(V109="","",VALUE(V109))</f>
        <v/>
      </c>
      <c r="AU109" s="208" t="str">
        <f aca="false">IF(W109="","",VALUE(W109))</f>
        <v/>
      </c>
      <c r="AV109" s="209" t="n">
        <f aca="false">IF(X109="","",VALUE(X109))</f>
        <v>33.47</v>
      </c>
      <c r="AW109" s="215"/>
      <c r="AX109" s="211" t="str">
        <f aca="false">Z109</f>
        <v>Tc</v>
      </c>
      <c r="AY109" s="212" t="n">
        <f aca="false">COUNT(AA109:AV109)</f>
        <v>7</v>
      </c>
      <c r="AZ109" s="210" t="n">
        <f aca="false">IF(AY109=0,"",MIN(AA109:AV109))</f>
        <v>32.506</v>
      </c>
      <c r="BA109" s="213" t="n">
        <f aca="false">IF(AY109=0,"",MAX(AA109:AV109))</f>
        <v>37.656</v>
      </c>
      <c r="BC109" s="214"/>
    </row>
    <row r="110" customFormat="false" ht="12.75" hidden="false" customHeight="false" outlineLevel="0" collapsed="false">
      <c r="A110" s="73"/>
      <c r="B110" s="38" t="s">
        <v>136</v>
      </c>
      <c r="C110" s="85"/>
      <c r="D110" s="101"/>
      <c r="E110" s="85"/>
      <c r="F110" s="101" t="n">
        <v>49.706</v>
      </c>
      <c r="G110" s="85" t="n">
        <v>49.706</v>
      </c>
      <c r="H110" s="101" t="n">
        <v>49.706</v>
      </c>
      <c r="I110" s="85" t="n">
        <v>49.706</v>
      </c>
      <c r="J110" s="101" t="n">
        <v>49.706</v>
      </c>
      <c r="K110" s="85"/>
      <c r="L110" s="101" t="n">
        <v>49.497</v>
      </c>
      <c r="M110" s="85" t="n">
        <v>49.706</v>
      </c>
      <c r="N110" s="65" t="s">
        <v>684</v>
      </c>
      <c r="O110" s="62" t="n">
        <v>49.71</v>
      </c>
      <c r="P110" s="63"/>
      <c r="Q110" s="136"/>
      <c r="R110" s="63"/>
      <c r="S110" s="64" t="n">
        <v>49.221</v>
      </c>
      <c r="T110" s="102" t="n">
        <v>49.497</v>
      </c>
      <c r="U110" s="62"/>
      <c r="V110" s="102" t="n">
        <v>49.71</v>
      </c>
      <c r="W110" s="64"/>
      <c r="X110" s="65" t="s">
        <v>685</v>
      </c>
      <c r="Z110" s="38" t="s">
        <v>136</v>
      </c>
      <c r="AA110" s="208" t="str">
        <f aca="false">IF(C110="","",VALUE(C110))</f>
        <v/>
      </c>
      <c r="AB110" s="209" t="str">
        <f aca="false">IF(D110="","",VALUE(D110))</f>
        <v/>
      </c>
      <c r="AC110" s="208" t="str">
        <f aca="false">IF(E110="","",VALUE(E110))</f>
        <v/>
      </c>
      <c r="AD110" s="209" t="n">
        <f aca="false">IF(F110="","",VALUE(F110))</f>
        <v>49.706</v>
      </c>
      <c r="AE110" s="208" t="n">
        <f aca="false">IF(G110="","",VALUE(G110))</f>
        <v>49.706</v>
      </c>
      <c r="AF110" s="209" t="n">
        <f aca="false">IF(H110="","",VALUE(H110))</f>
        <v>49.706</v>
      </c>
      <c r="AG110" s="208" t="n">
        <f aca="false">IF(I110="","",VALUE(I110))</f>
        <v>49.706</v>
      </c>
      <c r="AH110" s="209" t="n">
        <f aca="false">IF(J110="","",VALUE(J110))</f>
        <v>49.706</v>
      </c>
      <c r="AI110" s="208" t="str">
        <f aca="false">IF(K110="","",VALUE(K110))</f>
        <v/>
      </c>
      <c r="AJ110" s="209" t="n">
        <f aca="false">IF(L110="","",VALUE(L110))</f>
        <v>49.497</v>
      </c>
      <c r="AK110" s="208" t="n">
        <f aca="false">IF(M110="","",VALUE(M110))</f>
        <v>49.706</v>
      </c>
      <c r="AL110" s="209" t="n">
        <f aca="false">IF(N110="","",VALUE(N110))</f>
        <v>49.5</v>
      </c>
      <c r="AM110" s="208" t="n">
        <f aca="false">IF(O110="","",VALUE(O110))</f>
        <v>49.71</v>
      </c>
      <c r="AN110" s="209" t="str">
        <f aca="false">IF(P110="","",VALUE(P110))</f>
        <v/>
      </c>
      <c r="AO110" s="208" t="str">
        <f aca="false">IF(Q110="","",VALUE(Q110))</f>
        <v/>
      </c>
      <c r="AP110" s="209" t="str">
        <f aca="false">IF(R110="","",VALUE(R110))</f>
        <v/>
      </c>
      <c r="AQ110" s="208" t="n">
        <f aca="false">IF(S110="","",VALUE(S110))</f>
        <v>49.221</v>
      </c>
      <c r="AR110" s="209" t="n">
        <f aca="false">IF(T110="","",VALUE(T110))</f>
        <v>49.497</v>
      </c>
      <c r="AS110" s="208" t="str">
        <f aca="false">IF(U110="","",VALUE(U110))</f>
        <v/>
      </c>
      <c r="AT110" s="209" t="n">
        <f aca="false">IF(V110="","",VALUE(V110))</f>
        <v>49.71</v>
      </c>
      <c r="AU110" s="208" t="str">
        <f aca="false">IF(W110="","",VALUE(W110))</f>
        <v/>
      </c>
      <c r="AV110" s="209" t="n">
        <f aca="false">IF(X110="","",VALUE(X110))</f>
        <v>49.7</v>
      </c>
      <c r="AW110" s="215"/>
      <c r="AX110" s="211" t="str">
        <f aca="false">Z110</f>
        <v>Te</v>
      </c>
      <c r="AY110" s="212" t="n">
        <f aca="false">COUNT(AA110:AV110)</f>
        <v>13</v>
      </c>
      <c r="AZ110" s="210" t="n">
        <f aca="false">IF(AY110=0,"",MIN(AA110:AV110))</f>
        <v>49.221</v>
      </c>
      <c r="BA110" s="213" t="n">
        <f aca="false">IF(AY110=0,"",MAX(AA110:AV110))</f>
        <v>49.71</v>
      </c>
      <c r="BC110" s="214"/>
    </row>
    <row r="111" customFormat="false" ht="12.75" hidden="false" customHeight="false" outlineLevel="0" collapsed="false">
      <c r="A111" s="73"/>
      <c r="B111" s="38" t="s">
        <v>137</v>
      </c>
      <c r="C111" s="85" t="n">
        <v>56.902</v>
      </c>
      <c r="D111" s="101" t="n">
        <v>56.902</v>
      </c>
      <c r="E111" s="85" t="n">
        <v>56.902</v>
      </c>
      <c r="F111" s="101" t="n">
        <v>56.902</v>
      </c>
      <c r="G111" s="85" t="n">
        <v>53.388</v>
      </c>
      <c r="H111" s="101" t="n">
        <v>53.555</v>
      </c>
      <c r="I111" s="85" t="n">
        <v>53.388</v>
      </c>
      <c r="J111" s="101" t="n">
        <v>53.388</v>
      </c>
      <c r="K111" s="85"/>
      <c r="L111" s="101" t="n">
        <v>53.388</v>
      </c>
      <c r="M111" s="85" t="n">
        <v>53.388</v>
      </c>
      <c r="N111" s="63" t="n">
        <v>53.39</v>
      </c>
      <c r="O111" s="62" t="n">
        <v>53.39</v>
      </c>
      <c r="P111" s="63"/>
      <c r="Q111" s="136" t="n">
        <v>51.8</v>
      </c>
      <c r="R111" s="63"/>
      <c r="S111" s="64" t="s">
        <v>686</v>
      </c>
      <c r="T111" s="102" t="n">
        <v>53.388</v>
      </c>
      <c r="U111" s="62"/>
      <c r="V111" s="102" t="n">
        <v>51.83</v>
      </c>
      <c r="W111" s="64" t="s">
        <v>687</v>
      </c>
      <c r="X111" s="63" t="n">
        <v>51.8</v>
      </c>
      <c r="Z111" s="38" t="s">
        <v>137</v>
      </c>
      <c r="AA111" s="208" t="n">
        <f aca="false">IF(C111="","",VALUE(C111))</f>
        <v>56.902</v>
      </c>
      <c r="AB111" s="209" t="n">
        <f aca="false">IF(D111="","",VALUE(D111))</f>
        <v>56.902</v>
      </c>
      <c r="AC111" s="208" t="n">
        <f aca="false">IF(E111="","",VALUE(E111))</f>
        <v>56.902</v>
      </c>
      <c r="AD111" s="209" t="n">
        <f aca="false">IF(F111="","",VALUE(F111))</f>
        <v>56.902</v>
      </c>
      <c r="AE111" s="208" t="n">
        <f aca="false">IF(G111="","",VALUE(G111))</f>
        <v>53.388</v>
      </c>
      <c r="AF111" s="209" t="n">
        <f aca="false">IF(H111="","",VALUE(H111))</f>
        <v>53.555</v>
      </c>
      <c r="AG111" s="208" t="n">
        <f aca="false">IF(I111="","",VALUE(I111))</f>
        <v>53.388</v>
      </c>
      <c r="AH111" s="209" t="n">
        <f aca="false">IF(J111="","",VALUE(J111))</f>
        <v>53.388</v>
      </c>
      <c r="AI111" s="208" t="str">
        <f aca="false">IF(K111="","",VALUE(K111))</f>
        <v/>
      </c>
      <c r="AJ111" s="209" t="n">
        <f aca="false">IF(L111="","",VALUE(L111))</f>
        <v>53.388</v>
      </c>
      <c r="AK111" s="208" t="n">
        <f aca="false">IF(M111="","",VALUE(M111))</f>
        <v>53.388</v>
      </c>
      <c r="AL111" s="209" t="n">
        <f aca="false">IF(N111="","",VALUE(N111))</f>
        <v>53.39</v>
      </c>
      <c r="AM111" s="208" t="n">
        <f aca="false">IF(O111="","",VALUE(O111))</f>
        <v>53.39</v>
      </c>
      <c r="AN111" s="209" t="str">
        <f aca="false">IF(P111="","",VALUE(P111))</f>
        <v/>
      </c>
      <c r="AO111" s="208" t="n">
        <f aca="false">IF(Q111="","",VALUE(Q111))</f>
        <v>51.8</v>
      </c>
      <c r="AP111" s="209" t="str">
        <f aca="false">IF(R111="","",VALUE(R111))</f>
        <v/>
      </c>
      <c r="AQ111" s="208" t="n">
        <f aca="false">IF(S111="","",VALUE(S111))</f>
        <v>52.64</v>
      </c>
      <c r="AR111" s="209" t="n">
        <f aca="false">IF(T111="","",VALUE(T111))</f>
        <v>53.388</v>
      </c>
      <c r="AS111" s="208" t="str">
        <f aca="false">IF(U111="","",VALUE(U111))</f>
        <v/>
      </c>
      <c r="AT111" s="209" t="n">
        <f aca="false">IF(V111="","",VALUE(V111))</f>
        <v>51.83</v>
      </c>
      <c r="AU111" s="208" t="n">
        <f aca="false">IF(W111="","",VALUE(W111))</f>
        <v>51.83</v>
      </c>
      <c r="AV111" s="209" t="n">
        <f aca="false">IF(X111="","",VALUE(X111))</f>
        <v>51.8</v>
      </c>
      <c r="AW111" s="215"/>
      <c r="AX111" s="211" t="str">
        <f aca="false">Z111</f>
        <v>Th</v>
      </c>
      <c r="AY111" s="212" t="n">
        <f aca="false">COUNT(AA111:AV111)</f>
        <v>18</v>
      </c>
      <c r="AZ111" s="210" t="n">
        <f aca="false">IF(AY111=0,"",MIN(AA111:AV111))</f>
        <v>51.8</v>
      </c>
      <c r="BA111" s="213" t="n">
        <f aca="false">IF(AY111=0,"",MAX(AA111:AV111))</f>
        <v>56.902</v>
      </c>
      <c r="BC111" s="214"/>
    </row>
    <row r="112" customFormat="false" ht="12.75" hidden="false" customHeight="false" outlineLevel="0" collapsed="false">
      <c r="A112" s="73"/>
      <c r="B112" s="31" t="s">
        <v>138</v>
      </c>
      <c r="C112" s="85" t="n">
        <v>27.614</v>
      </c>
      <c r="D112" s="101" t="n">
        <v>27.614</v>
      </c>
      <c r="E112" s="85" t="n">
        <v>27.614</v>
      </c>
      <c r="F112" s="101" t="n">
        <v>30.292</v>
      </c>
      <c r="G112" s="85" t="n">
        <v>30.669</v>
      </c>
      <c r="H112" s="101" t="n">
        <v>30.543</v>
      </c>
      <c r="I112" s="85" t="n">
        <v>30.627</v>
      </c>
      <c r="J112" s="101" t="n">
        <v>30.627</v>
      </c>
      <c r="K112" s="85" t="n">
        <v>30.648</v>
      </c>
      <c r="L112" s="101" t="n">
        <v>30.627</v>
      </c>
      <c r="M112" s="85" t="n">
        <v>30.627</v>
      </c>
      <c r="N112" s="63" t="n">
        <v>30.63</v>
      </c>
      <c r="O112" s="62" t="n">
        <v>30.63</v>
      </c>
      <c r="P112" s="63" t="n">
        <v>30.759</v>
      </c>
      <c r="Q112" s="136" t="n">
        <v>30.72</v>
      </c>
      <c r="R112" s="63"/>
      <c r="S112" s="64" t="s">
        <v>688</v>
      </c>
      <c r="T112" s="102" t="n">
        <v>30.759</v>
      </c>
      <c r="U112" s="62" t="n">
        <v>30.759</v>
      </c>
      <c r="V112" s="102" t="n">
        <v>30.76</v>
      </c>
      <c r="W112" s="64" t="s">
        <v>688</v>
      </c>
      <c r="X112" s="63" t="n">
        <v>30.72</v>
      </c>
      <c r="Z112" s="31" t="s">
        <v>138</v>
      </c>
      <c r="AA112" s="208" t="n">
        <f aca="false">IF(C112="","",VALUE(C112))</f>
        <v>27.614</v>
      </c>
      <c r="AB112" s="209" t="n">
        <f aca="false">IF(D112="","",VALUE(D112))</f>
        <v>27.614</v>
      </c>
      <c r="AC112" s="208" t="n">
        <f aca="false">IF(E112="","",VALUE(E112))</f>
        <v>27.614</v>
      </c>
      <c r="AD112" s="209" t="n">
        <f aca="false">IF(F112="","",VALUE(F112))</f>
        <v>30.292</v>
      </c>
      <c r="AE112" s="208" t="n">
        <f aca="false">IF(G112="","",VALUE(G112))</f>
        <v>30.669</v>
      </c>
      <c r="AF112" s="209" t="n">
        <f aca="false">IF(H112="","",VALUE(H112))</f>
        <v>30.543</v>
      </c>
      <c r="AG112" s="208" t="n">
        <f aca="false">IF(I112="","",VALUE(I112))</f>
        <v>30.627</v>
      </c>
      <c r="AH112" s="209" t="n">
        <f aca="false">IF(J112="","",VALUE(J112))</f>
        <v>30.627</v>
      </c>
      <c r="AI112" s="208" t="n">
        <f aca="false">IF(K112="","",VALUE(K112))</f>
        <v>30.648</v>
      </c>
      <c r="AJ112" s="209" t="n">
        <f aca="false">IF(L112="","",VALUE(L112))</f>
        <v>30.627</v>
      </c>
      <c r="AK112" s="208" t="n">
        <f aca="false">IF(M112="","",VALUE(M112))</f>
        <v>30.627</v>
      </c>
      <c r="AL112" s="209" t="n">
        <f aca="false">IF(N112="","",VALUE(N112))</f>
        <v>30.63</v>
      </c>
      <c r="AM112" s="208" t="n">
        <f aca="false">IF(O112="","",VALUE(O112))</f>
        <v>30.63</v>
      </c>
      <c r="AN112" s="209" t="n">
        <f aca="false">IF(P112="","",VALUE(P112))</f>
        <v>30.759</v>
      </c>
      <c r="AO112" s="208" t="n">
        <f aca="false">IF(Q112="","",VALUE(Q112))</f>
        <v>30.72</v>
      </c>
      <c r="AP112" s="209" t="str">
        <f aca="false">IF(R112="","",VALUE(R112))</f>
        <v/>
      </c>
      <c r="AQ112" s="208" t="n">
        <f aca="false">IF(S112="","",VALUE(S112))</f>
        <v>30.72</v>
      </c>
      <c r="AR112" s="209" t="n">
        <f aca="false">IF(T112="","",VALUE(T112))</f>
        <v>30.759</v>
      </c>
      <c r="AS112" s="208" t="n">
        <f aca="false">IF(U112="","",VALUE(U112))</f>
        <v>30.759</v>
      </c>
      <c r="AT112" s="209" t="n">
        <f aca="false">IF(V112="","",VALUE(V112))</f>
        <v>30.76</v>
      </c>
      <c r="AU112" s="208" t="n">
        <f aca="false">IF(W112="","",VALUE(W112))</f>
        <v>30.72</v>
      </c>
      <c r="AV112" s="209" t="n">
        <f aca="false">IF(X112="","",VALUE(X112))</f>
        <v>30.72</v>
      </c>
      <c r="AW112" s="215"/>
      <c r="AX112" s="211" t="str">
        <f aca="false">Z112</f>
        <v>Ti</v>
      </c>
      <c r="AY112" s="212" t="n">
        <f aca="false">COUNT(AA112:AV112)</f>
        <v>21</v>
      </c>
      <c r="AZ112" s="210" t="n">
        <f aca="false">IF(AY112=0,"",MIN(AA112:AV112))</f>
        <v>27.614</v>
      </c>
      <c r="BA112" s="213" t="n">
        <f aca="false">IF(AY112=0,"",MAX(AA112:AV112))</f>
        <v>30.76</v>
      </c>
      <c r="BC112" s="214"/>
    </row>
    <row r="113" customFormat="false" ht="12.75" hidden="false" customHeight="false" outlineLevel="0" collapsed="false">
      <c r="A113" s="73"/>
      <c r="B113" s="31" t="s">
        <v>139</v>
      </c>
      <c r="C113" s="85" t="n">
        <v>61.086</v>
      </c>
      <c r="D113" s="101" t="n">
        <v>61.086</v>
      </c>
      <c r="E113" s="85" t="n">
        <v>64.852</v>
      </c>
      <c r="F113" s="101" t="n">
        <v>64.434</v>
      </c>
      <c r="G113" s="85" t="n">
        <v>64.224</v>
      </c>
      <c r="H113" s="101" t="n">
        <v>64.224</v>
      </c>
      <c r="I113" s="85"/>
      <c r="J113" s="101" t="n">
        <v>64.183</v>
      </c>
      <c r="K113" s="85"/>
      <c r="L113" s="101" t="n">
        <v>64.183</v>
      </c>
      <c r="M113" s="85" t="n">
        <v>64.183</v>
      </c>
      <c r="N113" s="63" t="n">
        <v>64.18</v>
      </c>
      <c r="O113" s="62" t="n">
        <v>64.18</v>
      </c>
      <c r="P113" s="63"/>
      <c r="Q113" s="136"/>
      <c r="R113" s="63" t="s">
        <v>689</v>
      </c>
      <c r="S113" s="64"/>
      <c r="T113" s="102" t="n">
        <v>64.183</v>
      </c>
      <c r="U113" s="62"/>
      <c r="V113" s="102"/>
      <c r="W113" s="62"/>
      <c r="X113" s="63" t="n">
        <v>64.18</v>
      </c>
      <c r="Z113" s="31" t="s">
        <v>139</v>
      </c>
      <c r="AA113" s="208" t="n">
        <f aca="false">IF(C113="","",VALUE(C113))</f>
        <v>61.086</v>
      </c>
      <c r="AB113" s="209" t="n">
        <f aca="false">IF(D113="","",VALUE(D113))</f>
        <v>61.086</v>
      </c>
      <c r="AC113" s="208" t="n">
        <f aca="false">IF(E113="","",VALUE(E113))</f>
        <v>64.852</v>
      </c>
      <c r="AD113" s="209" t="n">
        <f aca="false">IF(F113="","",VALUE(F113))</f>
        <v>64.434</v>
      </c>
      <c r="AE113" s="208" t="n">
        <f aca="false">IF(G113="","",VALUE(G113))</f>
        <v>64.224</v>
      </c>
      <c r="AF113" s="209" t="n">
        <f aca="false">IF(H113="","",VALUE(H113))</f>
        <v>64.224</v>
      </c>
      <c r="AG113" s="208" t="str">
        <f aca="false">IF(I113="","",VALUE(I113))</f>
        <v/>
      </c>
      <c r="AH113" s="209" t="n">
        <f aca="false">IF(J113="","",VALUE(J113))</f>
        <v>64.183</v>
      </c>
      <c r="AI113" s="208" t="str">
        <f aca="false">IF(K113="","",VALUE(K113))</f>
        <v/>
      </c>
      <c r="AJ113" s="209" t="n">
        <f aca="false">IF(L113="","",VALUE(L113))</f>
        <v>64.183</v>
      </c>
      <c r="AK113" s="208" t="n">
        <f aca="false">IF(M113="","",VALUE(M113))</f>
        <v>64.183</v>
      </c>
      <c r="AL113" s="209" t="n">
        <f aca="false">IF(N113="","",VALUE(N113))</f>
        <v>64.18</v>
      </c>
      <c r="AM113" s="208" t="n">
        <f aca="false">IF(O113="","",VALUE(O113))</f>
        <v>64.18</v>
      </c>
      <c r="AN113" s="209" t="str">
        <f aca="false">IF(P113="","",VALUE(P113))</f>
        <v/>
      </c>
      <c r="AO113" s="208" t="str">
        <f aca="false">IF(Q113="","",VALUE(Q113))</f>
        <v/>
      </c>
      <c r="AP113" s="209" t="n">
        <f aca="false">IF(R113="","",VALUE(R113))</f>
        <v>64.3</v>
      </c>
      <c r="AQ113" s="208" t="str">
        <f aca="false">IF(S113="","",VALUE(S113))</f>
        <v/>
      </c>
      <c r="AR113" s="209" t="n">
        <f aca="false">IF(T113="","",VALUE(T113))</f>
        <v>64.183</v>
      </c>
      <c r="AS113" s="208" t="str">
        <f aca="false">IF(U113="","",VALUE(U113))</f>
        <v/>
      </c>
      <c r="AT113" s="209" t="str">
        <f aca="false">IF(V113="","",VALUE(V113))</f>
        <v/>
      </c>
      <c r="AU113" s="208" t="str">
        <f aca="false">IF(W113="","",VALUE(W113))</f>
        <v/>
      </c>
      <c r="AV113" s="209" t="n">
        <f aca="false">IF(X113="","",VALUE(X113))</f>
        <v>64.18</v>
      </c>
      <c r="AW113" s="215"/>
      <c r="AX113" s="211" t="str">
        <f aca="false">Z113</f>
        <v>Tl</v>
      </c>
      <c r="AY113" s="212" t="n">
        <f aca="false">COUNT(AA113:AV113)</f>
        <v>14</v>
      </c>
      <c r="AZ113" s="210" t="n">
        <f aca="false">IF(AY113=0,"",MIN(AA113:AV113))</f>
        <v>61.086</v>
      </c>
      <c r="BA113" s="213" t="n">
        <f aca="false">IF(AY113=0,"",MAX(AA113:AV113))</f>
        <v>64.852</v>
      </c>
      <c r="BC113" s="214"/>
    </row>
    <row r="114" customFormat="false" ht="12.75" hidden="false" customHeight="false" outlineLevel="0" collapsed="false">
      <c r="A114" s="73"/>
      <c r="B114" s="31" t="s">
        <v>140</v>
      </c>
      <c r="C114" s="85"/>
      <c r="D114" s="101"/>
      <c r="E114" s="85"/>
      <c r="F114" s="101"/>
      <c r="G114" s="85" t="n">
        <v>71.379</v>
      </c>
      <c r="H114" s="101" t="n">
        <v>71.546</v>
      </c>
      <c r="I114" s="85"/>
      <c r="J114" s="101" t="n">
        <v>74.015</v>
      </c>
      <c r="K114" s="85"/>
      <c r="L114" s="101" t="n">
        <v>74.015</v>
      </c>
      <c r="M114" s="85" t="n">
        <v>74.015</v>
      </c>
      <c r="N114" s="63" t="n">
        <v>74.01</v>
      </c>
      <c r="O114" s="62" t="n">
        <v>74.01</v>
      </c>
      <c r="P114" s="63"/>
      <c r="Q114" s="136"/>
      <c r="R114" s="63"/>
      <c r="S114" s="64"/>
      <c r="T114" s="102" t="n">
        <v>74.015</v>
      </c>
      <c r="U114" s="62"/>
      <c r="V114" s="102"/>
      <c r="W114" s="62"/>
      <c r="X114" s="63" t="n">
        <v>74.01</v>
      </c>
      <c r="Z114" s="31" t="s">
        <v>140</v>
      </c>
      <c r="AA114" s="208" t="str">
        <f aca="false">IF(C114="","",VALUE(C114))</f>
        <v/>
      </c>
      <c r="AB114" s="209" t="str">
        <f aca="false">IF(D114="","",VALUE(D114))</f>
        <v/>
      </c>
      <c r="AC114" s="208" t="str">
        <f aca="false">IF(E114="","",VALUE(E114))</f>
        <v/>
      </c>
      <c r="AD114" s="209" t="str">
        <f aca="false">IF(F114="","",VALUE(F114))</f>
        <v/>
      </c>
      <c r="AE114" s="208" t="n">
        <f aca="false">IF(G114="","",VALUE(G114))</f>
        <v>71.379</v>
      </c>
      <c r="AF114" s="209" t="n">
        <f aca="false">IF(H114="","",VALUE(H114))</f>
        <v>71.546</v>
      </c>
      <c r="AG114" s="208" t="str">
        <f aca="false">IF(I114="","",VALUE(I114))</f>
        <v/>
      </c>
      <c r="AH114" s="209" t="n">
        <f aca="false">IF(J114="","",VALUE(J114))</f>
        <v>74.015</v>
      </c>
      <c r="AI114" s="208" t="str">
        <f aca="false">IF(K114="","",VALUE(K114))</f>
        <v/>
      </c>
      <c r="AJ114" s="209" t="n">
        <f aca="false">IF(L114="","",VALUE(L114))</f>
        <v>74.015</v>
      </c>
      <c r="AK114" s="208" t="n">
        <f aca="false">IF(M114="","",VALUE(M114))</f>
        <v>74.015</v>
      </c>
      <c r="AL114" s="209" t="n">
        <f aca="false">IF(N114="","",VALUE(N114))</f>
        <v>74.01</v>
      </c>
      <c r="AM114" s="208" t="n">
        <f aca="false">IF(O114="","",VALUE(O114))</f>
        <v>74.01</v>
      </c>
      <c r="AN114" s="209" t="str">
        <f aca="false">IF(P114="","",VALUE(P114))</f>
        <v/>
      </c>
      <c r="AO114" s="208" t="str">
        <f aca="false">IF(Q114="","",VALUE(Q114))</f>
        <v/>
      </c>
      <c r="AP114" s="209" t="str">
        <f aca="false">IF(R114="","",VALUE(R114))</f>
        <v/>
      </c>
      <c r="AQ114" s="208" t="str">
        <f aca="false">IF(S114="","",VALUE(S114))</f>
        <v/>
      </c>
      <c r="AR114" s="209" t="n">
        <f aca="false">IF(T114="","",VALUE(T114))</f>
        <v>74.015</v>
      </c>
      <c r="AS114" s="208" t="str">
        <f aca="false">IF(U114="","",VALUE(U114))</f>
        <v/>
      </c>
      <c r="AT114" s="209" t="str">
        <f aca="false">IF(V114="","",VALUE(V114))</f>
        <v/>
      </c>
      <c r="AU114" s="208" t="str">
        <f aca="false">IF(W114="","",VALUE(W114))</f>
        <v/>
      </c>
      <c r="AV114" s="209" t="n">
        <f aca="false">IF(X114="","",VALUE(X114))</f>
        <v>74.01</v>
      </c>
      <c r="AW114" s="215"/>
      <c r="AX114" s="211" t="str">
        <f aca="false">Z114</f>
        <v>Tm</v>
      </c>
      <c r="AY114" s="212" t="n">
        <f aca="false">COUNT(AA114:AV114)</f>
        <v>9</v>
      </c>
      <c r="AZ114" s="210" t="n">
        <f aca="false">IF(AY114=0,"",MIN(AA114:AV114))</f>
        <v>71.379</v>
      </c>
      <c r="BA114" s="213" t="n">
        <f aca="false">IF(AY114=0,"",MAX(AA114:AV114))</f>
        <v>74.015</v>
      </c>
      <c r="BC114" s="214"/>
    </row>
    <row r="115" customFormat="false" ht="12.75" hidden="false" customHeight="false" outlineLevel="0" collapsed="false">
      <c r="A115" s="73"/>
      <c r="B115" s="31" t="s">
        <v>141</v>
      </c>
      <c r="C115" s="85" t="n">
        <v>46.442</v>
      </c>
      <c r="D115" s="101" t="n">
        <v>46.442</v>
      </c>
      <c r="E115" s="85" t="n">
        <v>46.442</v>
      </c>
      <c r="F115" s="101" t="n">
        <v>50.334</v>
      </c>
      <c r="G115" s="85" t="n">
        <v>50.334</v>
      </c>
      <c r="H115" s="101" t="n">
        <v>50.334</v>
      </c>
      <c r="I115" s="85" t="n">
        <v>50.208</v>
      </c>
      <c r="J115" s="101" t="n">
        <v>50.208</v>
      </c>
      <c r="K115" s="85"/>
      <c r="L115" s="101" t="n">
        <v>50.292</v>
      </c>
      <c r="M115" s="85" t="n">
        <v>50.208</v>
      </c>
      <c r="N115" s="63" t="n">
        <v>50.29</v>
      </c>
      <c r="O115" s="62" t="n">
        <v>50.21</v>
      </c>
      <c r="P115" s="63"/>
      <c r="Q115" s="141" t="s">
        <v>552</v>
      </c>
      <c r="R115" s="65"/>
      <c r="S115" s="64" t="s">
        <v>690</v>
      </c>
      <c r="T115" s="102" t="n">
        <v>50.292</v>
      </c>
      <c r="U115" s="62"/>
      <c r="V115" s="102" t="n">
        <v>50.2</v>
      </c>
      <c r="W115" s="64" t="s">
        <v>690</v>
      </c>
      <c r="X115" s="65" t="s">
        <v>552</v>
      </c>
      <c r="Z115" s="31" t="s">
        <v>141</v>
      </c>
      <c r="AA115" s="208" t="n">
        <f aca="false">IF(C115="","",VALUE(C115))</f>
        <v>46.442</v>
      </c>
      <c r="AB115" s="209" t="n">
        <f aca="false">IF(D115="","",VALUE(D115))</f>
        <v>46.442</v>
      </c>
      <c r="AC115" s="208" t="n">
        <f aca="false">IF(E115="","",VALUE(E115))</f>
        <v>46.442</v>
      </c>
      <c r="AD115" s="209" t="n">
        <f aca="false">IF(F115="","",VALUE(F115))</f>
        <v>50.334</v>
      </c>
      <c r="AE115" s="208" t="n">
        <f aca="false">IF(G115="","",VALUE(G115))</f>
        <v>50.334</v>
      </c>
      <c r="AF115" s="209" t="n">
        <f aca="false">IF(H115="","",VALUE(H115))</f>
        <v>50.334</v>
      </c>
      <c r="AG115" s="208" t="n">
        <f aca="false">IF(I115="","",VALUE(I115))</f>
        <v>50.208</v>
      </c>
      <c r="AH115" s="209" t="n">
        <f aca="false">IF(J115="","",VALUE(J115))</f>
        <v>50.208</v>
      </c>
      <c r="AI115" s="208" t="str">
        <f aca="false">IF(K115="","",VALUE(K115))</f>
        <v/>
      </c>
      <c r="AJ115" s="209" t="n">
        <f aca="false">IF(L115="","",VALUE(L115))</f>
        <v>50.292</v>
      </c>
      <c r="AK115" s="208" t="n">
        <f aca="false">IF(M115="","",VALUE(M115))</f>
        <v>50.208</v>
      </c>
      <c r="AL115" s="209" t="n">
        <f aca="false">IF(N115="","",VALUE(N115))</f>
        <v>50.29</v>
      </c>
      <c r="AM115" s="208" t="n">
        <f aca="false">IF(O115="","",VALUE(O115))</f>
        <v>50.21</v>
      </c>
      <c r="AN115" s="209" t="str">
        <f aca="false">IF(P115="","",VALUE(P115))</f>
        <v/>
      </c>
      <c r="AO115" s="208" t="n">
        <f aca="false">IF(Q115="","",VALUE(Q115))</f>
        <v>50.2</v>
      </c>
      <c r="AP115" s="209" t="str">
        <f aca="false">IF(R115="","",VALUE(R115))</f>
        <v/>
      </c>
      <c r="AQ115" s="208" t="n">
        <f aca="false">IF(S115="","",VALUE(S115))</f>
        <v>50.2</v>
      </c>
      <c r="AR115" s="209" t="n">
        <f aca="false">IF(T115="","",VALUE(T115))</f>
        <v>50.292</v>
      </c>
      <c r="AS115" s="208" t="str">
        <f aca="false">IF(U115="","",VALUE(U115))</f>
        <v/>
      </c>
      <c r="AT115" s="209" t="n">
        <f aca="false">IF(V115="","",VALUE(V115))</f>
        <v>50.2</v>
      </c>
      <c r="AU115" s="208" t="n">
        <f aca="false">IF(W115="","",VALUE(W115))</f>
        <v>50.2</v>
      </c>
      <c r="AV115" s="209" t="n">
        <f aca="false">IF(X115="","",VALUE(X115))</f>
        <v>50.2</v>
      </c>
      <c r="AW115" s="215"/>
      <c r="AX115" s="211" t="str">
        <f aca="false">Z115</f>
        <v>U</v>
      </c>
      <c r="AY115" s="212" t="n">
        <f aca="false">COUNT(AA115:AV115)</f>
        <v>18</v>
      </c>
      <c r="AZ115" s="210" t="n">
        <f aca="false">IF(AY115=0,"",MIN(AA115:AV115))</f>
        <v>46.442</v>
      </c>
      <c r="BA115" s="213" t="n">
        <f aca="false">IF(AY115=0,"",MAX(AA115:AV115))</f>
        <v>50.334</v>
      </c>
      <c r="BC115" s="214"/>
    </row>
    <row r="116" customFormat="false" ht="12.75" hidden="false" customHeight="false" outlineLevel="0" collapsed="false">
      <c r="A116" s="73"/>
      <c r="B116" s="31" t="s">
        <v>142</v>
      </c>
      <c r="C116" s="85"/>
      <c r="D116" s="101"/>
      <c r="E116" s="85" t="n">
        <v>27.196</v>
      </c>
      <c r="F116" s="101" t="n">
        <v>29.497</v>
      </c>
      <c r="G116" s="85" t="n">
        <v>29.33</v>
      </c>
      <c r="H116" s="101" t="n">
        <v>29.372</v>
      </c>
      <c r="I116" s="85" t="n">
        <v>28.911</v>
      </c>
      <c r="J116" s="101" t="n">
        <v>28.911</v>
      </c>
      <c r="K116" s="85"/>
      <c r="L116" s="101" t="n">
        <v>28.911</v>
      </c>
      <c r="M116" s="85" t="n">
        <v>28.932</v>
      </c>
      <c r="N116" s="63" t="n">
        <v>28.91</v>
      </c>
      <c r="O116" s="62" t="n">
        <v>28.91</v>
      </c>
      <c r="P116" s="63" t="n">
        <v>28.936</v>
      </c>
      <c r="Q116" s="136"/>
      <c r="R116" s="63"/>
      <c r="S116" s="64"/>
      <c r="T116" s="102" t="n">
        <v>28.911</v>
      </c>
      <c r="U116" s="62" t="n">
        <v>28.936</v>
      </c>
      <c r="V116" s="102" t="n">
        <v>28.94</v>
      </c>
      <c r="W116" s="64" t="s">
        <v>691</v>
      </c>
      <c r="X116" s="63" t="n">
        <v>28.94</v>
      </c>
      <c r="Z116" s="31" t="s">
        <v>142</v>
      </c>
      <c r="AA116" s="208" t="str">
        <f aca="false">IF(C116="","",VALUE(C116))</f>
        <v/>
      </c>
      <c r="AB116" s="209" t="str">
        <f aca="false">IF(D116="","",VALUE(D116))</f>
        <v/>
      </c>
      <c r="AC116" s="208" t="n">
        <f aca="false">IF(E116="","",VALUE(E116))</f>
        <v>27.196</v>
      </c>
      <c r="AD116" s="209" t="n">
        <f aca="false">IF(F116="","",VALUE(F116))</f>
        <v>29.497</v>
      </c>
      <c r="AE116" s="208" t="n">
        <f aca="false">IF(G116="","",VALUE(G116))</f>
        <v>29.33</v>
      </c>
      <c r="AF116" s="209" t="n">
        <f aca="false">IF(H116="","",VALUE(H116))</f>
        <v>29.372</v>
      </c>
      <c r="AG116" s="208" t="n">
        <f aca="false">IF(I116="","",VALUE(I116))</f>
        <v>28.911</v>
      </c>
      <c r="AH116" s="209" t="n">
        <f aca="false">IF(J116="","",VALUE(J116))</f>
        <v>28.911</v>
      </c>
      <c r="AI116" s="208" t="str">
        <f aca="false">IF(K116="","",VALUE(K116))</f>
        <v/>
      </c>
      <c r="AJ116" s="209" t="n">
        <f aca="false">IF(L116="","",VALUE(L116))</f>
        <v>28.911</v>
      </c>
      <c r="AK116" s="208" t="n">
        <f aca="false">IF(M116="","",VALUE(M116))</f>
        <v>28.932</v>
      </c>
      <c r="AL116" s="209" t="n">
        <f aca="false">IF(N116="","",VALUE(N116))</f>
        <v>28.91</v>
      </c>
      <c r="AM116" s="208" t="n">
        <f aca="false">IF(O116="","",VALUE(O116))</f>
        <v>28.91</v>
      </c>
      <c r="AN116" s="209" t="n">
        <f aca="false">IF(P116="","",VALUE(P116))</f>
        <v>28.936</v>
      </c>
      <c r="AO116" s="208" t="str">
        <f aca="false">IF(Q116="","",VALUE(Q116))</f>
        <v/>
      </c>
      <c r="AP116" s="209" t="str">
        <f aca="false">IF(R116="","",VALUE(R116))</f>
        <v/>
      </c>
      <c r="AQ116" s="208" t="str">
        <f aca="false">IF(S116="","",VALUE(S116))</f>
        <v/>
      </c>
      <c r="AR116" s="209" t="n">
        <f aca="false">IF(T116="","",VALUE(T116))</f>
        <v>28.911</v>
      </c>
      <c r="AS116" s="208" t="n">
        <f aca="false">IF(U116="","",VALUE(U116))</f>
        <v>28.936</v>
      </c>
      <c r="AT116" s="209" t="n">
        <f aca="false">IF(V116="","",VALUE(V116))</f>
        <v>28.94</v>
      </c>
      <c r="AU116" s="208" t="n">
        <f aca="false">IF(W116="","",VALUE(W116))</f>
        <v>28.936</v>
      </c>
      <c r="AV116" s="209" t="n">
        <f aca="false">IF(X116="","",VALUE(X116))</f>
        <v>28.94</v>
      </c>
      <c r="AW116" s="215"/>
      <c r="AX116" s="211" t="str">
        <f aca="false">Z116</f>
        <v>V</v>
      </c>
      <c r="AY116" s="212" t="n">
        <f aca="false">COUNT(AA116:AV116)</f>
        <v>16</v>
      </c>
      <c r="AZ116" s="210" t="n">
        <f aca="false">IF(AY116=0,"",MIN(AA116:AV116))</f>
        <v>27.196</v>
      </c>
      <c r="BA116" s="213" t="n">
        <f aca="false">IF(AY116=0,"",MAX(AA116:AV116))</f>
        <v>29.497</v>
      </c>
      <c r="BC116" s="214"/>
    </row>
    <row r="117" customFormat="false" ht="12.75" hidden="false" customHeight="false" outlineLevel="0" collapsed="false">
      <c r="A117" s="73"/>
      <c r="B117" s="31" t="s">
        <v>143</v>
      </c>
      <c r="C117" s="85" t="n">
        <v>35.146</v>
      </c>
      <c r="D117" s="101" t="n">
        <v>35.146</v>
      </c>
      <c r="E117" s="85" t="n">
        <v>33.472</v>
      </c>
      <c r="F117" s="101" t="n">
        <v>33.472</v>
      </c>
      <c r="G117" s="85" t="n">
        <v>33.639</v>
      </c>
      <c r="H117" s="101" t="n">
        <v>32.635</v>
      </c>
      <c r="I117" s="85" t="n">
        <v>32.635</v>
      </c>
      <c r="J117" s="101" t="n">
        <v>32.635</v>
      </c>
      <c r="K117" s="85" t="n">
        <v>32.66</v>
      </c>
      <c r="L117" s="101" t="n">
        <v>32.635</v>
      </c>
      <c r="M117" s="85" t="n">
        <v>32.635</v>
      </c>
      <c r="N117" s="63" t="n">
        <v>32.64</v>
      </c>
      <c r="O117" s="62" t="n">
        <v>32.64</v>
      </c>
      <c r="P117" s="65" t="s">
        <v>692</v>
      </c>
      <c r="Q117" s="136"/>
      <c r="R117" s="63"/>
      <c r="S117" s="64"/>
      <c r="T117" s="103" t="s">
        <v>692</v>
      </c>
      <c r="U117" s="64" t="s">
        <v>692</v>
      </c>
      <c r="V117" s="102" t="n">
        <v>32.65</v>
      </c>
      <c r="W117" s="64" t="s">
        <v>692</v>
      </c>
      <c r="X117" s="63" t="n">
        <v>32.6</v>
      </c>
      <c r="Z117" s="31" t="s">
        <v>143</v>
      </c>
      <c r="AA117" s="208" t="n">
        <f aca="false">IF(C117="","",VALUE(C117))</f>
        <v>35.146</v>
      </c>
      <c r="AB117" s="209" t="n">
        <f aca="false">IF(D117="","",VALUE(D117))</f>
        <v>35.146</v>
      </c>
      <c r="AC117" s="208" t="n">
        <f aca="false">IF(E117="","",VALUE(E117))</f>
        <v>33.472</v>
      </c>
      <c r="AD117" s="209" t="n">
        <f aca="false">IF(F117="","",VALUE(F117))</f>
        <v>33.472</v>
      </c>
      <c r="AE117" s="208" t="n">
        <f aca="false">IF(G117="","",VALUE(G117))</f>
        <v>33.639</v>
      </c>
      <c r="AF117" s="209" t="n">
        <f aca="false">IF(H117="","",VALUE(H117))</f>
        <v>32.635</v>
      </c>
      <c r="AG117" s="208" t="n">
        <f aca="false">IF(I117="","",VALUE(I117))</f>
        <v>32.635</v>
      </c>
      <c r="AH117" s="209" t="n">
        <f aca="false">IF(J117="","",VALUE(J117))</f>
        <v>32.635</v>
      </c>
      <c r="AI117" s="208" t="n">
        <f aca="false">IF(K117="","",VALUE(K117))</f>
        <v>32.66</v>
      </c>
      <c r="AJ117" s="209" t="n">
        <f aca="false">IF(L117="","",VALUE(L117))</f>
        <v>32.635</v>
      </c>
      <c r="AK117" s="208" t="n">
        <f aca="false">IF(M117="","",VALUE(M117))</f>
        <v>32.635</v>
      </c>
      <c r="AL117" s="209" t="n">
        <f aca="false">IF(N117="","",VALUE(N117))</f>
        <v>32.64</v>
      </c>
      <c r="AM117" s="208" t="n">
        <f aca="false">IF(O117="","",VALUE(O117))</f>
        <v>32.64</v>
      </c>
      <c r="AN117" s="209" t="n">
        <f aca="false">IF(P117="","",VALUE(P117))</f>
        <v>32.66</v>
      </c>
      <c r="AO117" s="208" t="str">
        <f aca="false">IF(Q117="","",VALUE(Q117))</f>
        <v/>
      </c>
      <c r="AP117" s="209" t="str">
        <f aca="false">IF(R117="","",VALUE(R117))</f>
        <v/>
      </c>
      <c r="AQ117" s="208" t="str">
        <f aca="false">IF(S117="","",VALUE(S117))</f>
        <v/>
      </c>
      <c r="AR117" s="209" t="n">
        <f aca="false">IF(T117="","",VALUE(T117))</f>
        <v>32.66</v>
      </c>
      <c r="AS117" s="208" t="n">
        <f aca="false">IF(U117="","",VALUE(U117))</f>
        <v>32.66</v>
      </c>
      <c r="AT117" s="209" t="n">
        <f aca="false">IF(V117="","",VALUE(V117))</f>
        <v>32.65</v>
      </c>
      <c r="AU117" s="208" t="n">
        <f aca="false">IF(W117="","",VALUE(W117))</f>
        <v>32.66</v>
      </c>
      <c r="AV117" s="209" t="n">
        <f aca="false">IF(X117="","",VALUE(X117))</f>
        <v>32.6</v>
      </c>
      <c r="AW117" s="215"/>
      <c r="AX117" s="211" t="str">
        <f aca="false">Z117</f>
        <v>W</v>
      </c>
      <c r="AY117" s="212" t="n">
        <f aca="false">COUNT(AA117:AV117)</f>
        <v>19</v>
      </c>
      <c r="AZ117" s="210" t="n">
        <f aca="false">IF(AY117=0,"",MIN(AA117:AV117))</f>
        <v>32.6</v>
      </c>
      <c r="BA117" s="213" t="n">
        <f aca="false">IF(AY117=0,"",MAX(AA117:AV117))</f>
        <v>35.146</v>
      </c>
      <c r="BC117" s="214"/>
    </row>
    <row r="118" customFormat="false" ht="12.75" hidden="false" customHeight="false" outlineLevel="0" collapsed="false">
      <c r="A118" s="73"/>
      <c r="B118" s="31" t="s">
        <v>144</v>
      </c>
      <c r="C118" s="85"/>
      <c r="D118" s="101" t="n">
        <v>168.432</v>
      </c>
      <c r="E118" s="85" t="n">
        <v>169.603</v>
      </c>
      <c r="F118" s="101" t="n">
        <v>169.687</v>
      </c>
      <c r="G118" s="85" t="n">
        <v>169.687</v>
      </c>
      <c r="H118" s="101" t="n">
        <v>169.687</v>
      </c>
      <c r="I118" s="85"/>
      <c r="J118" s="101" t="n">
        <v>169.683</v>
      </c>
      <c r="K118" s="85"/>
      <c r="L118" s="101" t="n">
        <v>169.641</v>
      </c>
      <c r="M118" s="85" t="n">
        <v>169.687</v>
      </c>
      <c r="N118" s="63" t="n">
        <v>169.68</v>
      </c>
      <c r="O118" s="62" t="n">
        <v>169.683</v>
      </c>
      <c r="P118" s="63" t="n">
        <v>169.684</v>
      </c>
      <c r="Q118" s="136" t="n">
        <v>169.685</v>
      </c>
      <c r="R118" s="63" t="s">
        <v>693</v>
      </c>
      <c r="S118" s="64" t="n">
        <v>169.685</v>
      </c>
      <c r="T118" s="102" t="n">
        <v>169.683</v>
      </c>
      <c r="U118" s="62" t="n">
        <v>169.684</v>
      </c>
      <c r="V118" s="102"/>
      <c r="W118" s="64" t="s">
        <v>694</v>
      </c>
      <c r="X118" s="63" t="n">
        <v>169.685</v>
      </c>
      <c r="Z118" s="31" t="s">
        <v>144</v>
      </c>
      <c r="AA118" s="208" t="str">
        <f aca="false">IF(C118="","",VALUE(C118))</f>
        <v/>
      </c>
      <c r="AB118" s="209" t="n">
        <f aca="false">IF(D118="","",VALUE(D118))</f>
        <v>168.432</v>
      </c>
      <c r="AC118" s="208" t="n">
        <f aca="false">IF(E118="","",VALUE(E118))</f>
        <v>169.603</v>
      </c>
      <c r="AD118" s="209" t="n">
        <f aca="false">IF(F118="","",VALUE(F118))</f>
        <v>169.687</v>
      </c>
      <c r="AE118" s="208" t="n">
        <f aca="false">IF(G118="","",VALUE(G118))</f>
        <v>169.687</v>
      </c>
      <c r="AF118" s="209" t="n">
        <f aca="false">IF(H118="","",VALUE(H118))</f>
        <v>169.687</v>
      </c>
      <c r="AG118" s="208" t="str">
        <f aca="false">IF(I118="","",VALUE(I118))</f>
        <v/>
      </c>
      <c r="AH118" s="209" t="n">
        <f aca="false">IF(J118="","",VALUE(J118))</f>
        <v>169.683</v>
      </c>
      <c r="AI118" s="208" t="str">
        <f aca="false">IF(K118="","",VALUE(K118))</f>
        <v/>
      </c>
      <c r="AJ118" s="209" t="n">
        <f aca="false">IF(L118="","",VALUE(L118))</f>
        <v>169.641</v>
      </c>
      <c r="AK118" s="208" t="n">
        <f aca="false">IF(M118="","",VALUE(M118))</f>
        <v>169.687</v>
      </c>
      <c r="AL118" s="209" t="n">
        <f aca="false">IF(N118="","",VALUE(N118))</f>
        <v>169.68</v>
      </c>
      <c r="AM118" s="208" t="n">
        <f aca="false">IF(O118="","",VALUE(O118))</f>
        <v>169.683</v>
      </c>
      <c r="AN118" s="209" t="n">
        <f aca="false">IF(P118="","",VALUE(P118))</f>
        <v>169.684</v>
      </c>
      <c r="AO118" s="208" t="n">
        <f aca="false">IF(Q118="","",VALUE(Q118))</f>
        <v>169.685</v>
      </c>
      <c r="AP118" s="209" t="n">
        <f aca="false">IF(R118="","",VALUE(R118))</f>
        <v>169.685</v>
      </c>
      <c r="AQ118" s="208" t="n">
        <f aca="false">IF(S118="","",VALUE(S118))</f>
        <v>169.685</v>
      </c>
      <c r="AR118" s="209" t="n">
        <f aca="false">IF(T118="","",VALUE(T118))</f>
        <v>169.683</v>
      </c>
      <c r="AS118" s="208" t="n">
        <f aca="false">IF(U118="","",VALUE(U118))</f>
        <v>169.684</v>
      </c>
      <c r="AT118" s="209" t="str">
        <f aca="false">IF(V118="","",VALUE(V118))</f>
        <v/>
      </c>
      <c r="AU118" s="208" t="n">
        <f aca="false">IF(W118="","",VALUE(W118))</f>
        <v>169.686</v>
      </c>
      <c r="AV118" s="209" t="n">
        <f aca="false">IF(X118="","",VALUE(X118))</f>
        <v>169.685</v>
      </c>
      <c r="AW118" s="215"/>
      <c r="AX118" s="211" t="str">
        <f aca="false">Z118</f>
        <v>Xe</v>
      </c>
      <c r="AY118" s="212" t="n">
        <f aca="false">COUNT(AA118:AV118)</f>
        <v>18</v>
      </c>
      <c r="AZ118" s="210" t="n">
        <f aca="false">IF(AY118=0,"",MIN(AA118:AV118))</f>
        <v>168.432</v>
      </c>
      <c r="BA118" s="213" t="n">
        <f aca="false">IF(AY118=0,"",MAX(AA118:AV118))</f>
        <v>169.687</v>
      </c>
      <c r="BC118" s="214"/>
    </row>
    <row r="119" customFormat="false" ht="12.75" hidden="false" customHeight="false" outlineLevel="0" collapsed="false">
      <c r="A119" s="73"/>
      <c r="B119" s="31" t="s">
        <v>145</v>
      </c>
      <c r="C119" s="85"/>
      <c r="D119" s="101"/>
      <c r="E119" s="85"/>
      <c r="F119" s="101"/>
      <c r="G119" s="85" t="n">
        <v>46.024</v>
      </c>
      <c r="H119" s="101" t="n">
        <v>46.024</v>
      </c>
      <c r="I119" s="85"/>
      <c r="J119" s="101" t="n">
        <v>44.434</v>
      </c>
      <c r="K119" s="85"/>
      <c r="L119" s="101" t="n">
        <v>44.434</v>
      </c>
      <c r="M119" s="85" t="n">
        <v>44.434</v>
      </c>
      <c r="N119" s="63" t="n">
        <v>44.43</v>
      </c>
      <c r="O119" s="62" t="n">
        <v>44.43</v>
      </c>
      <c r="P119" s="63"/>
      <c r="Q119" s="136"/>
      <c r="R119" s="63"/>
      <c r="S119" s="64"/>
      <c r="T119" s="102" t="n">
        <v>44.434</v>
      </c>
      <c r="U119" s="62"/>
      <c r="V119" s="102"/>
      <c r="W119" s="62"/>
      <c r="X119" s="63" t="n">
        <v>44.4</v>
      </c>
      <c r="Z119" s="31" t="s">
        <v>145</v>
      </c>
      <c r="AA119" s="208" t="str">
        <f aca="false">IF(C119="","",VALUE(C119))</f>
        <v/>
      </c>
      <c r="AB119" s="209" t="str">
        <f aca="false">IF(D119="","",VALUE(D119))</f>
        <v/>
      </c>
      <c r="AC119" s="208" t="str">
        <f aca="false">IF(E119="","",VALUE(E119))</f>
        <v/>
      </c>
      <c r="AD119" s="209" t="str">
        <f aca="false">IF(F119="","",VALUE(F119))</f>
        <v/>
      </c>
      <c r="AE119" s="208" t="n">
        <f aca="false">IF(G119="","",VALUE(G119))</f>
        <v>46.024</v>
      </c>
      <c r="AF119" s="209" t="n">
        <f aca="false">IF(H119="","",VALUE(H119))</f>
        <v>46.024</v>
      </c>
      <c r="AG119" s="208" t="str">
        <f aca="false">IF(I119="","",VALUE(I119))</f>
        <v/>
      </c>
      <c r="AH119" s="209" t="n">
        <f aca="false">IF(J119="","",VALUE(J119))</f>
        <v>44.434</v>
      </c>
      <c r="AI119" s="208" t="str">
        <f aca="false">IF(K119="","",VALUE(K119))</f>
        <v/>
      </c>
      <c r="AJ119" s="209" t="n">
        <f aca="false">IF(L119="","",VALUE(L119))</f>
        <v>44.434</v>
      </c>
      <c r="AK119" s="208" t="n">
        <f aca="false">IF(M119="","",VALUE(M119))</f>
        <v>44.434</v>
      </c>
      <c r="AL119" s="209" t="n">
        <f aca="false">IF(N119="","",VALUE(N119))</f>
        <v>44.43</v>
      </c>
      <c r="AM119" s="208" t="n">
        <f aca="false">IF(O119="","",VALUE(O119))</f>
        <v>44.43</v>
      </c>
      <c r="AN119" s="209" t="str">
        <f aca="false">IF(P119="","",VALUE(P119))</f>
        <v/>
      </c>
      <c r="AO119" s="208" t="str">
        <f aca="false">IF(Q119="","",VALUE(Q119))</f>
        <v/>
      </c>
      <c r="AP119" s="209" t="str">
        <f aca="false">IF(R119="","",VALUE(R119))</f>
        <v/>
      </c>
      <c r="AQ119" s="208" t="str">
        <f aca="false">IF(S119="","",VALUE(S119))</f>
        <v/>
      </c>
      <c r="AR119" s="209" t="n">
        <f aca="false">IF(T119="","",VALUE(T119))</f>
        <v>44.434</v>
      </c>
      <c r="AS119" s="208" t="str">
        <f aca="false">IF(U119="","",VALUE(U119))</f>
        <v/>
      </c>
      <c r="AT119" s="209" t="str">
        <f aca="false">IF(V119="","",VALUE(V119))</f>
        <v/>
      </c>
      <c r="AU119" s="208" t="str">
        <f aca="false">IF(W119="","",VALUE(W119))</f>
        <v/>
      </c>
      <c r="AV119" s="209" t="n">
        <f aca="false">IF(X119="","",VALUE(X119))</f>
        <v>44.4</v>
      </c>
      <c r="AW119" s="215"/>
      <c r="AX119" s="211" t="str">
        <f aca="false">Z119</f>
        <v>Y</v>
      </c>
      <c r="AY119" s="212" t="n">
        <f aca="false">COUNT(AA119:AV119)</f>
        <v>9</v>
      </c>
      <c r="AZ119" s="210" t="n">
        <f aca="false">IF(AY119=0,"",MIN(AA119:AV119))</f>
        <v>44.4</v>
      </c>
      <c r="BA119" s="213" t="n">
        <f aca="false">IF(AY119=0,"",MAX(AA119:AV119))</f>
        <v>46.024</v>
      </c>
      <c r="BC119" s="214"/>
    </row>
    <row r="120" customFormat="false" ht="12.75" hidden="false" customHeight="false" outlineLevel="0" collapsed="false">
      <c r="A120" s="73"/>
      <c r="B120" s="31" t="s">
        <v>146</v>
      </c>
      <c r="C120" s="85"/>
      <c r="D120" s="101"/>
      <c r="E120" s="85"/>
      <c r="F120" s="101"/>
      <c r="G120" s="85" t="n">
        <v>62.76</v>
      </c>
      <c r="H120" s="101" t="n">
        <v>62.76</v>
      </c>
      <c r="I120" s="85"/>
      <c r="J120" s="101" t="n">
        <v>59.873</v>
      </c>
      <c r="K120" s="85"/>
      <c r="L120" s="101" t="n">
        <v>59.831</v>
      </c>
      <c r="M120" s="85" t="n">
        <v>59.831</v>
      </c>
      <c r="N120" s="63" t="n">
        <v>59.83</v>
      </c>
      <c r="O120" s="62" t="n">
        <v>59.87</v>
      </c>
      <c r="P120" s="63"/>
      <c r="Q120" s="136"/>
      <c r="R120" s="63"/>
      <c r="S120" s="64"/>
      <c r="T120" s="102" t="n">
        <v>59.831</v>
      </c>
      <c r="U120" s="62"/>
      <c r="V120" s="102"/>
      <c r="W120" s="62"/>
      <c r="X120" s="63" t="n">
        <v>59.87</v>
      </c>
      <c r="Z120" s="31" t="s">
        <v>146</v>
      </c>
      <c r="AA120" s="208" t="str">
        <f aca="false">IF(C120="","",VALUE(C120))</f>
        <v/>
      </c>
      <c r="AB120" s="209" t="str">
        <f aca="false">IF(D120="","",VALUE(D120))</f>
        <v/>
      </c>
      <c r="AC120" s="208" t="str">
        <f aca="false">IF(E120="","",VALUE(E120))</f>
        <v/>
      </c>
      <c r="AD120" s="209" t="str">
        <f aca="false">IF(F120="","",VALUE(F120))</f>
        <v/>
      </c>
      <c r="AE120" s="208" t="n">
        <f aca="false">IF(G120="","",VALUE(G120))</f>
        <v>62.76</v>
      </c>
      <c r="AF120" s="209" t="n">
        <f aca="false">IF(H120="","",VALUE(H120))</f>
        <v>62.76</v>
      </c>
      <c r="AG120" s="208" t="str">
        <f aca="false">IF(I120="","",VALUE(I120))</f>
        <v/>
      </c>
      <c r="AH120" s="209" t="n">
        <f aca="false">IF(J120="","",VALUE(J120))</f>
        <v>59.873</v>
      </c>
      <c r="AI120" s="208" t="str">
        <f aca="false">IF(K120="","",VALUE(K120))</f>
        <v/>
      </c>
      <c r="AJ120" s="209" t="n">
        <f aca="false">IF(L120="","",VALUE(L120))</f>
        <v>59.831</v>
      </c>
      <c r="AK120" s="208" t="n">
        <f aca="false">IF(M120="","",VALUE(M120))</f>
        <v>59.831</v>
      </c>
      <c r="AL120" s="209" t="n">
        <f aca="false">IF(N120="","",VALUE(N120))</f>
        <v>59.83</v>
      </c>
      <c r="AM120" s="208" t="n">
        <f aca="false">IF(O120="","",VALUE(O120))</f>
        <v>59.87</v>
      </c>
      <c r="AN120" s="209" t="str">
        <f aca="false">IF(P120="","",VALUE(P120))</f>
        <v/>
      </c>
      <c r="AO120" s="208" t="str">
        <f aca="false">IF(Q120="","",VALUE(Q120))</f>
        <v/>
      </c>
      <c r="AP120" s="209" t="str">
        <f aca="false">IF(R120="","",VALUE(R120))</f>
        <v/>
      </c>
      <c r="AQ120" s="208" t="str">
        <f aca="false">IF(S120="","",VALUE(S120))</f>
        <v/>
      </c>
      <c r="AR120" s="209" t="n">
        <f aca="false">IF(T120="","",VALUE(T120))</f>
        <v>59.831</v>
      </c>
      <c r="AS120" s="208" t="str">
        <f aca="false">IF(U120="","",VALUE(U120))</f>
        <v/>
      </c>
      <c r="AT120" s="209" t="str">
        <f aca="false">IF(V120="","",VALUE(V120))</f>
        <v/>
      </c>
      <c r="AU120" s="208" t="str">
        <f aca="false">IF(W120="","",VALUE(W120))</f>
        <v/>
      </c>
      <c r="AV120" s="209" t="n">
        <f aca="false">IF(X120="","",VALUE(X120))</f>
        <v>59.87</v>
      </c>
      <c r="AW120" s="215"/>
      <c r="AX120" s="211" t="str">
        <f aca="false">Z120</f>
        <v>Yb</v>
      </c>
      <c r="AY120" s="212" t="n">
        <f aca="false">COUNT(AA120:AV120)</f>
        <v>9</v>
      </c>
      <c r="AZ120" s="210" t="n">
        <f aca="false">IF(AY120=0,"",MIN(AA120:AV120))</f>
        <v>59.83</v>
      </c>
      <c r="BA120" s="213" t="n">
        <f aca="false">IF(AY120=0,"",MAX(AA120:AV120))</f>
        <v>62.76</v>
      </c>
      <c r="BC120" s="214"/>
    </row>
    <row r="121" customFormat="false" ht="12.75" hidden="false" customHeight="false" outlineLevel="0" collapsed="false">
      <c r="A121" s="73"/>
      <c r="B121" s="31" t="s">
        <v>147</v>
      </c>
      <c r="C121" s="85" t="n">
        <v>41.003</v>
      </c>
      <c r="D121" s="101" t="n">
        <v>41.129</v>
      </c>
      <c r="E121" s="85" t="n">
        <v>41.631</v>
      </c>
      <c r="F121" s="101" t="n">
        <v>41.631</v>
      </c>
      <c r="G121" s="85" t="n">
        <v>41.631</v>
      </c>
      <c r="H121" s="101" t="n">
        <v>41.631</v>
      </c>
      <c r="I121" s="85" t="n">
        <v>41.631</v>
      </c>
      <c r="J121" s="101" t="n">
        <v>41.631</v>
      </c>
      <c r="K121" s="85"/>
      <c r="L121" s="101" t="n">
        <v>41.631</v>
      </c>
      <c r="M121" s="85" t="n">
        <v>41.631</v>
      </c>
      <c r="N121" s="63" t="n">
        <v>41.63</v>
      </c>
      <c r="O121" s="62" t="n">
        <v>41.63</v>
      </c>
      <c r="P121" s="63" t="n">
        <v>41.717</v>
      </c>
      <c r="Q121" s="136" t="n">
        <v>41.63</v>
      </c>
      <c r="R121" s="63"/>
      <c r="S121" s="64" t="s">
        <v>695</v>
      </c>
      <c r="T121" s="102" t="n">
        <v>41.631</v>
      </c>
      <c r="U121" s="62" t="n">
        <v>41.717</v>
      </c>
      <c r="V121" s="102" t="n">
        <v>41.63</v>
      </c>
      <c r="W121" s="64" t="s">
        <v>695</v>
      </c>
      <c r="X121" s="63" t="n">
        <v>41.63</v>
      </c>
      <c r="Z121" s="31" t="s">
        <v>147</v>
      </c>
      <c r="AA121" s="208" t="n">
        <f aca="false">IF(C121="","",VALUE(C121))</f>
        <v>41.003</v>
      </c>
      <c r="AB121" s="209" t="n">
        <f aca="false">IF(D121="","",VALUE(D121))</f>
        <v>41.129</v>
      </c>
      <c r="AC121" s="208" t="n">
        <f aca="false">IF(E121="","",VALUE(E121))</f>
        <v>41.631</v>
      </c>
      <c r="AD121" s="209" t="n">
        <f aca="false">IF(F121="","",VALUE(F121))</f>
        <v>41.631</v>
      </c>
      <c r="AE121" s="208" t="n">
        <f aca="false">IF(G121="","",VALUE(G121))</f>
        <v>41.631</v>
      </c>
      <c r="AF121" s="209" t="n">
        <f aca="false">IF(H121="","",VALUE(H121))</f>
        <v>41.631</v>
      </c>
      <c r="AG121" s="208" t="n">
        <f aca="false">IF(I121="","",VALUE(I121))</f>
        <v>41.631</v>
      </c>
      <c r="AH121" s="209" t="n">
        <f aca="false">IF(J121="","",VALUE(J121))</f>
        <v>41.631</v>
      </c>
      <c r="AI121" s="208" t="str">
        <f aca="false">IF(K121="","",VALUE(K121))</f>
        <v/>
      </c>
      <c r="AJ121" s="209" t="n">
        <f aca="false">IF(L121="","",VALUE(L121))</f>
        <v>41.631</v>
      </c>
      <c r="AK121" s="208" t="n">
        <f aca="false">IF(M121="","",VALUE(M121))</f>
        <v>41.631</v>
      </c>
      <c r="AL121" s="209" t="n">
        <f aca="false">IF(N121="","",VALUE(N121))</f>
        <v>41.63</v>
      </c>
      <c r="AM121" s="208" t="n">
        <f aca="false">IF(O121="","",VALUE(O121))</f>
        <v>41.63</v>
      </c>
      <c r="AN121" s="209" t="n">
        <f aca="false">IF(P121="","",VALUE(P121))</f>
        <v>41.717</v>
      </c>
      <c r="AO121" s="208" t="n">
        <f aca="false">IF(Q121="","",VALUE(Q121))</f>
        <v>41.63</v>
      </c>
      <c r="AP121" s="209" t="str">
        <f aca="false">IF(R121="","",VALUE(R121))</f>
        <v/>
      </c>
      <c r="AQ121" s="208" t="n">
        <f aca="false">IF(S121="","",VALUE(S121))</f>
        <v>41.63</v>
      </c>
      <c r="AR121" s="209" t="n">
        <f aca="false">IF(T121="","",VALUE(T121))</f>
        <v>41.631</v>
      </c>
      <c r="AS121" s="208" t="n">
        <f aca="false">IF(U121="","",VALUE(U121))</f>
        <v>41.717</v>
      </c>
      <c r="AT121" s="209" t="n">
        <f aca="false">IF(V121="","",VALUE(V121))</f>
        <v>41.63</v>
      </c>
      <c r="AU121" s="208" t="n">
        <f aca="false">IF(W121="","",VALUE(W121))</f>
        <v>41.63</v>
      </c>
      <c r="AV121" s="209" t="n">
        <f aca="false">IF(X121="","",VALUE(X121))</f>
        <v>41.63</v>
      </c>
      <c r="AW121" s="215"/>
      <c r="AX121" s="211" t="str">
        <f aca="false">Z121</f>
        <v>Zn</v>
      </c>
      <c r="AY121" s="212" t="n">
        <f aca="false">COUNT(AA121:AV121)</f>
        <v>20</v>
      </c>
      <c r="AZ121" s="210" t="n">
        <f aca="false">IF(AY121=0,"",MIN(AA121:AV121))</f>
        <v>41.003</v>
      </c>
      <c r="BA121" s="213" t="n">
        <f aca="false">IF(AY121=0,"",MAX(AA121:AV121))</f>
        <v>41.717</v>
      </c>
      <c r="BC121" s="214"/>
    </row>
    <row r="122" customFormat="false" ht="13.5" hidden="false" customHeight="false" outlineLevel="0" collapsed="false">
      <c r="A122" s="73"/>
      <c r="B122" s="39" t="s">
        <v>148</v>
      </c>
      <c r="C122" s="85" t="n">
        <v>39.748</v>
      </c>
      <c r="D122" s="101" t="n">
        <v>39.748</v>
      </c>
      <c r="E122" s="85" t="n">
        <v>39.748</v>
      </c>
      <c r="F122" s="101" t="n">
        <v>38.409</v>
      </c>
      <c r="G122" s="85" t="n">
        <v>38.869</v>
      </c>
      <c r="H122" s="101" t="n">
        <v>38.995</v>
      </c>
      <c r="I122" s="85" t="n">
        <v>38.953</v>
      </c>
      <c r="J122" s="101" t="n">
        <v>38.995</v>
      </c>
      <c r="K122" s="85" t="n">
        <v>38.97</v>
      </c>
      <c r="L122" s="101" t="n">
        <v>38.995</v>
      </c>
      <c r="M122" s="85" t="n">
        <v>38.995</v>
      </c>
      <c r="N122" s="143" t="n">
        <v>38.99</v>
      </c>
      <c r="O122" s="153" t="n">
        <v>38.99</v>
      </c>
      <c r="P122" s="68" t="n">
        <v>38.869</v>
      </c>
      <c r="Q122" s="164"/>
      <c r="R122" s="68"/>
      <c r="S122" s="165" t="s">
        <v>696</v>
      </c>
      <c r="T122" s="163" t="n">
        <v>38.869</v>
      </c>
      <c r="U122" s="153" t="n">
        <v>38.869</v>
      </c>
      <c r="V122" s="163" t="n">
        <v>38.87</v>
      </c>
      <c r="W122" s="165" t="s">
        <v>697</v>
      </c>
      <c r="X122" s="110" t="s">
        <v>698</v>
      </c>
      <c r="Z122" s="39" t="s">
        <v>148</v>
      </c>
      <c r="AA122" s="208" t="n">
        <f aca="false">IF(C122="","",VALUE(C122))</f>
        <v>39.748</v>
      </c>
      <c r="AB122" s="209" t="n">
        <f aca="false">IF(D122="","",VALUE(D122))</f>
        <v>39.748</v>
      </c>
      <c r="AC122" s="208" t="n">
        <f aca="false">IF(E122="","",VALUE(E122))</f>
        <v>39.748</v>
      </c>
      <c r="AD122" s="209" t="n">
        <f aca="false">IF(F122="","",VALUE(F122))</f>
        <v>38.409</v>
      </c>
      <c r="AE122" s="208" t="n">
        <f aca="false">IF(G122="","",VALUE(G122))</f>
        <v>38.869</v>
      </c>
      <c r="AF122" s="209" t="n">
        <f aca="false">IF(H122="","",VALUE(H122))</f>
        <v>38.995</v>
      </c>
      <c r="AG122" s="208" t="n">
        <f aca="false">IF(I122="","",VALUE(I122))</f>
        <v>38.953</v>
      </c>
      <c r="AH122" s="209" t="n">
        <f aca="false">IF(J122="","",VALUE(J122))</f>
        <v>38.995</v>
      </c>
      <c r="AI122" s="208" t="n">
        <f aca="false">IF(K122="","",VALUE(K122))</f>
        <v>38.97</v>
      </c>
      <c r="AJ122" s="209" t="n">
        <f aca="false">IF(L122="","",VALUE(L122))</f>
        <v>38.995</v>
      </c>
      <c r="AK122" s="208" t="n">
        <f aca="false">IF(M122="","",VALUE(M122))</f>
        <v>38.995</v>
      </c>
      <c r="AL122" s="209" t="n">
        <f aca="false">IF(N122="","",VALUE(N122))</f>
        <v>38.99</v>
      </c>
      <c r="AM122" s="208" t="n">
        <f aca="false">IF(O122="","",VALUE(O122))</f>
        <v>38.99</v>
      </c>
      <c r="AN122" s="209" t="n">
        <f aca="false">IF(P122="","",VALUE(P122))</f>
        <v>38.869</v>
      </c>
      <c r="AO122" s="208" t="str">
        <f aca="false">IF(Q122="","",VALUE(Q122))</f>
        <v/>
      </c>
      <c r="AP122" s="209" t="str">
        <f aca="false">IF(R122="","",VALUE(R122))</f>
        <v/>
      </c>
      <c r="AQ122" s="208" t="n">
        <f aca="false">IF(S122="","",VALUE(S122))</f>
        <v>39.08</v>
      </c>
      <c r="AR122" s="209" t="n">
        <f aca="false">IF(T122="","",VALUE(T122))</f>
        <v>38.869</v>
      </c>
      <c r="AS122" s="208" t="n">
        <f aca="false">IF(U122="","",VALUE(U122))</f>
        <v>38.869</v>
      </c>
      <c r="AT122" s="209" t="n">
        <f aca="false">IF(V122="","",VALUE(V122))</f>
        <v>38.87</v>
      </c>
      <c r="AU122" s="208" t="n">
        <f aca="false">IF(W122="","",VALUE(W122))</f>
        <v>38.869</v>
      </c>
      <c r="AV122" s="209" t="n">
        <f aca="false">IF(X122="","",VALUE(X122))</f>
        <v>39</v>
      </c>
      <c r="AW122" s="215"/>
      <c r="AX122" s="211" t="str">
        <f aca="false">Z122</f>
        <v>Zr</v>
      </c>
      <c r="AY122" s="212" t="n">
        <f aca="false">COUNT(AA122:AV122)</f>
        <v>20</v>
      </c>
      <c r="AZ122" s="210" t="n">
        <f aca="false">IF(AY122=0,"",MIN(AA122:AV122))</f>
        <v>38.409</v>
      </c>
      <c r="BA122" s="213" t="n">
        <f aca="false">IF(AY122=0,"",MAX(AA122:AV122))</f>
        <v>39.748</v>
      </c>
      <c r="BC122" s="214"/>
    </row>
    <row r="123" customFormat="false" ht="13.5" hidden="false" customHeight="false" outlineLevel="0" collapsed="false">
      <c r="B123" s="72" t="s">
        <v>185</v>
      </c>
      <c r="C123" s="70" t="n">
        <v>46</v>
      </c>
      <c r="D123" s="70" t="n">
        <v>50</v>
      </c>
      <c r="E123" s="70" t="n">
        <v>62</v>
      </c>
      <c r="F123" s="70" t="n">
        <v>73</v>
      </c>
      <c r="G123" s="70" t="n">
        <v>92</v>
      </c>
      <c r="H123" s="70" t="n">
        <v>92</v>
      </c>
      <c r="I123" s="70" t="n">
        <v>50</v>
      </c>
      <c r="J123" s="70" t="n">
        <v>88</v>
      </c>
      <c r="K123" s="70" t="n">
        <v>29</v>
      </c>
      <c r="L123" s="70" t="n">
        <v>85</v>
      </c>
      <c r="M123" s="70" t="n">
        <v>88</v>
      </c>
      <c r="N123" s="70" t="n">
        <f aca="false">COUNTA(N20:N122)</f>
        <v>85</v>
      </c>
      <c r="O123" s="70" t="n">
        <f aca="false">COUNTA(O20:O122)</f>
        <v>88</v>
      </c>
      <c r="P123" s="70" t="n">
        <f aca="false">COUNTA(P20:P122)</f>
        <v>47</v>
      </c>
      <c r="Q123" s="70" t="n">
        <f aca="false">COUNTA(Q20:Q122)</f>
        <v>37</v>
      </c>
      <c r="R123" s="70" t="n">
        <f aca="false">COUNTA(R20:R122)</f>
        <v>30</v>
      </c>
      <c r="S123" s="70" t="n">
        <f aca="false">COUNTA(S20:S122)</f>
        <v>51</v>
      </c>
      <c r="T123" s="70" t="n">
        <f aca="false">COUNTA(T20:T122)</f>
        <v>89</v>
      </c>
      <c r="U123" s="70" t="n">
        <f aca="false">COUNTA(U20:U122)</f>
        <v>47</v>
      </c>
      <c r="V123" s="70" t="n">
        <f aca="false">COUNTA(V20:V122)</f>
        <v>50</v>
      </c>
      <c r="W123" s="70" t="n">
        <f aca="false">COUNTA(W20:W122)</f>
        <v>50</v>
      </c>
      <c r="X123" s="70" t="n">
        <f aca="false">COUNTA(X20:X122)</f>
        <v>93</v>
      </c>
      <c r="Z123" s="72" t="s">
        <v>185</v>
      </c>
      <c r="AA123" s="70" t="n">
        <f aca="false">COUNT(AA20:AA122)</f>
        <v>46</v>
      </c>
      <c r="AB123" s="70" t="n">
        <f aca="false">COUNT(AB20:AB122)</f>
        <v>50</v>
      </c>
      <c r="AC123" s="70" t="n">
        <f aca="false">COUNT(AC20:AC122)</f>
        <v>62</v>
      </c>
      <c r="AD123" s="70" t="n">
        <f aca="false">COUNT(AD20:AD122)</f>
        <v>73</v>
      </c>
      <c r="AE123" s="70" t="n">
        <f aca="false">COUNT(AE20:AE122)</f>
        <v>92</v>
      </c>
      <c r="AF123" s="70" t="n">
        <f aca="false">COUNT(AF20:AF122)</f>
        <v>92</v>
      </c>
      <c r="AG123" s="70" t="n">
        <f aca="false">COUNT(AG20:AG122)</f>
        <v>50</v>
      </c>
      <c r="AH123" s="70" t="n">
        <f aca="false">COUNT(AH20:AH122)</f>
        <v>88</v>
      </c>
      <c r="AI123" s="70" t="n">
        <f aca="false">COUNT(AI20:AI122)</f>
        <v>29</v>
      </c>
      <c r="AJ123" s="70" t="n">
        <f aca="false">COUNT(AJ20:AJ122)</f>
        <v>85</v>
      </c>
      <c r="AK123" s="70" t="n">
        <f aca="false">COUNT(AK20:AK122)</f>
        <v>88</v>
      </c>
      <c r="AL123" s="70" t="n">
        <f aca="false">COUNT(AL20:AL122)</f>
        <v>85</v>
      </c>
      <c r="AM123" s="70" t="n">
        <f aca="false">COUNT(AM20:AM122)</f>
        <v>88</v>
      </c>
      <c r="AN123" s="70" t="n">
        <f aca="false">COUNT(AN20:AN122)</f>
        <v>47</v>
      </c>
      <c r="AO123" s="70" t="n">
        <f aca="false">COUNT(AO20:AO122)</f>
        <v>37</v>
      </c>
      <c r="AP123" s="70" t="n">
        <f aca="false">COUNT(AP20:AP122)</f>
        <v>30</v>
      </c>
      <c r="AQ123" s="70" t="n">
        <f aca="false">COUNT(AQ20:AQ122)</f>
        <v>51</v>
      </c>
      <c r="AR123" s="70" t="n">
        <f aca="false">COUNT(AR20:AR122)</f>
        <v>89</v>
      </c>
      <c r="AS123" s="70" t="n">
        <f aca="false">COUNT(AS20:AS122)</f>
        <v>47</v>
      </c>
      <c r="AT123" s="70" t="n">
        <f aca="false">COUNT(AT20:AT122)</f>
        <v>50</v>
      </c>
      <c r="AU123" s="70" t="n">
        <f aca="false">COUNT(AU20:AU122)</f>
        <v>50</v>
      </c>
      <c r="AV123" s="70" t="n">
        <f aca="false">COUNT(AV20:AV122)</f>
        <v>93</v>
      </c>
      <c r="AW123" s="218"/>
      <c r="AX123" s="219" t="s">
        <v>185</v>
      </c>
      <c r="AY123" s="220" t="n">
        <f aca="false">COUNTIF(AY20:AY122,"&gt;0")</f>
        <v>96</v>
      </c>
      <c r="AZ123" s="221"/>
      <c r="BA123" s="222"/>
      <c r="BC123" s="71"/>
    </row>
    <row r="124" customFormat="false" ht="12.75" hidden="false" customHeight="false" outlineLevel="0" collapsed="false">
      <c r="C124" s="73"/>
      <c r="AA124" s="73"/>
      <c r="AX124" s="215"/>
      <c r="AY124" s="71"/>
    </row>
    <row r="125" customFormat="false" ht="12.75" hidden="false" customHeight="false" outlineLevel="0" collapsed="false">
      <c r="AX125" s="215"/>
    </row>
    <row r="126" customFormat="false" ht="13.5" hidden="false" customHeight="false" outlineLevel="0" collapsed="false">
      <c r="AX126" s="215"/>
    </row>
    <row r="127" customFormat="false" ht="13.5" hidden="false" customHeight="false" outlineLevel="0" collapsed="false">
      <c r="B127" s="48" t="s">
        <v>160</v>
      </c>
      <c r="C127" s="48" t="s">
        <v>161</v>
      </c>
      <c r="D127" s="48" t="s">
        <v>161</v>
      </c>
      <c r="E127" s="48" t="s">
        <v>207</v>
      </c>
      <c r="F127" s="95" t="s">
        <v>208</v>
      </c>
      <c r="G127" s="95" t="s">
        <v>209</v>
      </c>
      <c r="H127" s="48" t="s">
        <v>210</v>
      </c>
      <c r="I127" s="48" t="s">
        <v>211</v>
      </c>
      <c r="J127" s="48" t="s">
        <v>212</v>
      </c>
      <c r="K127" s="95" t="s">
        <v>213</v>
      </c>
      <c r="L127" s="48" t="s">
        <v>161</v>
      </c>
      <c r="M127" s="48" t="s">
        <v>214</v>
      </c>
      <c r="N127" s="48" t="s">
        <v>556</v>
      </c>
      <c r="O127" s="95" t="s">
        <v>557</v>
      </c>
      <c r="P127" s="95" t="s">
        <v>558</v>
      </c>
      <c r="Q127" s="48" t="s">
        <v>529</v>
      </c>
      <c r="R127" s="48" t="s">
        <v>559</v>
      </c>
      <c r="S127" s="95" t="s">
        <v>560</v>
      </c>
      <c r="T127" s="48" t="s">
        <v>561</v>
      </c>
      <c r="U127" s="95" t="s">
        <v>562</v>
      </c>
      <c r="V127" s="48" t="s">
        <v>563</v>
      </c>
      <c r="W127" s="121" t="s">
        <v>564</v>
      </c>
      <c r="X127" s="121" t="s">
        <v>565</v>
      </c>
      <c r="Z127" s="48" t="s">
        <v>160</v>
      </c>
      <c r="AA127" s="48" t="s">
        <v>161</v>
      </c>
      <c r="AB127" s="48" t="s">
        <v>161</v>
      </c>
      <c r="AC127" s="48" t="s">
        <v>207</v>
      </c>
      <c r="AD127" s="95" t="s">
        <v>208</v>
      </c>
      <c r="AE127" s="95" t="s">
        <v>209</v>
      </c>
      <c r="AF127" s="48" t="s">
        <v>210</v>
      </c>
      <c r="AG127" s="48" t="s">
        <v>211</v>
      </c>
      <c r="AH127" s="48" t="s">
        <v>212</v>
      </c>
      <c r="AI127" s="95" t="s">
        <v>213</v>
      </c>
      <c r="AJ127" s="48" t="s">
        <v>161</v>
      </c>
      <c r="AK127" s="48" t="s">
        <v>214</v>
      </c>
      <c r="AL127" s="48" t="s">
        <v>556</v>
      </c>
      <c r="AM127" s="95" t="s">
        <v>557</v>
      </c>
      <c r="AN127" s="95" t="s">
        <v>558</v>
      </c>
      <c r="AO127" s="48" t="s">
        <v>529</v>
      </c>
      <c r="AP127" s="48" t="s">
        <v>559</v>
      </c>
      <c r="AQ127" s="95" t="s">
        <v>560</v>
      </c>
      <c r="AR127" s="48" t="s">
        <v>561</v>
      </c>
      <c r="AS127" s="95" t="s">
        <v>562</v>
      </c>
      <c r="AT127" s="48" t="s">
        <v>563</v>
      </c>
      <c r="AU127" s="121" t="s">
        <v>564</v>
      </c>
      <c r="AV127" s="121" t="s">
        <v>565</v>
      </c>
      <c r="AW127" s="193"/>
      <c r="AX127" s="215"/>
      <c r="BC127" s="49"/>
    </row>
    <row r="128" customFormat="false" ht="12.75" hidden="false" customHeight="false" outlineLevel="0" collapsed="false">
      <c r="B128" s="11"/>
      <c r="C128" s="50" t="s">
        <v>162</v>
      </c>
      <c r="D128" s="51" t="s">
        <v>163</v>
      </c>
      <c r="E128" s="50"/>
      <c r="F128" s="51" t="s">
        <v>215</v>
      </c>
      <c r="G128" s="51" t="s">
        <v>216</v>
      </c>
      <c r="H128" s="51" t="s">
        <v>217</v>
      </c>
      <c r="I128" s="51" t="s">
        <v>218</v>
      </c>
      <c r="J128" s="96" t="s">
        <v>219</v>
      </c>
      <c r="K128" s="51" t="s">
        <v>216</v>
      </c>
      <c r="L128" s="51" t="s">
        <v>220</v>
      </c>
      <c r="M128" s="51"/>
      <c r="N128" s="51" t="s">
        <v>566</v>
      </c>
      <c r="O128" s="50" t="s">
        <v>567</v>
      </c>
      <c r="P128" s="50" t="s">
        <v>568</v>
      </c>
      <c r="Q128" s="96" t="s">
        <v>530</v>
      </c>
      <c r="R128" s="51" t="s">
        <v>569</v>
      </c>
      <c r="S128" s="167" t="s">
        <v>560</v>
      </c>
      <c r="T128" s="96" t="s">
        <v>570</v>
      </c>
      <c r="U128" s="51" t="s">
        <v>571</v>
      </c>
      <c r="V128" s="96" t="s">
        <v>218</v>
      </c>
      <c r="W128" s="51" t="s">
        <v>572</v>
      </c>
      <c r="X128" s="51" t="s">
        <v>573</v>
      </c>
      <c r="Z128" s="11"/>
      <c r="AA128" s="50" t="s">
        <v>162</v>
      </c>
      <c r="AB128" s="51" t="s">
        <v>163</v>
      </c>
      <c r="AC128" s="50"/>
      <c r="AD128" s="51" t="s">
        <v>215</v>
      </c>
      <c r="AE128" s="51" t="s">
        <v>216</v>
      </c>
      <c r="AF128" s="51" t="s">
        <v>217</v>
      </c>
      <c r="AG128" s="51" t="s">
        <v>218</v>
      </c>
      <c r="AH128" s="96" t="s">
        <v>219</v>
      </c>
      <c r="AI128" s="51" t="s">
        <v>216</v>
      </c>
      <c r="AJ128" s="51" t="s">
        <v>220</v>
      </c>
      <c r="AK128" s="51"/>
      <c r="AL128" s="51" t="s">
        <v>566</v>
      </c>
      <c r="AM128" s="50" t="s">
        <v>567</v>
      </c>
      <c r="AN128" s="50" t="s">
        <v>568</v>
      </c>
      <c r="AO128" s="51" t="s">
        <v>530</v>
      </c>
      <c r="AP128" s="51" t="s">
        <v>569</v>
      </c>
      <c r="AQ128" s="167" t="s">
        <v>560</v>
      </c>
      <c r="AR128" s="96" t="s">
        <v>570</v>
      </c>
      <c r="AS128" s="51" t="s">
        <v>571</v>
      </c>
      <c r="AT128" s="122" t="s">
        <v>218</v>
      </c>
      <c r="AU128" s="51" t="s">
        <v>572</v>
      </c>
      <c r="AV128" s="51" t="s">
        <v>573</v>
      </c>
      <c r="AW128" s="193"/>
      <c r="AX128" s="215"/>
      <c r="BC128" s="52"/>
    </row>
    <row r="129" customFormat="false" ht="12.75" hidden="false" customHeight="false" outlineLevel="0" collapsed="false">
      <c r="B129" s="16" t="s">
        <v>20</v>
      </c>
      <c r="C129" s="53" t="s">
        <v>164</v>
      </c>
      <c r="D129" s="54" t="s">
        <v>165</v>
      </c>
      <c r="E129" s="53" t="s">
        <v>217</v>
      </c>
      <c r="F129" s="54" t="s">
        <v>165</v>
      </c>
      <c r="G129" s="54" t="s">
        <v>221</v>
      </c>
      <c r="H129" s="54" t="s">
        <v>222</v>
      </c>
      <c r="I129" s="54" t="s">
        <v>223</v>
      </c>
      <c r="J129" s="52" t="s">
        <v>224</v>
      </c>
      <c r="K129" s="54" t="s">
        <v>225</v>
      </c>
      <c r="L129" s="54" t="s">
        <v>165</v>
      </c>
      <c r="M129" s="54" t="s">
        <v>226</v>
      </c>
      <c r="N129" s="54" t="s">
        <v>165</v>
      </c>
      <c r="O129" s="53" t="s">
        <v>165</v>
      </c>
      <c r="P129" s="53" t="s">
        <v>165</v>
      </c>
      <c r="Q129" s="52" t="s">
        <v>165</v>
      </c>
      <c r="R129" s="54" t="s">
        <v>165</v>
      </c>
      <c r="S129" s="127" t="s">
        <v>574</v>
      </c>
      <c r="T129" s="52" t="n">
        <v>1995</v>
      </c>
      <c r="U129" s="54" t="s">
        <v>575</v>
      </c>
      <c r="V129" s="52" t="s">
        <v>576</v>
      </c>
      <c r="W129" s="54" t="s">
        <v>165</v>
      </c>
      <c r="X129" s="54" t="s">
        <v>577</v>
      </c>
      <c r="Z129" s="16" t="s">
        <v>20</v>
      </c>
      <c r="AA129" s="53" t="s">
        <v>164</v>
      </c>
      <c r="AB129" s="54" t="s">
        <v>165</v>
      </c>
      <c r="AC129" s="53" t="s">
        <v>704</v>
      </c>
      <c r="AD129" s="54" t="s">
        <v>165</v>
      </c>
      <c r="AE129" s="54" t="s">
        <v>221</v>
      </c>
      <c r="AF129" s="54" t="s">
        <v>222</v>
      </c>
      <c r="AG129" s="54" t="s">
        <v>223</v>
      </c>
      <c r="AH129" s="52" t="s">
        <v>224</v>
      </c>
      <c r="AI129" s="54" t="s">
        <v>225</v>
      </c>
      <c r="AJ129" s="54" t="s">
        <v>165</v>
      </c>
      <c r="AK129" s="54" t="s">
        <v>226</v>
      </c>
      <c r="AL129" s="54" t="s">
        <v>165</v>
      </c>
      <c r="AM129" s="53" t="s">
        <v>165</v>
      </c>
      <c r="AN129" s="53" t="s">
        <v>165</v>
      </c>
      <c r="AO129" s="54" t="s">
        <v>165</v>
      </c>
      <c r="AP129" s="54" t="s">
        <v>165</v>
      </c>
      <c r="AQ129" s="127" t="s">
        <v>574</v>
      </c>
      <c r="AR129" s="52" t="n">
        <v>1995</v>
      </c>
      <c r="AS129" s="54" t="s">
        <v>575</v>
      </c>
      <c r="AT129" s="127" t="s">
        <v>576</v>
      </c>
      <c r="AU129" s="54" t="s">
        <v>165</v>
      </c>
      <c r="AV129" s="54" t="s">
        <v>577</v>
      </c>
      <c r="AW129" s="193"/>
      <c r="AX129" s="215"/>
      <c r="BC129" s="52"/>
    </row>
    <row r="130" customFormat="false" ht="13.5" hidden="false" customHeight="false" outlineLevel="0" collapsed="false">
      <c r="B130" s="16" t="s">
        <v>17</v>
      </c>
      <c r="C130" s="53" t="n">
        <v>1917</v>
      </c>
      <c r="D130" s="54" t="n">
        <v>1922</v>
      </c>
      <c r="E130" s="53" t="n">
        <v>1932</v>
      </c>
      <c r="F130" s="54" t="n">
        <v>1952</v>
      </c>
      <c r="G130" s="54" t="n">
        <v>1956</v>
      </c>
      <c r="H130" s="54" t="n">
        <v>1961</v>
      </c>
      <c r="I130" s="54" t="n">
        <v>1968</v>
      </c>
      <c r="J130" s="52" t="s">
        <v>227</v>
      </c>
      <c r="K130" s="54" t="n">
        <v>1971</v>
      </c>
      <c r="L130" s="54" t="n">
        <v>1973</v>
      </c>
      <c r="M130" s="54" t="n">
        <v>1982</v>
      </c>
      <c r="N130" s="54" t="n">
        <v>1978</v>
      </c>
      <c r="O130" s="53" t="n">
        <v>1982</v>
      </c>
      <c r="P130" s="53" t="n">
        <v>1985</v>
      </c>
      <c r="Q130" s="52" t="n">
        <v>1989</v>
      </c>
      <c r="R130" s="54" t="s">
        <v>580</v>
      </c>
      <c r="S130" s="168" t="s">
        <v>579</v>
      </c>
      <c r="T130" s="52"/>
      <c r="U130" s="54" t="n">
        <v>1998</v>
      </c>
      <c r="V130" s="52" t="n">
        <v>1995</v>
      </c>
      <c r="W130" s="54" t="n">
        <v>2001</v>
      </c>
      <c r="X130" s="54" t="n">
        <v>2005</v>
      </c>
      <c r="Z130" s="16" t="s">
        <v>17</v>
      </c>
      <c r="AA130" s="53" t="n">
        <v>1917</v>
      </c>
      <c r="AB130" s="54" t="n">
        <v>1922</v>
      </c>
      <c r="AC130" s="53" t="n">
        <v>1932</v>
      </c>
      <c r="AD130" s="54" t="n">
        <v>1952</v>
      </c>
      <c r="AE130" s="54" t="n">
        <v>1956</v>
      </c>
      <c r="AF130" s="54" t="n">
        <v>1961</v>
      </c>
      <c r="AG130" s="54" t="n">
        <v>1968</v>
      </c>
      <c r="AH130" s="52" t="s">
        <v>227</v>
      </c>
      <c r="AI130" s="54" t="n">
        <v>1971</v>
      </c>
      <c r="AJ130" s="54" t="n">
        <v>1973</v>
      </c>
      <c r="AK130" s="54" t="n">
        <v>1982</v>
      </c>
      <c r="AL130" s="54" t="n">
        <v>1978</v>
      </c>
      <c r="AM130" s="53" t="n">
        <v>1982</v>
      </c>
      <c r="AN130" s="53" t="n">
        <v>1985</v>
      </c>
      <c r="AO130" s="54" t="n">
        <v>1989</v>
      </c>
      <c r="AP130" s="54" t="s">
        <v>578</v>
      </c>
      <c r="AQ130" s="168" t="s">
        <v>579</v>
      </c>
      <c r="AR130" s="52"/>
      <c r="AS130" s="54" t="n">
        <v>1998</v>
      </c>
      <c r="AT130" s="127" t="n">
        <v>1995</v>
      </c>
      <c r="AU130" s="54" t="n">
        <v>2001</v>
      </c>
      <c r="AV130" s="54" t="n">
        <v>2005</v>
      </c>
      <c r="AW130" s="193"/>
      <c r="AX130" s="215"/>
      <c r="BC130" s="52"/>
    </row>
    <row r="131" customFormat="false" ht="15" hidden="false" customHeight="false" outlineLevel="0" collapsed="false">
      <c r="B131" s="21" t="s">
        <v>29</v>
      </c>
      <c r="C131" s="55" t="s">
        <v>167</v>
      </c>
      <c r="D131" s="55" t="s">
        <v>167</v>
      </c>
      <c r="E131" s="55" t="s">
        <v>167</v>
      </c>
      <c r="F131" s="55" t="s">
        <v>167</v>
      </c>
      <c r="G131" s="55" t="s">
        <v>167</v>
      </c>
      <c r="H131" s="55" t="s">
        <v>167</v>
      </c>
      <c r="I131" s="55" t="s">
        <v>167</v>
      </c>
      <c r="J131" s="55" t="s">
        <v>167</v>
      </c>
      <c r="K131" s="55" t="s">
        <v>167</v>
      </c>
      <c r="L131" s="55" t="s">
        <v>167</v>
      </c>
      <c r="M131" s="55" t="s">
        <v>167</v>
      </c>
      <c r="N131" s="55" t="s">
        <v>167</v>
      </c>
      <c r="O131" s="55" t="s">
        <v>167</v>
      </c>
      <c r="P131" s="55" t="s">
        <v>167</v>
      </c>
      <c r="Q131" s="55" t="s">
        <v>167</v>
      </c>
      <c r="R131" s="55" t="s">
        <v>167</v>
      </c>
      <c r="S131" s="55" t="s">
        <v>167</v>
      </c>
      <c r="T131" s="55" t="s">
        <v>167</v>
      </c>
      <c r="U131" s="55" t="s">
        <v>167</v>
      </c>
      <c r="V131" s="55" t="s">
        <v>167</v>
      </c>
      <c r="W131" s="55" t="s">
        <v>167</v>
      </c>
      <c r="X131" s="55" t="s">
        <v>167</v>
      </c>
      <c r="Z131" s="21" t="s">
        <v>29</v>
      </c>
      <c r="AA131" s="55" t="s">
        <v>167</v>
      </c>
      <c r="AB131" s="55" t="s">
        <v>167</v>
      </c>
      <c r="AC131" s="55" t="s">
        <v>167</v>
      </c>
      <c r="AD131" s="55" t="s">
        <v>167</v>
      </c>
      <c r="AE131" s="55" t="s">
        <v>167</v>
      </c>
      <c r="AF131" s="55" t="s">
        <v>167</v>
      </c>
      <c r="AG131" s="55" t="s">
        <v>167</v>
      </c>
      <c r="AH131" s="55" t="s">
        <v>167</v>
      </c>
      <c r="AI131" s="55" t="s">
        <v>167</v>
      </c>
      <c r="AJ131" s="55" t="s">
        <v>167</v>
      </c>
      <c r="AK131" s="55" t="s">
        <v>167</v>
      </c>
      <c r="AL131" s="55" t="s">
        <v>167</v>
      </c>
      <c r="AM131" s="55" t="s">
        <v>167</v>
      </c>
      <c r="AN131" s="55" t="s">
        <v>167</v>
      </c>
      <c r="AO131" s="55" t="s">
        <v>167</v>
      </c>
      <c r="AP131" s="55" t="s">
        <v>167</v>
      </c>
      <c r="AQ131" s="55" t="s">
        <v>167</v>
      </c>
      <c r="AR131" s="55" t="s">
        <v>167</v>
      </c>
      <c r="AS131" s="55" t="s">
        <v>167</v>
      </c>
      <c r="AT131" s="55" t="s">
        <v>167</v>
      </c>
      <c r="AU131" s="55" t="s">
        <v>167</v>
      </c>
      <c r="AV131" s="55" t="s">
        <v>167</v>
      </c>
      <c r="AW131" s="193"/>
      <c r="AX131" s="219"/>
      <c r="AY131" s="205" t="s">
        <v>185</v>
      </c>
      <c r="AZ131" s="206" t="s">
        <v>705</v>
      </c>
      <c r="BA131" s="207" t="s">
        <v>706</v>
      </c>
      <c r="BC131" s="52"/>
    </row>
    <row r="132" customFormat="false" ht="12.75" hidden="false" customHeight="false" outlineLevel="0" collapsed="false">
      <c r="B132" s="74" t="s">
        <v>187</v>
      </c>
      <c r="C132" s="108"/>
      <c r="D132" s="109"/>
      <c r="E132" s="108"/>
      <c r="F132" s="109" t="n">
        <v>44.35</v>
      </c>
      <c r="G132" s="108" t="n">
        <v>41.003</v>
      </c>
      <c r="H132" s="109" t="n">
        <v>41.003</v>
      </c>
      <c r="I132" s="108"/>
      <c r="J132" s="109" t="n">
        <v>41.087</v>
      </c>
      <c r="K132" s="108" t="n">
        <v>41.079</v>
      </c>
      <c r="L132" s="109" t="n">
        <v>41.003</v>
      </c>
      <c r="M132" s="108" t="n">
        <v>41.087</v>
      </c>
      <c r="N132" s="223"/>
      <c r="O132" s="99" t="n">
        <v>41.09</v>
      </c>
      <c r="P132" s="63" t="n">
        <v>41.077</v>
      </c>
      <c r="Q132" s="224" t="n">
        <v>41.09</v>
      </c>
      <c r="R132" s="225" t="s">
        <v>660</v>
      </c>
      <c r="S132" s="226" t="s">
        <v>660</v>
      </c>
      <c r="T132" s="227" t="s">
        <v>661</v>
      </c>
      <c r="U132" s="99" t="n">
        <v>41.077</v>
      </c>
      <c r="V132" s="100" t="n">
        <v>41.09</v>
      </c>
      <c r="W132" s="226" t="s">
        <v>660</v>
      </c>
      <c r="X132" s="228" t="n">
        <v>41.09</v>
      </c>
      <c r="Z132" s="74" t="s">
        <v>187</v>
      </c>
      <c r="AA132" s="208" t="str">
        <f aca="false">IF(C132="","",VALUE(C132))</f>
        <v/>
      </c>
      <c r="AB132" s="209" t="str">
        <f aca="false">IF(D132="","",VALUE(D132))</f>
        <v/>
      </c>
      <c r="AC132" s="208" t="str">
        <f aca="false">IF(E132="","",VALUE(E132))</f>
        <v/>
      </c>
      <c r="AD132" s="209" t="n">
        <f aca="false">IF(F132="","",VALUE(F132))</f>
        <v>44.35</v>
      </c>
      <c r="AE132" s="208" t="n">
        <f aca="false">IF(G132="","",VALUE(G132))</f>
        <v>41.003</v>
      </c>
      <c r="AF132" s="209" t="n">
        <f aca="false">IF(H132="","",VALUE(H132))</f>
        <v>41.003</v>
      </c>
      <c r="AG132" s="208" t="str">
        <f aca="false">IF(I132="","",VALUE(I132))</f>
        <v/>
      </c>
      <c r="AH132" s="209" t="n">
        <f aca="false">IF(J132="","",VALUE(J132))</f>
        <v>41.087</v>
      </c>
      <c r="AI132" s="208" t="n">
        <f aca="false">IF(K132="","",VALUE(K132))</f>
        <v>41.079</v>
      </c>
      <c r="AJ132" s="209" t="n">
        <f aca="false">IF(L132="","",VALUE(L132))</f>
        <v>41.003</v>
      </c>
      <c r="AK132" s="208" t="n">
        <f aca="false">IF(M132="","",VALUE(M132))</f>
        <v>41.087</v>
      </c>
      <c r="AL132" s="209" t="str">
        <f aca="false">IF(N132="","",VALUE(N132))</f>
        <v/>
      </c>
      <c r="AM132" s="208" t="n">
        <f aca="false">IF(O132="","",VALUE(O132))</f>
        <v>41.09</v>
      </c>
      <c r="AN132" s="209" t="n">
        <f aca="false">IF(P132="","",VALUE(P132))</f>
        <v>41.077</v>
      </c>
      <c r="AO132" s="208" t="n">
        <f aca="false">IF(Q132="","",VALUE(Q132))</f>
        <v>41.09</v>
      </c>
      <c r="AP132" s="209" t="n">
        <f aca="false">IF(R132="","",VALUE(R132))</f>
        <v>41.09</v>
      </c>
      <c r="AQ132" s="208" t="n">
        <f aca="false">IF(S132="","",VALUE(S132))</f>
        <v>41.09</v>
      </c>
      <c r="AR132" s="209" t="n">
        <f aca="false">IF(T132="","",VALUE(T132))</f>
        <v>41.07</v>
      </c>
      <c r="AS132" s="208" t="n">
        <f aca="false">IF(U132="","",VALUE(U132))</f>
        <v>41.077</v>
      </c>
      <c r="AT132" s="209" t="n">
        <f aca="false">IF(V132="","",VALUE(V132))</f>
        <v>41.09</v>
      </c>
      <c r="AU132" s="208" t="n">
        <f aca="false">IF(W132="","",VALUE(W132))</f>
        <v>41.09</v>
      </c>
      <c r="AV132" s="209" t="n">
        <f aca="false">IF(X132="","",VALUE(X132))</f>
        <v>41.09</v>
      </c>
      <c r="AW132" s="215"/>
      <c r="AX132" s="212" t="str">
        <f aca="false">Z132</f>
        <v>P(white)</v>
      </c>
      <c r="AY132" s="212" t="n">
        <f aca="false">COUNT(AA132:AV132)</f>
        <v>17</v>
      </c>
      <c r="AZ132" s="210" t="n">
        <f aca="false">IF(AY132=0,"",MIN(AA132:AV132))</f>
        <v>41.003</v>
      </c>
      <c r="BA132" s="213" t="n">
        <f aca="false">IF(AY132=0,"",MAX(AA132:AV132))</f>
        <v>44.35</v>
      </c>
      <c r="BC132" s="214"/>
    </row>
    <row r="133" customFormat="false" ht="13.5" hidden="false" customHeight="false" outlineLevel="0" collapsed="false">
      <c r="B133" s="39" t="s">
        <v>188</v>
      </c>
      <c r="C133" s="108"/>
      <c r="D133" s="109"/>
      <c r="E133" s="108"/>
      <c r="F133" s="109"/>
      <c r="G133" s="108" t="n">
        <v>22.845</v>
      </c>
      <c r="H133" s="109" t="n">
        <v>22.845</v>
      </c>
      <c r="I133" s="108" t="n">
        <v>22.803</v>
      </c>
      <c r="J133" s="109" t="n">
        <v>22.803</v>
      </c>
      <c r="K133" s="108" t="n">
        <v>22.803</v>
      </c>
      <c r="L133" s="109" t="n">
        <v>22.845</v>
      </c>
      <c r="M133" s="108" t="n">
        <v>22.845</v>
      </c>
      <c r="N133" s="229" t="n">
        <v>22.85</v>
      </c>
      <c r="O133" s="153"/>
      <c r="P133" s="63" t="n">
        <v>22.853</v>
      </c>
      <c r="Q133" s="164"/>
      <c r="R133" s="143"/>
      <c r="S133" s="230"/>
      <c r="T133" s="231" t="s">
        <v>699</v>
      </c>
      <c r="U133" s="153"/>
      <c r="V133" s="143"/>
      <c r="W133" s="183"/>
      <c r="X133" s="182"/>
      <c r="Z133" s="39" t="s">
        <v>188</v>
      </c>
      <c r="AA133" s="208" t="str">
        <f aca="false">IF(C133="","",VALUE(C133))</f>
        <v/>
      </c>
      <c r="AB133" s="209" t="str">
        <f aca="false">IF(D133="","",VALUE(D133))</f>
        <v/>
      </c>
      <c r="AC133" s="208" t="str">
        <f aca="false">IF(E133="","",VALUE(E133))</f>
        <v/>
      </c>
      <c r="AD133" s="209" t="str">
        <f aca="false">IF(F133="","",VALUE(F133))</f>
        <v/>
      </c>
      <c r="AE133" s="208" t="n">
        <f aca="false">IF(G133="","",VALUE(G133))</f>
        <v>22.845</v>
      </c>
      <c r="AF133" s="209" t="n">
        <f aca="false">IF(H133="","",VALUE(H133))</f>
        <v>22.845</v>
      </c>
      <c r="AG133" s="208" t="n">
        <f aca="false">IF(I133="","",VALUE(I133))</f>
        <v>22.803</v>
      </c>
      <c r="AH133" s="209" t="n">
        <f aca="false">IF(J133="","",VALUE(J133))</f>
        <v>22.803</v>
      </c>
      <c r="AI133" s="208" t="n">
        <f aca="false">IF(K133="","",VALUE(K133))</f>
        <v>22.803</v>
      </c>
      <c r="AJ133" s="209" t="n">
        <f aca="false">IF(L133="","",VALUE(L133))</f>
        <v>22.845</v>
      </c>
      <c r="AK133" s="208" t="n">
        <f aca="false">IF(M133="","",VALUE(M133))</f>
        <v>22.845</v>
      </c>
      <c r="AL133" s="209" t="n">
        <f aca="false">IF(N133="","",VALUE(N133))</f>
        <v>22.85</v>
      </c>
      <c r="AM133" s="208" t="str">
        <f aca="false">IF(O133="","",VALUE(O133))</f>
        <v/>
      </c>
      <c r="AN133" s="209" t="n">
        <f aca="false">IF(P133="","",VALUE(P133))</f>
        <v>22.853</v>
      </c>
      <c r="AO133" s="208" t="str">
        <f aca="false">IF(Q133="","",VALUE(Q133))</f>
        <v/>
      </c>
      <c r="AP133" s="209" t="str">
        <f aca="false">IF(R133="","",VALUE(R133))</f>
        <v/>
      </c>
      <c r="AQ133" s="208" t="str">
        <f aca="false">IF(S133="","",VALUE(S133))</f>
        <v/>
      </c>
      <c r="AR133" s="209" t="n">
        <f aca="false">IF(T133="","",VALUE(T133))</f>
        <v>22.85</v>
      </c>
      <c r="AS133" s="208" t="str">
        <f aca="false">IF(U133="","",VALUE(U133))</f>
        <v/>
      </c>
      <c r="AT133" s="209" t="str">
        <f aca="false">IF(V133="","",VALUE(V133))</f>
        <v/>
      </c>
      <c r="AU133" s="208" t="str">
        <f aca="false">IF(W133="","",VALUE(W133))</f>
        <v/>
      </c>
      <c r="AV133" s="209" t="str">
        <f aca="false">IF(X133="","",VALUE(X133))</f>
        <v/>
      </c>
      <c r="AW133" s="215"/>
      <c r="AX133" s="232" t="str">
        <f aca="false">Z133</f>
        <v>P(red)</v>
      </c>
      <c r="AY133" s="232" t="n">
        <f aca="false">COUNT(AA133:AV133)</f>
        <v>10</v>
      </c>
      <c r="AZ133" s="233" t="n">
        <f aca="false">IF(AY133=0,"",MIN(AA133:AV133))</f>
        <v>22.803</v>
      </c>
      <c r="BA133" s="234" t="n">
        <f aca="false">IF(AY133=0,"",MAX(AA133:AV133))</f>
        <v>22.853</v>
      </c>
      <c r="BC133" s="214"/>
    </row>
    <row r="134" customFormat="false" ht="13.5" hidden="false" customHeight="false" outlineLevel="0" collapsed="false">
      <c r="B134" s="80" t="s">
        <v>16</v>
      </c>
      <c r="C134" s="81" t="s">
        <v>189</v>
      </c>
      <c r="D134" s="82" t="s">
        <v>189</v>
      </c>
      <c r="E134" s="82" t="s">
        <v>189</v>
      </c>
      <c r="F134" s="82" t="s">
        <v>505</v>
      </c>
      <c r="G134" s="82" t="s">
        <v>506</v>
      </c>
      <c r="H134" s="82" t="s">
        <v>189</v>
      </c>
      <c r="I134" s="82" t="s">
        <v>506</v>
      </c>
      <c r="J134" s="82" t="s">
        <v>505</v>
      </c>
      <c r="K134" s="111" t="s">
        <v>506</v>
      </c>
      <c r="L134" s="82" t="s">
        <v>189</v>
      </c>
      <c r="M134" s="111" t="s">
        <v>505</v>
      </c>
      <c r="N134" s="81" t="s">
        <v>506</v>
      </c>
      <c r="O134" s="82" t="s">
        <v>505</v>
      </c>
      <c r="P134" s="82" t="s">
        <v>505</v>
      </c>
      <c r="Q134" s="81" t="s">
        <v>505</v>
      </c>
      <c r="R134" s="82" t="s">
        <v>505</v>
      </c>
      <c r="S134" s="111" t="s">
        <v>505</v>
      </c>
      <c r="T134" s="82" t="s">
        <v>505</v>
      </c>
      <c r="U134" s="82" t="s">
        <v>505</v>
      </c>
      <c r="V134" s="82" t="s">
        <v>505</v>
      </c>
      <c r="W134" s="82" t="s">
        <v>505</v>
      </c>
      <c r="X134" s="82" t="s">
        <v>505</v>
      </c>
      <c r="Z134" s="80" t="s">
        <v>16</v>
      </c>
      <c r="AA134" s="81" t="s">
        <v>189</v>
      </c>
      <c r="AB134" s="82" t="s">
        <v>189</v>
      </c>
      <c r="AC134" s="82" t="s">
        <v>189</v>
      </c>
      <c r="AD134" s="82" t="s">
        <v>505</v>
      </c>
      <c r="AE134" s="82" t="s">
        <v>506</v>
      </c>
      <c r="AF134" s="82" t="s">
        <v>189</v>
      </c>
      <c r="AG134" s="82" t="s">
        <v>506</v>
      </c>
      <c r="AH134" s="82" t="s">
        <v>505</v>
      </c>
      <c r="AI134" s="111" t="s">
        <v>506</v>
      </c>
      <c r="AJ134" s="82" t="s">
        <v>189</v>
      </c>
      <c r="AK134" s="111" t="s">
        <v>505</v>
      </c>
      <c r="AL134" s="81" t="s">
        <v>506</v>
      </c>
      <c r="AM134" s="82" t="s">
        <v>505</v>
      </c>
      <c r="AN134" s="82" t="s">
        <v>505</v>
      </c>
      <c r="AO134" s="81" t="s">
        <v>505</v>
      </c>
      <c r="AP134" s="82" t="s">
        <v>505</v>
      </c>
      <c r="AQ134" s="111" t="s">
        <v>505</v>
      </c>
      <c r="AR134" s="82" t="s">
        <v>505</v>
      </c>
      <c r="AS134" s="82" t="s">
        <v>505</v>
      </c>
      <c r="AT134" s="82" t="s">
        <v>505</v>
      </c>
      <c r="AU134" s="82" t="s">
        <v>505</v>
      </c>
      <c r="AV134" s="82" t="s">
        <v>505</v>
      </c>
      <c r="AW134" s="194"/>
      <c r="AX134" s="215"/>
      <c r="BC134" s="83"/>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R13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8" activeCellId="2" sqref="B16:B122 E16:F122 A8"/>
    </sheetView>
  </sheetViews>
  <sheetFormatPr defaultRowHeight="12.75" zeroHeight="false" outlineLevelRow="0" outlineLevelCol="0"/>
  <cols>
    <col collapsed="false" customWidth="true" hidden="false" outlineLevel="0" max="1025" min="1" style="0" width="11.42"/>
  </cols>
  <sheetData>
    <row r="1" customFormat="false" ht="12.75" hidden="false" customHeight="false" outlineLevel="0" collapsed="false">
      <c r="A1" s="9" t="str">
        <f aca="true">MID(CELL("filename",$A$1),   FIND("\[",CELL("filename",$A$1))+2,   FIND("]",CELL("filename",$A$1),FIND("\[",CELL("filename",$A$1))+2)-FIND("\[",CELL("filename",$A$1))-2)</f>
        <v>TDProperties_Rev0_v69.xlsx</v>
      </c>
    </row>
    <row r="2" customFormat="false" ht="12.75" hidden="false" customHeight="false" outlineLevel="0" collapsed="false">
      <c r="A2" s="0" t="str">
        <f aca="true">MID(CELL("filename",A1),FIND("]",CELL("filename",A1))+1,256)</f>
        <v>Elements NBS</v>
      </c>
    </row>
    <row r="4" customFormat="false" ht="12.75" hidden="false" customHeight="false" outlineLevel="0" collapsed="false">
      <c r="A4" s="9" t="s">
        <v>707</v>
      </c>
    </row>
    <row r="5" customFormat="false" ht="12.75" hidden="false" customHeight="false" outlineLevel="0" collapsed="false">
      <c r="A5" s="10" t="s">
        <v>708</v>
      </c>
      <c r="E5" s="10"/>
      <c r="Q5" s="10"/>
      <c r="R5" s="10"/>
    </row>
    <row r="6" customFormat="false" ht="12.75" hidden="false" customHeight="false" outlineLevel="0" collapsed="false">
      <c r="A6" s="10"/>
      <c r="E6" s="10"/>
      <c r="G6" s="10"/>
      <c r="P6" s="10"/>
      <c r="Q6" s="10"/>
      <c r="R6" s="10"/>
    </row>
    <row r="7" customFormat="false" ht="12.75" hidden="false" customHeight="false" outlineLevel="0" collapsed="false">
      <c r="A7" s="10"/>
      <c r="E7" s="10"/>
      <c r="G7" s="10"/>
      <c r="P7" s="10"/>
      <c r="Q7" s="10"/>
      <c r="R7" s="10"/>
    </row>
    <row r="8" customFormat="false" ht="12.75" hidden="false" customHeight="false" outlineLevel="0" collapsed="false">
      <c r="A8" s="10"/>
      <c r="E8" s="10"/>
      <c r="G8" s="10"/>
      <c r="P8" s="10"/>
      <c r="Q8" s="10"/>
      <c r="R8" s="10"/>
    </row>
    <row r="9" customFormat="false" ht="13.5" hidden="false" customHeight="false" outlineLevel="0" collapsed="false">
      <c r="E9" s="10"/>
      <c r="G9" s="10"/>
      <c r="P9" s="10"/>
      <c r="Q9" s="10"/>
      <c r="R9" s="10"/>
    </row>
    <row r="10" customFormat="false" ht="13.5" hidden="false" customHeight="false" outlineLevel="0" collapsed="false">
      <c r="E10" s="10"/>
      <c r="G10" s="10"/>
      <c r="L10" s="10" t="s">
        <v>709</v>
      </c>
      <c r="M10" s="70" t="n">
        <v>0.1</v>
      </c>
      <c r="N10" s="10" t="s">
        <v>710</v>
      </c>
      <c r="P10" s="10"/>
      <c r="Q10" s="10"/>
      <c r="R10" s="10"/>
    </row>
    <row r="11" customFormat="false" ht="12.75" hidden="false" customHeight="false" outlineLevel="0" collapsed="false">
      <c r="B11" s="10"/>
      <c r="E11" s="10"/>
      <c r="G11" s="10"/>
      <c r="P11" s="10"/>
      <c r="Q11" s="10"/>
      <c r="R11" s="10"/>
    </row>
    <row r="12" customFormat="false" ht="12.75" hidden="false" customHeight="false" outlineLevel="0" collapsed="false">
      <c r="B12" s="9" t="s">
        <v>711</v>
      </c>
      <c r="E12" s="10"/>
      <c r="G12" s="9" t="s">
        <v>712</v>
      </c>
      <c r="L12" s="9" t="s">
        <v>713</v>
      </c>
      <c r="P12" s="10"/>
      <c r="Q12" s="10"/>
      <c r="R12" s="10"/>
    </row>
    <row r="13" customFormat="false" ht="12.75" hidden="false" customHeight="false" outlineLevel="0" collapsed="false">
      <c r="B13" s="9" t="s">
        <v>157</v>
      </c>
      <c r="C13" s="9"/>
      <c r="D13" s="9"/>
      <c r="E13" s="46"/>
      <c r="F13" s="10"/>
      <c r="G13" s="9" t="s">
        <v>157</v>
      </c>
      <c r="H13" s="9"/>
      <c r="I13" s="9"/>
      <c r="J13" s="46"/>
      <c r="K13" s="46"/>
      <c r="L13" s="9" t="s">
        <v>157</v>
      </c>
    </row>
    <row r="14" customFormat="false" ht="13.5" hidden="false" customHeight="false" outlineLevel="0" collapsed="false">
      <c r="A14" s="2"/>
      <c r="B14" s="10"/>
      <c r="C14" s="9"/>
      <c r="E14" s="9"/>
      <c r="G14" s="10"/>
      <c r="H14" s="9"/>
      <c r="J14" s="9"/>
      <c r="K14" s="9"/>
      <c r="L14" s="10"/>
      <c r="M14" s="10"/>
      <c r="N14" s="10"/>
    </row>
    <row r="15" customFormat="false" ht="13.5" hidden="false" customHeight="false" outlineLevel="0" collapsed="false">
      <c r="B15" s="120" t="s">
        <v>160</v>
      </c>
      <c r="C15" s="95" t="s">
        <v>208</v>
      </c>
      <c r="D15" s="48" t="s">
        <v>212</v>
      </c>
      <c r="E15" s="48" t="s">
        <v>557</v>
      </c>
      <c r="G15" s="120" t="s">
        <v>160</v>
      </c>
      <c r="H15" s="95" t="str">
        <f aca="false">C15</f>
        <v>NBS 500</v>
      </c>
      <c r="I15" s="48" t="str">
        <f aca="false">D15</f>
        <v>NBS 270</v>
      </c>
      <c r="J15" s="48" t="str">
        <f aca="false">E15</f>
        <v>NBS 82</v>
      </c>
      <c r="K15" s="49"/>
      <c r="L15" s="120" t="s">
        <v>160</v>
      </c>
      <c r="M15" s="95" t="str">
        <f aca="false">H15</f>
        <v>NBS 500</v>
      </c>
      <c r="N15" s="48" t="str">
        <f aca="false">I15</f>
        <v>NBS 270</v>
      </c>
    </row>
    <row r="16" customFormat="false" ht="12.75" hidden="false" customHeight="false" outlineLevel="0" collapsed="false">
      <c r="B16" s="11"/>
      <c r="C16" s="51" t="s">
        <v>215</v>
      </c>
      <c r="D16" s="96" t="s">
        <v>219</v>
      </c>
      <c r="E16" s="50" t="s">
        <v>567</v>
      </c>
      <c r="F16" s="10"/>
      <c r="G16" s="11"/>
      <c r="H16" s="51" t="str">
        <f aca="false">C16</f>
        <v>Rossini</v>
      </c>
      <c r="I16" s="51" t="str">
        <f aca="false">D16</f>
        <v>NBS 270-3</v>
      </c>
      <c r="J16" s="51" t="str">
        <f aca="false">E16</f>
        <v>Wagman</v>
      </c>
      <c r="K16" s="49"/>
      <c r="L16" s="11"/>
      <c r="M16" s="51" t="str">
        <f aca="false">H16</f>
        <v>Rossini</v>
      </c>
      <c r="N16" s="51" t="str">
        <f aca="false">I16</f>
        <v>NBS 270-3</v>
      </c>
      <c r="Q16" s="10"/>
      <c r="R16" s="10"/>
    </row>
    <row r="17" customFormat="false" ht="12.75" hidden="false" customHeight="false" outlineLevel="0" collapsed="false">
      <c r="B17" s="16" t="s">
        <v>20</v>
      </c>
      <c r="C17" s="54" t="s">
        <v>165</v>
      </c>
      <c r="D17" s="52" t="s">
        <v>224</v>
      </c>
      <c r="E17" s="53" t="s">
        <v>165</v>
      </c>
      <c r="G17" s="16" t="s">
        <v>20</v>
      </c>
      <c r="H17" s="54" t="str">
        <f aca="false">C17</f>
        <v>et al.</v>
      </c>
      <c r="I17" s="54" t="str">
        <f aca="false">D17</f>
        <v>to 270-8</v>
      </c>
      <c r="J17" s="54" t="str">
        <f aca="false">E17</f>
        <v>et al.</v>
      </c>
      <c r="K17" s="49"/>
      <c r="L17" s="16" t="s">
        <v>20</v>
      </c>
      <c r="M17" s="54" t="str">
        <f aca="false">H17</f>
        <v>et al.</v>
      </c>
      <c r="N17" s="54" t="str">
        <f aca="false">I17</f>
        <v>to 270-8</v>
      </c>
      <c r="P17" s="10"/>
      <c r="Q17" s="10"/>
      <c r="R17" s="10"/>
    </row>
    <row r="18" customFormat="false" ht="12.75" hidden="false" customHeight="false" outlineLevel="0" collapsed="false">
      <c r="B18" s="16" t="s">
        <v>17</v>
      </c>
      <c r="C18" s="54" t="n">
        <v>1952</v>
      </c>
      <c r="D18" s="52" t="s">
        <v>227</v>
      </c>
      <c r="E18" s="53" t="n">
        <v>1982</v>
      </c>
      <c r="G18" s="16" t="s">
        <v>17</v>
      </c>
      <c r="H18" s="54" t="n">
        <f aca="false">C18</f>
        <v>1952</v>
      </c>
      <c r="I18" s="54" t="str">
        <f aca="false">D18</f>
        <v>1968-1981</v>
      </c>
      <c r="J18" s="54" t="n">
        <f aca="false">E18</f>
        <v>1982</v>
      </c>
      <c r="K18" s="49"/>
      <c r="L18" s="16" t="s">
        <v>17</v>
      </c>
      <c r="M18" s="54" t="n">
        <f aca="false">H18</f>
        <v>1952</v>
      </c>
      <c r="N18" s="54" t="str">
        <f aca="false">I18</f>
        <v>1968-1981</v>
      </c>
      <c r="P18" s="10"/>
      <c r="Q18" s="10"/>
      <c r="R18" s="10"/>
    </row>
    <row r="19" customFormat="false" ht="15" hidden="false" customHeight="false" outlineLevel="0" collapsed="false">
      <c r="B19" s="21" t="s">
        <v>29</v>
      </c>
      <c r="C19" s="55" t="s">
        <v>167</v>
      </c>
      <c r="D19" s="55" t="s">
        <v>167</v>
      </c>
      <c r="E19" s="55" t="s">
        <v>167</v>
      </c>
      <c r="G19" s="21" t="s">
        <v>29</v>
      </c>
      <c r="H19" s="55" t="s">
        <v>167</v>
      </c>
      <c r="I19" s="55" t="s">
        <v>167</v>
      </c>
      <c r="J19" s="55" t="s">
        <v>167</v>
      </c>
      <c r="K19" s="49"/>
      <c r="L19" s="21" t="s">
        <v>29</v>
      </c>
      <c r="M19" s="55" t="s">
        <v>167</v>
      </c>
      <c r="N19" s="55" t="s">
        <v>167</v>
      </c>
      <c r="P19" s="10"/>
      <c r="Q19" s="10"/>
      <c r="R19" s="10"/>
    </row>
    <row r="20" customFormat="false" ht="12.75" hidden="false" customHeight="false" outlineLevel="0" collapsed="false">
      <c r="B20" s="26" t="s">
        <v>30</v>
      </c>
      <c r="C20" s="208"/>
      <c r="D20" s="209" t="n">
        <v>56.484</v>
      </c>
      <c r="E20" s="235" t="n">
        <v>56.5</v>
      </c>
      <c r="F20" s="45"/>
      <c r="G20" s="26" t="s">
        <v>30</v>
      </c>
      <c r="H20" s="208" t="str">
        <f aca="false">IF(C20="","",VALUE(C20))</f>
        <v/>
      </c>
      <c r="I20" s="209" t="n">
        <f aca="false">IF(D20="","",VALUE(D20))</f>
        <v>56.484</v>
      </c>
      <c r="J20" s="208" t="n">
        <f aca="false">IF(E20="","",VALUE(E20))</f>
        <v>56.5</v>
      </c>
      <c r="K20" s="45"/>
      <c r="L20" s="134" t="s">
        <v>30</v>
      </c>
      <c r="M20" s="236" t="str">
        <f aca="false">IF(H20="","",IF($J20="","",IF(ABS(H20-$J20)&gt;$M$10,H20-$J20,"")))</f>
        <v/>
      </c>
      <c r="N20" s="237" t="str">
        <f aca="false">IF(I20="","",IF($J20="","",IF(ABS(I20-$J20)&gt;$M$10,I20-$J20,"")))</f>
        <v/>
      </c>
      <c r="P20" s="10"/>
      <c r="Q20" s="10"/>
      <c r="R20" s="10"/>
    </row>
    <row r="21" customFormat="false" ht="12.75" hidden="false" customHeight="false" outlineLevel="0" collapsed="false">
      <c r="A21" s="87"/>
      <c r="B21" s="31" t="s">
        <v>31</v>
      </c>
      <c r="C21" s="238" t="n">
        <v>42.702</v>
      </c>
      <c r="D21" s="209" t="n">
        <v>42.551</v>
      </c>
      <c r="E21" s="239" t="n">
        <v>42.55</v>
      </c>
      <c r="F21" s="240"/>
      <c r="G21" s="31" t="s">
        <v>31</v>
      </c>
      <c r="H21" s="208" t="n">
        <f aca="false">IF(C21="","",VALUE(C21))</f>
        <v>42.702</v>
      </c>
      <c r="I21" s="209" t="n">
        <f aca="false">IF(D21="","",VALUE(D21))</f>
        <v>42.551</v>
      </c>
      <c r="J21" s="208" t="n">
        <f aca="false">IF(E21="","",VALUE(E21))</f>
        <v>42.55</v>
      </c>
      <c r="K21" s="240"/>
      <c r="L21" s="138" t="s">
        <v>31</v>
      </c>
      <c r="M21" s="241" t="n">
        <f aca="false">IF(H21="","",IF($J21="","",IF(ABS(H21-$J21)&gt;$M$10,H21-$J21,"")))</f>
        <v>0.152000000000001</v>
      </c>
      <c r="N21" s="242" t="str">
        <f aca="false">IF(I21="","",IF($J21="","",IF(ABS(I21-$J21)&gt;$M$10,I21-$J21,"")))</f>
        <v/>
      </c>
      <c r="P21" s="10"/>
      <c r="Q21" s="10"/>
      <c r="R21" s="10"/>
    </row>
    <row r="22" customFormat="false" ht="12.75" hidden="false" customHeight="false" outlineLevel="0" collapsed="false">
      <c r="B22" s="31" t="s">
        <v>32</v>
      </c>
      <c r="C22" s="208" t="n">
        <v>28.321</v>
      </c>
      <c r="D22" s="209" t="n">
        <v>28.326</v>
      </c>
      <c r="E22" s="239" t="n">
        <v>28.33</v>
      </c>
      <c r="F22" s="240"/>
      <c r="G22" s="31" t="s">
        <v>32</v>
      </c>
      <c r="H22" s="208" t="n">
        <f aca="false">IF(C22="","",VALUE(C22))</f>
        <v>28.321</v>
      </c>
      <c r="I22" s="209" t="n">
        <f aca="false">IF(D22="","",VALUE(D22))</f>
        <v>28.326</v>
      </c>
      <c r="J22" s="208" t="n">
        <f aca="false">IF(E22="","",VALUE(E22))</f>
        <v>28.33</v>
      </c>
      <c r="K22" s="240"/>
      <c r="L22" s="138" t="s">
        <v>32</v>
      </c>
      <c r="M22" s="241" t="str">
        <f aca="false">IF(H22="","",IF($J22="","",IF(ABS(H22-$J22)&gt;$M$10,H22-$J22,"")))</f>
        <v/>
      </c>
      <c r="N22" s="242" t="str">
        <f aca="false">IF(I22="","",IF($J22="","",IF(ABS(I22-$J22)&gt;$M$10,I22-$J22,"")))</f>
        <v/>
      </c>
      <c r="P22" s="10"/>
      <c r="Q22" s="10"/>
      <c r="R22" s="10"/>
    </row>
    <row r="23" customFormat="false" ht="12.75" hidden="false" customHeight="false" outlineLevel="0" collapsed="false">
      <c r="B23" s="31" t="s">
        <v>33</v>
      </c>
      <c r="C23" s="208"/>
      <c r="D23" s="209"/>
      <c r="E23" s="243"/>
      <c r="F23" s="240"/>
      <c r="G23" s="31" t="s">
        <v>33</v>
      </c>
      <c r="H23" s="208" t="str">
        <f aca="false">IF(C23="","",VALUE(C23))</f>
        <v/>
      </c>
      <c r="I23" s="209" t="str">
        <f aca="false">IF(D23="","",VALUE(D23))</f>
        <v/>
      </c>
      <c r="J23" s="208" t="str">
        <f aca="false">IF(E23="","",VALUE(E23))</f>
        <v/>
      </c>
      <c r="K23" s="240"/>
      <c r="L23" s="138" t="s">
        <v>33</v>
      </c>
      <c r="M23" s="241" t="str">
        <f aca="false">IF(H23="","",IF($J23="","",IF(ABS(H23-$J23)&gt;$M$10,H23-$J23,"")))</f>
        <v/>
      </c>
      <c r="N23" s="242" t="str">
        <f aca="false">IF(I23="","",IF($J23="","",IF(ABS(I23-$J23)&gt;$M$10,I23-$J23,"")))</f>
        <v/>
      </c>
    </row>
    <row r="24" customFormat="false" ht="12.75" hidden="false" customHeight="false" outlineLevel="0" collapsed="false">
      <c r="B24" s="31" t="s">
        <v>34</v>
      </c>
      <c r="C24" s="208" t="n">
        <v>154.846</v>
      </c>
      <c r="D24" s="209" t="n">
        <v>154.843</v>
      </c>
      <c r="E24" s="239" t="n">
        <v>154.843</v>
      </c>
      <c r="F24" s="240"/>
      <c r="G24" s="31" t="s">
        <v>34</v>
      </c>
      <c r="H24" s="208" t="n">
        <f aca="false">IF(C24="","",VALUE(C24))</f>
        <v>154.846</v>
      </c>
      <c r="I24" s="209" t="n">
        <f aca="false">IF(D24="","",VALUE(D24))</f>
        <v>154.843</v>
      </c>
      <c r="J24" s="208" t="n">
        <f aca="false">IF(E24="","",VALUE(E24))</f>
        <v>154.843</v>
      </c>
      <c r="K24" s="240"/>
      <c r="L24" s="138" t="s">
        <v>34</v>
      </c>
      <c r="M24" s="241" t="str">
        <f aca="false">IF(H24="","",IF($J24="","",IF(ABS(H24-$J24)&gt;$M$10,H24-$J24,"")))</f>
        <v/>
      </c>
      <c r="N24" s="242" t="str">
        <f aca="false">IF(I24="","",IF($J24="","",IF(ABS(I24-$J24)&gt;$M$10,I24-$J24,"")))</f>
        <v/>
      </c>
    </row>
    <row r="25" customFormat="false" ht="12.75" hidden="false" customHeight="false" outlineLevel="0" collapsed="false">
      <c r="B25" s="31" t="s">
        <v>35</v>
      </c>
      <c r="C25" s="208" t="n">
        <v>35.146</v>
      </c>
      <c r="D25" s="209" t="n">
        <v>35.146</v>
      </c>
      <c r="E25" s="239" t="n">
        <v>35.1</v>
      </c>
      <c r="F25" s="240"/>
      <c r="G25" s="31" t="s">
        <v>35</v>
      </c>
      <c r="H25" s="208" t="n">
        <f aca="false">IF(C25="","",VALUE(C25))</f>
        <v>35.146</v>
      </c>
      <c r="I25" s="209" t="n">
        <f aca="false">IF(D25="","",VALUE(D25))</f>
        <v>35.146</v>
      </c>
      <c r="J25" s="208" t="n">
        <f aca="false">IF(E25="","",VALUE(E25))</f>
        <v>35.1</v>
      </c>
      <c r="K25" s="240"/>
      <c r="L25" s="138" t="s">
        <v>35</v>
      </c>
      <c r="M25" s="241" t="str">
        <f aca="false">IF(H25="","",IF($J25="","",IF(ABS(H25-$J25)&gt;$M$10,H25-$J25,"")))</f>
        <v/>
      </c>
      <c r="N25" s="242" t="str">
        <f aca="false">IF(I25="","",IF($J25="","",IF(ABS(I25-$J25)&gt;$M$10,I25-$J25,"")))</f>
        <v/>
      </c>
    </row>
    <row r="26" s="90" customFormat="true" ht="12.75" hidden="false" customHeight="false" outlineLevel="0" collapsed="false">
      <c r="A26" s="89"/>
      <c r="B26" s="38" t="s">
        <v>37</v>
      </c>
      <c r="C26" s="208"/>
      <c r="D26" s="209"/>
      <c r="E26" s="243"/>
      <c r="F26" s="240"/>
      <c r="G26" s="38" t="s">
        <v>37</v>
      </c>
      <c r="H26" s="208" t="str">
        <f aca="false">IF(C26="","",VALUE(C26))</f>
        <v/>
      </c>
      <c r="I26" s="209" t="str">
        <f aca="false">IF(D26="","",VALUE(D26))</f>
        <v/>
      </c>
      <c r="J26" s="208" t="str">
        <f aca="false">IF(E26="","",VALUE(E26))</f>
        <v/>
      </c>
      <c r="K26" s="240"/>
      <c r="L26" s="140" t="s">
        <v>37</v>
      </c>
      <c r="M26" s="241" t="str">
        <f aca="false">IF(H26="","",IF($J26="","",IF(ABS(H26-$J26)&gt;$M$10,H26-$J26,"")))</f>
        <v/>
      </c>
      <c r="N26" s="242" t="str">
        <f aca="false">IF(I26="","",IF($J26="","",IF(ABS(I26-$J26)&gt;$M$10,I26-$J26,"")))</f>
        <v/>
      </c>
      <c r="Q26" s="10"/>
      <c r="R26" s="10"/>
    </row>
    <row r="27" customFormat="false" ht="12.75" hidden="false" customHeight="false" outlineLevel="0" collapsed="false">
      <c r="B27" s="31" t="s">
        <v>39</v>
      </c>
      <c r="C27" s="238" t="n">
        <v>47.698</v>
      </c>
      <c r="D27" s="209" t="n">
        <v>47.405</v>
      </c>
      <c r="E27" s="243" t="s">
        <v>587</v>
      </c>
      <c r="F27" s="240"/>
      <c r="G27" s="31" t="s">
        <v>39</v>
      </c>
      <c r="H27" s="208" t="n">
        <f aca="false">IF(C27="","",VALUE(C27))</f>
        <v>47.698</v>
      </c>
      <c r="I27" s="209" t="n">
        <f aca="false">IF(D27="","",VALUE(D27))</f>
        <v>47.405</v>
      </c>
      <c r="J27" s="208" t="n">
        <f aca="false">IF(E27="","",VALUE(E27))</f>
        <v>47.4</v>
      </c>
      <c r="K27" s="240"/>
      <c r="L27" s="138" t="s">
        <v>39</v>
      </c>
      <c r="M27" s="241" t="n">
        <f aca="false">IF(H27="","",IF($J27="","",IF(ABS(H27-$J27)&gt;$M$10,H27-$J27,"")))</f>
        <v>0.298000000000002</v>
      </c>
      <c r="N27" s="242" t="str">
        <f aca="false">IF(I27="","",IF($J27="","",IF(ABS(I27-$J27)&gt;$M$10,I27-$J27,"")))</f>
        <v/>
      </c>
      <c r="P27" s="10"/>
      <c r="Q27" s="10"/>
      <c r="R27" s="10"/>
    </row>
    <row r="28" customFormat="false" ht="12.75" hidden="false" customHeight="false" outlineLevel="0" collapsed="false">
      <c r="B28" s="31" t="s">
        <v>40</v>
      </c>
      <c r="C28" s="238" t="n">
        <v>6.527</v>
      </c>
      <c r="D28" s="209" t="n">
        <v>5.858</v>
      </c>
      <c r="E28" s="239" t="n">
        <v>5.86</v>
      </c>
      <c r="F28" s="191"/>
      <c r="G28" s="31" t="s">
        <v>40</v>
      </c>
      <c r="H28" s="208" t="n">
        <f aca="false">IF(C28="","",VALUE(C28))</f>
        <v>6.527</v>
      </c>
      <c r="I28" s="209" t="n">
        <f aca="false">IF(D28="","",VALUE(D28))</f>
        <v>5.858</v>
      </c>
      <c r="J28" s="208" t="n">
        <f aca="false">IF(E28="","",VALUE(E28))</f>
        <v>5.86</v>
      </c>
      <c r="K28" s="191"/>
      <c r="L28" s="138" t="s">
        <v>40</v>
      </c>
      <c r="M28" s="241" t="n">
        <f aca="false">IF(H28="","",IF($J28="","",IF(ABS(H28-$J28)&gt;$M$10,H28-$J28,"")))</f>
        <v>0.667</v>
      </c>
      <c r="N28" s="242" t="str">
        <f aca="false">IF(I28="","",IF($J28="","",IF(ABS(I28-$J28)&gt;$M$10,I28-$J28,"")))</f>
        <v/>
      </c>
      <c r="P28" s="10"/>
      <c r="Q28" s="10"/>
      <c r="R28" s="10"/>
    </row>
    <row r="29" customFormat="false" ht="12.75" hidden="false" customHeight="false" outlineLevel="0" collapsed="false">
      <c r="B29" s="38" t="s">
        <v>41</v>
      </c>
      <c r="C29" s="238" t="n">
        <v>66.944</v>
      </c>
      <c r="D29" s="209" t="n">
        <v>62.76</v>
      </c>
      <c r="E29" s="239" t="n">
        <v>62.8</v>
      </c>
      <c r="F29" s="191"/>
      <c r="G29" s="38" t="s">
        <v>41</v>
      </c>
      <c r="H29" s="208" t="n">
        <f aca="false">IF(C29="","",VALUE(C29))</f>
        <v>66.944</v>
      </c>
      <c r="I29" s="209" t="n">
        <f aca="false">IF(D29="","",VALUE(D29))</f>
        <v>62.76</v>
      </c>
      <c r="J29" s="208" t="n">
        <f aca="false">IF(E29="","",VALUE(E29))</f>
        <v>62.8</v>
      </c>
      <c r="K29" s="191"/>
      <c r="L29" s="140" t="s">
        <v>41</v>
      </c>
      <c r="M29" s="241" t="n">
        <f aca="false">IF(H29="","",IF($J29="","",IF(ABS(H29-$J29)&gt;$M$10,H29-$J29,"")))</f>
        <v>4.14400000000001</v>
      </c>
      <c r="N29" s="242" t="str">
        <f aca="false">IF(I29="","",IF($J29="","",IF(ABS(I29-$J29)&gt;$M$10,I29-$J29,"")))</f>
        <v/>
      </c>
      <c r="P29" s="10"/>
      <c r="Q29" s="10"/>
      <c r="R29" s="10"/>
    </row>
    <row r="30" customFormat="false" ht="12.75" hidden="false" customHeight="false" outlineLevel="0" collapsed="false">
      <c r="B30" s="31" t="s">
        <v>42</v>
      </c>
      <c r="C30" s="208" t="n">
        <v>9.54</v>
      </c>
      <c r="D30" s="209" t="n">
        <v>9.498</v>
      </c>
      <c r="E30" s="243" t="s">
        <v>535</v>
      </c>
      <c r="F30" s="191"/>
      <c r="G30" s="31" t="s">
        <v>42</v>
      </c>
      <c r="H30" s="208" t="n">
        <f aca="false">IF(C30="","",VALUE(C30))</f>
        <v>9.54</v>
      </c>
      <c r="I30" s="209" t="n">
        <f aca="false">IF(D30="","",VALUE(D30))</f>
        <v>9.498</v>
      </c>
      <c r="J30" s="208" t="n">
        <f aca="false">IF(E30="","",VALUE(E30))</f>
        <v>9.5</v>
      </c>
      <c r="K30" s="191"/>
      <c r="L30" s="138" t="s">
        <v>42</v>
      </c>
      <c r="M30" s="241" t="str">
        <f aca="false">IF(H30="","",IF($J30="","",IF(ABS(H30-$J30)&gt;$M$10,H30-$J30,"")))</f>
        <v/>
      </c>
      <c r="N30" s="242" t="str">
        <f aca="false">IF(I30="","",IF($J30="","",IF(ABS(I30-$J30)&gt;$M$10,I30-$J30,"")))</f>
        <v/>
      </c>
      <c r="P30" s="10"/>
      <c r="Q30" s="10"/>
      <c r="R30" s="10"/>
    </row>
    <row r="31" customFormat="false" ht="12.75" hidden="false" customHeight="false" outlineLevel="0" collapsed="false">
      <c r="B31" s="31" t="s">
        <v>43</v>
      </c>
      <c r="C31" s="238" t="n">
        <v>56.902</v>
      </c>
      <c r="D31" s="209" t="n">
        <v>56.735</v>
      </c>
      <c r="E31" s="239" t="n">
        <v>56.74</v>
      </c>
      <c r="F31" s="191"/>
      <c r="G31" s="31" t="s">
        <v>43</v>
      </c>
      <c r="H31" s="208" t="n">
        <f aca="false">IF(C31="","",VALUE(C31))</f>
        <v>56.902</v>
      </c>
      <c r="I31" s="209" t="n">
        <f aca="false">IF(D31="","",VALUE(D31))</f>
        <v>56.735</v>
      </c>
      <c r="J31" s="208" t="n">
        <f aca="false">IF(E31="","",VALUE(E31))</f>
        <v>56.74</v>
      </c>
      <c r="K31" s="191"/>
      <c r="L31" s="138" t="s">
        <v>43</v>
      </c>
      <c r="M31" s="241" t="n">
        <f aca="false">IF(H31="","",IF($J31="","",IF(ABS(H31-$J31)&gt;$M$10,H31-$J31,"")))</f>
        <v>0.161999999999999</v>
      </c>
      <c r="N31" s="242" t="str">
        <f aca="false">IF(I31="","",IF($J31="","",IF(ABS(I31-$J31)&gt;$M$10,I31-$J31,"")))</f>
        <v/>
      </c>
      <c r="P31" s="10"/>
      <c r="Q31" s="10"/>
      <c r="R31" s="10"/>
    </row>
    <row r="32" customFormat="false" ht="12.75" hidden="false" customHeight="false" outlineLevel="0" collapsed="false">
      <c r="B32" s="31" t="s">
        <v>44</v>
      </c>
      <c r="C32" s="208"/>
      <c r="D32" s="209"/>
      <c r="E32" s="243"/>
      <c r="F32" s="191"/>
      <c r="G32" s="31" t="s">
        <v>44</v>
      </c>
      <c r="H32" s="208" t="str">
        <f aca="false">IF(C32="","",VALUE(C32))</f>
        <v/>
      </c>
      <c r="I32" s="209" t="str">
        <f aca="false">IF(D32="","",VALUE(D32))</f>
        <v/>
      </c>
      <c r="J32" s="208" t="str">
        <f aca="false">IF(E32="","",VALUE(E32))</f>
        <v/>
      </c>
      <c r="K32" s="191"/>
      <c r="L32" s="138" t="s">
        <v>44</v>
      </c>
      <c r="M32" s="241" t="str">
        <f aca="false">IF(H32="","",IF($J32="","",IF(ABS(H32-$J32)&gt;$M$10,H32-$J32,"")))</f>
        <v/>
      </c>
      <c r="N32" s="242" t="str">
        <f aca="false">IF(I32="","",IF($J32="","",IF(ABS(I32-$J32)&gt;$M$10,I32-$J32,"")))</f>
        <v/>
      </c>
      <c r="P32" s="10"/>
      <c r="Q32" s="10"/>
      <c r="R32" s="10"/>
    </row>
    <row r="33" s="90" customFormat="true" ht="12.75" hidden="false" customHeight="false" outlineLevel="0" collapsed="false">
      <c r="A33" s="89"/>
      <c r="B33" s="38" t="s">
        <v>46</v>
      </c>
      <c r="C33" s="208" t="n">
        <v>152.298</v>
      </c>
      <c r="D33" s="209" t="n">
        <v>152.231</v>
      </c>
      <c r="E33" s="239" t="n">
        <v>152.231</v>
      </c>
      <c r="F33" s="191"/>
      <c r="G33" s="38" t="s">
        <v>46</v>
      </c>
      <c r="H33" s="208" t="n">
        <f aca="false">IF(C33="","",VALUE(C33))</f>
        <v>152.298</v>
      </c>
      <c r="I33" s="209" t="n">
        <f aca="false">IF(D33="","",VALUE(D33))</f>
        <v>152.231</v>
      </c>
      <c r="J33" s="208" t="n">
        <f aca="false">IF(E33="","",VALUE(E33))</f>
        <v>152.231</v>
      </c>
      <c r="K33" s="191"/>
      <c r="L33" s="140" t="s">
        <v>46</v>
      </c>
      <c r="M33" s="241" t="str">
        <f aca="false">IF(H33="","",IF($J33="","",IF(ABS(H33-$J33)&gt;$M$10,H33-$J33,"")))</f>
        <v/>
      </c>
      <c r="N33" s="242" t="str">
        <f aca="false">IF(I33="","",IF($J33="","",IF(ABS(I33-$J33)&gt;$M$10,I33-$J33,"")))</f>
        <v/>
      </c>
      <c r="P33" s="10"/>
      <c r="Q33" s="10"/>
      <c r="R33" s="10"/>
    </row>
    <row r="34" customFormat="false" ht="12.75" hidden="false" customHeight="false" outlineLevel="0" collapsed="false">
      <c r="B34" s="31" t="s">
        <v>48</v>
      </c>
      <c r="C34" s="208" t="n">
        <v>5.694</v>
      </c>
      <c r="D34" s="209" t="n">
        <v>5.74</v>
      </c>
      <c r="E34" s="243" t="s">
        <v>600</v>
      </c>
      <c r="F34" s="240"/>
      <c r="G34" s="31" t="s">
        <v>48</v>
      </c>
      <c r="H34" s="208" t="n">
        <f aca="false">IF(C34="","",VALUE(C34))</f>
        <v>5.694</v>
      </c>
      <c r="I34" s="209" t="n">
        <f aca="false">IF(D34="","",VALUE(D34))</f>
        <v>5.74</v>
      </c>
      <c r="J34" s="208" t="n">
        <f aca="false">IF(E34="","",VALUE(E34))</f>
        <v>5.74</v>
      </c>
      <c r="K34" s="240"/>
      <c r="L34" s="138" t="s">
        <v>48</v>
      </c>
      <c r="M34" s="241" t="str">
        <f aca="false">IF(H34="","",IF($J34="","",IF(ABS(H34-$J34)&gt;$M$10,H34-$J34,"")))</f>
        <v/>
      </c>
      <c r="N34" s="242" t="str">
        <f aca="false">IF(I34="","",IF($J34="","",IF(ABS(I34-$J34)&gt;$M$10,I34-$J34,"")))</f>
        <v/>
      </c>
    </row>
    <row r="35" customFormat="false" ht="12.75" hidden="false" customHeight="false" outlineLevel="0" collapsed="false">
      <c r="B35" s="31" t="s">
        <v>49</v>
      </c>
      <c r="C35" s="238" t="n">
        <v>41.631</v>
      </c>
      <c r="D35" s="209" t="n">
        <v>41.422</v>
      </c>
      <c r="E35" s="239" t="n">
        <v>41.42</v>
      </c>
      <c r="F35" s="240"/>
      <c r="G35" s="31" t="s">
        <v>49</v>
      </c>
      <c r="H35" s="208" t="n">
        <f aca="false">IF(C35="","",VALUE(C35))</f>
        <v>41.631</v>
      </c>
      <c r="I35" s="209" t="n">
        <f aca="false">IF(D35="","",VALUE(D35))</f>
        <v>41.422</v>
      </c>
      <c r="J35" s="208" t="n">
        <f aca="false">IF(E35="","",VALUE(E35))</f>
        <v>41.42</v>
      </c>
      <c r="K35" s="240"/>
      <c r="L35" s="138" t="s">
        <v>49</v>
      </c>
      <c r="M35" s="241" t="n">
        <f aca="false">IF(H35="","",IF($J35="","",IF(ABS(H35-$J35)&gt;$M$10,H35-$J35,"")))</f>
        <v>0.210999999999999</v>
      </c>
      <c r="N35" s="242" t="str">
        <f aca="false">IF(I35="","",IF($J35="","",IF(ABS(I35-$J35)&gt;$M$10,I35-$J35,"")))</f>
        <v/>
      </c>
    </row>
    <row r="36" customFormat="false" ht="12.75" hidden="false" customHeight="false" outlineLevel="0" collapsed="false">
      <c r="B36" s="31" t="s">
        <v>50</v>
      </c>
      <c r="C36" s="238" t="n">
        <v>51.463</v>
      </c>
      <c r="D36" s="209" t="n">
        <v>51.756</v>
      </c>
      <c r="E36" s="239" t="n">
        <v>51.76</v>
      </c>
      <c r="F36" s="240"/>
      <c r="G36" s="31" t="s">
        <v>50</v>
      </c>
      <c r="H36" s="208" t="n">
        <f aca="false">IF(C36="","",VALUE(C36))</f>
        <v>51.463</v>
      </c>
      <c r="I36" s="209" t="n">
        <f aca="false">IF(D36="","",VALUE(D36))</f>
        <v>51.756</v>
      </c>
      <c r="J36" s="208" t="n">
        <f aca="false">IF(E36="","",VALUE(E36))</f>
        <v>51.76</v>
      </c>
      <c r="K36" s="240"/>
      <c r="L36" s="138" t="s">
        <v>50</v>
      </c>
      <c r="M36" s="241" t="n">
        <f aca="false">IF(H36="","",IF($J36="","",IF(ABS(H36-$J36)&gt;$M$10,H36-$J36,"")))</f>
        <v>-0.296999999999997</v>
      </c>
      <c r="N36" s="242" t="str">
        <f aca="false">IF(I36="","",IF($J36="","",IF(ABS(I36-$J36)&gt;$M$10,I36-$J36,"")))</f>
        <v/>
      </c>
    </row>
    <row r="37" customFormat="false" ht="12.75" hidden="false" customHeight="false" outlineLevel="0" collapsed="false">
      <c r="A37" s="10"/>
      <c r="B37" s="31" t="s">
        <v>51</v>
      </c>
      <c r="C37" s="238" t="n">
        <v>57.739</v>
      </c>
      <c r="D37" s="209" t="n">
        <v>71.965</v>
      </c>
      <c r="E37" s="243" t="s">
        <v>606</v>
      </c>
      <c r="F37" s="240"/>
      <c r="G37" s="31" t="s">
        <v>51</v>
      </c>
      <c r="H37" s="208" t="n">
        <f aca="false">IF(C37="","",VALUE(C37))</f>
        <v>57.739</v>
      </c>
      <c r="I37" s="209" t="n">
        <f aca="false">IF(D37="","",VALUE(D37))</f>
        <v>71.965</v>
      </c>
      <c r="J37" s="208" t="n">
        <f aca="false">IF(E37="","",VALUE(E37))</f>
        <v>72</v>
      </c>
      <c r="K37" s="240"/>
      <c r="L37" s="138" t="s">
        <v>51</v>
      </c>
      <c r="M37" s="241" t="n">
        <f aca="false">IF(H37="","",IF($J37="","",IF(ABS(H37-$J37)&gt;$M$10,H37-$J37,"")))</f>
        <v>-14.261</v>
      </c>
      <c r="N37" s="242" t="str">
        <f aca="false">IF(I37="","",IF($J37="","",IF(ABS(I37-$J37)&gt;$M$10,I37-$J37,"")))</f>
        <v/>
      </c>
      <c r="Q37" s="10"/>
      <c r="R37" s="10"/>
    </row>
    <row r="38" customFormat="false" ht="12.75" hidden="false" customHeight="false" outlineLevel="0" collapsed="false">
      <c r="B38" s="31" t="s">
        <v>52</v>
      </c>
      <c r="C38" s="208"/>
      <c r="D38" s="209"/>
      <c r="E38" s="243"/>
      <c r="F38" s="191"/>
      <c r="G38" s="31" t="s">
        <v>52</v>
      </c>
      <c r="H38" s="208" t="str">
        <f aca="false">IF(C38="","",VALUE(C38))</f>
        <v/>
      </c>
      <c r="I38" s="209" t="str">
        <f aca="false">IF(D38="","",VALUE(D38))</f>
        <v/>
      </c>
      <c r="J38" s="208" t="str">
        <f aca="false">IF(E38="","",VALUE(E38))</f>
        <v/>
      </c>
      <c r="K38" s="191"/>
      <c r="L38" s="138" t="s">
        <v>52</v>
      </c>
      <c r="M38" s="241" t="str">
        <f aca="false">IF(H38="","",IF($J38="","",IF(ABS(H38-$J38)&gt;$M$10,H38-$J38,"")))</f>
        <v/>
      </c>
      <c r="N38" s="242" t="str">
        <f aca="false">IF(I38="","",IF($J38="","",IF(ABS(I38-$J38)&gt;$M$10,I38-$J38,"")))</f>
        <v/>
      </c>
      <c r="P38" s="10"/>
      <c r="Q38" s="10"/>
      <c r="R38" s="10"/>
    </row>
    <row r="39" s="90" customFormat="true" ht="12.75" hidden="false" customHeight="false" outlineLevel="0" collapsed="false">
      <c r="A39" s="89"/>
      <c r="B39" s="38" t="s">
        <v>54</v>
      </c>
      <c r="C39" s="208" t="n">
        <v>223.058</v>
      </c>
      <c r="D39" s="209" t="n">
        <v>223.066</v>
      </c>
      <c r="E39" s="239" t="n">
        <v>223.066</v>
      </c>
      <c r="F39" s="191"/>
      <c r="G39" s="38" t="s">
        <v>54</v>
      </c>
      <c r="H39" s="208" t="n">
        <f aca="false">IF(C39="","",VALUE(C39))</f>
        <v>223.058</v>
      </c>
      <c r="I39" s="209" t="n">
        <f aca="false">IF(D39="","",VALUE(D39))</f>
        <v>223.066</v>
      </c>
      <c r="J39" s="208" t="n">
        <f aca="false">IF(E39="","",VALUE(E39))</f>
        <v>223.066</v>
      </c>
      <c r="K39" s="191"/>
      <c r="L39" s="140" t="s">
        <v>54</v>
      </c>
      <c r="M39" s="241" t="str">
        <f aca="false">IF(H39="","",IF($J39="","",IF(ABS(H39-$J39)&gt;$M$10,H39-$J39,"")))</f>
        <v/>
      </c>
      <c r="N39" s="242" t="str">
        <f aca="false">IF(I39="","",IF($J39="","",IF(ABS(I39-$J39)&gt;$M$10,I39-$J39,"")))</f>
        <v/>
      </c>
      <c r="P39" s="10"/>
      <c r="Q39" s="10"/>
      <c r="R39" s="10"/>
    </row>
    <row r="40" customFormat="false" ht="12.75" hidden="false" customHeight="false" outlineLevel="0" collapsed="false">
      <c r="A40" s="10"/>
      <c r="B40" s="31" t="s">
        <v>56</v>
      </c>
      <c r="C40" s="208"/>
      <c r="D40" s="209"/>
      <c r="E40" s="243"/>
      <c r="F40" s="191"/>
      <c r="G40" s="31" t="s">
        <v>56</v>
      </c>
      <c r="H40" s="208" t="str">
        <f aca="false">IF(C40="","",VALUE(C40))</f>
        <v/>
      </c>
      <c r="I40" s="209" t="str">
        <f aca="false">IF(D40="","",VALUE(D40))</f>
        <v/>
      </c>
      <c r="J40" s="208" t="str">
        <f aca="false">IF(E40="","",VALUE(E40))</f>
        <v/>
      </c>
      <c r="K40" s="191"/>
      <c r="L40" s="138" t="s">
        <v>56</v>
      </c>
      <c r="M40" s="241" t="str">
        <f aca="false">IF(H40="","",IF($J40="","",IF(ABS(H40-$J40)&gt;$M$10,H40-$J40,"")))</f>
        <v/>
      </c>
      <c r="N40" s="242" t="str">
        <f aca="false">IF(I40="","",IF($J40="","",IF(ABS(I40-$J40)&gt;$M$10,I40-$J40,"")))</f>
        <v/>
      </c>
      <c r="P40" s="10"/>
      <c r="Q40" s="10"/>
      <c r="R40" s="10"/>
    </row>
    <row r="41" customFormat="false" ht="12.75" hidden="false" customHeight="false" outlineLevel="0" collapsed="false">
      <c r="B41" s="31" t="s">
        <v>57</v>
      </c>
      <c r="C41" s="238" t="n">
        <v>28.451</v>
      </c>
      <c r="D41" s="209" t="n">
        <v>30.041</v>
      </c>
      <c r="E41" s="239" t="n">
        <v>30.04</v>
      </c>
      <c r="F41" s="191"/>
      <c r="G41" s="31" t="s">
        <v>57</v>
      </c>
      <c r="H41" s="208" t="n">
        <f aca="false">IF(C41="","",VALUE(C41))</f>
        <v>28.451</v>
      </c>
      <c r="I41" s="209" t="n">
        <f aca="false">IF(D41="","",VALUE(D41))</f>
        <v>30.041</v>
      </c>
      <c r="J41" s="208" t="n">
        <f aca="false">IF(E41="","",VALUE(E41))</f>
        <v>30.04</v>
      </c>
      <c r="K41" s="191"/>
      <c r="L41" s="138" t="s">
        <v>57</v>
      </c>
      <c r="M41" s="241" t="n">
        <f aca="false">IF(H41="","",IF($J41="","",IF(ABS(H41-$J41)&gt;$M$10,H41-$J41,"")))</f>
        <v>-1.589</v>
      </c>
      <c r="N41" s="242" t="str">
        <f aca="false">IF(I41="","",IF($J41="","",IF(ABS(I41-$J41)&gt;$M$10,I41-$J41,"")))</f>
        <v/>
      </c>
      <c r="P41" s="10"/>
      <c r="Q41" s="10"/>
      <c r="R41" s="10"/>
    </row>
    <row r="42" customFormat="false" ht="12.75" hidden="false" customHeight="false" outlineLevel="0" collapsed="false">
      <c r="B42" s="31" t="s">
        <v>58</v>
      </c>
      <c r="C42" s="208" t="n">
        <v>23.765</v>
      </c>
      <c r="D42" s="209" t="n">
        <v>23.765</v>
      </c>
      <c r="E42" s="239" t="n">
        <v>23.77</v>
      </c>
      <c r="F42" s="191"/>
      <c r="G42" s="31" t="s">
        <v>58</v>
      </c>
      <c r="H42" s="208" t="n">
        <f aca="false">IF(C42="","",VALUE(C42))</f>
        <v>23.765</v>
      </c>
      <c r="I42" s="209" t="n">
        <f aca="false">IF(D42="","",VALUE(D42))</f>
        <v>23.765</v>
      </c>
      <c r="J42" s="208" t="n">
        <f aca="false">IF(E42="","",VALUE(E42))</f>
        <v>23.77</v>
      </c>
      <c r="K42" s="191"/>
      <c r="L42" s="138" t="s">
        <v>58</v>
      </c>
      <c r="M42" s="241" t="str">
        <f aca="false">IF(H42="","",IF($J42="","",IF(ABS(H42-$J42)&gt;$M$10,H42-$J42,"")))</f>
        <v/>
      </c>
      <c r="N42" s="242" t="str">
        <f aca="false">IF(I42="","",IF($J42="","",IF(ABS(I42-$J42)&gt;$M$10,I42-$J42,"")))</f>
        <v/>
      </c>
      <c r="P42" s="10"/>
      <c r="Q42" s="10"/>
      <c r="R42" s="10"/>
    </row>
    <row r="43" customFormat="false" ht="12.75" hidden="false" customHeight="false" outlineLevel="0" collapsed="false">
      <c r="B43" s="38" t="s">
        <v>59</v>
      </c>
      <c r="C43" s="238" t="n">
        <v>82.843</v>
      </c>
      <c r="D43" s="209" t="n">
        <v>85.228</v>
      </c>
      <c r="E43" s="239" t="n">
        <v>85.23</v>
      </c>
      <c r="F43" s="191"/>
      <c r="G43" s="38" t="s">
        <v>59</v>
      </c>
      <c r="H43" s="208" t="n">
        <f aca="false">IF(C43="","",VALUE(C43))</f>
        <v>82.843</v>
      </c>
      <c r="I43" s="209" t="n">
        <f aca="false">IF(D43="","",VALUE(D43))</f>
        <v>85.228</v>
      </c>
      <c r="J43" s="208" t="n">
        <f aca="false">IF(E43="","",VALUE(E43))</f>
        <v>85.23</v>
      </c>
      <c r="K43" s="191"/>
      <c r="L43" s="140" t="s">
        <v>59</v>
      </c>
      <c r="M43" s="241" t="n">
        <f aca="false">IF(H43="","",IF($J43="","",IF(ABS(H43-$J43)&gt;$M$10,H43-$J43,"")))</f>
        <v>-2.387</v>
      </c>
      <c r="N43" s="242" t="str">
        <f aca="false">IF(I43="","",IF($J43="","",IF(ABS(I43-$J43)&gt;$M$10,I43-$J43,"")))</f>
        <v/>
      </c>
      <c r="P43" s="10"/>
      <c r="Q43" s="10"/>
      <c r="R43" s="10"/>
    </row>
    <row r="44" customFormat="false" ht="12.75" hidden="false" customHeight="false" outlineLevel="0" collapsed="false">
      <c r="B44" s="31" t="s">
        <v>60</v>
      </c>
      <c r="C44" s="238" t="n">
        <v>33.305</v>
      </c>
      <c r="D44" s="209" t="n">
        <v>33.15</v>
      </c>
      <c r="E44" s="243" t="s">
        <v>614</v>
      </c>
      <c r="F44" s="191"/>
      <c r="G44" s="31" t="s">
        <v>60</v>
      </c>
      <c r="H44" s="208" t="n">
        <f aca="false">IF(C44="","",VALUE(C44))</f>
        <v>33.305</v>
      </c>
      <c r="I44" s="209" t="n">
        <f aca="false">IF(D44="","",VALUE(D44))</f>
        <v>33.15</v>
      </c>
      <c r="J44" s="208" t="n">
        <f aca="false">IF(E44="","",VALUE(E44))</f>
        <v>33.15</v>
      </c>
      <c r="K44" s="191"/>
      <c r="L44" s="138" t="s">
        <v>60</v>
      </c>
      <c r="M44" s="241" t="n">
        <f aca="false">IF(H44="","",IF($J44="","",IF(ABS(H44-$J44)&gt;$M$10,H44-$J44,"")))</f>
        <v>0.155000000000001</v>
      </c>
      <c r="N44" s="242" t="str">
        <f aca="false">IF(I44="","",IF($J44="","",IF(ABS(I44-$J44)&gt;$M$10,I44-$J44,"")))</f>
        <v/>
      </c>
      <c r="P44" s="10"/>
      <c r="Q44" s="10"/>
      <c r="R44" s="10"/>
    </row>
    <row r="45" customFormat="false" ht="12.75" hidden="false" customHeight="false" outlineLevel="0" collapsed="false">
      <c r="B45" s="31" t="s">
        <v>61</v>
      </c>
      <c r="C45" s="208"/>
      <c r="D45" s="238" t="n">
        <v>75.312</v>
      </c>
      <c r="E45" s="239" t="n">
        <v>74.77</v>
      </c>
      <c r="F45" s="240"/>
      <c r="G45" s="31" t="s">
        <v>61</v>
      </c>
      <c r="H45" s="208" t="str">
        <f aca="false">IF(C45="","",VALUE(C45))</f>
        <v/>
      </c>
      <c r="I45" s="209" t="n">
        <f aca="false">IF(D45="","",VALUE(D45))</f>
        <v>75.312</v>
      </c>
      <c r="J45" s="208" t="n">
        <f aca="false">IF(E45="","",VALUE(E45))</f>
        <v>74.77</v>
      </c>
      <c r="K45" s="240"/>
      <c r="L45" s="138" t="s">
        <v>61</v>
      </c>
      <c r="M45" s="241" t="str">
        <f aca="false">IF(H45="","",IF($J45="","",IF(ABS(H45-$J45)&gt;$M$10,H45-$J45,"")))</f>
        <v/>
      </c>
      <c r="N45" s="242" t="n">
        <f aca="false">IF(I45="","",IF($J45="","",IF(ABS(I45-$J45)&gt;$M$10,I45-$J45,"")))</f>
        <v>0.542000000000002</v>
      </c>
    </row>
    <row r="46" customFormat="false" ht="12.75" hidden="false" customHeight="false" outlineLevel="0" collapsed="false">
      <c r="B46" s="31" t="s">
        <v>62</v>
      </c>
      <c r="C46" s="208"/>
      <c r="D46" s="209" t="n">
        <v>73.178</v>
      </c>
      <c r="E46" s="239" t="n">
        <v>73.18</v>
      </c>
      <c r="F46" s="240"/>
      <c r="G46" s="31" t="s">
        <v>62</v>
      </c>
      <c r="H46" s="208" t="str">
        <f aca="false">IF(C46="","",VALUE(C46))</f>
        <v/>
      </c>
      <c r="I46" s="209" t="n">
        <f aca="false">IF(D46="","",VALUE(D46))</f>
        <v>73.178</v>
      </c>
      <c r="J46" s="208" t="n">
        <f aca="false">IF(E46="","",VALUE(E46))</f>
        <v>73.18</v>
      </c>
      <c r="K46" s="240"/>
      <c r="L46" s="138" t="s">
        <v>62</v>
      </c>
      <c r="M46" s="241" t="str">
        <f aca="false">IF(H46="","",IF($J46="","",IF(ABS(H46-$J46)&gt;$M$10,H46-$J46,"")))</f>
        <v/>
      </c>
      <c r="N46" s="242" t="str">
        <f aca="false">IF(I46="","",IF($J46="","",IF(ABS(I46-$J46)&gt;$M$10,I46-$J46,"")))</f>
        <v/>
      </c>
    </row>
    <row r="47" customFormat="false" ht="12.75" hidden="false" customHeight="false" outlineLevel="0" collapsed="false">
      <c r="B47" s="31" t="s">
        <v>63</v>
      </c>
      <c r="C47" s="208"/>
      <c r="D47" s="209"/>
      <c r="E47" s="243"/>
      <c r="F47" s="240"/>
      <c r="G47" s="31" t="s">
        <v>63</v>
      </c>
      <c r="H47" s="208" t="str">
        <f aca="false">IF(C47="","",VALUE(C47))</f>
        <v/>
      </c>
      <c r="I47" s="209" t="str">
        <f aca="false">IF(D47="","",VALUE(D47))</f>
        <v/>
      </c>
      <c r="J47" s="208" t="str">
        <f aca="false">IF(E47="","",VALUE(E47))</f>
        <v/>
      </c>
      <c r="K47" s="240"/>
      <c r="L47" s="138" t="s">
        <v>63</v>
      </c>
      <c r="M47" s="241" t="str">
        <f aca="false">IF(H47="","",IF($J47="","",IF(ABS(H47-$J47)&gt;$M$10,H47-$J47,"")))</f>
        <v/>
      </c>
      <c r="N47" s="242" t="str">
        <f aca="false">IF(I47="","",IF($J47="","",IF(ABS(I47-$J47)&gt;$M$10,I47-$J47,"")))</f>
        <v/>
      </c>
    </row>
    <row r="48" customFormat="false" ht="12.75" hidden="false" customHeight="false" outlineLevel="0" collapsed="false">
      <c r="B48" s="31" t="s">
        <v>64</v>
      </c>
      <c r="C48" s="208"/>
      <c r="D48" s="209" t="n">
        <v>77.781</v>
      </c>
      <c r="E48" s="239" t="n">
        <v>77.78</v>
      </c>
      <c r="F48" s="240"/>
      <c r="G48" s="31" t="s">
        <v>64</v>
      </c>
      <c r="H48" s="208" t="str">
        <f aca="false">IF(C48="","",VALUE(C48))</f>
        <v/>
      </c>
      <c r="I48" s="209" t="n">
        <f aca="false">IF(D48="","",VALUE(D48))</f>
        <v>77.781</v>
      </c>
      <c r="J48" s="208" t="n">
        <f aca="false">IF(E48="","",VALUE(E48))</f>
        <v>77.78</v>
      </c>
      <c r="K48" s="240"/>
      <c r="L48" s="138" t="s">
        <v>64</v>
      </c>
      <c r="M48" s="241" t="str">
        <f aca="false">IF(H48="","",IF($J48="","",IF(ABS(H48-$J48)&gt;$M$10,H48-$J48,"")))</f>
        <v/>
      </c>
      <c r="N48" s="242" t="str">
        <f aca="false">IF(I48="","",IF($J48="","",IF(ABS(I48-$J48)&gt;$M$10,I48-$J48,"")))</f>
        <v/>
      </c>
      <c r="Q48" s="10"/>
      <c r="R48" s="10"/>
    </row>
    <row r="49" s="90" customFormat="true" ht="12.75" hidden="false" customHeight="false" outlineLevel="0" collapsed="false">
      <c r="A49" s="89"/>
      <c r="B49" s="38" t="s">
        <v>66</v>
      </c>
      <c r="C49" s="238" t="n">
        <v>203.452</v>
      </c>
      <c r="D49" s="209" t="n">
        <v>202.782</v>
      </c>
      <c r="E49" s="239" t="n">
        <v>202.78</v>
      </c>
      <c r="F49" s="191"/>
      <c r="G49" s="38" t="s">
        <v>66</v>
      </c>
      <c r="H49" s="208" t="n">
        <f aca="false">IF(C49="","",VALUE(C49))</f>
        <v>203.452</v>
      </c>
      <c r="I49" s="209" t="n">
        <f aca="false">IF(D49="","",VALUE(D49))</f>
        <v>202.782</v>
      </c>
      <c r="J49" s="208" t="n">
        <f aca="false">IF(E49="","",VALUE(E49))</f>
        <v>202.78</v>
      </c>
      <c r="K49" s="191"/>
      <c r="L49" s="140" t="s">
        <v>66</v>
      </c>
      <c r="M49" s="241" t="n">
        <f aca="false">IF(H49="","",IF($J49="","",IF(ABS(H49-$J49)&gt;$M$10,H49-$J49,"")))</f>
        <v>0.671999999999997</v>
      </c>
      <c r="N49" s="242" t="str">
        <f aca="false">IF(I49="","",IF($J49="","",IF(ABS(I49-$J49)&gt;$M$10,I49-$J49,"")))</f>
        <v/>
      </c>
      <c r="P49" s="10"/>
      <c r="Q49" s="10"/>
      <c r="R49" s="10"/>
    </row>
    <row r="50" customFormat="false" ht="12.75" hidden="false" customHeight="false" outlineLevel="0" collapsed="false">
      <c r="B50" s="38" t="s">
        <v>68</v>
      </c>
      <c r="C50" s="238" t="n">
        <v>27.154</v>
      </c>
      <c r="D50" s="209" t="n">
        <v>27.28</v>
      </c>
      <c r="E50" s="239" t="n">
        <v>27.28</v>
      </c>
      <c r="F50" s="191"/>
      <c r="G50" s="38" t="s">
        <v>68</v>
      </c>
      <c r="H50" s="208" t="n">
        <f aca="false">IF(C50="","",VALUE(C50))</f>
        <v>27.154</v>
      </c>
      <c r="I50" s="209" t="n">
        <f aca="false">IF(D50="","",VALUE(D50))</f>
        <v>27.28</v>
      </c>
      <c r="J50" s="208" t="n">
        <f aca="false">IF(E50="","",VALUE(E50))</f>
        <v>27.28</v>
      </c>
      <c r="K50" s="191"/>
      <c r="L50" s="140" t="s">
        <v>68</v>
      </c>
      <c r="M50" s="241" t="n">
        <f aca="false">IF(H50="","",IF($J50="","",IF(ABS(H50-$J50)&gt;$M$10,H50-$J50,"")))</f>
        <v>-0.126000000000001</v>
      </c>
      <c r="N50" s="242" t="str">
        <f aca="false">IF(I50="","",IF($J50="","",IF(ABS(I50-$J50)&gt;$M$10,I50-$J50,"")))</f>
        <v/>
      </c>
      <c r="P50" s="10"/>
      <c r="Q50" s="10"/>
      <c r="R50" s="10"/>
    </row>
    <row r="51" customFormat="false" ht="12.75" hidden="false" customHeight="false" outlineLevel="0" collapsed="false">
      <c r="B51" s="31" t="s">
        <v>69</v>
      </c>
      <c r="C51" s="208"/>
      <c r="D51" s="209"/>
      <c r="E51" s="243"/>
      <c r="F51" s="191"/>
      <c r="G51" s="31" t="s">
        <v>69</v>
      </c>
      <c r="H51" s="208" t="str">
        <f aca="false">IF(C51="","",VALUE(C51))</f>
        <v/>
      </c>
      <c r="I51" s="209" t="str">
        <f aca="false">IF(D51="","",VALUE(D51))</f>
        <v/>
      </c>
      <c r="J51" s="208" t="str">
        <f aca="false">IF(E51="","",VALUE(E51))</f>
        <v/>
      </c>
      <c r="K51" s="191"/>
      <c r="L51" s="138" t="s">
        <v>69</v>
      </c>
      <c r="M51" s="241" t="str">
        <f aca="false">IF(H51="","",IF($J51="","",IF(ABS(H51-$J51)&gt;$M$10,H51-$J51,"")))</f>
        <v/>
      </c>
      <c r="N51" s="242" t="str">
        <f aca="false">IF(I51="","",IF($J51="","",IF(ABS(I51-$J51)&gt;$M$10,I51-$J51,"")))</f>
        <v/>
      </c>
      <c r="P51" s="10"/>
      <c r="Q51" s="10"/>
      <c r="R51" s="10"/>
    </row>
    <row r="52" customFormat="false" ht="12.75" hidden="false" customHeight="false" outlineLevel="0" collapsed="false">
      <c r="B52" s="38" t="s">
        <v>70</v>
      </c>
      <c r="C52" s="208"/>
      <c r="D52" s="209" t="n">
        <v>95.395</v>
      </c>
      <c r="E52" s="239" t="n">
        <v>95.4</v>
      </c>
      <c r="F52" s="191"/>
      <c r="G52" s="38" t="s">
        <v>70</v>
      </c>
      <c r="H52" s="208" t="str">
        <f aca="false">IF(C52="","",VALUE(C52))</f>
        <v/>
      </c>
      <c r="I52" s="209" t="n">
        <f aca="false">IF(D52="","",VALUE(D52))</f>
        <v>95.395</v>
      </c>
      <c r="J52" s="208" t="n">
        <f aca="false">IF(E52="","",VALUE(E52))</f>
        <v>95.4</v>
      </c>
      <c r="K52" s="191"/>
      <c r="L52" s="140" t="s">
        <v>70</v>
      </c>
      <c r="M52" s="241" t="str">
        <f aca="false">IF(H52="","",IF($J52="","",IF(ABS(H52-$J52)&gt;$M$10,H52-$J52,"")))</f>
        <v/>
      </c>
      <c r="N52" s="242" t="str">
        <f aca="false">IF(I52="","",IF($J52="","",IF(ABS(I52-$J52)&gt;$M$10,I52-$J52,"")))</f>
        <v/>
      </c>
      <c r="P52" s="10"/>
      <c r="Q52" s="10"/>
      <c r="R52" s="10"/>
    </row>
    <row r="53" customFormat="false" ht="12.75" hidden="false" customHeight="false" outlineLevel="0" collapsed="false">
      <c r="B53" s="31" t="s">
        <v>71</v>
      </c>
      <c r="C53" s="238" t="n">
        <v>42.677</v>
      </c>
      <c r="D53" s="209" t="n">
        <v>40.878</v>
      </c>
      <c r="E53" s="239" t="n">
        <v>40.88</v>
      </c>
      <c r="F53" s="191"/>
      <c r="G53" s="31" t="s">
        <v>71</v>
      </c>
      <c r="H53" s="208" t="n">
        <f aca="false">IF(C53="","",VALUE(C53))</f>
        <v>42.677</v>
      </c>
      <c r="I53" s="209" t="n">
        <f aca="false">IF(D53="","",VALUE(D53))</f>
        <v>40.878</v>
      </c>
      <c r="J53" s="208" t="n">
        <f aca="false">IF(E53="","",VALUE(E53))</f>
        <v>40.88</v>
      </c>
      <c r="K53" s="191"/>
      <c r="L53" s="138" t="s">
        <v>71</v>
      </c>
      <c r="M53" s="241" t="n">
        <f aca="false">IF(H53="","",IF($J53="","",IF(ABS(H53-$J53)&gt;$M$10,H53-$J53,"")))</f>
        <v>1.797</v>
      </c>
      <c r="N53" s="242" t="str">
        <f aca="false">IF(I53="","",IF($J53="","",IF(ABS(I53-$J53)&gt;$M$10,I53-$J53,"")))</f>
        <v/>
      </c>
      <c r="P53" s="10"/>
      <c r="Q53" s="10"/>
      <c r="R53" s="10"/>
    </row>
    <row r="54" customFormat="false" ht="12.75" hidden="false" customHeight="false" outlineLevel="0" collapsed="false">
      <c r="B54" s="31" t="s">
        <v>72</v>
      </c>
      <c r="C54" s="238" t="n">
        <v>58.576</v>
      </c>
      <c r="D54" s="209" t="n">
        <v>68.074</v>
      </c>
      <c r="E54" s="239" t="n">
        <v>68.07</v>
      </c>
      <c r="F54" s="240"/>
      <c r="G54" s="31" t="s">
        <v>72</v>
      </c>
      <c r="H54" s="208" t="n">
        <f aca="false">IF(C54="","",VALUE(C54))</f>
        <v>58.576</v>
      </c>
      <c r="I54" s="209" t="n">
        <f aca="false">IF(D54="","",VALUE(D54))</f>
        <v>68.074</v>
      </c>
      <c r="J54" s="208" t="n">
        <f aca="false">IF(E54="","",VALUE(E54))</f>
        <v>68.07</v>
      </c>
      <c r="K54" s="240"/>
      <c r="L54" s="138" t="s">
        <v>72</v>
      </c>
      <c r="M54" s="241" t="n">
        <f aca="false">IF(H54="","",IF($J54="","",IF(ABS(H54-$J54)&gt;$M$10,H54-$J54,"")))</f>
        <v>-9.49399999999999</v>
      </c>
      <c r="N54" s="242" t="str">
        <f aca="false">IF(I54="","",IF($J54="","",IF(ABS(I54-$J54)&gt;$M$10,I54-$J54,"")))</f>
        <v/>
      </c>
      <c r="P54" s="10"/>
      <c r="Q54" s="10"/>
      <c r="R54" s="10"/>
    </row>
    <row r="55" customFormat="false" ht="12.75" hidden="false" customHeight="false" outlineLevel="0" collapsed="false">
      <c r="B55" s="31" t="s">
        <v>73</v>
      </c>
      <c r="C55" s="238" t="n">
        <v>42.426</v>
      </c>
      <c r="D55" s="209" t="n">
        <v>31.087</v>
      </c>
      <c r="E55" s="239" t="n">
        <v>31.09</v>
      </c>
      <c r="F55" s="191"/>
      <c r="G55" s="31" t="s">
        <v>73</v>
      </c>
      <c r="H55" s="208" t="n">
        <f aca="false">IF(C55="","",VALUE(C55))</f>
        <v>42.426</v>
      </c>
      <c r="I55" s="209" t="n">
        <f aca="false">IF(D55="","",VALUE(D55))</f>
        <v>31.087</v>
      </c>
      <c r="J55" s="208" t="n">
        <f aca="false">IF(E55="","",VALUE(E55))</f>
        <v>31.09</v>
      </c>
      <c r="K55" s="191"/>
      <c r="L55" s="138" t="s">
        <v>73</v>
      </c>
      <c r="M55" s="241" t="n">
        <f aca="false">IF(H55="","",IF($J55="","",IF(ABS(H55-$J55)&gt;$M$10,H55-$J55,"")))</f>
        <v>11.336</v>
      </c>
      <c r="N55" s="242" t="str">
        <f aca="false">IF(I55="","",IF($J55="","",IF(ABS(I55-$J55)&gt;$M$10,I55-$J55,"")))</f>
        <v/>
      </c>
      <c r="P55" s="10"/>
      <c r="Q55" s="10"/>
      <c r="R55" s="10"/>
    </row>
    <row r="56" s="90" customFormat="true" ht="12.75" hidden="false" customHeight="false" outlineLevel="0" collapsed="false">
      <c r="A56" s="89"/>
      <c r="B56" s="38" t="s">
        <v>75</v>
      </c>
      <c r="C56" s="208" t="n">
        <v>130.696</v>
      </c>
      <c r="D56" s="209" t="n">
        <v>130.684</v>
      </c>
      <c r="E56" s="239" t="n">
        <v>130.684</v>
      </c>
      <c r="F56" s="240"/>
      <c r="G56" s="38" t="s">
        <v>75</v>
      </c>
      <c r="H56" s="208" t="n">
        <f aca="false">IF(C56="","",VALUE(C56))</f>
        <v>130.696</v>
      </c>
      <c r="I56" s="209" t="n">
        <f aca="false">IF(D56="","",VALUE(D56))</f>
        <v>130.684</v>
      </c>
      <c r="J56" s="208" t="n">
        <f aca="false">IF(E56="","",VALUE(E56))</f>
        <v>130.684</v>
      </c>
      <c r="K56" s="240"/>
      <c r="L56" s="140" t="s">
        <v>75</v>
      </c>
      <c r="M56" s="241" t="str">
        <f aca="false">IF(H56="","",IF($J56="","",IF(ABS(H56-$J56)&gt;$M$10,H56-$J56,"")))</f>
        <v/>
      </c>
      <c r="N56" s="242" t="str">
        <f aca="false">IF(I56="","",IF($J56="","",IF(ABS(I56-$J56)&gt;$M$10,I56-$J56,"")))</f>
        <v/>
      </c>
    </row>
    <row r="57" customFormat="false" ht="12.75" hidden="false" customHeight="false" outlineLevel="0" collapsed="false">
      <c r="B57" s="31" t="s">
        <v>77</v>
      </c>
      <c r="C57" s="208" t="n">
        <v>126.157</v>
      </c>
      <c r="D57" s="209" t="n">
        <v>126.15</v>
      </c>
      <c r="E57" s="243" t="s">
        <v>625</v>
      </c>
      <c r="F57" s="240"/>
      <c r="G57" s="31" t="s">
        <v>77</v>
      </c>
      <c r="H57" s="208" t="n">
        <f aca="false">IF(C57="","",VALUE(C57))</f>
        <v>126.157</v>
      </c>
      <c r="I57" s="209" t="n">
        <f aca="false">IF(D57="","",VALUE(D57))</f>
        <v>126.15</v>
      </c>
      <c r="J57" s="208" t="n">
        <f aca="false">IF(E57="","",VALUE(E57))</f>
        <v>126.15</v>
      </c>
      <c r="K57" s="240"/>
      <c r="L57" s="138" t="s">
        <v>77</v>
      </c>
      <c r="M57" s="241" t="str">
        <f aca="false">IF(H57="","",IF($J57="","",IF(ABS(H57-$J57)&gt;$M$10,H57-$J57,"")))</f>
        <v/>
      </c>
      <c r="N57" s="242" t="str">
        <f aca="false">IF(I57="","",IF($J57="","",IF(ABS(I57-$J57)&gt;$M$10,I57-$J57,"")))</f>
        <v/>
      </c>
    </row>
    <row r="58" customFormat="false" ht="12.75" hidden="false" customHeight="false" outlineLevel="0" collapsed="false">
      <c r="B58" s="31" t="s">
        <v>78</v>
      </c>
      <c r="C58" s="238" t="n">
        <v>54.81</v>
      </c>
      <c r="D58" s="209" t="n">
        <v>43.555</v>
      </c>
      <c r="E58" s="239" t="n">
        <v>43.56</v>
      </c>
      <c r="F58" s="240"/>
      <c r="G58" s="31" t="s">
        <v>78</v>
      </c>
      <c r="H58" s="208" t="n">
        <f aca="false">IF(C58="","",VALUE(C58))</f>
        <v>54.81</v>
      </c>
      <c r="I58" s="209" t="n">
        <f aca="false">IF(D58="","",VALUE(D58))</f>
        <v>43.555</v>
      </c>
      <c r="J58" s="208" t="n">
        <f aca="false">IF(E58="","",VALUE(E58))</f>
        <v>43.56</v>
      </c>
      <c r="K58" s="240"/>
      <c r="L58" s="138" t="s">
        <v>78</v>
      </c>
      <c r="M58" s="241" t="n">
        <f aca="false">IF(H58="","",IF($J58="","",IF(ABS(H58-$J58)&gt;$M$10,H58-$J58,"")))</f>
        <v>11.25</v>
      </c>
      <c r="N58" s="242" t="str">
        <f aca="false">IF(I58="","",IF($J58="","",IF(ABS(I58-$J58)&gt;$M$10,I58-$J58,"")))</f>
        <v/>
      </c>
    </row>
    <row r="59" customFormat="false" ht="12.75" hidden="false" customHeight="false" outlineLevel="0" collapsed="false">
      <c r="A59" s="10"/>
      <c r="B59" s="31" t="s">
        <v>79</v>
      </c>
      <c r="C59" s="238" t="n">
        <v>77.404</v>
      </c>
      <c r="D59" s="209" t="n">
        <v>76.023</v>
      </c>
      <c r="E59" s="239" t="n">
        <v>76.02</v>
      </c>
      <c r="F59" s="240"/>
      <c r="G59" s="31" t="s">
        <v>79</v>
      </c>
      <c r="H59" s="208" t="n">
        <f aca="false">IF(C59="","",VALUE(C59))</f>
        <v>77.404</v>
      </c>
      <c r="I59" s="209" t="n">
        <f aca="false">IF(D59="","",VALUE(D59))</f>
        <v>76.023</v>
      </c>
      <c r="J59" s="208" t="n">
        <f aca="false">IF(E59="","",VALUE(E59))</f>
        <v>76.02</v>
      </c>
      <c r="K59" s="240"/>
      <c r="L59" s="138" t="s">
        <v>79</v>
      </c>
      <c r="M59" s="241" t="n">
        <f aca="false">IF(H59="","",IF($J59="","",IF(ABS(H59-$J59)&gt;$M$10,H59-$J59,"")))</f>
        <v>1.384</v>
      </c>
      <c r="N59" s="242" t="str">
        <f aca="false">IF(I59="","",IF($J59="","",IF(ABS(I59-$J59)&gt;$M$10,I59-$J59,"")))</f>
        <v/>
      </c>
      <c r="Q59" s="10"/>
      <c r="R59" s="10"/>
    </row>
    <row r="60" customFormat="false" ht="12.75" hidden="false" customHeight="false" outlineLevel="0" collapsed="false">
      <c r="B60" s="31" t="s">
        <v>80</v>
      </c>
      <c r="C60" s="208"/>
      <c r="D60" s="209" t="n">
        <v>75.312</v>
      </c>
      <c r="E60" s="239" t="n">
        <v>75.3</v>
      </c>
      <c r="F60" s="191"/>
      <c r="G60" s="31" t="s">
        <v>80</v>
      </c>
      <c r="H60" s="208" t="str">
        <f aca="false">IF(C60="","",VALUE(C60))</f>
        <v/>
      </c>
      <c r="I60" s="209" t="n">
        <f aca="false">IF(D60="","",VALUE(D60))</f>
        <v>75.312</v>
      </c>
      <c r="J60" s="208" t="n">
        <f aca="false">IF(E60="","",VALUE(E60))</f>
        <v>75.3</v>
      </c>
      <c r="K60" s="191"/>
      <c r="L60" s="138" t="s">
        <v>80</v>
      </c>
      <c r="M60" s="241" t="str">
        <f aca="false">IF(H60="","",IF($J60="","",IF(ABS(H60-$J60)&gt;$M$10,H60-$J60,"")))</f>
        <v/>
      </c>
      <c r="N60" s="242" t="str">
        <f aca="false">IF(I60="","",IF($J60="","",IF(ABS(I60-$J60)&gt;$M$10,I60-$J60,"")))</f>
        <v/>
      </c>
      <c r="P60" s="10"/>
      <c r="Q60" s="10"/>
      <c r="R60" s="10"/>
    </row>
    <row r="61" s="90" customFormat="true" ht="12.75" hidden="false" customHeight="false" outlineLevel="0" collapsed="false">
      <c r="A61" s="89"/>
      <c r="B61" s="38" t="s">
        <v>82</v>
      </c>
      <c r="C61" s="238" t="n">
        <v>116.734</v>
      </c>
      <c r="D61" s="209" t="n">
        <v>116.135</v>
      </c>
      <c r="E61" s="239" t="n">
        <v>116.135</v>
      </c>
      <c r="F61" s="191"/>
      <c r="G61" s="38" t="s">
        <v>82</v>
      </c>
      <c r="H61" s="208" t="n">
        <f aca="false">IF(C61="","",VALUE(C61))</f>
        <v>116.734</v>
      </c>
      <c r="I61" s="209" t="n">
        <f aca="false">IF(D61="","",VALUE(D61))</f>
        <v>116.135</v>
      </c>
      <c r="J61" s="208" t="n">
        <f aca="false">IF(E61="","",VALUE(E61))</f>
        <v>116.135</v>
      </c>
      <c r="K61" s="191"/>
      <c r="L61" s="140" t="s">
        <v>82</v>
      </c>
      <c r="M61" s="241" t="n">
        <f aca="false">IF(H61="","",IF($J61="","",IF(ABS(H61-$J61)&gt;$M$10,H61-$J61,"")))</f>
        <v>0.59899999999999</v>
      </c>
      <c r="N61" s="242" t="str">
        <f aca="false">IF(I61="","",IF($J61="","",IF(ABS(I61-$J61)&gt;$M$10,I61-$J61,"")))</f>
        <v/>
      </c>
      <c r="P61" s="10"/>
      <c r="Q61" s="10"/>
      <c r="R61" s="10"/>
    </row>
    <row r="62" customFormat="false" ht="12.75" hidden="false" customHeight="false" outlineLevel="0" collapsed="false">
      <c r="B62" s="31" t="s">
        <v>84</v>
      </c>
      <c r="C62" s="238" t="n">
        <v>52.3</v>
      </c>
      <c r="D62" s="209" t="n">
        <v>57.823</v>
      </c>
      <c r="E62" s="239" t="n">
        <v>57.82</v>
      </c>
      <c r="F62" s="191"/>
      <c r="G62" s="31" t="s">
        <v>84</v>
      </c>
      <c r="H62" s="208" t="n">
        <f aca="false">IF(C62="","",VALUE(C62))</f>
        <v>52.3</v>
      </c>
      <c r="I62" s="209" t="n">
        <f aca="false">IF(D62="","",VALUE(D62))</f>
        <v>57.823</v>
      </c>
      <c r="J62" s="208" t="n">
        <f aca="false">IF(E62="","",VALUE(E62))</f>
        <v>57.82</v>
      </c>
      <c r="K62" s="191"/>
      <c r="L62" s="138" t="s">
        <v>84</v>
      </c>
      <c r="M62" s="241" t="n">
        <f aca="false">IF(H62="","",IF($J62="","",IF(ABS(H62-$J62)&gt;$M$10,H62-$J62,"")))</f>
        <v>-5.52</v>
      </c>
      <c r="N62" s="242" t="str">
        <f aca="false">IF(I62="","",IF($J62="","",IF(ABS(I62-$J62)&gt;$M$10,I62-$J62,"")))</f>
        <v/>
      </c>
      <c r="P62" s="10"/>
      <c r="Q62" s="10"/>
      <c r="R62" s="10"/>
    </row>
    <row r="63" customFormat="false" ht="12.75" hidden="false" customHeight="false" outlineLevel="0" collapsed="false">
      <c r="B63" s="31" t="s">
        <v>85</v>
      </c>
      <c r="C63" s="238" t="n">
        <v>36.401</v>
      </c>
      <c r="D63" s="209" t="n">
        <v>35.48</v>
      </c>
      <c r="E63" s="239" t="n">
        <v>35.48</v>
      </c>
      <c r="F63" s="191"/>
      <c r="G63" s="31" t="s">
        <v>85</v>
      </c>
      <c r="H63" s="208" t="n">
        <f aca="false">IF(C63="","",VALUE(C63))</f>
        <v>36.401</v>
      </c>
      <c r="I63" s="209" t="n">
        <f aca="false">IF(D63="","",VALUE(D63))</f>
        <v>35.48</v>
      </c>
      <c r="J63" s="208" t="n">
        <f aca="false">IF(E63="","",VALUE(E63))</f>
        <v>35.48</v>
      </c>
      <c r="K63" s="191"/>
      <c r="L63" s="138" t="s">
        <v>85</v>
      </c>
      <c r="M63" s="241" t="n">
        <f aca="false">IF(H63="","",IF($J63="","",IF(ABS(H63-$J63)&gt;$M$10,H63-$J63,"")))</f>
        <v>0.921000000000007</v>
      </c>
      <c r="N63" s="242" t="str">
        <f aca="false">IF(I63="","",IF($J63="","",IF(ABS(I63-$J63)&gt;$M$10,I63-$J63,"")))</f>
        <v/>
      </c>
      <c r="P63" s="10"/>
      <c r="Q63" s="10"/>
      <c r="R63" s="10"/>
    </row>
    <row r="64" customFormat="false" ht="12.75" hidden="false" customHeight="false" outlineLevel="0" collapsed="false">
      <c r="B64" s="38" t="s">
        <v>86</v>
      </c>
      <c r="C64" s="238" t="n">
        <v>63.597</v>
      </c>
      <c r="D64" s="209" t="n">
        <v>64.183</v>
      </c>
      <c r="E64" s="239" t="n">
        <v>64.18</v>
      </c>
      <c r="F64" s="191"/>
      <c r="G64" s="38" t="s">
        <v>86</v>
      </c>
      <c r="H64" s="208" t="n">
        <f aca="false">IF(C64="","",VALUE(C64))</f>
        <v>63.597</v>
      </c>
      <c r="I64" s="209" t="n">
        <f aca="false">IF(D64="","",VALUE(D64))</f>
        <v>64.183</v>
      </c>
      <c r="J64" s="208" t="n">
        <f aca="false">IF(E64="","",VALUE(E64))</f>
        <v>64.18</v>
      </c>
      <c r="K64" s="191"/>
      <c r="L64" s="140" t="s">
        <v>86</v>
      </c>
      <c r="M64" s="241" t="n">
        <f aca="false">IF(H64="","",IF($J64="","",IF(ABS(H64-$J64)&gt;$M$10,H64-$J64,"")))</f>
        <v>-0.583000000000006</v>
      </c>
      <c r="N64" s="242" t="str">
        <f aca="false">IF(I64="","",IF($J64="","",IF(ABS(I64-$J64)&gt;$M$10,I64-$J64,"")))</f>
        <v/>
      </c>
      <c r="P64" s="10"/>
      <c r="Q64" s="10"/>
      <c r="R64" s="10"/>
    </row>
    <row r="65" customFormat="false" ht="12.75" hidden="false" customHeight="false" outlineLevel="0" collapsed="false">
      <c r="B65" s="31" t="s">
        <v>87</v>
      </c>
      <c r="C65" s="208" t="n">
        <v>164.08</v>
      </c>
      <c r="D65" s="209" t="n">
        <v>164.082</v>
      </c>
      <c r="E65" s="239" t="n">
        <v>164.082</v>
      </c>
      <c r="F65" s="191"/>
      <c r="G65" s="31" t="s">
        <v>87</v>
      </c>
      <c r="H65" s="208" t="n">
        <f aca="false">IF(C65="","",VALUE(C65))</f>
        <v>164.08</v>
      </c>
      <c r="I65" s="209" t="n">
        <f aca="false">IF(D65="","",VALUE(D65))</f>
        <v>164.082</v>
      </c>
      <c r="J65" s="208" t="n">
        <f aca="false">IF(E65="","",VALUE(E65))</f>
        <v>164.082</v>
      </c>
      <c r="K65" s="191"/>
      <c r="L65" s="138" t="s">
        <v>87</v>
      </c>
      <c r="M65" s="241" t="str">
        <f aca="false">IF(H65="","",IF($J65="","",IF(ABS(H65-$J65)&gt;$M$10,H65-$J65,"")))</f>
        <v/>
      </c>
      <c r="N65" s="242" t="str">
        <f aca="false">IF(I65="","",IF($J65="","",IF(ABS(I65-$J65)&gt;$M$10,I65-$J65,"")))</f>
        <v/>
      </c>
      <c r="P65" s="10"/>
      <c r="Q65" s="10"/>
      <c r="R65" s="10"/>
    </row>
    <row r="66" customFormat="false" ht="12.75" hidden="false" customHeight="false" outlineLevel="0" collapsed="false">
      <c r="B66" s="31" t="s">
        <v>88</v>
      </c>
      <c r="C66" s="238" t="n">
        <v>57.321</v>
      </c>
      <c r="D66" s="209" t="n">
        <v>56.902</v>
      </c>
      <c r="E66" s="239" t="n">
        <v>56.9</v>
      </c>
      <c r="F66" s="191"/>
      <c r="G66" s="31" t="s">
        <v>88</v>
      </c>
      <c r="H66" s="208" t="n">
        <f aca="false">IF(C66="","",VALUE(C66))</f>
        <v>57.321</v>
      </c>
      <c r="I66" s="209" t="n">
        <f aca="false">IF(D66="","",VALUE(D66))</f>
        <v>56.902</v>
      </c>
      <c r="J66" s="208" t="n">
        <f aca="false">IF(E66="","",VALUE(E66))</f>
        <v>56.9</v>
      </c>
      <c r="K66" s="191"/>
      <c r="L66" s="138" t="s">
        <v>88</v>
      </c>
      <c r="M66" s="241" t="n">
        <f aca="false">IF(H66="","",IF($J66="","",IF(ABS(H66-$J66)&gt;$M$10,H66-$J66,"")))</f>
        <v>0.420999999999999</v>
      </c>
      <c r="N66" s="242" t="str">
        <f aca="false">IF(I66="","",IF($J66="","",IF(ABS(I66-$J66)&gt;$M$10,I66-$J66,"")))</f>
        <v/>
      </c>
      <c r="P66" s="10"/>
      <c r="Q66" s="10"/>
      <c r="R66" s="10"/>
    </row>
    <row r="67" customFormat="false" ht="12.75" hidden="false" customHeight="false" outlineLevel="0" collapsed="false">
      <c r="B67" s="38" t="s">
        <v>89</v>
      </c>
      <c r="C67" s="238" t="n">
        <v>28.033</v>
      </c>
      <c r="D67" s="209" t="n">
        <v>29.121</v>
      </c>
      <c r="E67" s="239" t="n">
        <v>29.12</v>
      </c>
      <c r="F67" s="240"/>
      <c r="G67" s="38" t="s">
        <v>89</v>
      </c>
      <c r="H67" s="208" t="n">
        <f aca="false">IF(C67="","",VALUE(C67))</f>
        <v>28.033</v>
      </c>
      <c r="I67" s="209" t="n">
        <f aca="false">IF(D67="","",VALUE(D67))</f>
        <v>29.121</v>
      </c>
      <c r="J67" s="208" t="n">
        <f aca="false">IF(E67="","",VALUE(E67))</f>
        <v>29.12</v>
      </c>
      <c r="K67" s="240"/>
      <c r="L67" s="140" t="s">
        <v>89</v>
      </c>
      <c r="M67" s="241" t="n">
        <f aca="false">IF(H67="","",IF($J67="","",IF(ABS(H67-$J67)&gt;$M$10,H67-$J67,"")))</f>
        <v>-1.087</v>
      </c>
      <c r="N67" s="242" t="str">
        <f aca="false">IF(I67="","",IF($J67="","",IF(ABS(I67-$J67)&gt;$M$10,I67-$J67,"")))</f>
        <v/>
      </c>
    </row>
    <row r="68" customFormat="false" ht="12.75" hidden="false" customHeight="false" outlineLevel="0" collapsed="false">
      <c r="B68" s="31" t="s">
        <v>90</v>
      </c>
      <c r="C68" s="208"/>
      <c r="D68" s="209"/>
      <c r="E68" s="243"/>
      <c r="F68" s="240"/>
      <c r="G68" s="31" t="s">
        <v>90</v>
      </c>
      <c r="H68" s="208" t="str">
        <f aca="false">IF(C68="","",VALUE(C68))</f>
        <v/>
      </c>
      <c r="I68" s="209" t="str">
        <f aca="false">IF(D68="","",VALUE(D68))</f>
        <v/>
      </c>
      <c r="J68" s="208" t="str">
        <f aca="false">IF(E68="","",VALUE(E68))</f>
        <v/>
      </c>
      <c r="K68" s="240"/>
      <c r="L68" s="138" t="s">
        <v>90</v>
      </c>
      <c r="M68" s="241" t="str">
        <f aca="false">IF(H68="","",IF($J68="","",IF(ABS(H68-$J68)&gt;$M$10,H68-$J68,"")))</f>
        <v/>
      </c>
      <c r="N68" s="242" t="str">
        <f aca="false">IF(I68="","",IF($J68="","",IF(ABS(I68-$J68)&gt;$M$10,I68-$J68,"")))</f>
        <v/>
      </c>
    </row>
    <row r="69" customFormat="false" ht="12.75" hidden="false" customHeight="false" outlineLevel="0" collapsed="false">
      <c r="B69" s="31" t="s">
        <v>91</v>
      </c>
      <c r="C69" s="208"/>
      <c r="D69" s="209" t="n">
        <v>50.961</v>
      </c>
      <c r="E69" s="239" t="n">
        <v>50.96</v>
      </c>
      <c r="F69" s="240"/>
      <c r="G69" s="31" t="s">
        <v>91</v>
      </c>
      <c r="H69" s="208" t="str">
        <f aca="false">IF(C69="","",VALUE(C69))</f>
        <v/>
      </c>
      <c r="I69" s="209" t="n">
        <f aca="false">IF(D69="","",VALUE(D69))</f>
        <v>50.961</v>
      </c>
      <c r="J69" s="208" t="n">
        <f aca="false">IF(E69="","",VALUE(E69))</f>
        <v>50.96</v>
      </c>
      <c r="K69" s="240"/>
      <c r="L69" s="138" t="s">
        <v>91</v>
      </c>
      <c r="M69" s="241" t="str">
        <f aca="false">IF(H69="","",IF($J69="","",IF(ABS(H69-$J69)&gt;$M$10,H69-$J69,"")))</f>
        <v/>
      </c>
      <c r="N69" s="242" t="str">
        <f aca="false">IF(I69="","",IF($J69="","",IF(ABS(I69-$J69)&gt;$M$10,I69-$J69,"")))</f>
        <v/>
      </c>
    </row>
    <row r="70" customFormat="false" ht="12.75" hidden="false" customHeight="false" outlineLevel="0" collapsed="false">
      <c r="B70" s="31" t="s">
        <v>92</v>
      </c>
      <c r="C70" s="208"/>
      <c r="D70" s="209"/>
      <c r="E70" s="243"/>
      <c r="F70" s="240"/>
      <c r="G70" s="31" t="s">
        <v>92</v>
      </c>
      <c r="H70" s="208" t="str">
        <f aca="false">IF(C70="","",VALUE(C70))</f>
        <v/>
      </c>
      <c r="I70" s="209" t="str">
        <f aca="false">IF(D70="","",VALUE(D70))</f>
        <v/>
      </c>
      <c r="J70" s="208" t="str">
        <f aca="false">IF(E70="","",VALUE(E70))</f>
        <v/>
      </c>
      <c r="K70" s="240"/>
      <c r="L70" s="138" t="s">
        <v>92</v>
      </c>
      <c r="M70" s="241" t="str">
        <f aca="false">IF(H70="","",IF($J70="","",IF(ABS(H70-$J70)&gt;$M$10,H70-$J70,"")))</f>
        <v/>
      </c>
      <c r="N70" s="242" t="str">
        <f aca="false">IF(I70="","",IF($J70="","",IF(ABS(I70-$J70)&gt;$M$10,I70-$J70,"")))</f>
        <v/>
      </c>
      <c r="Q70" s="10"/>
      <c r="R70" s="10"/>
    </row>
    <row r="71" customFormat="false" ht="12.75" hidden="false" customHeight="false" outlineLevel="0" collapsed="false">
      <c r="B71" s="31" t="s">
        <v>93</v>
      </c>
      <c r="C71" s="238" t="n">
        <v>32.51</v>
      </c>
      <c r="D71" s="209" t="n">
        <v>32.677</v>
      </c>
      <c r="E71" s="239" t="n">
        <v>32.68</v>
      </c>
      <c r="F71" s="191"/>
      <c r="G71" s="31" t="s">
        <v>93</v>
      </c>
      <c r="H71" s="208" t="n">
        <f aca="false">IF(C71="","",VALUE(C71))</f>
        <v>32.51</v>
      </c>
      <c r="I71" s="209" t="n">
        <f aca="false">IF(D71="","",VALUE(D71))</f>
        <v>32.677</v>
      </c>
      <c r="J71" s="208" t="n">
        <f aca="false">IF(E71="","",VALUE(E71))</f>
        <v>32.68</v>
      </c>
      <c r="K71" s="191"/>
      <c r="L71" s="138" t="s">
        <v>93</v>
      </c>
      <c r="M71" s="241" t="n">
        <f aca="false">IF(H71="","",IF($J71="","",IF(ABS(H71-$J71)&gt;$M$10,H71-$J71,"")))</f>
        <v>-0.170000000000002</v>
      </c>
      <c r="N71" s="242" t="str">
        <f aca="false">IF(I71="","",IF($J71="","",IF(ABS(I71-$J71)&gt;$M$10,I71-$J71,"")))</f>
        <v/>
      </c>
      <c r="P71" s="10"/>
      <c r="Q71" s="10"/>
      <c r="R71" s="10"/>
    </row>
    <row r="72" customFormat="false" ht="12.75" hidden="false" customHeight="false" outlineLevel="0" collapsed="false">
      <c r="B72" s="31" t="s">
        <v>94</v>
      </c>
      <c r="C72" s="238" t="n">
        <v>31.757</v>
      </c>
      <c r="D72" s="209" t="n">
        <v>32.008</v>
      </c>
      <c r="E72" s="239" t="n">
        <v>32.01</v>
      </c>
      <c r="F72" s="191"/>
      <c r="G72" s="31" t="s">
        <v>94</v>
      </c>
      <c r="H72" s="208" t="n">
        <f aca="false">IF(C72="","",VALUE(C72))</f>
        <v>31.757</v>
      </c>
      <c r="I72" s="209" t="n">
        <f aca="false">IF(D72="","",VALUE(D72))</f>
        <v>32.008</v>
      </c>
      <c r="J72" s="208" t="n">
        <f aca="false">IF(E72="","",VALUE(E72))</f>
        <v>32.01</v>
      </c>
      <c r="K72" s="191"/>
      <c r="L72" s="138" t="s">
        <v>94</v>
      </c>
      <c r="M72" s="241" t="n">
        <f aca="false">IF(H72="","",IF($J72="","",IF(ABS(H72-$J72)&gt;$M$10,H72-$J72,"")))</f>
        <v>-0.252999999999997</v>
      </c>
      <c r="N72" s="242" t="str">
        <f aca="false">IF(I72="","",IF($J72="","",IF(ABS(I72-$J72)&gt;$M$10,I72-$J72,"")))</f>
        <v/>
      </c>
      <c r="P72" s="10"/>
      <c r="Q72" s="10"/>
      <c r="R72" s="10"/>
    </row>
    <row r="73" customFormat="false" ht="12.75" hidden="false" customHeight="false" outlineLevel="0" collapsed="false">
      <c r="B73" s="31" t="s">
        <v>95</v>
      </c>
      <c r="C73" s="208" t="n">
        <v>28.577</v>
      </c>
      <c r="D73" s="209" t="n">
        <v>28.66</v>
      </c>
      <c r="E73" s="239" t="n">
        <v>28.66</v>
      </c>
      <c r="F73" s="191"/>
      <c r="G73" s="31" t="s">
        <v>95</v>
      </c>
      <c r="H73" s="208" t="n">
        <f aca="false">IF(C73="","",VALUE(C73))</f>
        <v>28.577</v>
      </c>
      <c r="I73" s="209" t="n">
        <f aca="false">IF(D73="","",VALUE(D73))</f>
        <v>28.66</v>
      </c>
      <c r="J73" s="208" t="n">
        <f aca="false">IF(E73="","",VALUE(E73))</f>
        <v>28.66</v>
      </c>
      <c r="K73" s="191"/>
      <c r="L73" s="138" t="s">
        <v>95</v>
      </c>
      <c r="M73" s="241" t="str">
        <f aca="false">IF(H73="","",IF($J73="","",IF(ABS(H73-$J73)&gt;$M$10,H73-$J73,"")))</f>
        <v/>
      </c>
      <c r="N73" s="242" t="str">
        <f aca="false">IF(I73="","",IF($J73="","",IF(ABS(I73-$J73)&gt;$M$10,I73-$J73,"")))</f>
        <v/>
      </c>
      <c r="P73" s="10"/>
      <c r="Q73" s="10"/>
      <c r="R73" s="10"/>
    </row>
    <row r="74" s="90" customFormat="true" ht="12.75" hidden="false" customHeight="false" outlineLevel="0" collapsed="false">
      <c r="A74" s="89"/>
      <c r="B74" s="38" t="s">
        <v>97</v>
      </c>
      <c r="C74" s="208" t="n">
        <v>191.599</v>
      </c>
      <c r="D74" s="209" t="n">
        <v>191.611</v>
      </c>
      <c r="E74" s="243" t="n">
        <v>191.61</v>
      </c>
      <c r="F74" s="191"/>
      <c r="G74" s="38" t="s">
        <v>97</v>
      </c>
      <c r="H74" s="208" t="n">
        <f aca="false">IF(C74="","",VALUE(C74))</f>
        <v>191.599</v>
      </c>
      <c r="I74" s="209" t="n">
        <f aca="false">IF(D74="","",VALUE(D74))</f>
        <v>191.611</v>
      </c>
      <c r="J74" s="208" t="n">
        <f aca="false">IF(E74="","",VALUE(E74))</f>
        <v>191.61</v>
      </c>
      <c r="K74" s="191"/>
      <c r="L74" s="140" t="s">
        <v>97</v>
      </c>
      <c r="M74" s="241" t="str">
        <f aca="false">IF(H74="","",IF($J74="","",IF(ABS(H74-$J74)&gt;$M$10,H74-$J74,"")))</f>
        <v/>
      </c>
      <c r="N74" s="242" t="str">
        <f aca="false">IF(I74="","",IF($J74="","",IF(ABS(I74-$J74)&gt;$M$10,I74-$J74,"")))</f>
        <v/>
      </c>
      <c r="P74" s="10"/>
      <c r="Q74" s="10"/>
      <c r="R74" s="10"/>
    </row>
    <row r="75" customFormat="false" ht="12.75" hidden="false" customHeight="false" outlineLevel="0" collapsed="false">
      <c r="B75" s="38" t="s">
        <v>99</v>
      </c>
      <c r="C75" s="238" t="n">
        <v>51.045</v>
      </c>
      <c r="D75" s="209" t="n">
        <v>51.212</v>
      </c>
      <c r="E75" s="239" t="n">
        <v>51.21</v>
      </c>
      <c r="F75" s="191"/>
      <c r="G75" s="38" t="s">
        <v>99</v>
      </c>
      <c r="H75" s="208" t="n">
        <f aca="false">IF(C75="","",VALUE(C75))</f>
        <v>51.045</v>
      </c>
      <c r="I75" s="209" t="n">
        <f aca="false">IF(D75="","",VALUE(D75))</f>
        <v>51.212</v>
      </c>
      <c r="J75" s="208" t="n">
        <f aca="false">IF(E75="","",VALUE(E75))</f>
        <v>51.21</v>
      </c>
      <c r="K75" s="191"/>
      <c r="L75" s="140" t="s">
        <v>99</v>
      </c>
      <c r="M75" s="241" t="n">
        <f aca="false">IF(H75="","",IF($J75="","",IF(ABS(H75-$J75)&gt;$M$10,H75-$J75,"")))</f>
        <v>-0.164999999999999</v>
      </c>
      <c r="N75" s="242" t="str">
        <f aca="false">IF(I75="","",IF($J75="","",IF(ABS(I75-$J75)&gt;$M$10,I75-$J75,"")))</f>
        <v/>
      </c>
      <c r="P75" s="10"/>
      <c r="Q75" s="10"/>
      <c r="R75" s="10"/>
    </row>
    <row r="76" customFormat="false" ht="12.75" hidden="false" customHeight="false" outlineLevel="0" collapsed="false">
      <c r="B76" s="31" t="s">
        <v>100</v>
      </c>
      <c r="C76" s="238" t="n">
        <v>34.727</v>
      </c>
      <c r="D76" s="209" t="n">
        <v>36.401</v>
      </c>
      <c r="E76" s="243" t="s">
        <v>650</v>
      </c>
      <c r="F76" s="191"/>
      <c r="G76" s="31" t="s">
        <v>100</v>
      </c>
      <c r="H76" s="208" t="n">
        <f aca="false">IF(C76="","",VALUE(C76))</f>
        <v>34.727</v>
      </c>
      <c r="I76" s="209" t="n">
        <f aca="false">IF(D76="","",VALUE(D76))</f>
        <v>36.401</v>
      </c>
      <c r="J76" s="208" t="n">
        <f aca="false">IF(E76="","",VALUE(E76))</f>
        <v>36.4</v>
      </c>
      <c r="K76" s="191"/>
      <c r="L76" s="138" t="s">
        <v>100</v>
      </c>
      <c r="M76" s="241" t="n">
        <f aca="false">IF(H76="","",IF($J76="","",IF(ABS(H76-$J76)&gt;$M$10,H76-$J76,"")))</f>
        <v>-1.673</v>
      </c>
      <c r="N76" s="242" t="str">
        <f aca="false">IF(I76="","",IF($J76="","",IF(ABS(I76-$J76)&gt;$M$10,I76-$J76,"")))</f>
        <v/>
      </c>
      <c r="P76" s="10"/>
      <c r="Q76" s="10"/>
      <c r="R76" s="10"/>
    </row>
    <row r="77" customFormat="false" ht="12.75" hidden="false" customHeight="false" outlineLevel="0" collapsed="false">
      <c r="B77" s="31" t="s">
        <v>101</v>
      </c>
      <c r="C77" s="208"/>
      <c r="D77" s="209" t="n">
        <v>71.546</v>
      </c>
      <c r="E77" s="239" t="n">
        <v>71.5</v>
      </c>
      <c r="F77" s="191"/>
      <c r="G77" s="31" t="s">
        <v>101</v>
      </c>
      <c r="H77" s="208" t="str">
        <f aca="false">IF(C77="","",VALUE(C77))</f>
        <v/>
      </c>
      <c r="I77" s="209" t="n">
        <f aca="false">IF(D77="","",VALUE(D77))</f>
        <v>71.546</v>
      </c>
      <c r="J77" s="208" t="n">
        <f aca="false">IF(E77="","",VALUE(E77))</f>
        <v>71.5</v>
      </c>
      <c r="K77" s="191"/>
      <c r="L77" s="138" t="s">
        <v>101</v>
      </c>
      <c r="M77" s="241" t="str">
        <f aca="false">IF(H77="","",IF($J77="","",IF(ABS(H77-$J77)&gt;$M$10,H77-$J77,"")))</f>
        <v/>
      </c>
      <c r="N77" s="242" t="str">
        <f aca="false">IF(I77="","",IF($J77="","",IF(ABS(I77-$J77)&gt;$M$10,I77-$J77,"")))</f>
        <v/>
      </c>
    </row>
    <row r="78" customFormat="false" ht="12.75" hidden="false" customHeight="false" outlineLevel="0" collapsed="false">
      <c r="B78" s="31" t="s">
        <v>102</v>
      </c>
      <c r="C78" s="208" t="n">
        <v>146.332</v>
      </c>
      <c r="D78" s="209" t="n">
        <v>146.328</v>
      </c>
      <c r="E78" s="239" t="n">
        <v>146.328</v>
      </c>
      <c r="F78" s="240"/>
      <c r="G78" s="31" t="s">
        <v>102</v>
      </c>
      <c r="H78" s="208" t="n">
        <f aca="false">IF(C78="","",VALUE(C78))</f>
        <v>146.332</v>
      </c>
      <c r="I78" s="209" t="n">
        <f aca="false">IF(D78="","",VALUE(D78))</f>
        <v>146.328</v>
      </c>
      <c r="J78" s="208" t="n">
        <f aca="false">IF(E78="","",VALUE(E78))</f>
        <v>146.328</v>
      </c>
      <c r="K78" s="240"/>
      <c r="L78" s="138" t="s">
        <v>102</v>
      </c>
      <c r="M78" s="241" t="str">
        <f aca="false">IF(H78="","",IF($J78="","",IF(ABS(H78-$J78)&gt;$M$10,H78-$J78,"")))</f>
        <v/>
      </c>
      <c r="N78" s="242" t="str">
        <f aca="false">IF(I78="","",IF($J78="","",IF(ABS(I78-$J78)&gt;$M$10,I78-$J78,"")))</f>
        <v/>
      </c>
    </row>
    <row r="79" customFormat="false" ht="12.75" hidden="false" customHeight="false" outlineLevel="0" collapsed="false">
      <c r="B79" s="31" t="s">
        <v>103</v>
      </c>
      <c r="C79" s="238" t="n">
        <v>30.125</v>
      </c>
      <c r="D79" s="209" t="n">
        <v>29.874</v>
      </c>
      <c r="E79" s="239" t="n">
        <v>29.87</v>
      </c>
      <c r="F79" s="240"/>
      <c r="G79" s="31" t="s">
        <v>103</v>
      </c>
      <c r="H79" s="208" t="n">
        <f aca="false">IF(C79="","",VALUE(C79))</f>
        <v>30.125</v>
      </c>
      <c r="I79" s="209" t="n">
        <f aca="false">IF(D79="","",VALUE(D79))</f>
        <v>29.874</v>
      </c>
      <c r="J79" s="208" t="n">
        <f aca="false">IF(E79="","",VALUE(E79))</f>
        <v>29.87</v>
      </c>
      <c r="K79" s="240"/>
      <c r="L79" s="138" t="s">
        <v>103</v>
      </c>
      <c r="M79" s="241" t="n">
        <f aca="false">IF(H79="","",IF($J79="","",IF(ABS(H79-$J79)&gt;$M$10,H79-$J79,"")))</f>
        <v>0.254999999999999</v>
      </c>
      <c r="N79" s="242" t="str">
        <f aca="false">IF(I79="","",IF($J79="","",IF(ABS(I79-$J79)&gt;$M$10,I79-$J79,"")))</f>
        <v/>
      </c>
    </row>
    <row r="80" customFormat="false" ht="12.75" hidden="false" customHeight="false" outlineLevel="0" collapsed="false">
      <c r="B80" s="31" t="s">
        <v>104</v>
      </c>
      <c r="C80" s="208"/>
      <c r="D80" s="209"/>
      <c r="E80" s="243"/>
      <c r="F80" s="240"/>
      <c r="G80" s="31" t="s">
        <v>104</v>
      </c>
      <c r="H80" s="208" t="str">
        <f aca="false">IF(C80="","",VALUE(C80))</f>
        <v/>
      </c>
      <c r="I80" s="209" t="str">
        <f aca="false">IF(D80="","",VALUE(D80))</f>
        <v/>
      </c>
      <c r="J80" s="208" t="str">
        <f aca="false">IF(E80="","",VALUE(E80))</f>
        <v/>
      </c>
      <c r="K80" s="240"/>
      <c r="L80" s="138" t="s">
        <v>104</v>
      </c>
      <c r="M80" s="241" t="str">
        <f aca="false">IF(H80="","",IF($J80="","",IF(ABS(H80-$J80)&gt;$M$10,H80-$J80,"")))</f>
        <v/>
      </c>
      <c r="N80" s="242" t="str">
        <f aca="false">IF(I80="","",IF($J80="","",IF(ABS(I80-$J80)&gt;$M$10,I80-$J80,"")))</f>
        <v/>
      </c>
      <c r="Q80" s="10"/>
      <c r="R80" s="10"/>
    </row>
    <row r="81" customFormat="false" ht="12.75" hidden="false" customHeight="false" outlineLevel="0" collapsed="false">
      <c r="B81" s="31" t="s">
        <v>105</v>
      </c>
      <c r="C81" s="208"/>
      <c r="D81" s="209"/>
      <c r="E81" s="243"/>
      <c r="F81" s="191"/>
      <c r="G81" s="31" t="s">
        <v>105</v>
      </c>
      <c r="H81" s="208" t="str">
        <f aca="false">IF(C81="","",VALUE(C81))</f>
        <v/>
      </c>
      <c r="I81" s="209" t="str">
        <f aca="false">IF(D81="","",VALUE(D81))</f>
        <v/>
      </c>
      <c r="J81" s="208" t="str">
        <f aca="false">IF(E81="","",VALUE(E81))</f>
        <v/>
      </c>
      <c r="K81" s="191"/>
      <c r="L81" s="138" t="s">
        <v>105</v>
      </c>
      <c r="M81" s="241" t="str">
        <f aca="false">IF(H81="","",IF($J81="","",IF(ABS(H81-$J81)&gt;$M$10,H81-$J81,"")))</f>
        <v/>
      </c>
      <c r="N81" s="242" t="str">
        <f aca="false">IF(I81="","",IF($J81="","",IF(ABS(I81-$J81)&gt;$M$10,I81-$J81,"")))</f>
        <v/>
      </c>
      <c r="P81" s="10"/>
      <c r="Q81" s="10"/>
      <c r="R81" s="10"/>
    </row>
    <row r="82" s="90" customFormat="true" ht="12.75" hidden="false" customHeight="false" outlineLevel="0" collapsed="false">
      <c r="A82" s="89"/>
      <c r="B82" s="38" t="s">
        <v>107</v>
      </c>
      <c r="C82" s="208" t="n">
        <v>205.138</v>
      </c>
      <c r="D82" s="209" t="n">
        <v>205.138</v>
      </c>
      <c r="E82" s="239" t="n">
        <v>205.138</v>
      </c>
      <c r="F82" s="191"/>
      <c r="G82" s="38" t="s">
        <v>107</v>
      </c>
      <c r="H82" s="208" t="n">
        <f aca="false">IF(C82="","",VALUE(C82))</f>
        <v>205.138</v>
      </c>
      <c r="I82" s="209" t="n">
        <f aca="false">IF(D82="","",VALUE(D82))</f>
        <v>205.138</v>
      </c>
      <c r="J82" s="208" t="n">
        <f aca="false">IF(E82="","",VALUE(E82))</f>
        <v>205.138</v>
      </c>
      <c r="K82" s="191"/>
      <c r="L82" s="140" t="s">
        <v>107</v>
      </c>
      <c r="M82" s="241" t="str">
        <f aca="false">IF(H82="","",IF($J82="","",IF(ABS(H82-$J82)&gt;$M$10,H82-$J82,"")))</f>
        <v/>
      </c>
      <c r="N82" s="242" t="str">
        <f aca="false">IF(I82="","",IF($J82="","",IF(ABS(I82-$J82)&gt;$M$10,I82-$J82,"")))</f>
        <v/>
      </c>
      <c r="P82" s="10"/>
      <c r="Q82" s="10"/>
      <c r="R82" s="10"/>
    </row>
    <row r="83" customFormat="false" ht="12.75" hidden="false" customHeight="false" outlineLevel="0" collapsed="false">
      <c r="B83" s="31" t="s">
        <v>109</v>
      </c>
      <c r="C83" s="208" t="n">
        <v>32.635</v>
      </c>
      <c r="D83" s="209" t="n">
        <v>32.635</v>
      </c>
      <c r="E83" s="243" t="n">
        <v>32.6</v>
      </c>
      <c r="F83" s="191"/>
      <c r="G83" s="31" t="s">
        <v>109</v>
      </c>
      <c r="H83" s="208" t="n">
        <f aca="false">IF(C83="","",VALUE(C83))</f>
        <v>32.635</v>
      </c>
      <c r="I83" s="209" t="n">
        <f aca="false">IF(D83="","",VALUE(D83))</f>
        <v>32.635</v>
      </c>
      <c r="J83" s="208" t="n">
        <f aca="false">IF(E83="","",VALUE(E83))</f>
        <v>32.6</v>
      </c>
      <c r="K83" s="191"/>
      <c r="L83" s="138" t="s">
        <v>109</v>
      </c>
      <c r="M83" s="241" t="str">
        <f aca="false">IF(H83="","",IF($J83="","",IF(ABS(H83-$J83)&gt;$M$10,H83-$J83,"")))</f>
        <v/>
      </c>
      <c r="N83" s="242" t="str">
        <f aca="false">IF(I83="","",IF($J83="","",IF(ABS(I83-$J83)&gt;$M$10,I83-$J83,"")))</f>
        <v/>
      </c>
      <c r="P83" s="10"/>
      <c r="Q83" s="10"/>
      <c r="R83" s="10"/>
    </row>
    <row r="84" customFormat="false" ht="12.75" hidden="false" customHeight="false" outlineLevel="0" collapsed="false">
      <c r="B84" s="31" t="s">
        <v>110</v>
      </c>
      <c r="C84" s="238" t="n">
        <v>44.35</v>
      </c>
      <c r="D84" s="209" t="n">
        <v>41.087</v>
      </c>
      <c r="E84" s="239" t="n">
        <v>41.09</v>
      </c>
      <c r="F84" s="191"/>
      <c r="G84" s="31" t="s">
        <v>110</v>
      </c>
      <c r="H84" s="208" t="n">
        <f aca="false">IF(C84="","",VALUE(C84))</f>
        <v>44.35</v>
      </c>
      <c r="I84" s="209" t="n">
        <f aca="false">IF(D84="","",VALUE(D84))</f>
        <v>41.087</v>
      </c>
      <c r="J84" s="208" t="n">
        <f aca="false">IF(E84="","",VALUE(E84))</f>
        <v>41.09</v>
      </c>
      <c r="K84" s="191"/>
      <c r="L84" s="138" t="s">
        <v>110</v>
      </c>
      <c r="M84" s="241" t="n">
        <f aca="false">IF(H84="","",IF($J84="","",IF(ABS(H84-$J84)&gt;$M$10,H84-$J84,"")))</f>
        <v>3.26</v>
      </c>
      <c r="N84" s="242" t="str">
        <f aca="false">IF(I84="","",IF($J84="","",IF(ABS(I84-$J84)&gt;$M$10,I84-$J84,"")))</f>
        <v/>
      </c>
      <c r="P84" s="10"/>
      <c r="Q84" s="10"/>
      <c r="R84" s="10"/>
    </row>
    <row r="85" customFormat="false" ht="12.75" hidden="false" customHeight="false" outlineLevel="0" collapsed="false">
      <c r="B85" s="31" t="s">
        <v>111</v>
      </c>
      <c r="C85" s="208"/>
      <c r="D85" s="209" t="n">
        <v>51.882</v>
      </c>
      <c r="E85" s="239" t="n">
        <v>51.9</v>
      </c>
      <c r="F85" s="191"/>
      <c r="G85" s="31" t="s">
        <v>111</v>
      </c>
      <c r="H85" s="208" t="str">
        <f aca="false">IF(C85="","",VALUE(C85))</f>
        <v/>
      </c>
      <c r="I85" s="209" t="n">
        <f aca="false">IF(D85="","",VALUE(D85))</f>
        <v>51.882</v>
      </c>
      <c r="J85" s="208" t="n">
        <f aca="false">IF(E85="","",VALUE(E85))</f>
        <v>51.9</v>
      </c>
      <c r="K85" s="191"/>
      <c r="L85" s="138" t="s">
        <v>111</v>
      </c>
      <c r="M85" s="241" t="str">
        <f aca="false">IF(H85="","",IF($J85="","",IF(ABS(H85-$J85)&gt;$M$10,H85-$J85,"")))</f>
        <v/>
      </c>
      <c r="N85" s="242" t="str">
        <f aca="false">IF(I85="","",IF($J85="","",IF(ABS(I85-$J85)&gt;$M$10,I85-$J85,"")))</f>
        <v/>
      </c>
      <c r="P85" s="10"/>
      <c r="Q85" s="10"/>
      <c r="R85" s="10"/>
    </row>
    <row r="86" customFormat="false" ht="12.75" hidden="false" customHeight="false" outlineLevel="0" collapsed="false">
      <c r="B86" s="31" t="s">
        <v>112</v>
      </c>
      <c r="C86" s="208" t="n">
        <v>64.894</v>
      </c>
      <c r="D86" s="209" t="n">
        <v>64.81</v>
      </c>
      <c r="E86" s="239" t="n">
        <v>64.81</v>
      </c>
      <c r="F86" s="191"/>
      <c r="G86" s="31" t="s">
        <v>112</v>
      </c>
      <c r="H86" s="208" t="n">
        <f aca="false">IF(C86="","",VALUE(C86))</f>
        <v>64.894</v>
      </c>
      <c r="I86" s="209" t="n">
        <f aca="false">IF(D86="","",VALUE(D86))</f>
        <v>64.81</v>
      </c>
      <c r="J86" s="208" t="n">
        <f aca="false">IF(E86="","",VALUE(E86))</f>
        <v>64.81</v>
      </c>
      <c r="K86" s="191"/>
      <c r="L86" s="138" t="s">
        <v>112</v>
      </c>
      <c r="M86" s="241" t="str">
        <f aca="false">IF(H86="","",IF($J86="","",IF(ABS(H86-$J86)&gt;$M$10,H86-$J86,"")))</f>
        <v/>
      </c>
      <c r="N86" s="242" t="str">
        <f aca="false">IF(I86="","",IF($J86="","",IF(ABS(I86-$J86)&gt;$M$10,I86-$J86,"")))</f>
        <v/>
      </c>
      <c r="P86" s="10"/>
      <c r="Q86" s="10"/>
      <c r="R86" s="10"/>
    </row>
    <row r="87" customFormat="false" ht="12.75" hidden="false" customHeight="false" outlineLevel="0" collapsed="false">
      <c r="B87" s="38" t="s">
        <v>113</v>
      </c>
      <c r="C87" s="238" t="n">
        <v>37.238</v>
      </c>
      <c r="D87" s="209" t="n">
        <v>37.572</v>
      </c>
      <c r="E87" s="239" t="n">
        <v>37.57</v>
      </c>
      <c r="F87" s="191"/>
      <c r="G87" s="38" t="s">
        <v>113</v>
      </c>
      <c r="H87" s="208" t="n">
        <f aca="false">IF(C87="","",VALUE(C87))</f>
        <v>37.238</v>
      </c>
      <c r="I87" s="209" t="n">
        <f aca="false">IF(D87="","",VALUE(D87))</f>
        <v>37.572</v>
      </c>
      <c r="J87" s="208" t="n">
        <f aca="false">IF(E87="","",VALUE(E87))</f>
        <v>37.57</v>
      </c>
      <c r="K87" s="191"/>
      <c r="L87" s="140" t="s">
        <v>113</v>
      </c>
      <c r="M87" s="241" t="n">
        <f aca="false">IF(H87="","",IF($J87="","",IF(ABS(H87-$J87)&gt;$M$10,H87-$J87,"")))</f>
        <v>-0.332000000000001</v>
      </c>
      <c r="N87" s="242" t="str">
        <f aca="false">IF(I87="","",IF($J87="","",IF(ABS(I87-$J87)&gt;$M$10,I87-$J87,"")))</f>
        <v/>
      </c>
      <c r="P87" s="10"/>
      <c r="Q87" s="10"/>
      <c r="R87" s="10"/>
    </row>
    <row r="88" customFormat="false" ht="12.75" hidden="false" customHeight="false" outlineLevel="0" collapsed="false">
      <c r="B88" s="31" t="s">
        <v>114</v>
      </c>
      <c r="C88" s="208"/>
      <c r="D88" s="209"/>
      <c r="E88" s="243"/>
      <c r="F88" s="240"/>
      <c r="G88" s="31" t="s">
        <v>114</v>
      </c>
      <c r="H88" s="208" t="str">
        <f aca="false">IF(C88="","",VALUE(C88))</f>
        <v/>
      </c>
      <c r="I88" s="209" t="str">
        <f aca="false">IF(D88="","",VALUE(D88))</f>
        <v/>
      </c>
      <c r="J88" s="208" t="str">
        <f aca="false">IF(E88="","",VALUE(E88))</f>
        <v/>
      </c>
      <c r="K88" s="240"/>
      <c r="L88" s="138" t="s">
        <v>114</v>
      </c>
      <c r="M88" s="241" t="str">
        <f aca="false">IF(H88="","",IF($J88="","",IF(ABS(H88-$J88)&gt;$M$10,H88-$J88,"")))</f>
        <v/>
      </c>
      <c r="N88" s="242" t="str">
        <f aca="false">IF(I88="","",IF($J88="","",IF(ABS(I88-$J88)&gt;$M$10,I88-$J88,"")))</f>
        <v/>
      </c>
    </row>
    <row r="89" customFormat="false" ht="12.75" hidden="false" customHeight="false" outlineLevel="0" collapsed="false">
      <c r="B89" s="38" t="s">
        <v>115</v>
      </c>
      <c r="C89" s="208"/>
      <c r="D89" s="209"/>
      <c r="E89" s="243"/>
      <c r="F89" s="240"/>
      <c r="G89" s="38" t="s">
        <v>115</v>
      </c>
      <c r="H89" s="208" t="str">
        <f aca="false">IF(C89="","",VALUE(C89))</f>
        <v/>
      </c>
      <c r="I89" s="209" t="str">
        <f aca="false">IF(D89="","",VALUE(D89))</f>
        <v/>
      </c>
      <c r="J89" s="208" t="str">
        <f aca="false">IF(E89="","",VALUE(E89))</f>
        <v/>
      </c>
      <c r="K89" s="240"/>
      <c r="L89" s="140" t="s">
        <v>115</v>
      </c>
      <c r="M89" s="241" t="str">
        <f aca="false">IF(H89="","",IF($J89="","",IF(ABS(H89-$J89)&gt;$M$10,H89-$J89,"")))</f>
        <v/>
      </c>
      <c r="N89" s="242" t="str">
        <f aca="false">IF(I89="","",IF($J89="","",IF(ABS(I89-$J89)&gt;$M$10,I89-$J89,"")))</f>
        <v/>
      </c>
    </row>
    <row r="90" customFormat="false" ht="12.75" hidden="false" customHeight="false" outlineLevel="0" collapsed="false">
      <c r="B90" s="31" t="s">
        <v>116</v>
      </c>
      <c r="C90" s="208"/>
      <c r="D90" s="209" t="n">
        <v>73.22</v>
      </c>
      <c r="E90" s="239" t="n">
        <v>73.2</v>
      </c>
      <c r="F90" s="240"/>
      <c r="G90" s="31" t="s">
        <v>116</v>
      </c>
      <c r="H90" s="208" t="str">
        <f aca="false">IF(C90="","",VALUE(C90))</f>
        <v/>
      </c>
      <c r="I90" s="209" t="n">
        <f aca="false">IF(D90="","",VALUE(D90))</f>
        <v>73.22</v>
      </c>
      <c r="J90" s="208" t="n">
        <f aca="false">IF(E90="","",VALUE(E90))</f>
        <v>73.2</v>
      </c>
      <c r="K90" s="240"/>
      <c r="L90" s="138" t="s">
        <v>116</v>
      </c>
      <c r="M90" s="241" t="str">
        <f aca="false">IF(H90="","",IF($J90="","",IF(ABS(H90-$J90)&gt;$M$10,H90-$J90,"")))</f>
        <v/>
      </c>
      <c r="N90" s="242" t="str">
        <f aca="false">IF(I90="","",IF($J90="","",IF(ABS(I90-$J90)&gt;$M$10,I90-$J90,"")))</f>
        <v/>
      </c>
    </row>
    <row r="91" customFormat="false" ht="12.75" hidden="false" customHeight="false" outlineLevel="0" collapsed="false">
      <c r="B91" s="31" t="s">
        <v>117</v>
      </c>
      <c r="C91" s="238" t="n">
        <v>41.84</v>
      </c>
      <c r="D91" s="209" t="n">
        <v>41.631</v>
      </c>
      <c r="E91" s="239" t="n">
        <v>41.63</v>
      </c>
      <c r="F91" s="240"/>
      <c r="G91" s="31" t="s">
        <v>117</v>
      </c>
      <c r="H91" s="208" t="n">
        <f aca="false">IF(C91="","",VALUE(C91))</f>
        <v>41.84</v>
      </c>
      <c r="I91" s="209" t="n">
        <f aca="false">IF(D91="","",VALUE(D91))</f>
        <v>41.631</v>
      </c>
      <c r="J91" s="208" t="n">
        <f aca="false">IF(E91="","",VALUE(E91))</f>
        <v>41.63</v>
      </c>
      <c r="K91" s="240"/>
      <c r="L91" s="138" t="s">
        <v>117</v>
      </c>
      <c r="M91" s="241" t="n">
        <f aca="false">IF(H91="","",IF($J91="","",IF(ABS(H91-$J91)&gt;$M$10,H91-$J91,"")))</f>
        <v>0.210000000000001</v>
      </c>
      <c r="N91" s="242" t="str">
        <f aca="false">IF(I91="","",IF($J91="","",IF(ABS(I91-$J91)&gt;$M$10,I91-$J91,"")))</f>
        <v/>
      </c>
      <c r="Q91" s="10"/>
      <c r="R91" s="10"/>
    </row>
    <row r="92" customFormat="false" ht="12.75" hidden="false" customHeight="false" outlineLevel="0" collapsed="false">
      <c r="B92" s="31" t="s">
        <v>118</v>
      </c>
      <c r="C92" s="208"/>
      <c r="D92" s="209"/>
      <c r="E92" s="243"/>
      <c r="F92" s="191"/>
      <c r="G92" s="31" t="s">
        <v>118</v>
      </c>
      <c r="H92" s="208" t="str">
        <f aca="false">IF(C92="","",VALUE(C92))</f>
        <v/>
      </c>
      <c r="I92" s="209" t="str">
        <f aca="false">IF(D92="","",VALUE(D92))</f>
        <v/>
      </c>
      <c r="J92" s="208" t="str">
        <f aca="false">IF(E92="","",VALUE(E92))</f>
        <v/>
      </c>
      <c r="K92" s="191"/>
      <c r="L92" s="138" t="s">
        <v>118</v>
      </c>
      <c r="M92" s="241" t="str">
        <f aca="false">IF(H92="","",IF($J92="","",IF(ABS(H92-$J92)&gt;$M$10,H92-$J92,"")))</f>
        <v/>
      </c>
      <c r="N92" s="242" t="str">
        <f aca="false">IF(I92="","",IF($J92="","",IF(ABS(I92-$J92)&gt;$M$10,I92-$J92,"")))</f>
        <v/>
      </c>
      <c r="P92" s="10"/>
      <c r="Q92" s="10"/>
      <c r="R92" s="10"/>
    </row>
    <row r="93" customFormat="false" ht="12.75" hidden="false" customHeight="false" outlineLevel="0" collapsed="false">
      <c r="B93" s="38" t="s">
        <v>119</v>
      </c>
      <c r="C93" s="238" t="n">
        <v>71.128</v>
      </c>
      <c r="D93" s="238" t="n">
        <v>71.128</v>
      </c>
      <c r="E93" s="243" t="s">
        <v>664</v>
      </c>
      <c r="F93" s="191"/>
      <c r="G93" s="38" t="s">
        <v>119</v>
      </c>
      <c r="H93" s="208" t="n">
        <f aca="false">IF(C93="","",VALUE(C93))</f>
        <v>71.128</v>
      </c>
      <c r="I93" s="209" t="n">
        <f aca="false">IF(D93="","",VALUE(D93))</f>
        <v>71.128</v>
      </c>
      <c r="J93" s="208" t="n">
        <f aca="false">IF(E93="","",VALUE(E93))</f>
        <v>71</v>
      </c>
      <c r="K93" s="191"/>
      <c r="L93" s="140" t="s">
        <v>119</v>
      </c>
      <c r="M93" s="241" t="n">
        <f aca="false">IF(H93="","",IF($J93="","",IF(ABS(H93-$J93)&gt;$M$10,H93-$J93,"")))</f>
        <v>0.128</v>
      </c>
      <c r="N93" s="242" t="n">
        <f aca="false">IF(I93="","",IF($J93="","",IF(ABS(I93-$J93)&gt;$M$10,I93-$J93,"")))</f>
        <v>0.128</v>
      </c>
      <c r="P93" s="10"/>
      <c r="Q93" s="10"/>
      <c r="R93" s="10"/>
    </row>
    <row r="94" customFormat="false" ht="12.75" hidden="false" customHeight="false" outlineLevel="0" collapsed="false">
      <c r="B94" s="38" t="s">
        <v>120</v>
      </c>
      <c r="C94" s="238" t="n">
        <v>69.454</v>
      </c>
      <c r="D94" s="209" t="n">
        <v>76.776</v>
      </c>
      <c r="E94" s="239" t="n">
        <v>76.78</v>
      </c>
      <c r="F94" s="240"/>
      <c r="G94" s="38" t="s">
        <v>120</v>
      </c>
      <c r="H94" s="208" t="n">
        <f aca="false">IF(C94="","",VALUE(C94))</f>
        <v>69.454</v>
      </c>
      <c r="I94" s="209" t="n">
        <f aca="false">IF(D94="","",VALUE(D94))</f>
        <v>76.776</v>
      </c>
      <c r="J94" s="208" t="n">
        <f aca="false">IF(E94="","",VALUE(E94))</f>
        <v>76.78</v>
      </c>
      <c r="K94" s="240"/>
      <c r="L94" s="140" t="s">
        <v>120</v>
      </c>
      <c r="M94" s="241" t="n">
        <f aca="false">IF(H94="","",IF($J94="","",IF(ABS(H94-$J94)&gt;$M$10,H94-$J94,"")))</f>
        <v>-7.32600000000001</v>
      </c>
      <c r="N94" s="242" t="str">
        <f aca="false">IF(I94="","",IF($J94="","",IF(ABS(I94-$J94)&gt;$M$10,I94-$J94,"")))</f>
        <v/>
      </c>
      <c r="P94" s="10"/>
      <c r="Q94" s="10"/>
      <c r="R94" s="10"/>
    </row>
    <row r="95" customFormat="false" ht="12.75" hidden="false" customHeight="false" outlineLevel="0" collapsed="false">
      <c r="B95" s="31" t="s">
        <v>121</v>
      </c>
      <c r="C95" s="238" t="n">
        <v>41.84</v>
      </c>
      <c r="D95" s="209" t="n">
        <v>36.861</v>
      </c>
      <c r="E95" s="239" t="n">
        <v>36.86</v>
      </c>
      <c r="F95" s="191"/>
      <c r="G95" s="31" t="s">
        <v>121</v>
      </c>
      <c r="H95" s="208" t="n">
        <f aca="false">IF(C95="","",VALUE(C95))</f>
        <v>41.84</v>
      </c>
      <c r="I95" s="209" t="n">
        <f aca="false">IF(D95="","",VALUE(D95))</f>
        <v>36.861</v>
      </c>
      <c r="J95" s="208" t="n">
        <f aca="false">IF(E95="","",VALUE(E95))</f>
        <v>36.86</v>
      </c>
      <c r="K95" s="191"/>
      <c r="L95" s="138" t="s">
        <v>121</v>
      </c>
      <c r="M95" s="241" t="n">
        <f aca="false">IF(H95="","",IF($J95="","",IF(ABS(H95-$J95)&gt;$M$10,H95-$J95,"")))</f>
        <v>4.98</v>
      </c>
      <c r="N95" s="242" t="str">
        <f aca="false">IF(I95="","",IF($J95="","",IF(ABS(I95-$J95)&gt;$M$10,I95-$J95,"")))</f>
        <v/>
      </c>
      <c r="P95" s="10"/>
      <c r="Q95" s="10"/>
      <c r="R95" s="10"/>
    </row>
    <row r="96" customFormat="false" ht="12.75" hidden="false" customHeight="false" outlineLevel="0" collapsed="false">
      <c r="B96" s="38" t="s">
        <v>122</v>
      </c>
      <c r="C96" s="238" t="n">
        <v>31.798</v>
      </c>
      <c r="D96" s="209" t="n">
        <v>31.506</v>
      </c>
      <c r="E96" s="239" t="n">
        <v>31.51</v>
      </c>
      <c r="F96" s="191"/>
      <c r="G96" s="38" t="s">
        <v>122</v>
      </c>
      <c r="H96" s="208" t="n">
        <f aca="false">IF(C96="","",VALUE(C96))</f>
        <v>31.798</v>
      </c>
      <c r="I96" s="209" t="n">
        <f aca="false">IF(D96="","",VALUE(D96))</f>
        <v>31.506</v>
      </c>
      <c r="J96" s="208" t="n">
        <f aca="false">IF(E96="","",VALUE(E96))</f>
        <v>31.51</v>
      </c>
      <c r="K96" s="191"/>
      <c r="L96" s="140" t="s">
        <v>122</v>
      </c>
      <c r="M96" s="241" t="n">
        <f aca="false">IF(H96="","",IF($J96="","",IF(ABS(H96-$J96)&gt;$M$10,H96-$J96,"")))</f>
        <v>0.287999999999997</v>
      </c>
      <c r="N96" s="242" t="str">
        <f aca="false">IF(I96="","",IF($J96="","",IF(ABS(I96-$J96)&gt;$M$10,I96-$J96,"")))</f>
        <v/>
      </c>
      <c r="P96" s="10"/>
      <c r="Q96" s="10"/>
      <c r="R96" s="10"/>
    </row>
    <row r="97" customFormat="false" ht="12.75" hidden="false" customHeight="false" outlineLevel="0" collapsed="false">
      <c r="B97" s="31" t="s">
        <v>123</v>
      </c>
      <c r="C97" s="208" t="n">
        <v>176.256</v>
      </c>
      <c r="D97" s="209" t="n">
        <v>176.214</v>
      </c>
      <c r="E97" s="239" t="n">
        <v>176.21</v>
      </c>
      <c r="F97" s="191"/>
      <c r="G97" s="31" t="s">
        <v>123</v>
      </c>
      <c r="H97" s="208" t="n">
        <f aca="false">IF(C97="","",VALUE(C97))</f>
        <v>176.256</v>
      </c>
      <c r="I97" s="209" t="n">
        <f aca="false">IF(D97="","",VALUE(D97))</f>
        <v>176.214</v>
      </c>
      <c r="J97" s="208" t="n">
        <f aca="false">IF(E97="","",VALUE(E97))</f>
        <v>176.21</v>
      </c>
      <c r="K97" s="191"/>
      <c r="L97" s="138" t="s">
        <v>123</v>
      </c>
      <c r="M97" s="241" t="str">
        <f aca="false">IF(H97="","",IF($J97="","",IF(ABS(H97-$J97)&gt;$M$10,H97-$J97,"")))</f>
        <v/>
      </c>
      <c r="N97" s="242" t="str">
        <f aca="false">IF(I97="","",IF($J97="","",IF(ABS(I97-$J97)&gt;$M$10,I97-$J97,"")))</f>
        <v/>
      </c>
      <c r="P97" s="10"/>
      <c r="Q97" s="10"/>
      <c r="R97" s="10"/>
    </row>
    <row r="98" customFormat="false" ht="12.75" hidden="false" customHeight="false" outlineLevel="0" collapsed="false">
      <c r="B98" s="38" t="s">
        <v>124</v>
      </c>
      <c r="C98" s="238" t="n">
        <v>28.87</v>
      </c>
      <c r="D98" s="209" t="n">
        <v>28.535</v>
      </c>
      <c r="E98" s="239" t="n">
        <v>28.53</v>
      </c>
      <c r="F98" s="191"/>
      <c r="G98" s="38" t="s">
        <v>124</v>
      </c>
      <c r="H98" s="208" t="n">
        <f aca="false">IF(C98="","",VALUE(C98))</f>
        <v>28.87</v>
      </c>
      <c r="I98" s="209" t="n">
        <f aca="false">IF(D98="","",VALUE(D98))</f>
        <v>28.535</v>
      </c>
      <c r="J98" s="208" t="n">
        <f aca="false">IF(E98="","",VALUE(E98))</f>
        <v>28.53</v>
      </c>
      <c r="K98" s="191"/>
      <c r="L98" s="140" t="s">
        <v>124</v>
      </c>
      <c r="M98" s="241" t="n">
        <f aca="false">IF(H98="","",IF($J98="","",IF(ABS(H98-$J98)&gt;$M$10,H98-$J98,"")))</f>
        <v>0.34</v>
      </c>
      <c r="N98" s="242" t="str">
        <f aca="false">IF(I98="","",IF($J98="","",IF(ABS(I98-$J98)&gt;$M$10,I98-$J98,"")))</f>
        <v/>
      </c>
      <c r="P98" s="10"/>
      <c r="Q98" s="10"/>
      <c r="R98" s="10"/>
    </row>
    <row r="99" customFormat="false" ht="12.75" hidden="false" customHeight="false" outlineLevel="0" collapsed="false">
      <c r="B99" s="38" t="s">
        <v>125</v>
      </c>
      <c r="C99" s="208" t="n">
        <v>31.882</v>
      </c>
      <c r="D99" s="209" t="n">
        <v>31.798</v>
      </c>
      <c r="E99" s="243" t="s">
        <v>667</v>
      </c>
      <c r="F99" s="240"/>
      <c r="G99" s="38" t="s">
        <v>125</v>
      </c>
      <c r="H99" s="208" t="n">
        <f aca="false">IF(C99="","",VALUE(C99))</f>
        <v>31.882</v>
      </c>
      <c r="I99" s="209" t="n">
        <f aca="false">IF(D99="","",VALUE(D99))</f>
        <v>31.798</v>
      </c>
      <c r="J99" s="208" t="n">
        <f aca="false">IF(E99="","",VALUE(E99))</f>
        <v>31.8</v>
      </c>
      <c r="K99" s="240"/>
      <c r="L99" s="140" t="s">
        <v>125</v>
      </c>
      <c r="M99" s="241" t="str">
        <f aca="false">IF(H99="","",IF($J99="","",IF(ABS(H99-$J99)&gt;$M$10,H99-$J99,"")))</f>
        <v/>
      </c>
      <c r="N99" s="242" t="str">
        <f aca="false">IF(I99="","",IF($J99="","",IF(ABS(I99-$J99)&gt;$M$10,I99-$J99,"")))</f>
        <v/>
      </c>
    </row>
    <row r="100" customFormat="false" ht="12.75" hidden="false" customHeight="false" outlineLevel="0" collapsed="false">
      <c r="B100" s="31" t="s">
        <v>126</v>
      </c>
      <c r="C100" s="238" t="n">
        <v>43.932</v>
      </c>
      <c r="D100" s="209" t="n">
        <v>45.689</v>
      </c>
      <c r="E100" s="239" t="n">
        <v>45.69</v>
      </c>
      <c r="F100" s="240"/>
      <c r="G100" s="31" t="s">
        <v>126</v>
      </c>
      <c r="H100" s="208" t="n">
        <f aca="false">IF(C100="","",VALUE(C100))</f>
        <v>43.932</v>
      </c>
      <c r="I100" s="209" t="n">
        <f aca="false">IF(D100="","",VALUE(D100))</f>
        <v>45.689</v>
      </c>
      <c r="J100" s="208" t="n">
        <f aca="false">IF(E100="","",VALUE(E100))</f>
        <v>45.69</v>
      </c>
      <c r="K100" s="240"/>
      <c r="L100" s="138" t="s">
        <v>126</v>
      </c>
      <c r="M100" s="241" t="n">
        <f aca="false">IF(H100="","",IF($J100="","",IF(ABS(H100-$J100)&gt;$M$10,H100-$J100,"")))</f>
        <v>-1.758</v>
      </c>
      <c r="N100" s="242" t="str">
        <f aca="false">IF(I100="","",IF($J100="","",IF(ABS(I100-$J100)&gt;$M$10,I100-$J100,"")))</f>
        <v/>
      </c>
    </row>
    <row r="101" customFormat="false" ht="12.75" hidden="false" customHeight="false" outlineLevel="0" collapsed="false">
      <c r="B101" s="31" t="s">
        <v>127</v>
      </c>
      <c r="C101" s="208"/>
      <c r="D101" s="209" t="n">
        <v>34.644</v>
      </c>
      <c r="E101" s="239" t="n">
        <v>34.64</v>
      </c>
      <c r="F101" s="240"/>
      <c r="G101" s="31" t="s">
        <v>127</v>
      </c>
      <c r="H101" s="208" t="str">
        <f aca="false">IF(C101="","",VALUE(C101))</f>
        <v/>
      </c>
      <c r="I101" s="209" t="n">
        <f aca="false">IF(D101="","",VALUE(D101))</f>
        <v>34.644</v>
      </c>
      <c r="J101" s="208" t="n">
        <f aca="false">IF(E101="","",VALUE(E101))</f>
        <v>34.64</v>
      </c>
      <c r="K101" s="240"/>
      <c r="L101" s="138" t="s">
        <v>127</v>
      </c>
      <c r="M101" s="241" t="str">
        <f aca="false">IF(H101="","",IF($J101="","",IF(ABS(H101-$J101)&gt;$M$10,H101-$J101,"")))</f>
        <v/>
      </c>
      <c r="N101" s="242" t="str">
        <f aca="false">IF(I101="","",IF($J101="","",IF(ABS(I101-$J101)&gt;$M$10,I101-$J101,"")))</f>
        <v/>
      </c>
    </row>
    <row r="102" customFormat="false" ht="12.75" hidden="false" customHeight="false" outlineLevel="0" collapsed="false">
      <c r="B102" s="38" t="s">
        <v>128</v>
      </c>
      <c r="C102" s="238" t="n">
        <v>41.84</v>
      </c>
      <c r="D102" s="209" t="n">
        <v>42.442</v>
      </c>
      <c r="E102" s="239" t="n">
        <v>42.442</v>
      </c>
      <c r="F102" s="240"/>
      <c r="G102" s="38" t="s">
        <v>128</v>
      </c>
      <c r="H102" s="208" t="n">
        <f aca="false">IF(C102="","",VALUE(C102))</f>
        <v>41.84</v>
      </c>
      <c r="I102" s="209" t="n">
        <f aca="false">IF(D102="","",VALUE(D102))</f>
        <v>42.442</v>
      </c>
      <c r="J102" s="208" t="n">
        <f aca="false">IF(E102="","",VALUE(E102))</f>
        <v>42.442</v>
      </c>
      <c r="K102" s="240"/>
      <c r="L102" s="140" t="s">
        <v>128</v>
      </c>
      <c r="M102" s="241" t="n">
        <f aca="false">IF(H102="","",IF($J102="","",IF(ABS(H102-$J102)&gt;$M$10,H102-$J102,"")))</f>
        <v>-0.601999999999997</v>
      </c>
      <c r="N102" s="242" t="str">
        <f aca="false">IF(I102="","",IF($J102="","",IF(ABS(I102-$J102)&gt;$M$10,I102-$J102,"")))</f>
        <v/>
      </c>
      <c r="Q102" s="10"/>
      <c r="R102" s="10"/>
    </row>
    <row r="103" customFormat="false" ht="12.75" hidden="false" customHeight="false" outlineLevel="0" collapsed="false">
      <c r="B103" s="31" t="s">
        <v>129</v>
      </c>
      <c r="C103" s="238" t="n">
        <v>18.702</v>
      </c>
      <c r="D103" s="209" t="n">
        <v>18.828</v>
      </c>
      <c r="E103" s="239" t="n">
        <v>18.83</v>
      </c>
      <c r="F103" s="191"/>
      <c r="G103" s="31" t="s">
        <v>129</v>
      </c>
      <c r="H103" s="208" t="n">
        <f aca="false">IF(C103="","",VALUE(C103))</f>
        <v>18.702</v>
      </c>
      <c r="I103" s="209" t="n">
        <f aca="false">IF(D103="","",VALUE(D103))</f>
        <v>18.828</v>
      </c>
      <c r="J103" s="208" t="n">
        <f aca="false">IF(E103="","",VALUE(E103))</f>
        <v>18.83</v>
      </c>
      <c r="K103" s="191"/>
      <c r="L103" s="138" t="s">
        <v>129</v>
      </c>
      <c r="M103" s="241" t="n">
        <f aca="false">IF(H103="","",IF($J103="","",IF(ABS(H103-$J103)&gt;$M$10,H103-$J103,"")))</f>
        <v>-0.127999999999997</v>
      </c>
      <c r="N103" s="242" t="str">
        <f aca="false">IF(I103="","",IF($J103="","",IF(ABS(I103-$J103)&gt;$M$10,I103-$J103,"")))</f>
        <v/>
      </c>
      <c r="P103" s="10"/>
      <c r="Q103" s="10"/>
      <c r="R103" s="10"/>
    </row>
    <row r="104" customFormat="false" ht="12.75" hidden="false" customHeight="false" outlineLevel="0" collapsed="false">
      <c r="B104" s="31" t="s">
        <v>130</v>
      </c>
      <c r="C104" s="208"/>
      <c r="D104" s="209" t="n">
        <v>69.58</v>
      </c>
      <c r="E104" s="239" t="n">
        <v>69.58</v>
      </c>
      <c r="F104" s="191"/>
      <c r="G104" s="31" t="s">
        <v>130</v>
      </c>
      <c r="H104" s="208" t="str">
        <f aca="false">IF(C104="","",VALUE(C104))</f>
        <v/>
      </c>
      <c r="I104" s="209" t="n">
        <f aca="false">IF(D104="","",VALUE(D104))</f>
        <v>69.58</v>
      </c>
      <c r="J104" s="208" t="n">
        <f aca="false">IF(E104="","",VALUE(E104))</f>
        <v>69.58</v>
      </c>
      <c r="K104" s="191"/>
      <c r="L104" s="138" t="s">
        <v>130</v>
      </c>
      <c r="M104" s="241" t="str">
        <f aca="false">IF(H104="","",IF($J104="","",IF(ABS(H104-$J104)&gt;$M$10,H104-$J104,"")))</f>
        <v/>
      </c>
      <c r="N104" s="242" t="str">
        <f aca="false">IF(I104="","",IF($J104="","",IF(ABS(I104-$J104)&gt;$M$10,I104-$J104,"")))</f>
        <v/>
      </c>
      <c r="P104" s="10"/>
      <c r="Q104" s="10"/>
      <c r="R104" s="10"/>
    </row>
    <row r="105" customFormat="false" ht="12.75" hidden="false" customHeight="false" outlineLevel="0" collapsed="false">
      <c r="B105" s="31" t="s">
        <v>131</v>
      </c>
      <c r="C105" s="208" t="n">
        <v>51.463</v>
      </c>
      <c r="D105" s="209" t="n">
        <v>51.547</v>
      </c>
      <c r="E105" s="239" t="n">
        <v>51.55</v>
      </c>
      <c r="F105" s="191"/>
      <c r="G105" s="31" t="s">
        <v>131</v>
      </c>
      <c r="H105" s="208" t="n">
        <f aca="false">IF(C105="","",VALUE(C105))</f>
        <v>51.463</v>
      </c>
      <c r="I105" s="209" t="n">
        <f aca="false">IF(D105="","",VALUE(D105))</f>
        <v>51.547</v>
      </c>
      <c r="J105" s="208" t="n">
        <f aca="false">IF(E105="","",VALUE(E105))</f>
        <v>51.55</v>
      </c>
      <c r="K105" s="191"/>
      <c r="L105" s="138" t="s">
        <v>131</v>
      </c>
      <c r="M105" s="241" t="str">
        <f aca="false">IF(H105="","",IF($J105="","",IF(ABS(H105-$J105)&gt;$M$10,H105-$J105,"")))</f>
        <v/>
      </c>
      <c r="N105" s="242" t="str">
        <f aca="false">IF(I105="","",IF($J105="","",IF(ABS(I105-$J105)&gt;$M$10,I105-$J105,"")))</f>
        <v/>
      </c>
      <c r="P105" s="10"/>
      <c r="Q105" s="10"/>
      <c r="R105" s="10"/>
    </row>
    <row r="106" customFormat="false" ht="12.75" hidden="false" customHeight="false" outlineLevel="0" collapsed="false">
      <c r="B106" s="38" t="s">
        <v>132</v>
      </c>
      <c r="C106" s="238" t="n">
        <v>54.392</v>
      </c>
      <c r="D106" s="209" t="n">
        <v>52.3</v>
      </c>
      <c r="E106" s="239" t="n">
        <v>52.3</v>
      </c>
      <c r="F106" s="191"/>
      <c r="G106" s="38" t="s">
        <v>132</v>
      </c>
      <c r="H106" s="208" t="n">
        <f aca="false">IF(C106="","",VALUE(C106))</f>
        <v>54.392</v>
      </c>
      <c r="I106" s="209" t="n">
        <f aca="false">IF(D106="","",VALUE(D106))</f>
        <v>52.3</v>
      </c>
      <c r="J106" s="208" t="n">
        <f aca="false">IF(E106="","",VALUE(E106))</f>
        <v>52.3</v>
      </c>
      <c r="K106" s="191"/>
      <c r="L106" s="140" t="s">
        <v>132</v>
      </c>
      <c r="M106" s="241" t="n">
        <f aca="false">IF(H106="","",IF($J106="","",IF(ABS(H106-$J106)&gt;$M$10,H106-$J106,"")))</f>
        <v>2.09200000000001</v>
      </c>
      <c r="N106" s="242" t="str">
        <f aca="false">IF(I106="","",IF($J106="","",IF(ABS(I106-$J106)&gt;$M$10,I106-$J106,"")))</f>
        <v/>
      </c>
      <c r="P106" s="10"/>
      <c r="Q106" s="10"/>
      <c r="R106" s="10"/>
    </row>
    <row r="107" customFormat="false" ht="12.75" hidden="false" customHeight="false" outlineLevel="0" collapsed="false">
      <c r="B107" s="31" t="s">
        <v>133</v>
      </c>
      <c r="C107" s="208" t="n">
        <v>41.422</v>
      </c>
      <c r="D107" s="209" t="n">
        <v>41.505</v>
      </c>
      <c r="E107" s="239" t="n">
        <v>41.51</v>
      </c>
      <c r="F107" s="191"/>
      <c r="G107" s="31" t="s">
        <v>133</v>
      </c>
      <c r="H107" s="208" t="n">
        <f aca="false">IF(C107="","",VALUE(C107))</f>
        <v>41.422</v>
      </c>
      <c r="I107" s="209" t="n">
        <f aca="false">IF(D107="","",VALUE(D107))</f>
        <v>41.505</v>
      </c>
      <c r="J107" s="208" t="n">
        <f aca="false">IF(E107="","",VALUE(E107))</f>
        <v>41.51</v>
      </c>
      <c r="K107" s="191"/>
      <c r="L107" s="138" t="s">
        <v>133</v>
      </c>
      <c r="M107" s="241" t="str">
        <f aca="false">IF(H107="","",IF($J107="","",IF(ABS(H107-$J107)&gt;$M$10,H107-$J107,"")))</f>
        <v/>
      </c>
      <c r="N107" s="242" t="str">
        <f aca="false">IF(I107="","",IF($J107="","",IF(ABS(I107-$J107)&gt;$M$10,I107-$J107,"")))</f>
        <v/>
      </c>
      <c r="P107" s="10"/>
      <c r="Q107" s="10"/>
      <c r="R107" s="10"/>
    </row>
    <row r="108" customFormat="false" ht="12.75" hidden="false" customHeight="false" outlineLevel="0" collapsed="false">
      <c r="B108" s="31" t="s">
        <v>134</v>
      </c>
      <c r="C108" s="208"/>
      <c r="D108" s="209" t="n">
        <v>73.22</v>
      </c>
      <c r="E108" s="239" t="n">
        <v>73.22</v>
      </c>
      <c r="F108" s="191"/>
      <c r="G108" s="31" t="s">
        <v>134</v>
      </c>
      <c r="H108" s="208" t="str">
        <f aca="false">IF(C108="","",VALUE(C108))</f>
        <v/>
      </c>
      <c r="I108" s="209" t="n">
        <f aca="false">IF(D108="","",VALUE(D108))</f>
        <v>73.22</v>
      </c>
      <c r="J108" s="208" t="n">
        <f aca="false">IF(E108="","",VALUE(E108))</f>
        <v>73.22</v>
      </c>
      <c r="K108" s="191"/>
      <c r="L108" s="138" t="s">
        <v>134</v>
      </c>
      <c r="M108" s="241" t="str">
        <f aca="false">IF(H108="","",IF($J108="","",IF(ABS(H108-$J108)&gt;$M$10,H108-$J108,"")))</f>
        <v/>
      </c>
      <c r="N108" s="242" t="str">
        <f aca="false">IF(I108="","",IF($J108="","",IF(ABS(I108-$J108)&gt;$M$10,I108-$J108,"")))</f>
        <v/>
      </c>
      <c r="P108" s="10"/>
      <c r="Q108" s="10"/>
      <c r="R108" s="10"/>
    </row>
    <row r="109" customFormat="false" ht="12.75" hidden="false" customHeight="false" outlineLevel="0" collapsed="false">
      <c r="B109" s="31" t="s">
        <v>135</v>
      </c>
      <c r="C109" s="208" t="n">
        <v>37.656</v>
      </c>
      <c r="D109" s="209"/>
      <c r="E109" s="243"/>
      <c r="F109" s="191"/>
      <c r="G109" s="31" t="s">
        <v>135</v>
      </c>
      <c r="H109" s="208" t="n">
        <f aca="false">IF(C109="","",VALUE(C109))</f>
        <v>37.656</v>
      </c>
      <c r="I109" s="209" t="str">
        <f aca="false">IF(D109="","",VALUE(D109))</f>
        <v/>
      </c>
      <c r="J109" s="208" t="str">
        <f aca="false">IF(E109="","",VALUE(E109))</f>
        <v/>
      </c>
      <c r="K109" s="191"/>
      <c r="L109" s="138" t="s">
        <v>135</v>
      </c>
      <c r="M109" s="241" t="str">
        <f aca="false">IF(H109="","",IF($J109="","",IF(ABS(H109-$J109)&gt;$M$10,H109-$J109,"")))</f>
        <v/>
      </c>
      <c r="N109" s="242" t="str">
        <f aca="false">IF(I109="","",IF($J109="","",IF(ABS(I109-$J109)&gt;$M$10,I109-$J109,"")))</f>
        <v/>
      </c>
      <c r="P109" s="10"/>
      <c r="Q109" s="10"/>
      <c r="R109" s="10"/>
    </row>
    <row r="110" customFormat="false" ht="12.75" hidden="false" customHeight="false" outlineLevel="0" collapsed="false">
      <c r="B110" s="38" t="s">
        <v>136</v>
      </c>
      <c r="C110" s="208" t="n">
        <v>49.706</v>
      </c>
      <c r="D110" s="209" t="n">
        <v>49.706</v>
      </c>
      <c r="E110" s="239" t="n">
        <v>49.71</v>
      </c>
      <c r="F110" s="240"/>
      <c r="G110" s="38" t="s">
        <v>136</v>
      </c>
      <c r="H110" s="208" t="n">
        <f aca="false">IF(C110="","",VALUE(C110))</f>
        <v>49.706</v>
      </c>
      <c r="I110" s="209" t="n">
        <f aca="false">IF(D110="","",VALUE(D110))</f>
        <v>49.706</v>
      </c>
      <c r="J110" s="208" t="n">
        <f aca="false">IF(E110="","",VALUE(E110))</f>
        <v>49.71</v>
      </c>
      <c r="K110" s="240"/>
      <c r="L110" s="140" t="s">
        <v>136</v>
      </c>
      <c r="M110" s="241" t="str">
        <f aca="false">IF(H110="","",IF($J110="","",IF(ABS(H110-$J110)&gt;$M$10,H110-$J110,"")))</f>
        <v/>
      </c>
      <c r="N110" s="242" t="str">
        <f aca="false">IF(I110="","",IF($J110="","",IF(ABS(I110-$J110)&gt;$M$10,I110-$J110,"")))</f>
        <v/>
      </c>
    </row>
    <row r="111" customFormat="false" ht="12.75" hidden="false" customHeight="false" outlineLevel="0" collapsed="false">
      <c r="B111" s="38" t="s">
        <v>137</v>
      </c>
      <c r="C111" s="238" t="n">
        <v>56.902</v>
      </c>
      <c r="D111" s="209" t="n">
        <v>53.388</v>
      </c>
      <c r="E111" s="239" t="n">
        <v>53.39</v>
      </c>
      <c r="F111" s="240"/>
      <c r="G111" s="38" t="s">
        <v>137</v>
      </c>
      <c r="H111" s="208" t="n">
        <f aca="false">IF(C111="","",VALUE(C111))</f>
        <v>56.902</v>
      </c>
      <c r="I111" s="209" t="n">
        <f aca="false">IF(D111="","",VALUE(D111))</f>
        <v>53.388</v>
      </c>
      <c r="J111" s="208" t="n">
        <f aca="false">IF(E111="","",VALUE(E111))</f>
        <v>53.39</v>
      </c>
      <c r="K111" s="240"/>
      <c r="L111" s="140" t="s">
        <v>137</v>
      </c>
      <c r="M111" s="241" t="n">
        <f aca="false">IF(H111="","",IF($J111="","",IF(ABS(H111-$J111)&gt;$M$10,H111-$J111,"")))</f>
        <v>3.512</v>
      </c>
      <c r="N111" s="242" t="str">
        <f aca="false">IF(I111="","",IF($J111="","",IF(ABS(I111-$J111)&gt;$M$10,I111-$J111,"")))</f>
        <v/>
      </c>
    </row>
    <row r="112" customFormat="false" ht="12.75" hidden="false" customHeight="false" outlineLevel="0" collapsed="false">
      <c r="B112" s="31" t="s">
        <v>138</v>
      </c>
      <c r="C112" s="238" t="n">
        <v>30.292</v>
      </c>
      <c r="D112" s="209" t="n">
        <v>30.627</v>
      </c>
      <c r="E112" s="239" t="n">
        <v>30.63</v>
      </c>
      <c r="F112" s="240"/>
      <c r="G112" s="31" t="s">
        <v>138</v>
      </c>
      <c r="H112" s="208" t="n">
        <f aca="false">IF(C112="","",VALUE(C112))</f>
        <v>30.292</v>
      </c>
      <c r="I112" s="209" t="n">
        <f aca="false">IF(D112="","",VALUE(D112))</f>
        <v>30.627</v>
      </c>
      <c r="J112" s="208" t="n">
        <f aca="false">IF(E112="","",VALUE(E112))</f>
        <v>30.63</v>
      </c>
      <c r="K112" s="240"/>
      <c r="L112" s="138" t="s">
        <v>138</v>
      </c>
      <c r="M112" s="241" t="n">
        <f aca="false">IF(H112="","",IF($J112="","",IF(ABS(H112-$J112)&gt;$M$10,H112-$J112,"")))</f>
        <v>-0.337999999999997</v>
      </c>
      <c r="N112" s="242" t="str">
        <f aca="false">IF(I112="","",IF($J112="","",IF(ABS(I112-$J112)&gt;$M$10,I112-$J112,"")))</f>
        <v/>
      </c>
    </row>
    <row r="113" customFormat="false" ht="12.75" hidden="false" customHeight="false" outlineLevel="0" collapsed="false">
      <c r="B113" s="31" t="s">
        <v>139</v>
      </c>
      <c r="C113" s="238" t="n">
        <v>64.434</v>
      </c>
      <c r="D113" s="209" t="n">
        <v>64.183</v>
      </c>
      <c r="E113" s="239" t="n">
        <v>64.18</v>
      </c>
      <c r="F113" s="240"/>
      <c r="G113" s="31" t="s">
        <v>139</v>
      </c>
      <c r="H113" s="208" t="n">
        <f aca="false">IF(C113="","",VALUE(C113))</f>
        <v>64.434</v>
      </c>
      <c r="I113" s="209" t="n">
        <f aca="false">IF(D113="","",VALUE(D113))</f>
        <v>64.183</v>
      </c>
      <c r="J113" s="208" t="n">
        <f aca="false">IF(E113="","",VALUE(E113))</f>
        <v>64.18</v>
      </c>
      <c r="K113" s="240"/>
      <c r="L113" s="138" t="s">
        <v>139</v>
      </c>
      <c r="M113" s="241" t="n">
        <f aca="false">IF(H113="","",IF($J113="","",IF(ABS(H113-$J113)&gt;$M$10,H113-$J113,"")))</f>
        <v>0.253999999999991</v>
      </c>
      <c r="N113" s="242" t="str">
        <f aca="false">IF(I113="","",IF($J113="","",IF(ABS(I113-$J113)&gt;$M$10,I113-$J113,"")))</f>
        <v/>
      </c>
      <c r="Q113" s="10"/>
      <c r="R113" s="10"/>
    </row>
    <row r="114" customFormat="false" ht="12.75" hidden="false" customHeight="false" outlineLevel="0" collapsed="false">
      <c r="B114" s="31" t="s">
        <v>140</v>
      </c>
      <c r="C114" s="208"/>
      <c r="D114" s="209" t="n">
        <v>74.015</v>
      </c>
      <c r="E114" s="239" t="n">
        <v>74.01</v>
      </c>
      <c r="F114" s="191"/>
      <c r="G114" s="31" t="s">
        <v>140</v>
      </c>
      <c r="H114" s="208" t="str">
        <f aca="false">IF(C114="","",VALUE(C114))</f>
        <v/>
      </c>
      <c r="I114" s="209" t="n">
        <f aca="false">IF(D114="","",VALUE(D114))</f>
        <v>74.015</v>
      </c>
      <c r="J114" s="208" t="n">
        <f aca="false">IF(E114="","",VALUE(E114))</f>
        <v>74.01</v>
      </c>
      <c r="K114" s="191"/>
      <c r="L114" s="138" t="s">
        <v>140</v>
      </c>
      <c r="M114" s="241" t="str">
        <f aca="false">IF(H114="","",IF($J114="","",IF(ABS(H114-$J114)&gt;$M$10,H114-$J114,"")))</f>
        <v/>
      </c>
      <c r="N114" s="242" t="str">
        <f aca="false">IF(I114="","",IF($J114="","",IF(ABS(I114-$J114)&gt;$M$10,I114-$J114,"")))</f>
        <v/>
      </c>
      <c r="P114" s="10"/>
      <c r="Q114" s="10"/>
      <c r="R114" s="10"/>
    </row>
    <row r="115" customFormat="false" ht="12.75" hidden="false" customHeight="false" outlineLevel="0" collapsed="false">
      <c r="B115" s="31" t="s">
        <v>141</v>
      </c>
      <c r="C115" s="238" t="n">
        <v>50.334</v>
      </c>
      <c r="D115" s="209" t="n">
        <v>50.208</v>
      </c>
      <c r="E115" s="239" t="n">
        <v>50.21</v>
      </c>
      <c r="F115" s="191"/>
      <c r="G115" s="31" t="s">
        <v>141</v>
      </c>
      <c r="H115" s="208" t="n">
        <f aca="false">IF(C115="","",VALUE(C115))</f>
        <v>50.334</v>
      </c>
      <c r="I115" s="209" t="n">
        <f aca="false">IF(D115="","",VALUE(D115))</f>
        <v>50.208</v>
      </c>
      <c r="J115" s="208" t="n">
        <f aca="false">IF(E115="","",VALUE(E115))</f>
        <v>50.21</v>
      </c>
      <c r="K115" s="191"/>
      <c r="L115" s="138" t="s">
        <v>141</v>
      </c>
      <c r="M115" s="241" t="n">
        <f aca="false">IF(H115="","",IF($J115="","",IF(ABS(H115-$J115)&gt;$M$10,H115-$J115,"")))</f>
        <v>0.124000000000002</v>
      </c>
      <c r="N115" s="242" t="str">
        <f aca="false">IF(I115="","",IF($J115="","",IF(ABS(I115-$J115)&gt;$M$10,I115-$J115,"")))</f>
        <v/>
      </c>
      <c r="P115" s="10"/>
      <c r="Q115" s="10"/>
      <c r="R115" s="10"/>
    </row>
    <row r="116" customFormat="false" ht="12.75" hidden="false" customHeight="false" outlineLevel="0" collapsed="false">
      <c r="B116" s="31" t="s">
        <v>142</v>
      </c>
      <c r="C116" s="238" t="n">
        <v>29.497</v>
      </c>
      <c r="D116" s="209" t="n">
        <v>28.911</v>
      </c>
      <c r="E116" s="239" t="n">
        <v>28.91</v>
      </c>
      <c r="F116" s="191"/>
      <c r="G116" s="31" t="s">
        <v>142</v>
      </c>
      <c r="H116" s="208" t="n">
        <f aca="false">IF(C116="","",VALUE(C116))</f>
        <v>29.497</v>
      </c>
      <c r="I116" s="209" t="n">
        <f aca="false">IF(D116="","",VALUE(D116))</f>
        <v>28.911</v>
      </c>
      <c r="J116" s="208" t="n">
        <f aca="false">IF(E116="","",VALUE(E116))</f>
        <v>28.91</v>
      </c>
      <c r="K116" s="191"/>
      <c r="L116" s="138" t="s">
        <v>142</v>
      </c>
      <c r="M116" s="241" t="n">
        <f aca="false">IF(H116="","",IF($J116="","",IF(ABS(H116-$J116)&gt;$M$10,H116-$J116,"")))</f>
        <v>0.587</v>
      </c>
      <c r="N116" s="242" t="str">
        <f aca="false">IF(I116="","",IF($J116="","",IF(ABS(I116-$J116)&gt;$M$10,I116-$J116,"")))</f>
        <v/>
      </c>
      <c r="P116" s="10"/>
      <c r="Q116" s="10"/>
      <c r="R116" s="10"/>
    </row>
    <row r="117" customFormat="false" ht="12.75" hidden="false" customHeight="false" outlineLevel="0" collapsed="false">
      <c r="A117" s="87"/>
      <c r="B117" s="31" t="s">
        <v>143</v>
      </c>
      <c r="C117" s="238" t="n">
        <v>33.472</v>
      </c>
      <c r="D117" s="209" t="n">
        <v>32.635</v>
      </c>
      <c r="E117" s="239" t="n">
        <v>32.64</v>
      </c>
      <c r="F117" s="191"/>
      <c r="G117" s="31" t="s">
        <v>143</v>
      </c>
      <c r="H117" s="208" t="n">
        <f aca="false">IF(C117="","",VALUE(C117))</f>
        <v>33.472</v>
      </c>
      <c r="I117" s="209" t="n">
        <f aca="false">IF(D117="","",VALUE(D117))</f>
        <v>32.635</v>
      </c>
      <c r="J117" s="208" t="n">
        <f aca="false">IF(E117="","",VALUE(E117))</f>
        <v>32.64</v>
      </c>
      <c r="K117" s="191"/>
      <c r="L117" s="138" t="s">
        <v>143</v>
      </c>
      <c r="M117" s="241" t="n">
        <f aca="false">IF(H117="","",IF($J117="","",IF(ABS(H117-$J117)&gt;$M$10,H117-$J117,"")))</f>
        <v>0.832000000000001</v>
      </c>
      <c r="N117" s="242" t="str">
        <f aca="false">IF(I117="","",IF($J117="","",IF(ABS(I117-$J117)&gt;$M$10,I117-$J117,"")))</f>
        <v/>
      </c>
      <c r="P117" s="10"/>
      <c r="Q117" s="10"/>
      <c r="R117" s="10"/>
    </row>
    <row r="118" customFormat="false" ht="12.75" hidden="false" customHeight="false" outlineLevel="0" collapsed="false">
      <c r="B118" s="31" t="s">
        <v>144</v>
      </c>
      <c r="C118" s="208" t="n">
        <v>169.687</v>
      </c>
      <c r="D118" s="209" t="n">
        <v>169.683</v>
      </c>
      <c r="E118" s="239" t="n">
        <v>169.683</v>
      </c>
      <c r="F118" s="191"/>
      <c r="G118" s="31" t="s">
        <v>144</v>
      </c>
      <c r="H118" s="208" t="n">
        <f aca="false">IF(C118="","",VALUE(C118))</f>
        <v>169.687</v>
      </c>
      <c r="I118" s="209" t="n">
        <f aca="false">IF(D118="","",VALUE(D118))</f>
        <v>169.683</v>
      </c>
      <c r="J118" s="208" t="n">
        <f aca="false">IF(E118="","",VALUE(E118))</f>
        <v>169.683</v>
      </c>
      <c r="K118" s="191"/>
      <c r="L118" s="138" t="s">
        <v>144</v>
      </c>
      <c r="M118" s="241" t="str">
        <f aca="false">IF(H118="","",IF($J118="","",IF(ABS(H118-$J118)&gt;$M$10,H118-$J118,"")))</f>
        <v/>
      </c>
      <c r="N118" s="242" t="str">
        <f aca="false">IF(I118="","",IF($J118="","",IF(ABS(I118-$J118)&gt;$M$10,I118-$J118,"")))</f>
        <v/>
      </c>
      <c r="P118" s="10"/>
      <c r="Q118" s="10"/>
      <c r="R118" s="10"/>
    </row>
    <row r="119" customFormat="false" ht="12.75" hidden="false" customHeight="false" outlineLevel="0" collapsed="false">
      <c r="B119" s="31" t="s">
        <v>145</v>
      </c>
      <c r="C119" s="208"/>
      <c r="D119" s="209" t="n">
        <v>44.434</v>
      </c>
      <c r="E119" s="239" t="n">
        <v>44.43</v>
      </c>
      <c r="F119" s="191"/>
      <c r="G119" s="31" t="s">
        <v>145</v>
      </c>
      <c r="H119" s="208" t="str">
        <f aca="false">IF(C119="","",VALUE(C119))</f>
        <v/>
      </c>
      <c r="I119" s="209" t="n">
        <f aca="false">IF(D119="","",VALUE(D119))</f>
        <v>44.434</v>
      </c>
      <c r="J119" s="208" t="n">
        <f aca="false">IF(E119="","",VALUE(E119))</f>
        <v>44.43</v>
      </c>
      <c r="K119" s="191"/>
      <c r="L119" s="138" t="s">
        <v>145</v>
      </c>
      <c r="M119" s="241" t="str">
        <f aca="false">IF(H119="","",IF($J119="","",IF(ABS(H119-$J119)&gt;$M$10,H119-$J119,"")))</f>
        <v/>
      </c>
      <c r="N119" s="242" t="str">
        <f aca="false">IF(I119="","",IF($J119="","",IF(ABS(I119-$J119)&gt;$M$10,I119-$J119,"")))</f>
        <v/>
      </c>
      <c r="P119" s="10"/>
      <c r="Q119" s="10"/>
      <c r="R119" s="10"/>
    </row>
    <row r="120" customFormat="false" ht="12.75" hidden="false" customHeight="false" outlineLevel="0" collapsed="false">
      <c r="B120" s="31" t="s">
        <v>146</v>
      </c>
      <c r="C120" s="208"/>
      <c r="D120" s="209" t="n">
        <v>59.873</v>
      </c>
      <c r="E120" s="239" t="n">
        <v>59.87</v>
      </c>
      <c r="F120" s="191"/>
      <c r="G120" s="31" t="s">
        <v>146</v>
      </c>
      <c r="H120" s="208" t="str">
        <f aca="false">IF(C120="","",VALUE(C120))</f>
        <v/>
      </c>
      <c r="I120" s="209" t="n">
        <f aca="false">IF(D120="","",VALUE(D120))</f>
        <v>59.873</v>
      </c>
      <c r="J120" s="208" t="n">
        <f aca="false">IF(E120="","",VALUE(E120))</f>
        <v>59.87</v>
      </c>
      <c r="K120" s="191"/>
      <c r="L120" s="138" t="s">
        <v>146</v>
      </c>
      <c r="M120" s="241" t="str">
        <f aca="false">IF(H120="","",IF($J120="","",IF(ABS(H120-$J120)&gt;$M$10,H120-$J120,"")))</f>
        <v/>
      </c>
      <c r="N120" s="242" t="str">
        <f aca="false">IF(I120="","",IF($J120="","",IF(ABS(I120-$J120)&gt;$M$10,I120-$J120,"")))</f>
        <v/>
      </c>
      <c r="P120" s="10"/>
      <c r="Q120" s="10"/>
      <c r="R120" s="10"/>
    </row>
    <row r="121" customFormat="false" ht="12.75" hidden="false" customHeight="false" outlineLevel="0" collapsed="false">
      <c r="B121" s="31" t="s">
        <v>147</v>
      </c>
      <c r="C121" s="208" t="n">
        <v>41.631</v>
      </c>
      <c r="D121" s="209" t="n">
        <v>41.631</v>
      </c>
      <c r="E121" s="239" t="n">
        <v>41.63</v>
      </c>
      <c r="F121" s="240"/>
      <c r="G121" s="31" t="s">
        <v>147</v>
      </c>
      <c r="H121" s="208" t="n">
        <f aca="false">IF(C121="","",VALUE(C121))</f>
        <v>41.631</v>
      </c>
      <c r="I121" s="209" t="n">
        <f aca="false">IF(D121="","",VALUE(D121))</f>
        <v>41.631</v>
      </c>
      <c r="J121" s="208" t="n">
        <f aca="false">IF(E121="","",VALUE(E121))</f>
        <v>41.63</v>
      </c>
      <c r="K121" s="240"/>
      <c r="L121" s="138" t="s">
        <v>147</v>
      </c>
      <c r="M121" s="241" t="str">
        <f aca="false">IF(H121="","",IF($J121="","",IF(ABS(H121-$J121)&gt;$M$10,H121-$J121,"")))</f>
        <v/>
      </c>
      <c r="N121" s="242" t="str">
        <f aca="false">IF(I121="","",IF($J121="","",IF(ABS(I121-$J121)&gt;$M$10,I121-$J121,"")))</f>
        <v/>
      </c>
    </row>
    <row r="122" customFormat="false" ht="13.5" hidden="false" customHeight="false" outlineLevel="0" collapsed="false">
      <c r="B122" s="39" t="s">
        <v>148</v>
      </c>
      <c r="C122" s="238" t="n">
        <v>38.409</v>
      </c>
      <c r="D122" s="209" t="n">
        <v>38.995</v>
      </c>
      <c r="E122" s="244" t="n">
        <v>38.99</v>
      </c>
      <c r="F122" s="240"/>
      <c r="G122" s="39" t="s">
        <v>148</v>
      </c>
      <c r="H122" s="208" t="n">
        <f aca="false">IF(C122="","",VALUE(C122))</f>
        <v>38.409</v>
      </c>
      <c r="I122" s="209" t="n">
        <f aca="false">IF(D122="","",VALUE(D122))</f>
        <v>38.995</v>
      </c>
      <c r="J122" s="208" t="n">
        <f aca="false">IF(E122="","",VALUE(E122))</f>
        <v>38.99</v>
      </c>
      <c r="K122" s="240"/>
      <c r="L122" s="144" t="s">
        <v>148</v>
      </c>
      <c r="M122" s="245" t="n">
        <f aca="false">IF(H122="","",IF($J122="","",IF(ABS(H122-$J122)&gt;$M$10,H122-$J122,"")))</f>
        <v>-0.581000000000003</v>
      </c>
      <c r="N122" s="246" t="str">
        <f aca="false">IF(I122="","",IF($J122="","",IF(ABS(I122-$J122)&gt;$M$10,I122-$J122,"")))</f>
        <v/>
      </c>
    </row>
    <row r="123" customFormat="false" ht="13.5" hidden="false" customHeight="false" outlineLevel="0" collapsed="false">
      <c r="B123" s="146" t="s">
        <v>185</v>
      </c>
      <c r="C123" s="70" t="n">
        <f aca="false">COUNT(C20:C122)</f>
        <v>73</v>
      </c>
      <c r="D123" s="70" t="n">
        <f aca="false">COUNT(D20:D122)</f>
        <v>88</v>
      </c>
      <c r="E123" s="70" t="n">
        <f aca="false">COUNTA(E20:E122)</f>
        <v>88</v>
      </c>
      <c r="F123" s="10"/>
      <c r="G123" s="146" t="s">
        <v>185</v>
      </c>
      <c r="H123" s="70" t="n">
        <f aca="false">COUNT(H20:H122)</f>
        <v>73</v>
      </c>
      <c r="I123" s="70" t="n">
        <f aca="false">COUNT(I20:I122)</f>
        <v>88</v>
      </c>
      <c r="J123" s="70" t="n">
        <f aca="false">COUNTA(J20:J122)</f>
        <v>103</v>
      </c>
      <c r="K123" s="10"/>
      <c r="L123" s="146" t="s">
        <v>185</v>
      </c>
      <c r="M123" s="247" t="n">
        <f aca="false">COUNT(M20:M122)</f>
        <v>48</v>
      </c>
      <c r="N123" s="247" t="n">
        <f aca="false">COUNT(N20:N122)</f>
        <v>2</v>
      </c>
    </row>
    <row r="124" customFormat="false" ht="12.75" hidden="false" customHeight="false" outlineLevel="0" collapsed="false">
      <c r="C124" s="191"/>
      <c r="F124" s="10"/>
      <c r="K124" s="10"/>
      <c r="Q124" s="10"/>
      <c r="R124" s="10"/>
    </row>
    <row r="125" customFormat="false" ht="12.75" hidden="false" customHeight="false" outlineLevel="0" collapsed="false">
      <c r="C125" s="191"/>
      <c r="D125" s="191"/>
      <c r="P125" s="10"/>
      <c r="Q125" s="10"/>
      <c r="R125" s="10"/>
    </row>
    <row r="126" customFormat="false" ht="13.5" hidden="false" customHeight="false" outlineLevel="0" collapsed="false">
      <c r="C126" s="191"/>
      <c r="D126" s="191"/>
      <c r="P126" s="10"/>
      <c r="Q126" s="10"/>
      <c r="R126" s="10"/>
    </row>
    <row r="127" customFormat="false" ht="13.5" hidden="false" customHeight="false" outlineLevel="0" collapsed="false">
      <c r="B127" s="120" t="s">
        <v>160</v>
      </c>
      <c r="C127" s="95" t="s">
        <v>208</v>
      </c>
      <c r="D127" s="48" t="s">
        <v>212</v>
      </c>
      <c r="E127" s="48" t="s">
        <v>557</v>
      </c>
      <c r="G127" s="47" t="s">
        <v>160</v>
      </c>
      <c r="H127" s="248" t="str">
        <f aca="false">C127</f>
        <v>NBS 500</v>
      </c>
      <c r="I127" s="48" t="str">
        <f aca="false">D127</f>
        <v>NBS 270</v>
      </c>
      <c r="J127" s="121" t="str">
        <f aca="false">E127</f>
        <v>NBS 82</v>
      </c>
      <c r="L127" s="47" t="s">
        <v>160</v>
      </c>
      <c r="M127" s="48" t="str">
        <f aca="false">H127</f>
        <v>NBS 500</v>
      </c>
      <c r="N127" s="48" t="str">
        <f aca="false">I127</f>
        <v>NBS 270</v>
      </c>
    </row>
    <row r="128" customFormat="false" ht="12.75" hidden="false" customHeight="false" outlineLevel="0" collapsed="false">
      <c r="B128" s="11"/>
      <c r="C128" s="51" t="s">
        <v>215</v>
      </c>
      <c r="D128" s="96" t="s">
        <v>219</v>
      </c>
      <c r="E128" s="50" t="s">
        <v>567</v>
      </c>
      <c r="G128" s="15"/>
      <c r="H128" s="50" t="str">
        <f aca="false">C128</f>
        <v>Rossini</v>
      </c>
      <c r="I128" s="50" t="str">
        <f aca="false">D128</f>
        <v>NBS 270-3</v>
      </c>
      <c r="J128" s="50" t="str">
        <f aca="false">E128</f>
        <v>Wagman</v>
      </c>
      <c r="L128" s="15"/>
      <c r="M128" s="53" t="str">
        <f aca="false">H128</f>
        <v>Rossini</v>
      </c>
      <c r="N128" s="53" t="str">
        <f aca="false">I128</f>
        <v>NBS 270-3</v>
      </c>
    </row>
    <row r="129" customFormat="false" ht="12.75" hidden="false" customHeight="false" outlineLevel="0" collapsed="false">
      <c r="B129" s="16" t="s">
        <v>20</v>
      </c>
      <c r="C129" s="54" t="s">
        <v>165</v>
      </c>
      <c r="D129" s="52" t="s">
        <v>224</v>
      </c>
      <c r="E129" s="53" t="s">
        <v>165</v>
      </c>
      <c r="F129" s="10"/>
      <c r="G129" s="20" t="s">
        <v>20</v>
      </c>
      <c r="H129" s="53" t="str">
        <f aca="false">C129</f>
        <v>et al.</v>
      </c>
      <c r="I129" s="53" t="str">
        <f aca="false">D129</f>
        <v>to 270-8</v>
      </c>
      <c r="J129" s="53" t="str">
        <f aca="false">E129</f>
        <v>et al.</v>
      </c>
      <c r="K129" s="10"/>
      <c r="L129" s="20" t="s">
        <v>20</v>
      </c>
      <c r="M129" s="53" t="str">
        <f aca="false">H129</f>
        <v>et al.</v>
      </c>
      <c r="N129" s="53" t="str">
        <f aca="false">I129</f>
        <v>to 270-8</v>
      </c>
    </row>
    <row r="130" customFormat="false" ht="12.75" hidden="false" customHeight="false" outlineLevel="0" collapsed="false">
      <c r="B130" s="16" t="s">
        <v>17</v>
      </c>
      <c r="C130" s="54" t="n">
        <v>1952</v>
      </c>
      <c r="D130" s="52" t="s">
        <v>227</v>
      </c>
      <c r="E130" s="53" t="n">
        <v>1982</v>
      </c>
      <c r="F130" s="10"/>
      <c r="G130" s="20" t="s">
        <v>17</v>
      </c>
      <c r="H130" s="53" t="n">
        <f aca="false">C130</f>
        <v>1952</v>
      </c>
      <c r="I130" s="53" t="str">
        <f aca="false">D130</f>
        <v>1968-1981</v>
      </c>
      <c r="J130" s="53" t="n">
        <f aca="false">E130</f>
        <v>1982</v>
      </c>
      <c r="K130" s="10"/>
      <c r="L130" s="20" t="s">
        <v>17</v>
      </c>
      <c r="M130" s="53" t="n">
        <f aca="false">H130</f>
        <v>1952</v>
      </c>
      <c r="N130" s="53" t="str">
        <f aca="false">I130</f>
        <v>1968-1981</v>
      </c>
      <c r="Q130" s="10"/>
      <c r="R130" s="10"/>
    </row>
    <row r="131" customFormat="false" ht="15" hidden="false" customHeight="false" outlineLevel="0" collapsed="false">
      <c r="B131" s="21" t="s">
        <v>29</v>
      </c>
      <c r="C131" s="55" t="s">
        <v>167</v>
      </c>
      <c r="D131" s="55" t="s">
        <v>167</v>
      </c>
      <c r="E131" s="55" t="s">
        <v>167</v>
      </c>
      <c r="G131" s="25" t="s">
        <v>29</v>
      </c>
      <c r="H131" s="55" t="s">
        <v>167</v>
      </c>
      <c r="I131" s="55" t="s">
        <v>167</v>
      </c>
      <c r="J131" s="55" t="s">
        <v>167</v>
      </c>
      <c r="L131" s="25" t="s">
        <v>29</v>
      </c>
      <c r="M131" s="55" t="s">
        <v>167</v>
      </c>
      <c r="N131" s="55" t="s">
        <v>167</v>
      </c>
      <c r="P131" s="10"/>
      <c r="Q131" s="10"/>
      <c r="R131" s="10"/>
    </row>
    <row r="132" customFormat="false" ht="12.75" hidden="false" customHeight="false" outlineLevel="0" collapsed="false">
      <c r="B132" s="74" t="s">
        <v>187</v>
      </c>
      <c r="C132" s="249" t="n">
        <v>44.35</v>
      </c>
      <c r="D132" s="250" t="n">
        <v>41.087</v>
      </c>
      <c r="E132" s="251" t="n">
        <v>41.09</v>
      </c>
      <c r="G132" s="74" t="s">
        <v>187</v>
      </c>
      <c r="H132" s="208" t="n">
        <f aca="false">IF(C132="","",VALUE(C132))</f>
        <v>44.35</v>
      </c>
      <c r="I132" s="209" t="n">
        <f aca="false">IF(D132="","",VALUE(D132))</f>
        <v>41.087</v>
      </c>
      <c r="J132" s="208" t="n">
        <f aca="false">IF(E132="","",VALUE(E132))</f>
        <v>41.09</v>
      </c>
      <c r="L132" s="74" t="s">
        <v>187</v>
      </c>
      <c r="M132" s="241" t="n">
        <f aca="false">IF(H132="","",IF($J132="","",IF(ABS(H132-$J132)&gt;$M$10,H132-$J132,"")))</f>
        <v>3.26</v>
      </c>
      <c r="N132" s="242" t="str">
        <f aca="false">IF(I132="","",IF($J132="","",IF(ABS(I132-$J132)&gt;$M$10,I132-$J132,"")))</f>
        <v/>
      </c>
      <c r="P132" s="10"/>
      <c r="Q132" s="10"/>
      <c r="R132" s="10"/>
    </row>
    <row r="133" customFormat="false" ht="13.5" hidden="false" customHeight="false" outlineLevel="0" collapsed="false">
      <c r="B133" s="39" t="s">
        <v>188</v>
      </c>
      <c r="C133" s="249"/>
      <c r="D133" s="250" t="n">
        <v>22.803</v>
      </c>
      <c r="E133" s="244"/>
      <c r="G133" s="39" t="s">
        <v>188</v>
      </c>
      <c r="H133" s="208" t="str">
        <f aca="false">IF(C133="","",VALUE(C133))</f>
        <v/>
      </c>
      <c r="I133" s="209" t="n">
        <f aca="false">IF(D133="","",VALUE(D133))</f>
        <v>22.803</v>
      </c>
      <c r="J133" s="208" t="str">
        <f aca="false">IF(E133="","",VALUE(E133))</f>
        <v/>
      </c>
      <c r="L133" s="39" t="s">
        <v>188</v>
      </c>
      <c r="M133" s="245" t="str">
        <f aca="false">IF(H133="","",IF($J133="","",IF(ABS(H133-$J133)&gt;$M$10,H133-$J133,"")))</f>
        <v/>
      </c>
      <c r="N133" s="246" t="str">
        <f aca="false">IF(I133="","",IF($J133="","",IF(ABS(I133-$J133)&gt;$M$10,I133-$J133,"")))</f>
        <v/>
      </c>
      <c r="P133" s="10"/>
      <c r="Q133" s="10"/>
      <c r="R133" s="10"/>
    </row>
    <row r="134" customFormat="false" ht="13.5" hidden="false" customHeight="false" outlineLevel="0" collapsed="false">
      <c r="B134" s="80" t="s">
        <v>16</v>
      </c>
      <c r="C134" s="82" t="s">
        <v>505</v>
      </c>
      <c r="D134" s="82" t="s">
        <v>505</v>
      </c>
      <c r="E134" s="82" t="s">
        <v>505</v>
      </c>
      <c r="G134" s="80" t="s">
        <v>16</v>
      </c>
      <c r="H134" s="82" t="str">
        <f aca="false">C134</f>
        <v>white</v>
      </c>
      <c r="I134" s="82" t="str">
        <f aca="false">D134</f>
        <v>white</v>
      </c>
      <c r="J134" s="82" t="str">
        <f aca="false">E134</f>
        <v>white</v>
      </c>
      <c r="L134" s="80" t="s">
        <v>16</v>
      </c>
      <c r="M134" s="82" t="str">
        <f aca="false">H134</f>
        <v>white</v>
      </c>
      <c r="N134" s="82" t="str">
        <f aca="false">I134</f>
        <v>white</v>
      </c>
      <c r="P134" s="10"/>
      <c r="Q134" s="10"/>
      <c r="R134" s="10"/>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LibreOffice/6.0.6.2$Linux_X86_64 LibreOffice_project/00m0$Build-2</Application>
  <Company>Lawrence Livermore National Laboratory</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2002-02-19T14:07:18Z</dcterms:created>
  <dc:creator>Thomas J. Wolery</dc:creator>
  <dc:description/>
  <dc:language>en-US</dc:language>
  <cp:lastModifiedBy>Wolery, Tom</cp:lastModifiedBy>
  <dcterms:modified xsi:type="dcterms:W3CDTF">2016-08-18T22:02:52Z</dcterms:modified>
  <cp:revision>0</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Company">
    <vt:lpwstr>Lawrence Livermore National Laboratory</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