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meema.alam\Desktop\Branch_salary\"/>
    </mc:Choice>
  </mc:AlternateContent>
  <workbookProtection workbookPassword="CA3A" lockStructure="1"/>
  <bookViews>
    <workbookView xWindow="0" yWindow="0" windowWidth="20490" windowHeight="7755" tabRatio="599"/>
  </bookViews>
  <sheets>
    <sheet name="Salary" sheetId="69" r:id="rId1"/>
    <sheet name="Salary AC wise" sheetId="71" r:id="rId2"/>
    <sheet name="HBA AC wise" sheetId="73" r:id="rId3"/>
    <sheet name="Computer AC wise" sheetId="74" r:id="rId4"/>
    <sheet name="MCA AC wise" sheetId="75" r:id="rId5"/>
    <sheet name="Voucher" sheetId="76" r:id="rId6"/>
    <sheet name="Sheet1" sheetId="70" state="hidden" r:id="rId7"/>
    <sheet name="December'17" sheetId="68" state="hidden" r:id="rId8"/>
    <sheet name="November'17" sheetId="67" state="hidden" r:id="rId9"/>
    <sheet name="October'17" sheetId="66" state="hidden" r:id="rId10"/>
    <sheet name="September'17" sheetId="65" state="hidden" r:id="rId11"/>
    <sheet name="August'17" sheetId="64" state="hidden" r:id="rId12"/>
    <sheet name="July'17" sheetId="63" state="hidden" r:id="rId13"/>
    <sheet name="June'17" sheetId="62" state="hidden" r:id="rId14"/>
    <sheet name="May'17" sheetId="61" state="hidden" r:id="rId15"/>
    <sheet name="April'17" sheetId="60" state="hidden" r:id="rId16"/>
    <sheet name="BN Vata'17 " sheetId="59" state="hidden" r:id="rId17"/>
    <sheet name="March'17" sheetId="58" state="hidden" r:id="rId18"/>
    <sheet name="February'17" sheetId="57" state="hidden" r:id="rId19"/>
    <sheet name="January'17" sheetId="56" state="hidden" r:id="rId20"/>
  </sheets>
  <definedNames>
    <definedName name="_xlnm.Print_Area" localSheetId="15">'April''17'!$A$1:$AE$41</definedName>
    <definedName name="_xlnm.Print_Area" localSheetId="11">'August''17'!$A$1:$AD$40</definedName>
    <definedName name="_xlnm.Print_Area" localSheetId="3">'Computer AC wise'!$A$1:$E$30</definedName>
    <definedName name="_xlnm.Print_Area" localSheetId="7">'December''17'!$A$1:$AD$40</definedName>
    <definedName name="_xlnm.Print_Area" localSheetId="18">'February''17'!$A$1:$AE$42</definedName>
    <definedName name="_xlnm.Print_Area" localSheetId="2">'HBA AC wise'!$A$1:$E$25</definedName>
    <definedName name="_xlnm.Print_Area" localSheetId="19">'January''17'!$A$1:$AE$42</definedName>
    <definedName name="_xlnm.Print_Area" localSheetId="12">'July''17'!$A$1:$AE$41</definedName>
    <definedName name="_xlnm.Print_Area" localSheetId="13">'June''17'!$A$1:$AE$41</definedName>
    <definedName name="_xlnm.Print_Area" localSheetId="17">'March''17'!$A$1:$AE$41</definedName>
    <definedName name="_xlnm.Print_Area" localSheetId="14">'May''17'!$A$1:$AE$41</definedName>
    <definedName name="_xlnm.Print_Area" localSheetId="4">'MCA AC wise'!$A$1:$E$26</definedName>
    <definedName name="_xlnm.Print_Area" localSheetId="8">'November''17'!$A$1:$AD$40</definedName>
    <definedName name="_xlnm.Print_Area" localSheetId="9">'October''17'!$A$1:$AE$41</definedName>
    <definedName name="_xlnm.Print_Area" localSheetId="0">Salary!$A$1:$AF$39</definedName>
    <definedName name="_xlnm.Print_Area" localSheetId="1">'Salary AC wise'!$A$1:$E$30</definedName>
    <definedName name="_xlnm.Print_Area" localSheetId="10">'September''17'!$A$1:$AD$40</definedName>
    <definedName name="_xlnm.Print_Area" localSheetId="5">Voucher!$A$1:$N$39</definedName>
  </definedNames>
  <calcPr calcId="152511"/>
</workbook>
</file>

<file path=xl/calcChain.xml><?xml version="1.0" encoding="utf-8"?>
<calcChain xmlns="http://schemas.openxmlformats.org/spreadsheetml/2006/main">
  <c r="E14" i="75" l="1"/>
  <c r="D14" i="75"/>
  <c r="C14" i="75"/>
  <c r="E14" i="74"/>
  <c r="E13" i="74"/>
  <c r="D14" i="74"/>
  <c r="D13" i="74"/>
  <c r="C14" i="74"/>
  <c r="C13" i="74"/>
  <c r="E13" i="75"/>
  <c r="E12" i="75"/>
  <c r="E10" i="75"/>
  <c r="D13" i="75"/>
  <c r="D12" i="75"/>
  <c r="D10" i="75"/>
  <c r="C13" i="75"/>
  <c r="C12" i="75"/>
  <c r="C10" i="75"/>
  <c r="E12" i="74"/>
  <c r="E11" i="74"/>
  <c r="E10" i="74"/>
  <c r="D12" i="74"/>
  <c r="D11" i="74"/>
  <c r="D10" i="74"/>
  <c r="C12" i="74"/>
  <c r="C11" i="74"/>
  <c r="C10" i="74"/>
  <c r="I9" i="73"/>
  <c r="H9" i="73"/>
  <c r="E14" i="73"/>
  <c r="J9" i="73" l="1"/>
  <c r="AB20" i="69"/>
  <c r="AB16" i="69"/>
  <c r="AB21" i="69" l="1"/>
  <c r="AL18" i="69" s="1"/>
  <c r="D10" i="73"/>
  <c r="D9" i="73"/>
  <c r="C11" i="73"/>
  <c r="C10" i="73"/>
  <c r="C9" i="73"/>
  <c r="E15" i="75"/>
  <c r="E4" i="71"/>
  <c r="D8" i="71"/>
  <c r="B8" i="71"/>
  <c r="C8" i="71"/>
  <c r="C7" i="71"/>
  <c r="H9" i="69"/>
  <c r="T9" i="69" s="1"/>
  <c r="D13" i="71"/>
  <c r="C13" i="71"/>
  <c r="H14" i="69"/>
  <c r="O14" i="69" s="1"/>
  <c r="Y14" i="69"/>
  <c r="D12" i="71"/>
  <c r="C12" i="71"/>
  <c r="B12" i="71"/>
  <c r="Y13" i="69"/>
  <c r="H13" i="69"/>
  <c r="T13" i="69" s="1"/>
  <c r="L3" i="76"/>
  <c r="K15" i="69"/>
  <c r="D13" i="73"/>
  <c r="C13" i="73"/>
  <c r="H13" i="73"/>
  <c r="E32" i="76"/>
  <c r="E13" i="76"/>
  <c r="A38" i="76"/>
  <c r="E15" i="74"/>
  <c r="D15" i="74"/>
  <c r="C15" i="74"/>
  <c r="J39" i="76"/>
  <c r="J38" i="76"/>
  <c r="A39" i="76"/>
  <c r="E39" i="76"/>
  <c r="E38" i="76"/>
  <c r="U20" i="69"/>
  <c r="W20" i="69"/>
  <c r="X20" i="69"/>
  <c r="Y20" i="69"/>
  <c r="Z20" i="69"/>
  <c r="AA20" i="69"/>
  <c r="AC20" i="69"/>
  <c r="AD20" i="69"/>
  <c r="V16" i="69"/>
  <c r="W16" i="69"/>
  <c r="X16" i="69"/>
  <c r="Z16" i="69"/>
  <c r="AA16" i="69"/>
  <c r="AC16" i="69"/>
  <c r="AD16" i="69"/>
  <c r="D30" i="76" l="1"/>
  <c r="K9" i="69"/>
  <c r="N9" i="69" s="1"/>
  <c r="O9" i="69"/>
  <c r="R9" i="69" s="1"/>
  <c r="AD21" i="69"/>
  <c r="T14" i="69"/>
  <c r="O13" i="69"/>
  <c r="P13" i="69" s="1"/>
  <c r="U13" i="69" s="1"/>
  <c r="K13" i="69"/>
  <c r="N13" i="69" s="1"/>
  <c r="K14" i="69"/>
  <c r="N14" i="69" s="1"/>
  <c r="R14" i="69"/>
  <c r="P14" i="69"/>
  <c r="U14" i="69" s="1"/>
  <c r="X21" i="69"/>
  <c r="Z21" i="69"/>
  <c r="W21" i="69"/>
  <c r="AC21" i="69"/>
  <c r="H11" i="73"/>
  <c r="H14" i="73" s="1"/>
  <c r="AA21" i="69"/>
  <c r="D29" i="76" s="1"/>
  <c r="Y10" i="69"/>
  <c r="Y11" i="69"/>
  <c r="Y12" i="69"/>
  <c r="AE14" i="69" l="1"/>
  <c r="AE9" i="69"/>
  <c r="Q9" i="69"/>
  <c r="Q13" i="69"/>
  <c r="R13" i="69"/>
  <c r="AE13" i="69" s="1"/>
  <c r="Q14" i="69"/>
  <c r="Y16" i="69"/>
  <c r="Y21" i="69" s="1"/>
  <c r="B10" i="71"/>
  <c r="C10" i="71"/>
  <c r="D10" i="71"/>
  <c r="B11" i="71"/>
  <c r="C11" i="71"/>
  <c r="D11" i="71"/>
  <c r="G16" i="69"/>
  <c r="I16" i="69"/>
  <c r="J16" i="69"/>
  <c r="L16" i="69"/>
  <c r="M16" i="69"/>
  <c r="F16" i="69"/>
  <c r="H12" i="69"/>
  <c r="T12" i="69" s="1"/>
  <c r="H11" i="69"/>
  <c r="T11" i="69" s="1"/>
  <c r="AF14" i="69" l="1"/>
  <c r="AF13" i="69"/>
  <c r="AF9" i="69"/>
  <c r="E8" i="71" s="1"/>
  <c r="E12" i="71"/>
  <c r="E13" i="71"/>
  <c r="O12" i="69"/>
  <c r="K12" i="69"/>
  <c r="K11" i="69"/>
  <c r="N11" i="69" s="1"/>
  <c r="O11" i="69"/>
  <c r="R11" i="69" s="1"/>
  <c r="N12" i="69"/>
  <c r="P12" i="69" l="1"/>
  <c r="R12" i="69"/>
  <c r="P11" i="69"/>
  <c r="F20" i="69"/>
  <c r="F21" i="69" s="1"/>
  <c r="D9" i="71"/>
  <c r="A3" i="76"/>
  <c r="E17" i="75"/>
  <c r="E16" i="75"/>
  <c r="D17" i="75"/>
  <c r="D9" i="75"/>
  <c r="D11" i="75"/>
  <c r="D16" i="75"/>
  <c r="C16" i="75"/>
  <c r="C11" i="75"/>
  <c r="C9" i="75"/>
  <c r="D9" i="74"/>
  <c r="C9" i="74"/>
  <c r="D12" i="73"/>
  <c r="D11" i="73"/>
  <c r="C12" i="73"/>
  <c r="D16" i="71"/>
  <c r="D17" i="71"/>
  <c r="D15" i="71"/>
  <c r="D14" i="71"/>
  <c r="D7" i="71"/>
  <c r="C16" i="71"/>
  <c r="C17" i="71"/>
  <c r="C15" i="71"/>
  <c r="B14" i="71"/>
  <c r="C14" i="71"/>
  <c r="B7" i="71"/>
  <c r="B9" i="71"/>
  <c r="C9" i="71"/>
  <c r="B17" i="71"/>
  <c r="B16" i="71"/>
  <c r="B15" i="71"/>
  <c r="E9" i="74"/>
  <c r="E11" i="75"/>
  <c r="E9" i="75"/>
  <c r="L12" i="76"/>
  <c r="L11" i="76"/>
  <c r="L10" i="76"/>
  <c r="L9" i="76"/>
  <c r="L8" i="76"/>
  <c r="L7" i="76"/>
  <c r="L6" i="76"/>
  <c r="L5" i="76"/>
  <c r="A2" i="76"/>
  <c r="E5" i="75"/>
  <c r="E5" i="74"/>
  <c r="E5" i="73"/>
  <c r="F26" i="70"/>
  <c r="F25" i="70"/>
  <c r="E24" i="70"/>
  <c r="D24" i="70"/>
  <c r="B20" i="70"/>
  <c r="B19" i="70"/>
  <c r="B21" i="70"/>
  <c r="F10" i="70"/>
  <c r="F8" i="70"/>
  <c r="F11" i="70" s="1"/>
  <c r="F13" i="70" s="1"/>
  <c r="F9" i="70"/>
  <c r="E8" i="70"/>
  <c r="D8" i="70"/>
  <c r="B4" i="70"/>
  <c r="B5" i="70" s="1"/>
  <c r="B3" i="70"/>
  <c r="H10" i="69"/>
  <c r="T10" i="69" s="1"/>
  <c r="BV54" i="69"/>
  <c r="S22" i="69"/>
  <c r="D27" i="76"/>
  <c r="U22" i="69"/>
  <c r="P20" i="69"/>
  <c r="P22" i="69" s="1"/>
  <c r="M20" i="69"/>
  <c r="M21" i="69" s="1"/>
  <c r="D9" i="76" s="1"/>
  <c r="L20" i="69"/>
  <c r="J20" i="69"/>
  <c r="J21" i="69" s="1"/>
  <c r="I20" i="69"/>
  <c r="I21" i="69" s="1"/>
  <c r="D5" i="76" s="1"/>
  <c r="G20" i="69"/>
  <c r="H19" i="69"/>
  <c r="H18" i="69"/>
  <c r="T18" i="69" s="1"/>
  <c r="H17" i="69"/>
  <c r="H15" i="69"/>
  <c r="H8" i="69"/>
  <c r="BU58" i="68"/>
  <c r="R25" i="68"/>
  <c r="R24" i="68"/>
  <c r="AB22" i="68"/>
  <c r="AB25" i="68" s="1"/>
  <c r="Z22" i="68"/>
  <c r="Y22" i="68"/>
  <c r="W22" i="68"/>
  <c r="W25" i="68" s="1"/>
  <c r="V22" i="68"/>
  <c r="V25" i="68"/>
  <c r="T22" i="68"/>
  <c r="T25" i="68" s="1"/>
  <c r="O22" i="68"/>
  <c r="O25" i="68" s="1"/>
  <c r="L22" i="68"/>
  <c r="L25" i="68" s="1"/>
  <c r="K22" i="68"/>
  <c r="K25" i="68" s="1"/>
  <c r="I22" i="68"/>
  <c r="I25" i="68" s="1"/>
  <c r="H22" i="68"/>
  <c r="H24" i="68" s="1"/>
  <c r="F22" i="68"/>
  <c r="F25" i="68" s="1"/>
  <c r="E22" i="68"/>
  <c r="G21" i="68"/>
  <c r="U20" i="68"/>
  <c r="U22" i="68" s="1"/>
  <c r="G20" i="68"/>
  <c r="N20" i="68" s="1"/>
  <c r="Q20" i="68" s="1"/>
  <c r="J19" i="68"/>
  <c r="G19" i="68"/>
  <c r="X19" i="68" s="1"/>
  <c r="AB18" i="68"/>
  <c r="AB23" i="68" s="1"/>
  <c r="AA18" i="68"/>
  <c r="AA23" i="68" s="1"/>
  <c r="AA24" i="68" s="1"/>
  <c r="AJ8" i="68" s="1"/>
  <c r="Z18" i="68"/>
  <c r="Z23" i="68" s="1"/>
  <c r="Y18" i="68"/>
  <c r="Y23" i="68"/>
  <c r="W18" i="68"/>
  <c r="W23" i="68" s="1"/>
  <c r="V18" i="68"/>
  <c r="V23" i="68" s="1"/>
  <c r="V24" i="68" s="1"/>
  <c r="AG20" i="68" s="1"/>
  <c r="L18" i="68"/>
  <c r="L23" i="68" s="1"/>
  <c r="K18" i="68"/>
  <c r="K23" i="68" s="1"/>
  <c r="K24" i="68" s="1"/>
  <c r="I18" i="68"/>
  <c r="I23" i="68" s="1"/>
  <c r="H18" i="68"/>
  <c r="H23" i="68" s="1"/>
  <c r="F18" i="68"/>
  <c r="F23" i="68" s="1"/>
  <c r="E18" i="68"/>
  <c r="E23" i="68" s="1"/>
  <c r="E24" i="68" s="1"/>
  <c r="G17" i="68"/>
  <c r="S17" i="68" s="1"/>
  <c r="G16" i="68"/>
  <c r="T15" i="68"/>
  <c r="G15" i="68"/>
  <c r="N15" i="68" s="1"/>
  <c r="Q15" i="68" s="1"/>
  <c r="T14" i="68"/>
  <c r="G14" i="68"/>
  <c r="S14" i="68" s="1"/>
  <c r="G13" i="68"/>
  <c r="M13" i="68" s="1"/>
  <c r="G12" i="68"/>
  <c r="S12" i="68" s="1"/>
  <c r="T12" i="68" s="1"/>
  <c r="J11" i="68"/>
  <c r="G11" i="68"/>
  <c r="N11" i="68"/>
  <c r="G10" i="68"/>
  <c r="G18" i="68" s="1"/>
  <c r="G23" i="68" s="1"/>
  <c r="G24" i="68" s="1"/>
  <c r="BU58" i="67"/>
  <c r="R25" i="67"/>
  <c r="R24" i="67"/>
  <c r="AB22" i="67"/>
  <c r="AB25" i="67" s="1"/>
  <c r="Z22" i="67"/>
  <c r="Y22" i="67"/>
  <c r="Y25" i="67" s="1"/>
  <c r="W22" i="67"/>
  <c r="W25" i="67" s="1"/>
  <c r="V22" i="67"/>
  <c r="T22" i="67"/>
  <c r="T25" i="67" s="1"/>
  <c r="O22" i="67"/>
  <c r="O25" i="67" s="1"/>
  <c r="L22" i="67"/>
  <c r="L25" i="67" s="1"/>
  <c r="K22" i="67"/>
  <c r="K25" i="67" s="1"/>
  <c r="I22" i="67"/>
  <c r="I25" i="67" s="1"/>
  <c r="H22" i="67"/>
  <c r="F22" i="67"/>
  <c r="F25" i="67" s="1"/>
  <c r="E22" i="67"/>
  <c r="E25" i="67" s="1"/>
  <c r="G21" i="67"/>
  <c r="U20" i="67"/>
  <c r="U22" i="67" s="1"/>
  <c r="U25" i="67" s="1"/>
  <c r="G20" i="67"/>
  <c r="G19" i="67"/>
  <c r="S19" i="67" s="1"/>
  <c r="S22" i="67" s="1"/>
  <c r="S25" i="67" s="1"/>
  <c r="AB18" i="67"/>
  <c r="AB23" i="67" s="1"/>
  <c r="AA18" i="67"/>
  <c r="AA23" i="67" s="1"/>
  <c r="AA24" i="67" s="1"/>
  <c r="AJ8" i="67" s="1"/>
  <c r="Z18" i="67"/>
  <c r="Z23" i="67" s="1"/>
  <c r="Y18" i="67"/>
  <c r="Y23" i="67"/>
  <c r="W18" i="67"/>
  <c r="W23" i="67" s="1"/>
  <c r="V18" i="67"/>
  <c r="V23" i="67"/>
  <c r="L18" i="67"/>
  <c r="L23" i="67" s="1"/>
  <c r="L24" i="67" s="1"/>
  <c r="K18" i="67"/>
  <c r="K23" i="67" s="1"/>
  <c r="I18" i="67"/>
  <c r="I23" i="67" s="1"/>
  <c r="H18" i="67"/>
  <c r="H23" i="67" s="1"/>
  <c r="F18" i="67"/>
  <c r="F23" i="67"/>
  <c r="E18" i="67"/>
  <c r="E23" i="67" s="1"/>
  <c r="G17" i="67"/>
  <c r="G16" i="67"/>
  <c r="T15" i="67"/>
  <c r="G15" i="67"/>
  <c r="T14" i="67"/>
  <c r="G14" i="67"/>
  <c r="G13" i="67"/>
  <c r="G12" i="67"/>
  <c r="M12" i="67" s="1"/>
  <c r="G11" i="67"/>
  <c r="G10" i="67"/>
  <c r="BV59" i="66"/>
  <c r="R25" i="66"/>
  <c r="R24" i="66"/>
  <c r="AC22" i="66"/>
  <c r="AC25" i="66" s="1"/>
  <c r="AA22" i="66"/>
  <c r="Z22" i="66"/>
  <c r="Z25" i="66" s="1"/>
  <c r="X22" i="66"/>
  <c r="X25" i="66" s="1"/>
  <c r="W22" i="66"/>
  <c r="W25" i="66" s="1"/>
  <c r="T22" i="66"/>
  <c r="T25" i="66" s="1"/>
  <c r="O22" i="66"/>
  <c r="O25" i="66" s="1"/>
  <c r="L22" i="66"/>
  <c r="L25" i="66" s="1"/>
  <c r="K22" i="66"/>
  <c r="I22" i="66"/>
  <c r="I25" i="66" s="1"/>
  <c r="H22" i="66"/>
  <c r="F22" i="66"/>
  <c r="E22" i="66"/>
  <c r="E25" i="66" s="1"/>
  <c r="G21" i="66"/>
  <c r="U20" i="66"/>
  <c r="U22" i="66" s="1"/>
  <c r="G20" i="66"/>
  <c r="G19" i="66"/>
  <c r="Y19" i="66" s="1"/>
  <c r="AC18" i="66"/>
  <c r="AC23" i="66" s="1"/>
  <c r="AC24" i="66" s="1"/>
  <c r="AJ20" i="66" s="1"/>
  <c r="AB18" i="66"/>
  <c r="AB23" i="66" s="1"/>
  <c r="AB24" i="66" s="1"/>
  <c r="AK8" i="66" s="1"/>
  <c r="AA18" i="66"/>
  <c r="AA23" i="66" s="1"/>
  <c r="Z18" i="66"/>
  <c r="Z23" i="66" s="1"/>
  <c r="Z24" i="66" s="1"/>
  <c r="AI20" i="66" s="1"/>
  <c r="X18" i="66"/>
  <c r="X23" i="66" s="1"/>
  <c r="W18" i="66"/>
  <c r="W23" i="66" s="1"/>
  <c r="L18" i="66"/>
  <c r="L23" i="66" s="1"/>
  <c r="K18" i="66"/>
  <c r="K23" i="66" s="1"/>
  <c r="I18" i="66"/>
  <c r="I23" i="66" s="1"/>
  <c r="H18" i="66"/>
  <c r="H23" i="66" s="1"/>
  <c r="F18" i="66"/>
  <c r="F23" i="66" s="1"/>
  <c r="E18" i="66"/>
  <c r="E23" i="66" s="1"/>
  <c r="E24" i="66" s="1"/>
  <c r="G17" i="66"/>
  <c r="J16" i="66"/>
  <c r="M16" i="66" s="1"/>
  <c r="G16" i="66"/>
  <c r="V16" i="66" s="1"/>
  <c r="T15" i="66"/>
  <c r="G15" i="66"/>
  <c r="S15" i="66" s="1"/>
  <c r="T14" i="66"/>
  <c r="G14" i="66"/>
  <c r="S13" i="66"/>
  <c r="G13" i="66"/>
  <c r="G12" i="66"/>
  <c r="J11" i="66"/>
  <c r="M11" i="66" s="1"/>
  <c r="G11" i="66"/>
  <c r="N11" i="66" s="1"/>
  <c r="Q11" i="66" s="1"/>
  <c r="G10" i="66"/>
  <c r="BU58" i="65"/>
  <c r="R25" i="65"/>
  <c r="R24" i="65"/>
  <c r="AB22" i="65"/>
  <c r="AB25" i="65" s="1"/>
  <c r="Z22" i="65"/>
  <c r="Z25" i="65" s="1"/>
  <c r="Y22" i="65"/>
  <c r="Y25" i="65" s="1"/>
  <c r="W22" i="65"/>
  <c r="V22" i="65"/>
  <c r="V25" i="65" s="1"/>
  <c r="T22" i="65"/>
  <c r="T25" i="65" s="1"/>
  <c r="O22" i="65"/>
  <c r="O25" i="65" s="1"/>
  <c r="L22" i="65"/>
  <c r="L25" i="65" s="1"/>
  <c r="K22" i="65"/>
  <c r="K25" i="65" s="1"/>
  <c r="I22" i="65"/>
  <c r="I24" i="65" s="1"/>
  <c r="H22" i="65"/>
  <c r="F22" i="65"/>
  <c r="F25" i="65" s="1"/>
  <c r="E22" i="65"/>
  <c r="E25" i="65" s="1"/>
  <c r="G21" i="65"/>
  <c r="U20" i="65"/>
  <c r="U22" i="65" s="1"/>
  <c r="U25" i="65" s="1"/>
  <c r="G20" i="65"/>
  <c r="G19" i="65"/>
  <c r="X19" i="65" s="1"/>
  <c r="AB18" i="65"/>
  <c r="AB23" i="65" s="1"/>
  <c r="AA18" i="65"/>
  <c r="AA23" i="65" s="1"/>
  <c r="AA24" i="65" s="1"/>
  <c r="AJ8" i="65" s="1"/>
  <c r="Z18" i="65"/>
  <c r="Z23" i="65" s="1"/>
  <c r="Z24" i="65" s="1"/>
  <c r="Y18" i="65"/>
  <c r="Y23" i="65" s="1"/>
  <c r="W18" i="65"/>
  <c r="W23" i="65" s="1"/>
  <c r="V18" i="65"/>
  <c r="V23" i="65" s="1"/>
  <c r="L18" i="65"/>
  <c r="L23" i="65"/>
  <c r="K18" i="65"/>
  <c r="K23" i="65" s="1"/>
  <c r="K24" i="65" s="1"/>
  <c r="I18" i="65"/>
  <c r="I23" i="65" s="1"/>
  <c r="H18" i="65"/>
  <c r="H23" i="65" s="1"/>
  <c r="H24" i="65" s="1"/>
  <c r="F18" i="65"/>
  <c r="F23" i="65" s="1"/>
  <c r="E18" i="65"/>
  <c r="E23" i="65" s="1"/>
  <c r="E24" i="65" s="1"/>
  <c r="G17" i="65"/>
  <c r="J17" i="65" s="1"/>
  <c r="U17" i="65" s="1"/>
  <c r="G16" i="65"/>
  <c r="G18" i="65" s="1"/>
  <c r="G23" i="65" s="1"/>
  <c r="T15" i="65"/>
  <c r="G15" i="65"/>
  <c r="J15" i="65" s="1"/>
  <c r="T14" i="65"/>
  <c r="G14" i="65"/>
  <c r="J14" i="65"/>
  <c r="G13" i="65"/>
  <c r="S13" i="65" s="1"/>
  <c r="G12" i="65"/>
  <c r="M12" i="65"/>
  <c r="G11" i="65"/>
  <c r="G10" i="65"/>
  <c r="N10" i="65" s="1"/>
  <c r="M20" i="64"/>
  <c r="G10" i="64"/>
  <c r="G11" i="64"/>
  <c r="G12" i="64"/>
  <c r="M12" i="64" s="1"/>
  <c r="G13" i="64"/>
  <c r="G14" i="64"/>
  <c r="T14" i="64"/>
  <c r="G15" i="64"/>
  <c r="T15" i="64"/>
  <c r="G16" i="64"/>
  <c r="N16" i="64" s="1"/>
  <c r="O16" i="64" s="1"/>
  <c r="T16" i="64" s="1"/>
  <c r="G17" i="64"/>
  <c r="E18" i="64"/>
  <c r="E23" i="64" s="1"/>
  <c r="F18" i="64"/>
  <c r="F23" i="64" s="1"/>
  <c r="H18" i="64"/>
  <c r="H23" i="64" s="1"/>
  <c r="I18" i="64"/>
  <c r="K18" i="64"/>
  <c r="K23" i="64" s="1"/>
  <c r="K24" i="64" s="1"/>
  <c r="L18" i="64"/>
  <c r="L23" i="64" s="1"/>
  <c r="V18" i="64"/>
  <c r="V23" i="64" s="1"/>
  <c r="V24" i="64" s="1"/>
  <c r="AI20" i="64" s="1"/>
  <c r="W18" i="64"/>
  <c r="W23" i="64" s="1"/>
  <c r="Y18" i="64"/>
  <c r="Y23" i="64" s="1"/>
  <c r="Z18" i="64"/>
  <c r="Z23" i="64" s="1"/>
  <c r="AA18" i="64"/>
  <c r="AA23" i="64" s="1"/>
  <c r="AA24" i="64" s="1"/>
  <c r="AH8" i="64" s="1"/>
  <c r="AB18" i="64"/>
  <c r="AB23" i="64" s="1"/>
  <c r="G19" i="64"/>
  <c r="G20" i="64"/>
  <c r="X20" i="64" s="1"/>
  <c r="U20" i="64"/>
  <c r="U22" i="64" s="1"/>
  <c r="G21" i="64"/>
  <c r="J21" i="64"/>
  <c r="E22" i="64"/>
  <c r="E25" i="64" s="1"/>
  <c r="F22" i="64"/>
  <c r="H22" i="64"/>
  <c r="I22" i="64"/>
  <c r="I24" i="64" s="1"/>
  <c r="K22" i="64"/>
  <c r="K25" i="64" s="1"/>
  <c r="L22" i="64"/>
  <c r="L25" i="64" s="1"/>
  <c r="O22" i="64"/>
  <c r="T22" i="64"/>
  <c r="V22" i="64"/>
  <c r="V25" i="64" s="1"/>
  <c r="W22" i="64"/>
  <c r="W25" i="64" s="1"/>
  <c r="Y22" i="64"/>
  <c r="Y25" i="64" s="1"/>
  <c r="Z22" i="64"/>
  <c r="AB22" i="64"/>
  <c r="AB25" i="64" s="1"/>
  <c r="I23" i="64"/>
  <c r="R24" i="64"/>
  <c r="O25" i="64"/>
  <c r="R25" i="64"/>
  <c r="BW58" i="64"/>
  <c r="G10" i="63"/>
  <c r="O10" i="63" s="1"/>
  <c r="R10" i="63" s="1"/>
  <c r="K10" i="63"/>
  <c r="G11" i="63"/>
  <c r="T11" i="63" s="1"/>
  <c r="G12" i="63"/>
  <c r="O12" i="63" s="1"/>
  <c r="G13" i="63"/>
  <c r="T13" i="63" s="1"/>
  <c r="G14" i="63"/>
  <c r="O14" i="63" s="1"/>
  <c r="R14" i="63" s="1"/>
  <c r="U14" i="63"/>
  <c r="G15" i="63"/>
  <c r="T15" i="63" s="1"/>
  <c r="U15" i="63"/>
  <c r="G16" i="63"/>
  <c r="K16" i="63" s="1"/>
  <c r="O16" i="63"/>
  <c r="R16" i="63" s="1"/>
  <c r="G17" i="63"/>
  <c r="O17" i="63" s="1"/>
  <c r="R17" i="63" s="1"/>
  <c r="E18" i="63"/>
  <c r="E23" i="63" s="1"/>
  <c r="F18" i="63"/>
  <c r="H18" i="63"/>
  <c r="H23" i="63" s="1"/>
  <c r="I18" i="63"/>
  <c r="I23" i="63" s="1"/>
  <c r="J18" i="63"/>
  <c r="J23" i="63" s="1"/>
  <c r="L18" i="63"/>
  <c r="L23" i="63" s="1"/>
  <c r="M18" i="63"/>
  <c r="M23" i="63" s="1"/>
  <c r="W18" i="63"/>
  <c r="W23" i="63"/>
  <c r="X18" i="63"/>
  <c r="X23" i="63" s="1"/>
  <c r="Z18" i="63"/>
  <c r="Z23" i="63" s="1"/>
  <c r="AA18" i="63"/>
  <c r="AB18" i="63"/>
  <c r="AC18" i="63"/>
  <c r="AC23" i="63" s="1"/>
  <c r="G19" i="63"/>
  <c r="G20" i="63"/>
  <c r="Y20" i="63" s="1"/>
  <c r="V20" i="63"/>
  <c r="V22" i="63" s="1"/>
  <c r="V25" i="63" s="1"/>
  <c r="G21" i="63"/>
  <c r="E22" i="63"/>
  <c r="E25" i="63" s="1"/>
  <c r="F22" i="63"/>
  <c r="H22" i="63"/>
  <c r="I22" i="63"/>
  <c r="I24" i="63" s="1"/>
  <c r="J22" i="63"/>
  <c r="L22" i="63"/>
  <c r="L25" i="63" s="1"/>
  <c r="M22" i="63"/>
  <c r="P22" i="63"/>
  <c r="P25" i="63"/>
  <c r="U22" i="63"/>
  <c r="U25" i="63" s="1"/>
  <c r="W22" i="63"/>
  <c r="X22" i="63"/>
  <c r="X24" i="63" s="1"/>
  <c r="Z22" i="63"/>
  <c r="Z25" i="63" s="1"/>
  <c r="AA22" i="63"/>
  <c r="AC22" i="63"/>
  <c r="AC25" i="63" s="1"/>
  <c r="F23" i="63"/>
  <c r="AA23" i="63"/>
  <c r="AB23" i="63"/>
  <c r="AB24" i="63" s="1"/>
  <c r="AI8" i="63" s="1"/>
  <c r="S24" i="63"/>
  <c r="S25" i="63"/>
  <c r="AA25" i="63"/>
  <c r="BX59" i="63"/>
  <c r="BV59" i="62"/>
  <c r="S25" i="62"/>
  <c r="S24" i="62"/>
  <c r="AC22" i="62"/>
  <c r="AC25" i="62" s="1"/>
  <c r="AA22" i="62"/>
  <c r="Z22" i="62"/>
  <c r="Z25" i="62" s="1"/>
  <c r="X22" i="62"/>
  <c r="X25" i="62" s="1"/>
  <c r="W22" i="62"/>
  <c r="U22" i="62"/>
  <c r="U25" i="62" s="1"/>
  <c r="P22" i="62"/>
  <c r="P25" i="62" s="1"/>
  <c r="M22" i="62"/>
  <c r="L22" i="62"/>
  <c r="L25" i="62" s="1"/>
  <c r="J22" i="62"/>
  <c r="J25" i="62"/>
  <c r="I22" i="62"/>
  <c r="H22" i="62"/>
  <c r="F22" i="62"/>
  <c r="F25" i="62"/>
  <c r="E22" i="62"/>
  <c r="G21" i="62"/>
  <c r="O21" i="62" s="1"/>
  <c r="R21" i="62" s="1"/>
  <c r="G20" i="62"/>
  <c r="Y20" i="62"/>
  <c r="G19" i="62"/>
  <c r="Y19" i="62" s="1"/>
  <c r="AC18" i="62"/>
  <c r="AC23" i="62" s="1"/>
  <c r="AC24" i="62" s="1"/>
  <c r="AI20" i="62" s="1"/>
  <c r="AB18" i="62"/>
  <c r="AB23" i="62" s="1"/>
  <c r="AB24" i="62" s="1"/>
  <c r="AG8" i="62" s="1"/>
  <c r="AA18" i="62"/>
  <c r="AA23" i="62" s="1"/>
  <c r="AA24" i="62" s="1"/>
  <c r="Z18" i="62"/>
  <c r="Z23" i="62" s="1"/>
  <c r="X18" i="62"/>
  <c r="X23" i="62" s="1"/>
  <c r="X24" i="62" s="1"/>
  <c r="W18" i="62"/>
  <c r="W23" i="62"/>
  <c r="M18" i="62"/>
  <c r="M23" i="62" s="1"/>
  <c r="L18" i="62"/>
  <c r="L23" i="62" s="1"/>
  <c r="J18" i="62"/>
  <c r="J23" i="62" s="1"/>
  <c r="I18" i="62"/>
  <c r="I23" i="62"/>
  <c r="I24" i="62" s="1"/>
  <c r="H18" i="62"/>
  <c r="H23" i="62" s="1"/>
  <c r="F18" i="62"/>
  <c r="F23" i="62" s="1"/>
  <c r="E18" i="62"/>
  <c r="E23" i="62" s="1"/>
  <c r="G17" i="62"/>
  <c r="T17" i="62" s="1"/>
  <c r="G16" i="62"/>
  <c r="U15" i="62"/>
  <c r="G15" i="62"/>
  <c r="T15" i="62" s="1"/>
  <c r="U14" i="62"/>
  <c r="G14" i="62"/>
  <c r="G13" i="62"/>
  <c r="G12" i="62"/>
  <c r="G11" i="62"/>
  <c r="O11" i="62" s="1"/>
  <c r="R11" i="62" s="1"/>
  <c r="AD11" i="62" s="1"/>
  <c r="K11" i="62"/>
  <c r="G10" i="62"/>
  <c r="BV59" i="61"/>
  <c r="X25" i="61"/>
  <c r="S25" i="61"/>
  <c r="S24" i="61"/>
  <c r="AC22" i="61"/>
  <c r="AC25" i="61" s="1"/>
  <c r="AA22" i="61"/>
  <c r="Z22" i="61"/>
  <c r="X22" i="61"/>
  <c r="W22" i="61"/>
  <c r="W25" i="61" s="1"/>
  <c r="U22" i="61"/>
  <c r="U25" i="61" s="1"/>
  <c r="P22" i="61"/>
  <c r="M22" i="61"/>
  <c r="L22" i="61"/>
  <c r="J22" i="61"/>
  <c r="J25" i="61" s="1"/>
  <c r="I22" i="61"/>
  <c r="I24" i="61" s="1"/>
  <c r="H22" i="61"/>
  <c r="F22" i="61"/>
  <c r="E22" i="61"/>
  <c r="G21" i="61"/>
  <c r="G20" i="61"/>
  <c r="T20" i="61" s="1"/>
  <c r="K20" i="61"/>
  <c r="V20" i="61" s="1"/>
  <c r="V22" i="61" s="1"/>
  <c r="O20" i="61"/>
  <c r="R20" i="61" s="1"/>
  <c r="O19" i="61"/>
  <c r="G19" i="61"/>
  <c r="T19" i="61" s="1"/>
  <c r="N19" i="61"/>
  <c r="AC18" i="61"/>
  <c r="AC23" i="61" s="1"/>
  <c r="AB18" i="61"/>
  <c r="AB23" i="61" s="1"/>
  <c r="AB24" i="61" s="1"/>
  <c r="AG8" i="61" s="1"/>
  <c r="AA18" i="61"/>
  <c r="AA23" i="61"/>
  <c r="Z18" i="61"/>
  <c r="Z23" i="61" s="1"/>
  <c r="Z24" i="61" s="1"/>
  <c r="X18" i="61"/>
  <c r="X23" i="61"/>
  <c r="X24" i="61" s="1"/>
  <c r="W18" i="61"/>
  <c r="W23" i="61" s="1"/>
  <c r="W24" i="61" s="1"/>
  <c r="M18" i="61"/>
  <c r="M23" i="61"/>
  <c r="L18" i="61"/>
  <c r="L23" i="61" s="1"/>
  <c r="J18" i="61"/>
  <c r="J23" i="61"/>
  <c r="J24" i="61" s="1"/>
  <c r="I18" i="61"/>
  <c r="I23" i="61" s="1"/>
  <c r="H18" i="61"/>
  <c r="H23" i="61" s="1"/>
  <c r="F18" i="61"/>
  <c r="F23" i="61"/>
  <c r="E18" i="61"/>
  <c r="E23" i="61" s="1"/>
  <c r="G17" i="61"/>
  <c r="K17" i="61" s="1"/>
  <c r="V17" i="61" s="1"/>
  <c r="O16" i="61"/>
  <c r="G16" i="61"/>
  <c r="U15" i="61"/>
  <c r="O15" i="61"/>
  <c r="R15" i="61" s="1"/>
  <c r="G15" i="61"/>
  <c r="U14" i="61"/>
  <c r="G14" i="61"/>
  <c r="T14" i="61" s="1"/>
  <c r="K14" i="61"/>
  <c r="V14" i="61" s="1"/>
  <c r="O14" i="61"/>
  <c r="R14" i="61" s="1"/>
  <c r="G13" i="61"/>
  <c r="G12" i="61"/>
  <c r="O12" i="61"/>
  <c r="K12" i="61"/>
  <c r="N12" i="61" s="1"/>
  <c r="G11" i="61"/>
  <c r="T11" i="61" s="1"/>
  <c r="G10" i="61"/>
  <c r="G18" i="59"/>
  <c r="G23" i="59" s="1"/>
  <c r="G22" i="59"/>
  <c r="AC25" i="60"/>
  <c r="S25" i="60"/>
  <c r="S24" i="60"/>
  <c r="AC22" i="60"/>
  <c r="AA22" i="60"/>
  <c r="Z22" i="60"/>
  <c r="Z25" i="60" s="1"/>
  <c r="X22" i="60"/>
  <c r="W22" i="60"/>
  <c r="W25" i="60" s="1"/>
  <c r="U22" i="60"/>
  <c r="U25" i="60" s="1"/>
  <c r="P22" i="60"/>
  <c r="M22" i="60"/>
  <c r="M25" i="60" s="1"/>
  <c r="L22" i="60"/>
  <c r="J22" i="60"/>
  <c r="J25" i="60" s="1"/>
  <c r="I22" i="60"/>
  <c r="I25" i="60" s="1"/>
  <c r="H22" i="60"/>
  <c r="H24" i="60" s="1"/>
  <c r="F22" i="60"/>
  <c r="E22" i="60"/>
  <c r="E25" i="60" s="1"/>
  <c r="G21" i="60"/>
  <c r="G20" i="60"/>
  <c r="O20" i="60" s="1"/>
  <c r="R20" i="60" s="1"/>
  <c r="G19" i="60"/>
  <c r="AC18" i="60"/>
  <c r="AC23" i="60" s="1"/>
  <c r="AC24" i="60" s="1"/>
  <c r="AI20" i="60" s="1"/>
  <c r="AB18" i="60"/>
  <c r="AB23" i="60" s="1"/>
  <c r="AB24" i="60" s="1"/>
  <c r="AG8" i="60" s="1"/>
  <c r="AA18" i="60"/>
  <c r="AA23" i="60"/>
  <c r="Z18" i="60"/>
  <c r="Z23" i="60" s="1"/>
  <c r="X18" i="60"/>
  <c r="X23" i="60" s="1"/>
  <c r="W18" i="60"/>
  <c r="W23" i="60" s="1"/>
  <c r="W24" i="60" s="1"/>
  <c r="M18" i="60"/>
  <c r="M23" i="60" s="1"/>
  <c r="L18" i="60"/>
  <c r="L23" i="60" s="1"/>
  <c r="J18" i="60"/>
  <c r="J23" i="60" s="1"/>
  <c r="I18" i="60"/>
  <c r="I23" i="60" s="1"/>
  <c r="H18" i="60"/>
  <c r="H23" i="60" s="1"/>
  <c r="F18" i="60"/>
  <c r="F23" i="60" s="1"/>
  <c r="E18" i="60"/>
  <c r="E23" i="60" s="1"/>
  <c r="E24" i="60" s="1"/>
  <c r="G17" i="60"/>
  <c r="N17" i="60" s="1"/>
  <c r="Q17" i="60" s="1"/>
  <c r="G16" i="60"/>
  <c r="K16" i="60" s="1"/>
  <c r="U15" i="60"/>
  <c r="G15" i="60"/>
  <c r="U14" i="60"/>
  <c r="G14" i="60"/>
  <c r="O14" i="60"/>
  <c r="R14" i="60" s="1"/>
  <c r="G13" i="60"/>
  <c r="O13" i="60" s="1"/>
  <c r="T13" i="60"/>
  <c r="G12" i="60"/>
  <c r="O12" i="60" s="1"/>
  <c r="G11" i="60"/>
  <c r="G10" i="60"/>
  <c r="L42" i="59"/>
  <c r="F20" i="59"/>
  <c r="F21" i="59"/>
  <c r="F17" i="59"/>
  <c r="H17" i="59" s="1"/>
  <c r="F16" i="59"/>
  <c r="F12" i="59"/>
  <c r="H12" i="59"/>
  <c r="E22" i="59"/>
  <c r="F19" i="59"/>
  <c r="H19" i="59" s="1"/>
  <c r="E18" i="59"/>
  <c r="E23" i="59" s="1"/>
  <c r="F15" i="59"/>
  <c r="H15" i="59"/>
  <c r="F14" i="59"/>
  <c r="H14" i="59" s="1"/>
  <c r="F13" i="59"/>
  <c r="H13" i="59" s="1"/>
  <c r="F11" i="59"/>
  <c r="H11" i="59"/>
  <c r="F10" i="59"/>
  <c r="H10" i="59" s="1"/>
  <c r="G12" i="58"/>
  <c r="S25" i="58"/>
  <c r="S24" i="58"/>
  <c r="AC22" i="58"/>
  <c r="AC25" i="58"/>
  <c r="AA22" i="58"/>
  <c r="AA25" i="58" s="1"/>
  <c r="Z22" i="58"/>
  <c r="Z25" i="58" s="1"/>
  <c r="X22" i="58"/>
  <c r="W22" i="58"/>
  <c r="U22" i="58"/>
  <c r="U25" i="58" s="1"/>
  <c r="P22" i="58"/>
  <c r="P25" i="58" s="1"/>
  <c r="M22" i="58"/>
  <c r="M25" i="58" s="1"/>
  <c r="L22" i="58"/>
  <c r="L25" i="58"/>
  <c r="J22" i="58"/>
  <c r="I22" i="58"/>
  <c r="I25" i="58" s="1"/>
  <c r="H22" i="58"/>
  <c r="F22" i="58"/>
  <c r="F25" i="58" s="1"/>
  <c r="E22" i="58"/>
  <c r="E25" i="58"/>
  <c r="G21" i="58"/>
  <c r="T21" i="58" s="1"/>
  <c r="G20" i="58"/>
  <c r="O20" i="58" s="1"/>
  <c r="R20" i="58" s="1"/>
  <c r="G19" i="58"/>
  <c r="Y19" i="58"/>
  <c r="AC18" i="58"/>
  <c r="AC23" i="58" s="1"/>
  <c r="AC24" i="58" s="1"/>
  <c r="AI20" i="58" s="1"/>
  <c r="AB18" i="58"/>
  <c r="AB23" i="58" s="1"/>
  <c r="AB24" i="58" s="1"/>
  <c r="AG8" i="58" s="1"/>
  <c r="AA18" i="58"/>
  <c r="AA23" i="58" s="1"/>
  <c r="Z18" i="58"/>
  <c r="Z23" i="58" s="1"/>
  <c r="Z24" i="58" s="1"/>
  <c r="X18" i="58"/>
  <c r="X23" i="58"/>
  <c r="X24" i="58" s="1"/>
  <c r="W18" i="58"/>
  <c r="W23" i="58" s="1"/>
  <c r="W24" i="58" s="1"/>
  <c r="M18" i="58"/>
  <c r="M23" i="58" s="1"/>
  <c r="L18" i="58"/>
  <c r="L23" i="58"/>
  <c r="L24" i="58" s="1"/>
  <c r="J18" i="58"/>
  <c r="J23" i="58" s="1"/>
  <c r="I18" i="58"/>
  <c r="I23" i="58" s="1"/>
  <c r="H18" i="58"/>
  <c r="H23" i="58" s="1"/>
  <c r="F18" i="58"/>
  <c r="F23" i="58" s="1"/>
  <c r="E18" i="58"/>
  <c r="E23" i="58"/>
  <c r="E24" i="58" s="1"/>
  <c r="G17" i="58"/>
  <c r="G16" i="58"/>
  <c r="T16" i="58" s="1"/>
  <c r="AD16" i="58" s="1"/>
  <c r="U15" i="58"/>
  <c r="G15" i="58"/>
  <c r="K15" i="58" s="1"/>
  <c r="V15" i="58" s="1"/>
  <c r="U14" i="58"/>
  <c r="G14" i="58"/>
  <c r="T14" i="58" s="1"/>
  <c r="G13" i="58"/>
  <c r="G11" i="58"/>
  <c r="O11" i="58" s="1"/>
  <c r="G10" i="58"/>
  <c r="G10" i="57"/>
  <c r="G11" i="57"/>
  <c r="G12" i="57"/>
  <c r="O12" i="57" s="1"/>
  <c r="G13" i="57"/>
  <c r="O13" i="57" s="1"/>
  <c r="G14" i="57"/>
  <c r="O14" i="57" s="1"/>
  <c r="U14" i="57"/>
  <c r="G15" i="57"/>
  <c r="O15" i="57" s="1"/>
  <c r="R15" i="57" s="1"/>
  <c r="U15" i="57"/>
  <c r="G16" i="57"/>
  <c r="U16" i="57"/>
  <c r="G17" i="57"/>
  <c r="P17" i="57" s="1"/>
  <c r="G18" i="57"/>
  <c r="E19" i="57"/>
  <c r="E24" i="57" s="1"/>
  <c r="F19" i="57"/>
  <c r="F24" i="57" s="1"/>
  <c r="H19" i="57"/>
  <c r="H24" i="57" s="1"/>
  <c r="I19" i="57"/>
  <c r="I24" i="57" s="1"/>
  <c r="J19" i="57"/>
  <c r="J24" i="57" s="1"/>
  <c r="J25" i="57" s="1"/>
  <c r="L19" i="57"/>
  <c r="L24" i="57" s="1"/>
  <c r="M19" i="57"/>
  <c r="M24" i="57" s="1"/>
  <c r="W19" i="57"/>
  <c r="X19" i="57"/>
  <c r="X24" i="57" s="1"/>
  <c r="Z19" i="57"/>
  <c r="Z24" i="57" s="1"/>
  <c r="AA19" i="57"/>
  <c r="AA24" i="57" s="1"/>
  <c r="AB19" i="57"/>
  <c r="AB24" i="57" s="1"/>
  <c r="AB25" i="57" s="1"/>
  <c r="AH8" i="57" s="1"/>
  <c r="AC19" i="57"/>
  <c r="AC24" i="57" s="1"/>
  <c r="G20" i="57"/>
  <c r="G21" i="57"/>
  <c r="G22" i="57"/>
  <c r="K22" i="57" s="1"/>
  <c r="E23" i="57"/>
  <c r="E26" i="57" s="1"/>
  <c r="F23" i="57"/>
  <c r="F26" i="57"/>
  <c r="H23" i="57"/>
  <c r="I23" i="57"/>
  <c r="J23" i="57"/>
  <c r="J26" i="57"/>
  <c r="L23" i="57"/>
  <c r="L26" i="57" s="1"/>
  <c r="M23" i="57"/>
  <c r="M26" i="57" s="1"/>
  <c r="P23" i="57"/>
  <c r="P26" i="57" s="1"/>
  <c r="U23" i="57"/>
  <c r="U26" i="57"/>
  <c r="W23" i="57"/>
  <c r="W26" i="57" s="1"/>
  <c r="X23" i="57"/>
  <c r="Z23" i="57"/>
  <c r="Z26" i="57" s="1"/>
  <c r="AA23" i="57"/>
  <c r="AA25" i="57" s="1"/>
  <c r="AA26" i="57"/>
  <c r="AC23" i="57"/>
  <c r="W24" i="57"/>
  <c r="S25" i="57"/>
  <c r="S26" i="57"/>
  <c r="G10" i="56"/>
  <c r="O10" i="56" s="1"/>
  <c r="G11" i="56"/>
  <c r="K11" i="56" s="1"/>
  <c r="N11" i="56" s="1"/>
  <c r="Q11" i="56" s="1"/>
  <c r="AE11" i="56" s="1"/>
  <c r="G12" i="56"/>
  <c r="P12" i="56" s="1"/>
  <c r="G13" i="56"/>
  <c r="K13" i="56" s="1"/>
  <c r="N13" i="56" s="1"/>
  <c r="G14" i="56"/>
  <c r="U14" i="56"/>
  <c r="G15" i="56"/>
  <c r="O15" i="56" s="1"/>
  <c r="U15" i="56"/>
  <c r="G16" i="56"/>
  <c r="U16" i="56"/>
  <c r="G17" i="56"/>
  <c r="G18" i="56"/>
  <c r="K18" i="56" s="1"/>
  <c r="V18" i="56" s="1"/>
  <c r="E19" i="56"/>
  <c r="E24" i="56" s="1"/>
  <c r="F19" i="56"/>
  <c r="F24" i="56" s="1"/>
  <c r="H19" i="56"/>
  <c r="H24" i="56" s="1"/>
  <c r="H25" i="56" s="1"/>
  <c r="I19" i="56"/>
  <c r="I24" i="56" s="1"/>
  <c r="J19" i="56"/>
  <c r="J24" i="56" s="1"/>
  <c r="L19" i="56"/>
  <c r="L24" i="56" s="1"/>
  <c r="M19" i="56"/>
  <c r="M24" i="56" s="1"/>
  <c r="W19" i="56"/>
  <c r="W24" i="56" s="1"/>
  <c r="X19" i="56"/>
  <c r="Z19" i="56"/>
  <c r="Z24" i="56" s="1"/>
  <c r="AA19" i="56"/>
  <c r="AA24" i="56" s="1"/>
  <c r="AB19" i="56"/>
  <c r="AB24" i="56" s="1"/>
  <c r="AB25" i="56" s="1"/>
  <c r="AH8" i="56" s="1"/>
  <c r="AC19" i="56"/>
  <c r="AC24" i="56" s="1"/>
  <c r="G20" i="56"/>
  <c r="O20" i="56" s="1"/>
  <c r="Q20" i="56" s="1"/>
  <c r="G21" i="56"/>
  <c r="K21" i="56" s="1"/>
  <c r="O21" i="56"/>
  <c r="R21" i="56" s="1"/>
  <c r="Y21" i="56"/>
  <c r="G22" i="56"/>
  <c r="K22" i="56" s="1"/>
  <c r="E23" i="56"/>
  <c r="F23" i="56"/>
  <c r="F26" i="56"/>
  <c r="H23" i="56"/>
  <c r="I23" i="56"/>
  <c r="J23" i="56"/>
  <c r="J26" i="56" s="1"/>
  <c r="L23" i="56"/>
  <c r="M23" i="56"/>
  <c r="P23" i="56"/>
  <c r="U23" i="56"/>
  <c r="U26" i="56" s="1"/>
  <c r="W23" i="56"/>
  <c r="X23" i="56"/>
  <c r="Z23" i="56"/>
  <c r="Z26" i="56"/>
  <c r="AA23" i="56"/>
  <c r="AC23" i="56"/>
  <c r="X24" i="56"/>
  <c r="S25" i="56"/>
  <c r="M26" i="56"/>
  <c r="P26" i="56"/>
  <c r="S26" i="56"/>
  <c r="T10" i="56"/>
  <c r="L25" i="56"/>
  <c r="K10" i="56"/>
  <c r="N10" i="56"/>
  <c r="Q10" i="56" s="1"/>
  <c r="L26" i="56"/>
  <c r="T18" i="56"/>
  <c r="N20" i="56"/>
  <c r="Y18" i="56"/>
  <c r="T21" i="56"/>
  <c r="P13" i="56"/>
  <c r="U13" i="56" s="1"/>
  <c r="T11" i="56"/>
  <c r="R20" i="56"/>
  <c r="AD20" i="56" s="1"/>
  <c r="AC26" i="56"/>
  <c r="T20" i="56"/>
  <c r="O18" i="56"/>
  <c r="R18" i="56" s="1"/>
  <c r="O17" i="56"/>
  <c r="R17" i="56" s="1"/>
  <c r="K15" i="56"/>
  <c r="T13" i="56"/>
  <c r="O13" i="56"/>
  <c r="R13" i="56" s="1"/>
  <c r="O11" i="56"/>
  <c r="R11" i="56" s="1"/>
  <c r="AD11" i="56"/>
  <c r="Y20" i="56"/>
  <c r="T15" i="56"/>
  <c r="Q13" i="56"/>
  <c r="W25" i="57"/>
  <c r="Y17" i="57"/>
  <c r="K13" i="57"/>
  <c r="N13" i="57" s="1"/>
  <c r="L25" i="57"/>
  <c r="P13" i="57"/>
  <c r="U13" i="57" s="1"/>
  <c r="P12" i="57"/>
  <c r="U12" i="57" s="1"/>
  <c r="O21" i="57"/>
  <c r="R21" i="57" s="1"/>
  <c r="R23" i="57" s="1"/>
  <c r="R26" i="57" s="1"/>
  <c r="K17" i="57"/>
  <c r="N17" i="57" s="1"/>
  <c r="Q17" i="57" s="1"/>
  <c r="AC25" i="57"/>
  <c r="K12" i="57"/>
  <c r="N12" i="57" s="1"/>
  <c r="T11" i="57"/>
  <c r="AC26" i="57"/>
  <c r="T22" i="57"/>
  <c r="O20" i="57"/>
  <c r="T17" i="57"/>
  <c r="O17" i="57"/>
  <c r="R17" i="57" s="1"/>
  <c r="T13" i="57"/>
  <c r="Y22" i="57"/>
  <c r="O22" i="57"/>
  <c r="R22" i="57" s="1"/>
  <c r="T12" i="57"/>
  <c r="O14" i="58"/>
  <c r="R14" i="58" s="1"/>
  <c r="K14" i="58"/>
  <c r="V14" i="58" s="1"/>
  <c r="T10" i="58"/>
  <c r="T11" i="58"/>
  <c r="Y16" i="58"/>
  <c r="Y23" i="58"/>
  <c r="K11" i="58"/>
  <c r="N11" i="58" s="1"/>
  <c r="O15" i="58"/>
  <c r="R15" i="58" s="1"/>
  <c r="K16" i="58"/>
  <c r="N16" i="58" s="1"/>
  <c r="T17" i="58"/>
  <c r="K17" i="58"/>
  <c r="V17" i="58"/>
  <c r="K13" i="58"/>
  <c r="N19" i="58"/>
  <c r="K21" i="58"/>
  <c r="N21" i="58"/>
  <c r="Q21" i="58" s="1"/>
  <c r="J25" i="58"/>
  <c r="P13" i="58"/>
  <c r="U13" i="58" s="1"/>
  <c r="T15" i="58"/>
  <c r="P16" i="58"/>
  <c r="U16" i="58" s="1"/>
  <c r="Y17" i="58"/>
  <c r="Y18" i="58" s="1"/>
  <c r="O21" i="58"/>
  <c r="R21" i="58" s="1"/>
  <c r="AD21" i="58" s="1"/>
  <c r="AE21" i="58" s="1"/>
  <c r="Y21" i="58"/>
  <c r="O13" i="58"/>
  <c r="R13" i="58"/>
  <c r="T13" i="58"/>
  <c r="O16" i="58"/>
  <c r="R16" i="58" s="1"/>
  <c r="O19" i="58"/>
  <c r="Q19" i="58" s="1"/>
  <c r="N17" i="58"/>
  <c r="M24" i="58"/>
  <c r="O17" i="58"/>
  <c r="R17" i="58"/>
  <c r="N15" i="58"/>
  <c r="Q15" i="58" s="1"/>
  <c r="T19" i="58"/>
  <c r="O12" i="58"/>
  <c r="AD14" i="58"/>
  <c r="R11" i="58"/>
  <c r="AD11" i="58" s="1"/>
  <c r="AH20" i="58"/>
  <c r="X25" i="58"/>
  <c r="W25" i="58"/>
  <c r="H21" i="59"/>
  <c r="Z24" i="60"/>
  <c r="T10" i="60"/>
  <c r="K11" i="60"/>
  <c r="K13" i="60"/>
  <c r="N13" i="60" s="1"/>
  <c r="T14" i="60"/>
  <c r="T20" i="60"/>
  <c r="AH20" i="60"/>
  <c r="K10" i="60"/>
  <c r="K18" i="60" s="1"/>
  <c r="K23" i="60" s="1"/>
  <c r="K14" i="60"/>
  <c r="K20" i="60"/>
  <c r="V20" i="60" s="1"/>
  <c r="V22" i="60" s="1"/>
  <c r="Y20" i="60"/>
  <c r="L25" i="60"/>
  <c r="P25" i="60"/>
  <c r="N11" i="60"/>
  <c r="Q11" i="60" s="1"/>
  <c r="T10" i="61"/>
  <c r="E24" i="61"/>
  <c r="AD14" i="61"/>
  <c r="H24" i="61"/>
  <c r="L24" i="61"/>
  <c r="K11" i="61"/>
  <c r="K13" i="61"/>
  <c r="N13" i="61" s="1"/>
  <c r="N14" i="61"/>
  <c r="Q14" i="61" s="1"/>
  <c r="AE14" i="61" s="1"/>
  <c r="Y17" i="61"/>
  <c r="AH20" i="61"/>
  <c r="E25" i="61"/>
  <c r="Z25" i="61"/>
  <c r="O11" i="61"/>
  <c r="R11" i="61" s="1"/>
  <c r="AD11" i="61" s="1"/>
  <c r="O13" i="61"/>
  <c r="T13" i="61"/>
  <c r="T17" i="61"/>
  <c r="Y20" i="61"/>
  <c r="L25" i="61"/>
  <c r="P25" i="61"/>
  <c r="O10" i="61"/>
  <c r="N11" i="61"/>
  <c r="K16" i="61"/>
  <c r="N16" i="61" s="1"/>
  <c r="E24" i="62"/>
  <c r="H24" i="62"/>
  <c r="M24" i="62"/>
  <c r="O10" i="62"/>
  <c r="R10" i="62" s="1"/>
  <c r="N11" i="62"/>
  <c r="Q11" i="62"/>
  <c r="AE11" i="62" s="1"/>
  <c r="T11" i="62"/>
  <c r="K17" i="62"/>
  <c r="N17" i="62" s="1"/>
  <c r="O20" i="62"/>
  <c r="R20" i="62" s="1"/>
  <c r="AA25" i="62"/>
  <c r="Y17" i="62"/>
  <c r="T20" i="62"/>
  <c r="E25" i="62"/>
  <c r="O16" i="62"/>
  <c r="K20" i="62"/>
  <c r="I25" i="62"/>
  <c r="M25" i="62"/>
  <c r="Y21" i="63"/>
  <c r="T20" i="63"/>
  <c r="N20" i="63"/>
  <c r="Q20" i="63" s="1"/>
  <c r="P16" i="63"/>
  <c r="T14" i="63"/>
  <c r="O20" i="63"/>
  <c r="R20" i="63" s="1"/>
  <c r="S15" i="64"/>
  <c r="S21" i="64"/>
  <c r="S16" i="64"/>
  <c r="F25" i="64"/>
  <c r="G18" i="64"/>
  <c r="G23" i="64" s="1"/>
  <c r="J16" i="64"/>
  <c r="M16" i="64" s="1"/>
  <c r="P16" i="64" s="1"/>
  <c r="J14" i="64"/>
  <c r="U14" i="64" s="1"/>
  <c r="N14" i="64"/>
  <c r="Q14" i="64" s="1"/>
  <c r="N21" i="64"/>
  <c r="S20" i="64"/>
  <c r="N15" i="64"/>
  <c r="Q15" i="64" s="1"/>
  <c r="S14" i="64"/>
  <c r="S12" i="64"/>
  <c r="T12" i="64" s="1"/>
  <c r="N11" i="64"/>
  <c r="Q11" i="64" s="1"/>
  <c r="N20" i="64"/>
  <c r="S17" i="64"/>
  <c r="Z24" i="64"/>
  <c r="AB24" i="64"/>
  <c r="AJ20" i="64" s="1"/>
  <c r="Y24" i="64"/>
  <c r="U25" i="64"/>
  <c r="H24" i="64"/>
  <c r="E24" i="64"/>
  <c r="Z25" i="64"/>
  <c r="T25" i="64"/>
  <c r="J15" i="64"/>
  <c r="U15" i="64" s="1"/>
  <c r="N12" i="64"/>
  <c r="Q12" i="64" s="1"/>
  <c r="J11" i="64"/>
  <c r="M11" i="64" s="1"/>
  <c r="P11" i="64" s="1"/>
  <c r="J10" i="64"/>
  <c r="O12" i="64"/>
  <c r="N12" i="65"/>
  <c r="S14" i="65"/>
  <c r="S12" i="65"/>
  <c r="T12" i="65" s="1"/>
  <c r="AB24" i="65"/>
  <c r="AI20" i="65" s="1"/>
  <c r="N14" i="65"/>
  <c r="Q14" i="65" s="1"/>
  <c r="Y24" i="65"/>
  <c r="AH20" i="65" s="1"/>
  <c r="S16" i="65"/>
  <c r="L24" i="65"/>
  <c r="N13" i="65"/>
  <c r="O13" i="65" s="1"/>
  <c r="J16" i="65"/>
  <c r="M16" i="65" s="1"/>
  <c r="F24" i="65"/>
  <c r="V24" i="65"/>
  <c r="AG20" i="65" s="1"/>
  <c r="M13" i="65"/>
  <c r="Q10" i="65"/>
  <c r="S15" i="65"/>
  <c r="S10" i="65"/>
  <c r="X17" i="65"/>
  <c r="M17" i="65"/>
  <c r="S17" i="65"/>
  <c r="S19" i="65"/>
  <c r="J10" i="65"/>
  <c r="N11" i="65"/>
  <c r="N15" i="65"/>
  <c r="Q15" i="65" s="1"/>
  <c r="N17" i="65"/>
  <c r="X20" i="65"/>
  <c r="J19" i="65"/>
  <c r="M19" i="65" s="1"/>
  <c r="N19" i="65"/>
  <c r="Q19" i="65" s="1"/>
  <c r="M10" i="65"/>
  <c r="P10" i="65" s="1"/>
  <c r="S11" i="66"/>
  <c r="J14" i="66"/>
  <c r="M14" i="66" s="1"/>
  <c r="P14" i="66" s="1"/>
  <c r="N16" i="66"/>
  <c r="Q16" i="66" s="1"/>
  <c r="N17" i="66"/>
  <c r="Q17" i="66" s="1"/>
  <c r="N19" i="66"/>
  <c r="Q19" i="66" s="1"/>
  <c r="S20" i="66"/>
  <c r="L24" i="66"/>
  <c r="N14" i="66"/>
  <c r="Y20" i="66"/>
  <c r="S11" i="67"/>
  <c r="I24" i="67"/>
  <c r="N11" i="67"/>
  <c r="Q11" i="67"/>
  <c r="S13" i="67"/>
  <c r="N17" i="67"/>
  <c r="Q17" i="67" s="1"/>
  <c r="S20" i="67"/>
  <c r="V24" i="67"/>
  <c r="AG20" i="67"/>
  <c r="N13" i="67"/>
  <c r="O13" i="67" s="1"/>
  <c r="T13" i="67" s="1"/>
  <c r="Q13" i="67"/>
  <c r="S14" i="67"/>
  <c r="S15" i="67"/>
  <c r="X17" i="67"/>
  <c r="M20" i="67"/>
  <c r="J21" i="67"/>
  <c r="M21" i="67" s="1"/>
  <c r="P21" i="67" s="1"/>
  <c r="AD21" i="67" s="1"/>
  <c r="Z24" i="67"/>
  <c r="J10" i="67"/>
  <c r="M13" i="67"/>
  <c r="N14" i="67"/>
  <c r="Q14" i="67" s="1"/>
  <c r="N15" i="67"/>
  <c r="Q15" i="67" s="1"/>
  <c r="AC15" i="67" s="1"/>
  <c r="N16" i="67"/>
  <c r="Q16" i="67" s="1"/>
  <c r="J17" i="67"/>
  <c r="U17" i="67" s="1"/>
  <c r="S17" i="67"/>
  <c r="G18" i="67"/>
  <c r="G23" i="67" s="1"/>
  <c r="Y24" i="67"/>
  <c r="AH20" i="67" s="1"/>
  <c r="S10" i="67"/>
  <c r="N12" i="67"/>
  <c r="Q12" i="67" s="1"/>
  <c r="S12" i="67"/>
  <c r="T12" i="67" s="1"/>
  <c r="N20" i="67"/>
  <c r="Q20" i="67" s="1"/>
  <c r="AC20" i="67" s="1"/>
  <c r="S21" i="67"/>
  <c r="E24" i="67"/>
  <c r="V25" i="67"/>
  <c r="Z25" i="67"/>
  <c r="W24" i="67"/>
  <c r="X20" i="67"/>
  <c r="X21" i="67"/>
  <c r="K24" i="67"/>
  <c r="N10" i="67"/>
  <c r="N18" i="67" s="1"/>
  <c r="N23" i="67" s="1"/>
  <c r="J14" i="67"/>
  <c r="J15" i="67"/>
  <c r="U15" i="67" s="1"/>
  <c r="J16" i="67"/>
  <c r="M16" i="67" s="1"/>
  <c r="P16" i="67" s="1"/>
  <c r="N21" i="67"/>
  <c r="Q21" i="67"/>
  <c r="AC21" i="67" s="1"/>
  <c r="F24" i="67"/>
  <c r="O16" i="67"/>
  <c r="T16" i="67" s="1"/>
  <c r="Q10" i="67"/>
  <c r="O12" i="67"/>
  <c r="O18" i="67" s="1"/>
  <c r="O23" i="67" s="1"/>
  <c r="O24" i="67" s="1"/>
  <c r="P13" i="67"/>
  <c r="Q11" i="68"/>
  <c r="I24" i="68"/>
  <c r="M11" i="68"/>
  <c r="P11" i="68" s="1"/>
  <c r="S11" i="68"/>
  <c r="M12" i="68"/>
  <c r="J14" i="68"/>
  <c r="U14" i="68" s="1"/>
  <c r="S15" i="68"/>
  <c r="M20" i="68"/>
  <c r="S20" i="68"/>
  <c r="S21" i="68"/>
  <c r="L24" i="68"/>
  <c r="E25" i="68"/>
  <c r="Y25" i="68"/>
  <c r="N14" i="68"/>
  <c r="X20" i="68"/>
  <c r="X22" i="68" s="1"/>
  <c r="G22" i="68"/>
  <c r="G25" i="68" s="1"/>
  <c r="N21" i="68"/>
  <c r="Q21" i="68"/>
  <c r="AC11" i="68"/>
  <c r="M15" i="67"/>
  <c r="P15" i="67"/>
  <c r="P20" i="67"/>
  <c r="V20" i="62"/>
  <c r="N20" i="62"/>
  <c r="Q20" i="62" s="1"/>
  <c r="P20" i="68"/>
  <c r="P12" i="67"/>
  <c r="Q11" i="65"/>
  <c r="O12" i="65"/>
  <c r="AC10" i="65"/>
  <c r="AD10" i="65" s="1"/>
  <c r="T13" i="65"/>
  <c r="AC13" i="65" s="1"/>
  <c r="AD13" i="65" s="1"/>
  <c r="Q13" i="65"/>
  <c r="Q17" i="65"/>
  <c r="AC17" i="65"/>
  <c r="Q20" i="64"/>
  <c r="AC20" i="64" s="1"/>
  <c r="P20" i="64"/>
  <c r="AC15" i="64"/>
  <c r="U16" i="63"/>
  <c r="V17" i="62"/>
  <c r="R13" i="61"/>
  <c r="P13" i="61"/>
  <c r="Q13" i="61" s="1"/>
  <c r="R15" i="56"/>
  <c r="R14" i="57"/>
  <c r="AD14" i="57" s="1"/>
  <c r="T14" i="57"/>
  <c r="K14" i="57"/>
  <c r="V14" i="57" s="1"/>
  <c r="N14" i="57"/>
  <c r="Q14" i="57" s="1"/>
  <c r="M14" i="64"/>
  <c r="P14" i="64"/>
  <c r="K16" i="57"/>
  <c r="N16" i="57" s="1"/>
  <c r="T16" i="57"/>
  <c r="AJ8" i="57" s="1"/>
  <c r="O16" i="57"/>
  <c r="R16" i="57" s="1"/>
  <c r="AM8" i="57" s="1"/>
  <c r="R12" i="57"/>
  <c r="AD12" i="57" s="1"/>
  <c r="Q12" i="57"/>
  <c r="AD17" i="58"/>
  <c r="X26" i="56"/>
  <c r="X25" i="56"/>
  <c r="N22" i="57"/>
  <c r="Q22" i="57"/>
  <c r="O11" i="57"/>
  <c r="G19" i="57"/>
  <c r="G24" i="57" s="1"/>
  <c r="K11" i="57"/>
  <c r="K20" i="58"/>
  <c r="G22" i="58"/>
  <c r="O15" i="60"/>
  <c r="R15" i="60"/>
  <c r="T15" i="60"/>
  <c r="K15" i="60"/>
  <c r="V15" i="60" s="1"/>
  <c r="F25" i="60"/>
  <c r="F24" i="60"/>
  <c r="Y21" i="62"/>
  <c r="Y22" i="62" s="1"/>
  <c r="Y25" i="62" s="1"/>
  <c r="T21" i="62"/>
  <c r="G22" i="60"/>
  <c r="G25" i="60" s="1"/>
  <c r="Y19" i="60"/>
  <c r="T19" i="60"/>
  <c r="O19" i="60"/>
  <c r="R19" i="60" s="1"/>
  <c r="N19" i="60"/>
  <c r="R20" i="57"/>
  <c r="E26" i="56"/>
  <c r="E25" i="56"/>
  <c r="P13" i="60"/>
  <c r="R13" i="60"/>
  <c r="J24" i="63"/>
  <c r="J25" i="63"/>
  <c r="Y17" i="60"/>
  <c r="O17" i="60"/>
  <c r="R17" i="60" s="1"/>
  <c r="K17" i="60"/>
  <c r="V17" i="60" s="1"/>
  <c r="T11" i="60"/>
  <c r="O11" i="60"/>
  <c r="K10" i="61"/>
  <c r="Q16" i="58"/>
  <c r="J25" i="56"/>
  <c r="R10" i="56"/>
  <c r="AD10" i="56" s="1"/>
  <c r="AE10" i="56" s="1"/>
  <c r="H24" i="58"/>
  <c r="W26" i="56"/>
  <c r="I26" i="56"/>
  <c r="O16" i="60"/>
  <c r="P16" i="60" s="1"/>
  <c r="U16" i="60" s="1"/>
  <c r="O21" i="63"/>
  <c r="R21" i="63" s="1"/>
  <c r="K21" i="63"/>
  <c r="N21" i="63" s="1"/>
  <c r="Q21" i="63" s="1"/>
  <c r="G18" i="63"/>
  <c r="V17" i="66"/>
  <c r="S17" i="66"/>
  <c r="J17" i="66"/>
  <c r="Y17" i="66"/>
  <c r="K13" i="62"/>
  <c r="N13" i="62" s="1"/>
  <c r="T13" i="62"/>
  <c r="I25" i="65"/>
  <c r="AA24" i="66"/>
  <c r="AA25" i="66"/>
  <c r="T16" i="60"/>
  <c r="J24" i="60"/>
  <c r="K21" i="60"/>
  <c r="N15" i="66"/>
  <c r="Q15" i="66" s="1"/>
  <c r="AD15" i="66" s="1"/>
  <c r="V15" i="66"/>
  <c r="K12" i="60"/>
  <c r="N12" i="60" s="1"/>
  <c r="Y16" i="60"/>
  <c r="Y16" i="61"/>
  <c r="Y18" i="61" s="1"/>
  <c r="Y23" i="61" s="1"/>
  <c r="T16" i="61"/>
  <c r="O13" i="62"/>
  <c r="Z24" i="62"/>
  <c r="AA24" i="63"/>
  <c r="K17" i="63"/>
  <c r="N17" i="63" s="1"/>
  <c r="Q17" i="63" s="1"/>
  <c r="Y17" i="63"/>
  <c r="S11" i="64"/>
  <c r="M13" i="66"/>
  <c r="V13" i="66"/>
  <c r="N13" i="66"/>
  <c r="Q13" i="66" s="1"/>
  <c r="J15" i="66"/>
  <c r="U15" i="66" s="1"/>
  <c r="F25" i="66"/>
  <c r="F24" i="66"/>
  <c r="F25" i="61"/>
  <c r="F24" i="61"/>
  <c r="F24" i="63"/>
  <c r="F25" i="63"/>
  <c r="I25" i="64"/>
  <c r="X25" i="60"/>
  <c r="X24" i="60"/>
  <c r="M25" i="63"/>
  <c r="M24" i="63"/>
  <c r="E24" i="63"/>
  <c r="K15" i="63"/>
  <c r="V15" i="63" s="1"/>
  <c r="O15" i="63"/>
  <c r="R15" i="63" s="1"/>
  <c r="AD15" i="63" s="1"/>
  <c r="O11" i="63"/>
  <c r="K11" i="63"/>
  <c r="N11" i="63" s="1"/>
  <c r="M15" i="64"/>
  <c r="P15" i="64" s="1"/>
  <c r="AD15" i="64" s="1"/>
  <c r="S10" i="64"/>
  <c r="M10" i="64"/>
  <c r="P10" i="64" s="1"/>
  <c r="N10" i="64"/>
  <c r="Q10" i="64" s="1"/>
  <c r="X21" i="68"/>
  <c r="J21" i="68"/>
  <c r="M21" i="68" s="1"/>
  <c r="P21" i="68" s="1"/>
  <c r="F24" i="62"/>
  <c r="L24" i="63"/>
  <c r="T21" i="63"/>
  <c r="T19" i="63"/>
  <c r="T22" i="63" s="1"/>
  <c r="O19" i="63"/>
  <c r="N20" i="66"/>
  <c r="Q20" i="66" s="1"/>
  <c r="V20" i="66"/>
  <c r="T12" i="61"/>
  <c r="Y19" i="61"/>
  <c r="O13" i="63"/>
  <c r="T10" i="63"/>
  <c r="J17" i="68"/>
  <c r="S19" i="68"/>
  <c r="S16" i="68"/>
  <c r="X17" i="64"/>
  <c r="J10" i="66"/>
  <c r="J21" i="66"/>
  <c r="M21" i="66" s="1"/>
  <c r="V10" i="66"/>
  <c r="O21" i="61"/>
  <c r="G23" i="63"/>
  <c r="N10" i="61"/>
  <c r="Q10" i="61" s="1"/>
  <c r="R11" i="57"/>
  <c r="AD11" i="57" s="1"/>
  <c r="V22" i="62"/>
  <c r="Q13" i="62"/>
  <c r="AE13" i="62" s="1"/>
  <c r="R21" i="61"/>
  <c r="S22" i="68"/>
  <c r="P13" i="65"/>
  <c r="AL8" i="63"/>
  <c r="P19" i="65"/>
  <c r="AD10" i="63"/>
  <c r="R16" i="60"/>
  <c r="AD16" i="60" s="1"/>
  <c r="N15" i="60"/>
  <c r="Q15" i="60" s="1"/>
  <c r="R19" i="63"/>
  <c r="P13" i="62"/>
  <c r="U13" i="62" s="1"/>
  <c r="AD13" i="62" s="1"/>
  <c r="R13" i="62"/>
  <c r="N11" i="57"/>
  <c r="Q11" i="57" s="1"/>
  <c r="AC12" i="67"/>
  <c r="AD12" i="67" s="1"/>
  <c r="M10" i="66"/>
  <c r="N21" i="60"/>
  <c r="AE11" i="57"/>
  <c r="P13" i="63" l="1"/>
  <c r="U13" i="63" s="1"/>
  <c r="R13" i="63"/>
  <c r="R11" i="63"/>
  <c r="AD11" i="63" s="1"/>
  <c r="Q11" i="63"/>
  <c r="O18" i="63"/>
  <c r="O23" i="63" s="1"/>
  <c r="U17" i="66"/>
  <c r="M17" i="66"/>
  <c r="P17" i="66" s="1"/>
  <c r="U13" i="60"/>
  <c r="Q13" i="60"/>
  <c r="AD15" i="56"/>
  <c r="J22" i="68"/>
  <c r="J25" i="68" s="1"/>
  <c r="O22" i="60"/>
  <c r="AE12" i="57"/>
  <c r="U12" i="56"/>
  <c r="S18" i="64"/>
  <c r="S23" i="64" s="1"/>
  <c r="S24" i="64" s="1"/>
  <c r="K22" i="58"/>
  <c r="V20" i="58"/>
  <c r="V22" i="58" s="1"/>
  <c r="AD20" i="57"/>
  <c r="AE20" i="57" s="1"/>
  <c r="AD15" i="67"/>
  <c r="Q18" i="67"/>
  <c r="Q23" i="67" s="1"/>
  <c r="N14" i="62"/>
  <c r="Q14" i="62" s="1"/>
  <c r="AD21" i="62"/>
  <c r="AD11" i="64"/>
  <c r="AE10" i="63"/>
  <c r="AD13" i="60"/>
  <c r="AE13" i="60" s="1"/>
  <c r="AD19" i="60"/>
  <c r="AE14" i="57"/>
  <c r="AD20" i="67"/>
  <c r="Q11" i="61"/>
  <c r="AE11" i="61" s="1"/>
  <c r="N22" i="56"/>
  <c r="AE20" i="56"/>
  <c r="K21" i="57"/>
  <c r="T21" i="57"/>
  <c r="Y21" i="57"/>
  <c r="Y23" i="57" s="1"/>
  <c r="P12" i="61"/>
  <c r="P18" i="61" s="1"/>
  <c r="P23" i="61" s="1"/>
  <c r="P24" i="61" s="1"/>
  <c r="R12" i="61"/>
  <c r="T12" i="62"/>
  <c r="U12" i="62" s="1"/>
  <c r="K12" i="62"/>
  <c r="N12" i="62" s="1"/>
  <c r="O12" i="62"/>
  <c r="Y16" i="62"/>
  <c r="Y18" i="62" s="1"/>
  <c r="Y23" i="62" s="1"/>
  <c r="Y24" i="62" s="1"/>
  <c r="AI8" i="62" s="1"/>
  <c r="T16" i="62"/>
  <c r="S19" i="64"/>
  <c r="S22" i="64" s="1"/>
  <c r="S25" i="64" s="1"/>
  <c r="N19" i="64"/>
  <c r="G22" i="64"/>
  <c r="M12" i="66"/>
  <c r="S12" i="66"/>
  <c r="T12" i="66" s="1"/>
  <c r="V12" i="66"/>
  <c r="O13" i="66"/>
  <c r="T13" i="66" s="1"/>
  <c r="O22" i="61"/>
  <c r="O25" i="61" s="1"/>
  <c r="AC21" i="68"/>
  <c r="T17" i="60"/>
  <c r="AD17" i="60" s="1"/>
  <c r="AE17" i="60" s="1"/>
  <c r="Q16" i="57"/>
  <c r="P16" i="66"/>
  <c r="O16" i="66"/>
  <c r="T16" i="66" s="1"/>
  <c r="N19" i="67"/>
  <c r="Q19" i="67" s="1"/>
  <c r="Q22" i="67" s="1"/>
  <c r="AB24" i="67"/>
  <c r="AI20" i="67" s="1"/>
  <c r="J19" i="67"/>
  <c r="AC17" i="67"/>
  <c r="K16" i="62"/>
  <c r="N16" i="62" s="1"/>
  <c r="Q16" i="62" s="1"/>
  <c r="N20" i="61"/>
  <c r="Q20" i="61" s="1"/>
  <c r="N20" i="60"/>
  <c r="Q20" i="60" s="1"/>
  <c r="N14" i="60"/>
  <c r="Q14" i="60" s="1"/>
  <c r="V14" i="60"/>
  <c r="AD14" i="60" s="1"/>
  <c r="AE14" i="60" s="1"/>
  <c r="N14" i="58"/>
  <c r="Q14" i="58" s="1"/>
  <c r="AE14" i="58" s="1"/>
  <c r="R12" i="58"/>
  <c r="AD12" i="58" s="1"/>
  <c r="P12" i="58"/>
  <c r="G19" i="56"/>
  <c r="T20" i="57"/>
  <c r="N20" i="57"/>
  <c r="Q20" i="57" s="1"/>
  <c r="Y20" i="57"/>
  <c r="H20" i="59"/>
  <c r="H22" i="59" s="1"/>
  <c r="H24" i="59" s="1"/>
  <c r="F22" i="59"/>
  <c r="T21" i="60"/>
  <c r="O21" i="60"/>
  <c r="R21" i="60" s="1"/>
  <c r="R22" i="60" s="1"/>
  <c r="R25" i="60" s="1"/>
  <c r="T15" i="61"/>
  <c r="K15" i="61"/>
  <c r="V15" i="61" s="1"/>
  <c r="V18" i="61" s="1"/>
  <c r="V23" i="61" s="1"/>
  <c r="V24" i="61" s="1"/>
  <c r="AG20" i="61" s="1"/>
  <c r="AL20" i="61" s="1"/>
  <c r="N17" i="64"/>
  <c r="J17" i="64"/>
  <c r="M13" i="64"/>
  <c r="S13" i="64"/>
  <c r="J11" i="65"/>
  <c r="J18" i="65" s="1"/>
  <c r="J23" i="65" s="1"/>
  <c r="S11" i="65"/>
  <c r="AC11" i="65" s="1"/>
  <c r="M11" i="65"/>
  <c r="P11" i="65" s="1"/>
  <c r="I24" i="66"/>
  <c r="V21" i="66"/>
  <c r="S21" i="66"/>
  <c r="N21" i="66"/>
  <c r="Q21" i="66" s="1"/>
  <c r="V15" i="56"/>
  <c r="N15" i="56"/>
  <c r="Q15" i="56" s="1"/>
  <c r="AE15" i="56" s="1"/>
  <c r="G23" i="56"/>
  <c r="G26" i="56" s="1"/>
  <c r="T22" i="56"/>
  <c r="Y22" i="56"/>
  <c r="Y23" i="56" s="1"/>
  <c r="K15" i="57"/>
  <c r="V15" i="57" s="1"/>
  <c r="T15" i="57"/>
  <c r="AD15" i="57" s="1"/>
  <c r="T10" i="57"/>
  <c r="T19" i="57" s="1"/>
  <c r="T24" i="57" s="1"/>
  <c r="K10" i="57"/>
  <c r="N10" i="57"/>
  <c r="O10" i="57"/>
  <c r="AA24" i="60"/>
  <c r="AA25" i="60"/>
  <c r="AD15" i="61"/>
  <c r="K14" i="62"/>
  <c r="V14" i="62" s="1"/>
  <c r="O14" i="62"/>
  <c r="T14" i="62"/>
  <c r="W25" i="62"/>
  <c r="W24" i="62"/>
  <c r="AH20" i="62" s="1"/>
  <c r="U15" i="65"/>
  <c r="AC15" i="65" s="1"/>
  <c r="M15" i="65"/>
  <c r="P15" i="65" s="1"/>
  <c r="S20" i="65"/>
  <c r="N20" i="65"/>
  <c r="N22" i="65" s="1"/>
  <c r="G22" i="65"/>
  <c r="G25" i="65" s="1"/>
  <c r="W25" i="65"/>
  <c r="W24" i="65"/>
  <c r="X16" i="68"/>
  <c r="N16" i="68"/>
  <c r="V25" i="61"/>
  <c r="O22" i="58"/>
  <c r="P21" i="66"/>
  <c r="J16" i="68"/>
  <c r="M16" i="68" s="1"/>
  <c r="O23" i="57"/>
  <c r="K21" i="62"/>
  <c r="T20" i="58"/>
  <c r="M14" i="68"/>
  <c r="P14" i="68" s="1"/>
  <c r="G22" i="67"/>
  <c r="N12" i="66"/>
  <c r="Q12" i="66" s="1"/>
  <c r="AC12" i="64"/>
  <c r="X19" i="64"/>
  <c r="L24" i="62"/>
  <c r="I25" i="61"/>
  <c r="W25" i="56"/>
  <c r="K17" i="56"/>
  <c r="N17" i="56" s="1"/>
  <c r="Y17" i="56"/>
  <c r="Y19" i="56" s="1"/>
  <c r="Y24" i="56" s="1"/>
  <c r="P17" i="56"/>
  <c r="U17" i="56" s="1"/>
  <c r="U19" i="56" s="1"/>
  <c r="T17" i="56"/>
  <c r="AD17" i="56" s="1"/>
  <c r="O14" i="56"/>
  <c r="R14" i="56" s="1"/>
  <c r="K14" i="56"/>
  <c r="T14" i="56"/>
  <c r="X25" i="57"/>
  <c r="X26" i="57"/>
  <c r="K18" i="57"/>
  <c r="O18" i="57"/>
  <c r="R18" i="57" s="1"/>
  <c r="T18" i="57"/>
  <c r="Y18" i="57"/>
  <c r="Y19" i="57" s="1"/>
  <c r="Y24" i="57" s="1"/>
  <c r="O10" i="58"/>
  <c r="G18" i="58"/>
  <c r="G23" i="58" s="1"/>
  <c r="G24" i="58" s="1"/>
  <c r="K10" i="58"/>
  <c r="N10" i="58" s="1"/>
  <c r="K12" i="58"/>
  <c r="N12" i="58" s="1"/>
  <c r="T12" i="58"/>
  <c r="U12" i="58" s="1"/>
  <c r="U18" i="58" s="1"/>
  <c r="G18" i="60"/>
  <c r="O10" i="60"/>
  <c r="N10" i="60"/>
  <c r="Q10" i="60" s="1"/>
  <c r="M24" i="61"/>
  <c r="M25" i="61"/>
  <c r="AA25" i="61"/>
  <c r="AA24" i="61"/>
  <c r="K10" i="62"/>
  <c r="N10" i="62" s="1"/>
  <c r="Q10" i="62" s="1"/>
  <c r="T10" i="62"/>
  <c r="T18" i="62" s="1"/>
  <c r="T23" i="62" s="1"/>
  <c r="X21" i="64"/>
  <c r="X22" i="64" s="1"/>
  <c r="X25" i="64" s="1"/>
  <c r="M21" i="64"/>
  <c r="S10" i="66"/>
  <c r="N10" i="66"/>
  <c r="Q10" i="66" s="1"/>
  <c r="G18" i="66"/>
  <c r="V14" i="66"/>
  <c r="S14" i="66"/>
  <c r="X16" i="67"/>
  <c r="X18" i="67" s="1"/>
  <c r="X23" i="67" s="1"/>
  <c r="S16" i="67"/>
  <c r="AC16" i="67" s="1"/>
  <c r="AD16" i="67" s="1"/>
  <c r="T18" i="67"/>
  <c r="T23" i="67" s="1"/>
  <c r="T24" i="67" s="1"/>
  <c r="AH8" i="67" s="1"/>
  <c r="S22" i="65"/>
  <c r="R16" i="62"/>
  <c r="P16" i="62"/>
  <c r="U16" i="62" s="1"/>
  <c r="J18" i="66"/>
  <c r="J23" i="66" s="1"/>
  <c r="T18" i="61"/>
  <c r="T23" i="61" s="1"/>
  <c r="AE16" i="58"/>
  <c r="G22" i="62"/>
  <c r="G25" i="62" s="1"/>
  <c r="Y20" i="58"/>
  <c r="Y22" i="58" s="1"/>
  <c r="Y24" i="58" s="1"/>
  <c r="AD14" i="64"/>
  <c r="N12" i="68"/>
  <c r="Q12" i="68" s="1"/>
  <c r="AC12" i="68" s="1"/>
  <c r="U25" i="68"/>
  <c r="X19" i="67"/>
  <c r="X22" i="67" s="1"/>
  <c r="X25" i="67" s="1"/>
  <c r="M20" i="65"/>
  <c r="AD22" i="57"/>
  <c r="AE22" i="57" s="1"/>
  <c r="N15" i="57"/>
  <c r="Q15" i="57" s="1"/>
  <c r="G23" i="57"/>
  <c r="H16" i="59"/>
  <c r="H18" i="59" s="1"/>
  <c r="H23" i="59" s="1"/>
  <c r="F18" i="59"/>
  <c r="F23" i="59" s="1"/>
  <c r="R19" i="61"/>
  <c r="Q19" i="61"/>
  <c r="N12" i="63"/>
  <c r="T12" i="63"/>
  <c r="U12" i="63" s="1"/>
  <c r="U18" i="63" s="1"/>
  <c r="AM8" i="63" s="1"/>
  <c r="X16" i="65"/>
  <c r="X18" i="65" s="1"/>
  <c r="X23" i="65" s="1"/>
  <c r="N16" i="65"/>
  <c r="J21" i="65"/>
  <c r="N21" i="65"/>
  <c r="S21" i="65"/>
  <c r="X21" i="65"/>
  <c r="X22" i="65" s="1"/>
  <c r="H24" i="66"/>
  <c r="J10" i="68"/>
  <c r="M10" i="68" s="1"/>
  <c r="N10" i="68"/>
  <c r="Q10" i="68" s="1"/>
  <c r="U13" i="61"/>
  <c r="AD13" i="61" s="1"/>
  <c r="AE13" i="61" s="1"/>
  <c r="G25" i="58"/>
  <c r="Y18" i="60"/>
  <c r="Y23" i="60" s="1"/>
  <c r="N18" i="56"/>
  <c r="Q18" i="56" s="1"/>
  <c r="AE18" i="56" s="1"/>
  <c r="Q21" i="60"/>
  <c r="J19" i="64"/>
  <c r="K22" i="60"/>
  <c r="R22" i="63"/>
  <c r="R25" i="63" s="1"/>
  <c r="Q19" i="60"/>
  <c r="AE19" i="60" s="1"/>
  <c r="AD20" i="64"/>
  <c r="V25" i="62"/>
  <c r="S18" i="67"/>
  <c r="S23" i="67" s="1"/>
  <c r="S24" i="67" s="1"/>
  <c r="U14" i="66"/>
  <c r="U18" i="66" s="1"/>
  <c r="U23" i="66" s="1"/>
  <c r="U24" i="66" s="1"/>
  <c r="AG20" i="66" s="1"/>
  <c r="AL20" i="66" s="1"/>
  <c r="AC11" i="64"/>
  <c r="P21" i="64"/>
  <c r="G18" i="62"/>
  <c r="G23" i="62" s="1"/>
  <c r="AD20" i="60"/>
  <c r="T23" i="56"/>
  <c r="T26" i="56" s="1"/>
  <c r="AA25" i="56"/>
  <c r="AA26" i="56"/>
  <c r="K16" i="56"/>
  <c r="T16" i="56"/>
  <c r="AJ8" i="56" s="1"/>
  <c r="T12" i="56"/>
  <c r="K12" i="56"/>
  <c r="N12" i="56" s="1"/>
  <c r="Q12" i="56" s="1"/>
  <c r="O12" i="56"/>
  <c r="R12" i="56" s="1"/>
  <c r="Z25" i="57"/>
  <c r="R16" i="61"/>
  <c r="P16" i="61"/>
  <c r="U16" i="61" s="1"/>
  <c r="AD16" i="61" s="1"/>
  <c r="G22" i="63"/>
  <c r="Y19" i="63"/>
  <c r="AD19" i="63" s="1"/>
  <c r="H24" i="63"/>
  <c r="U14" i="65"/>
  <c r="M14" i="65"/>
  <c r="P14" i="65" s="1"/>
  <c r="P11" i="66"/>
  <c r="G22" i="66"/>
  <c r="M20" i="66"/>
  <c r="P20" i="66" s="1"/>
  <c r="P17" i="65"/>
  <c r="AD20" i="63"/>
  <c r="AE20" i="63" s="1"/>
  <c r="AE13" i="56"/>
  <c r="AC25" i="56"/>
  <c r="I25" i="56"/>
  <c r="I24" i="60"/>
  <c r="G24" i="59"/>
  <c r="L24" i="64"/>
  <c r="V11" i="66"/>
  <c r="AD11" i="66" s="1"/>
  <c r="H24" i="67"/>
  <c r="AD13" i="56"/>
  <c r="Z25" i="56"/>
  <c r="F25" i="57"/>
  <c r="Q11" i="58"/>
  <c r="AE11" i="58" s="1"/>
  <c r="J24" i="58"/>
  <c r="G18" i="61"/>
  <c r="AC24" i="61"/>
  <c r="AI20" i="61" s="1"/>
  <c r="N10" i="63"/>
  <c r="Q10" i="63" s="1"/>
  <c r="W24" i="66"/>
  <c r="AH20" i="66" s="1"/>
  <c r="J11" i="67"/>
  <c r="J18" i="67" s="1"/>
  <c r="Y24" i="68"/>
  <c r="AH20" i="68" s="1"/>
  <c r="T18" i="58"/>
  <c r="T23" i="58" s="1"/>
  <c r="AD18" i="56"/>
  <c r="F25" i="56"/>
  <c r="M25" i="57"/>
  <c r="M24" i="60"/>
  <c r="L24" i="60"/>
  <c r="G22" i="61"/>
  <c r="G25" i="61" s="1"/>
  <c r="W24" i="63"/>
  <c r="AJ20" i="63" s="1"/>
  <c r="F24" i="64"/>
  <c r="AB24" i="68"/>
  <c r="AI20" i="68" s="1"/>
  <c r="AC14" i="64"/>
  <c r="E24" i="59"/>
  <c r="T12" i="60"/>
  <c r="U12" i="60" s="1"/>
  <c r="O15" i="62"/>
  <c r="R15" i="62" s="1"/>
  <c r="W24" i="64"/>
  <c r="F24" i="70"/>
  <c r="F27" i="70" s="1"/>
  <c r="F29" i="70" s="1"/>
  <c r="AD20" i="66"/>
  <c r="Q22" i="66"/>
  <c r="AE11" i="63"/>
  <c r="AD21" i="63"/>
  <c r="X25" i="68"/>
  <c r="V18" i="60"/>
  <c r="V23" i="60" s="1"/>
  <c r="V24" i="60" s="1"/>
  <c r="AG20" i="60" s="1"/>
  <c r="AL20" i="60" s="1"/>
  <c r="AD15" i="60"/>
  <c r="AE15" i="60" s="1"/>
  <c r="T25" i="63"/>
  <c r="AE20" i="66"/>
  <c r="AC19" i="65"/>
  <c r="AD21" i="68"/>
  <c r="Q22" i="60"/>
  <c r="Q25" i="60" s="1"/>
  <c r="AC10" i="64"/>
  <c r="V25" i="58"/>
  <c r="AD10" i="64"/>
  <c r="AD13" i="66"/>
  <c r="U23" i="58"/>
  <c r="U24" i="58" s="1"/>
  <c r="AK8" i="58"/>
  <c r="M22" i="68"/>
  <c r="K25" i="60"/>
  <c r="U18" i="60"/>
  <c r="R11" i="60"/>
  <c r="AD11" i="60" s="1"/>
  <c r="AE11" i="60" s="1"/>
  <c r="N20" i="58"/>
  <c r="M18" i="65"/>
  <c r="M23" i="65" s="1"/>
  <c r="M15" i="66"/>
  <c r="P15" i="66" s="1"/>
  <c r="AE15" i="66" s="1"/>
  <c r="M17" i="68"/>
  <c r="U17" i="68"/>
  <c r="M17" i="64"/>
  <c r="V16" i="57"/>
  <c r="O12" i="68"/>
  <c r="P12" i="68" s="1"/>
  <c r="AC20" i="68"/>
  <c r="AD20" i="68" s="1"/>
  <c r="S25" i="68"/>
  <c r="M17" i="67"/>
  <c r="P17" i="67" s="1"/>
  <c r="AD17" i="67" s="1"/>
  <c r="AD11" i="68"/>
  <c r="U14" i="67"/>
  <c r="U18" i="67" s="1"/>
  <c r="U23" i="67" s="1"/>
  <c r="U24" i="67" s="1"/>
  <c r="AF20" i="67" s="1"/>
  <c r="M14" i="67"/>
  <c r="P14" i="67" s="1"/>
  <c r="AF8" i="67"/>
  <c r="AC10" i="67"/>
  <c r="O12" i="66"/>
  <c r="O18" i="66" s="1"/>
  <c r="O23" i="66" s="1"/>
  <c r="O24" i="66" s="1"/>
  <c r="N18" i="66"/>
  <c r="N23" i="66" s="1"/>
  <c r="Y25" i="58"/>
  <c r="O22" i="63"/>
  <c r="AD17" i="65"/>
  <c r="V17" i="63"/>
  <c r="U12" i="61"/>
  <c r="G25" i="66"/>
  <c r="N22" i="67"/>
  <c r="Q14" i="66"/>
  <c r="AJ8" i="66"/>
  <c r="AD17" i="66"/>
  <c r="AE17" i="66" s="1"/>
  <c r="N15" i="63"/>
  <c r="Q15" i="63" s="1"/>
  <c r="AE15" i="63" s="1"/>
  <c r="M10" i="67"/>
  <c r="P10" i="67" s="1"/>
  <c r="AC13" i="67"/>
  <c r="AD13" i="67" s="1"/>
  <c r="G24" i="65"/>
  <c r="P12" i="65"/>
  <c r="Q12" i="65"/>
  <c r="Q17" i="62"/>
  <c r="V25" i="60"/>
  <c r="Q14" i="68"/>
  <c r="AC14" i="68" s="1"/>
  <c r="R14" i="62"/>
  <c r="Q17" i="58"/>
  <c r="AE17" i="58" s="1"/>
  <c r="Y22" i="63"/>
  <c r="V18" i="58"/>
  <c r="V23" i="58" s="1"/>
  <c r="V24" i="58" s="1"/>
  <c r="AG20" i="58" s="1"/>
  <c r="AL20" i="58" s="1"/>
  <c r="AD15" i="58"/>
  <c r="AE15" i="58" s="1"/>
  <c r="AD20" i="61"/>
  <c r="Q12" i="63"/>
  <c r="R12" i="63"/>
  <c r="R10" i="61"/>
  <c r="N18" i="65"/>
  <c r="N23" i="65" s="1"/>
  <c r="P12" i="63"/>
  <c r="P18" i="63" s="1"/>
  <c r="P23" i="63" s="1"/>
  <c r="P24" i="63" s="1"/>
  <c r="R10" i="58"/>
  <c r="Q21" i="64"/>
  <c r="AC21" i="64" s="1"/>
  <c r="AD21" i="64" s="1"/>
  <c r="AC11" i="67"/>
  <c r="AD20" i="62"/>
  <c r="AE20" i="62" s="1"/>
  <c r="T23" i="57"/>
  <c r="AD13" i="58"/>
  <c r="Y22" i="66"/>
  <c r="R19" i="58"/>
  <c r="N13" i="58"/>
  <c r="Q13" i="58" s="1"/>
  <c r="K18" i="58"/>
  <c r="T26" i="57"/>
  <c r="P12" i="64"/>
  <c r="AD12" i="64" s="1"/>
  <c r="N17" i="61"/>
  <c r="Q10" i="57"/>
  <c r="M25" i="56"/>
  <c r="I24" i="58"/>
  <c r="AC24" i="63"/>
  <c r="AK20" i="63" s="1"/>
  <c r="Z24" i="68"/>
  <c r="N21" i="56"/>
  <c r="V21" i="56"/>
  <c r="K23" i="56"/>
  <c r="J24" i="62"/>
  <c r="Q16" i="64"/>
  <c r="Y25" i="56"/>
  <c r="AK8" i="56" s="1"/>
  <c r="N19" i="63"/>
  <c r="I25" i="57"/>
  <c r="R12" i="60"/>
  <c r="AD12" i="60" s="1"/>
  <c r="P12" i="60"/>
  <c r="H25" i="57"/>
  <c r="U17" i="57"/>
  <c r="AD17" i="57" s="1"/>
  <c r="AE17" i="57" s="1"/>
  <c r="P19" i="57"/>
  <c r="P24" i="57" s="1"/>
  <c r="P25" i="57" s="1"/>
  <c r="R13" i="57"/>
  <c r="Q13" i="57"/>
  <c r="K24" i="66"/>
  <c r="O17" i="61"/>
  <c r="O18" i="61" s="1"/>
  <c r="O23" i="61" s="1"/>
  <c r="O24" i="61" s="1"/>
  <c r="X25" i="63"/>
  <c r="K19" i="63"/>
  <c r="Y16" i="63"/>
  <c r="Y18" i="63" s="1"/>
  <c r="Y23" i="63" s="1"/>
  <c r="N13" i="63"/>
  <c r="Q13" i="63" s="1"/>
  <c r="S16" i="66"/>
  <c r="S18" i="66" s="1"/>
  <c r="S23" i="66" s="1"/>
  <c r="X24" i="66"/>
  <c r="J19" i="66"/>
  <c r="V19" i="66"/>
  <c r="V22" i="66" s="1"/>
  <c r="S10" i="68"/>
  <c r="N13" i="68"/>
  <c r="X17" i="68"/>
  <c r="X18" i="68" s="1"/>
  <c r="X23" i="68" s="1"/>
  <c r="X24" i="68" s="1"/>
  <c r="AG8" i="68" s="1"/>
  <c r="F24" i="68"/>
  <c r="W24" i="68"/>
  <c r="I26" i="57"/>
  <c r="W25" i="63"/>
  <c r="Z24" i="63"/>
  <c r="T16" i="63"/>
  <c r="S19" i="66"/>
  <c r="S13" i="68"/>
  <c r="J15" i="68"/>
  <c r="J18" i="68" s="1"/>
  <c r="M19" i="68"/>
  <c r="K30" i="76"/>
  <c r="K29" i="76"/>
  <c r="Y21" i="61"/>
  <c r="Y22" i="61" s="1"/>
  <c r="K15" i="62"/>
  <c r="O17" i="62"/>
  <c r="N19" i="62"/>
  <c r="X16" i="64"/>
  <c r="X18" i="64" s="1"/>
  <c r="X23" i="64" s="1"/>
  <c r="X24" i="64" s="1"/>
  <c r="AJ8" i="64" s="1"/>
  <c r="U25" i="66"/>
  <c r="N17" i="68"/>
  <c r="Q17" i="68" s="1"/>
  <c r="Z25" i="68"/>
  <c r="Y26" i="56"/>
  <c r="O22" i="56"/>
  <c r="E25" i="57"/>
  <c r="AA24" i="58"/>
  <c r="AI8" i="58" s="1"/>
  <c r="N16" i="60"/>
  <c r="Q16" i="60" s="1"/>
  <c r="AE16" i="60" s="1"/>
  <c r="Y21" i="60"/>
  <c r="AD21" i="60" s="1"/>
  <c r="O19" i="62"/>
  <c r="T17" i="63"/>
  <c r="AD17" i="63" s="1"/>
  <c r="AE17" i="63" s="1"/>
  <c r="N16" i="63"/>
  <c r="Q16" i="63" s="1"/>
  <c r="K14" i="63"/>
  <c r="N13" i="64"/>
  <c r="Y16" i="66"/>
  <c r="Y18" i="66" s="1"/>
  <c r="Y23" i="66" s="1"/>
  <c r="Y21" i="66"/>
  <c r="AD21" i="66" s="1"/>
  <c r="N19" i="68"/>
  <c r="O16" i="56"/>
  <c r="R16" i="56" s="1"/>
  <c r="R19" i="56" s="1"/>
  <c r="R24" i="56" s="1"/>
  <c r="F24" i="58"/>
  <c r="K21" i="61"/>
  <c r="T19" i="62"/>
  <c r="I25" i="63"/>
  <c r="K25" i="66"/>
  <c r="T21" i="61"/>
  <c r="AH8" i="61" s="1"/>
  <c r="K24" i="76"/>
  <c r="K27" i="76"/>
  <c r="K25" i="76"/>
  <c r="K26" i="76"/>
  <c r="K28" i="76"/>
  <c r="K20" i="76"/>
  <c r="M15" i="76"/>
  <c r="K22" i="76"/>
  <c r="K21" i="76"/>
  <c r="M16" i="76"/>
  <c r="M17" i="76"/>
  <c r="K23" i="76"/>
  <c r="M18" i="76"/>
  <c r="AE12" i="69"/>
  <c r="O17" i="69"/>
  <c r="T17" i="69"/>
  <c r="O15" i="69"/>
  <c r="P15" i="69" s="1"/>
  <c r="T15" i="69"/>
  <c r="T8" i="69"/>
  <c r="U8" i="69" s="1"/>
  <c r="O19" i="69"/>
  <c r="T19" i="69"/>
  <c r="O18" i="69"/>
  <c r="R18" i="69" s="1"/>
  <c r="AE18" i="69" s="1"/>
  <c r="E16" i="74"/>
  <c r="O8" i="69"/>
  <c r="K8" i="69"/>
  <c r="N8" i="69" s="1"/>
  <c r="O10" i="69"/>
  <c r="R10" i="69" s="1"/>
  <c r="K10" i="69"/>
  <c r="N10" i="69" s="1"/>
  <c r="K19" i="76"/>
  <c r="U12" i="69"/>
  <c r="Q12" i="69"/>
  <c r="U11" i="69"/>
  <c r="AE11" i="69" s="1"/>
  <c r="Q11" i="69"/>
  <c r="Z22" i="69"/>
  <c r="J22" i="69"/>
  <c r="M22" i="69"/>
  <c r="F22" i="69"/>
  <c r="K17" i="69"/>
  <c r="K31" i="76"/>
  <c r="G22" i="69"/>
  <c r="G21" i="69"/>
  <c r="K18" i="69"/>
  <c r="W22" i="69"/>
  <c r="L22" i="69"/>
  <c r="L21" i="69"/>
  <c r="D8" i="76" s="1"/>
  <c r="X22" i="69"/>
  <c r="D25" i="76"/>
  <c r="H16" i="69"/>
  <c r="D6" i="76"/>
  <c r="D31" i="76"/>
  <c r="AJ18" i="69"/>
  <c r="K19" i="69"/>
  <c r="N19" i="69" s="1"/>
  <c r="H20" i="69"/>
  <c r="E18" i="75"/>
  <c r="AK18" i="69"/>
  <c r="D18" i="76"/>
  <c r="G16" i="74"/>
  <c r="G18" i="75"/>
  <c r="D17" i="76"/>
  <c r="AI18" i="69"/>
  <c r="AE10" i="62" l="1"/>
  <c r="X24" i="65"/>
  <c r="AG8" i="65" s="1"/>
  <c r="X25" i="65"/>
  <c r="N18" i="57"/>
  <c r="Q18" i="57" s="1"/>
  <c r="V18" i="57"/>
  <c r="AD18" i="57" s="1"/>
  <c r="AE18" i="57" s="1"/>
  <c r="F24" i="59"/>
  <c r="T19" i="56"/>
  <c r="T24" i="56" s="1"/>
  <c r="T25" i="56" s="1"/>
  <c r="Q10" i="58"/>
  <c r="AJ8" i="58"/>
  <c r="O18" i="58"/>
  <c r="O23" i="58" s="1"/>
  <c r="V18" i="66"/>
  <c r="V23" i="66" s="1"/>
  <c r="AE21" i="66"/>
  <c r="V24" i="66"/>
  <c r="AE12" i="63"/>
  <c r="P17" i="68"/>
  <c r="K18" i="61"/>
  <c r="K23" i="61" s="1"/>
  <c r="AD12" i="56"/>
  <c r="AE12" i="56" s="1"/>
  <c r="T18" i="60"/>
  <c r="T23" i="60" s="1"/>
  <c r="M21" i="65"/>
  <c r="J22" i="65"/>
  <c r="M22" i="65" s="1"/>
  <c r="M25" i="65" s="1"/>
  <c r="R22" i="61"/>
  <c r="R25" i="61" s="1"/>
  <c r="AD19" i="61"/>
  <c r="AE19" i="61" s="1"/>
  <c r="X24" i="67"/>
  <c r="AG8" i="67" s="1"/>
  <c r="AK8" i="67" s="1"/>
  <c r="AK24" i="67" s="1"/>
  <c r="V14" i="56"/>
  <c r="N14" i="56"/>
  <c r="Q14" i="56" s="1"/>
  <c r="AD12" i="66"/>
  <c r="K19" i="56"/>
  <c r="K24" i="56" s="1"/>
  <c r="Q19" i="64"/>
  <c r="AC19" i="64" s="1"/>
  <c r="AC22" i="64" s="1"/>
  <c r="N22" i="64"/>
  <c r="N25" i="64" s="1"/>
  <c r="U18" i="62"/>
  <c r="P19" i="56"/>
  <c r="P24" i="56" s="1"/>
  <c r="P25" i="56" s="1"/>
  <c r="O25" i="58"/>
  <c r="O24" i="58"/>
  <c r="AC19" i="67"/>
  <c r="AC22" i="67" s="1"/>
  <c r="AK20" i="67"/>
  <c r="R18" i="63"/>
  <c r="R23" i="63" s="1"/>
  <c r="R24" i="63" s="1"/>
  <c r="AD22" i="63"/>
  <c r="G23" i="61"/>
  <c r="G24" i="61" s="1"/>
  <c r="G25" i="63"/>
  <c r="G24" i="63"/>
  <c r="P10" i="68"/>
  <c r="O16" i="65"/>
  <c r="Q16" i="65"/>
  <c r="P20" i="65"/>
  <c r="AD16" i="62"/>
  <c r="G25" i="67"/>
  <c r="P16" i="68"/>
  <c r="AD16" i="68" s="1"/>
  <c r="M11" i="67"/>
  <c r="P11" i="67" s="1"/>
  <c r="AD11" i="67" s="1"/>
  <c r="AD15" i="65"/>
  <c r="U17" i="64"/>
  <c r="U18" i="64" s="1"/>
  <c r="U23" i="64" s="1"/>
  <c r="U24" i="64" s="1"/>
  <c r="AH20" i="64" s="1"/>
  <c r="AM20" i="64" s="1"/>
  <c r="J18" i="64"/>
  <c r="T22" i="60"/>
  <c r="T25" i="60"/>
  <c r="G24" i="56"/>
  <c r="G25" i="56" s="1"/>
  <c r="N19" i="56"/>
  <c r="N24" i="56" s="1"/>
  <c r="AE20" i="60"/>
  <c r="J22" i="67"/>
  <c r="M22" i="67" s="1"/>
  <c r="M19" i="67"/>
  <c r="T18" i="66"/>
  <c r="T23" i="66" s="1"/>
  <c r="T24" i="66" s="1"/>
  <c r="AI8" i="66" s="1"/>
  <c r="N22" i="58"/>
  <c r="K25" i="58"/>
  <c r="G24" i="67"/>
  <c r="AI8" i="68"/>
  <c r="AE11" i="66"/>
  <c r="AE10" i="60"/>
  <c r="Q12" i="58"/>
  <c r="AE12" i="58" s="1"/>
  <c r="P18" i="58"/>
  <c r="P23" i="58" s="1"/>
  <c r="P24" i="58" s="1"/>
  <c r="AD14" i="68"/>
  <c r="R10" i="60"/>
  <c r="AD10" i="60" s="1"/>
  <c r="AD18" i="60" s="1"/>
  <c r="AD23" i="60" s="1"/>
  <c r="AJ8" i="60"/>
  <c r="T25" i="58"/>
  <c r="T22" i="58"/>
  <c r="T24" i="58" s="1"/>
  <c r="AE16" i="62"/>
  <c r="Q25" i="67"/>
  <c r="AC25" i="67" s="1"/>
  <c r="Q24" i="67"/>
  <c r="AD10" i="62"/>
  <c r="AF12" i="69"/>
  <c r="AD21" i="61"/>
  <c r="AD14" i="66"/>
  <c r="AE14" i="66" s="1"/>
  <c r="U18" i="61"/>
  <c r="AK8" i="61" s="1"/>
  <c r="P17" i="64"/>
  <c r="U18" i="65"/>
  <c r="U23" i="65" s="1"/>
  <c r="U24" i="65" s="1"/>
  <c r="AF20" i="65" s="1"/>
  <c r="AK20" i="65" s="1"/>
  <c r="AC14" i="65"/>
  <c r="Q12" i="61"/>
  <c r="Q16" i="61"/>
  <c r="AE16" i="61" s="1"/>
  <c r="J25" i="64"/>
  <c r="J22" i="64"/>
  <c r="M22" i="64" s="1"/>
  <c r="M19" i="64"/>
  <c r="G26" i="57"/>
  <c r="G25" i="57"/>
  <c r="AD10" i="66"/>
  <c r="G23" i="60"/>
  <c r="G24" i="60" s="1"/>
  <c r="N18" i="60"/>
  <c r="N23" i="60" s="1"/>
  <c r="N21" i="62"/>
  <c r="Q21" i="62" s="1"/>
  <c r="AE21" i="62" s="1"/>
  <c r="K22" i="62"/>
  <c r="K25" i="62" s="1"/>
  <c r="S18" i="65"/>
  <c r="S23" i="65" s="1"/>
  <c r="S24" i="65" s="1"/>
  <c r="O18" i="60"/>
  <c r="O23" i="60" s="1"/>
  <c r="O24" i="60" s="1"/>
  <c r="P12" i="62"/>
  <c r="R12" i="62"/>
  <c r="AD12" i="62" s="1"/>
  <c r="N22" i="66"/>
  <c r="N25" i="66" s="1"/>
  <c r="AD20" i="58"/>
  <c r="P10" i="66"/>
  <c r="AE10" i="66" s="1"/>
  <c r="P13" i="66"/>
  <c r="AE13" i="66" s="1"/>
  <c r="AH8" i="60"/>
  <c r="AD13" i="63"/>
  <c r="AE13" i="63" s="1"/>
  <c r="G24" i="62"/>
  <c r="N22" i="62"/>
  <c r="Q17" i="64"/>
  <c r="AC17" i="64" s="1"/>
  <c r="AK8" i="64"/>
  <c r="K19" i="57"/>
  <c r="AD14" i="65"/>
  <c r="N22" i="60"/>
  <c r="K24" i="60"/>
  <c r="G23" i="66"/>
  <c r="G24" i="66" s="1"/>
  <c r="M18" i="66"/>
  <c r="M23" i="66" s="1"/>
  <c r="AD11" i="65"/>
  <c r="AD12" i="63"/>
  <c r="S25" i="65"/>
  <c r="U23" i="63"/>
  <c r="U24" i="63" s="1"/>
  <c r="V16" i="56"/>
  <c r="N16" i="56"/>
  <c r="Q16" i="56" s="1"/>
  <c r="P21" i="65"/>
  <c r="Q21" i="65"/>
  <c r="AC21" i="65" s="1"/>
  <c r="AE15" i="57"/>
  <c r="Q17" i="56"/>
  <c r="AE17" i="56" s="1"/>
  <c r="O26" i="57"/>
  <c r="O16" i="68"/>
  <c r="T16" i="68" s="1"/>
  <c r="Q16" i="68"/>
  <c r="AC16" i="68" s="1"/>
  <c r="Q20" i="65"/>
  <c r="AI8" i="65"/>
  <c r="R10" i="57"/>
  <c r="AD10" i="57" s="1"/>
  <c r="O19" i="57"/>
  <c r="O24" i="57" s="1"/>
  <c r="O25" i="57" s="1"/>
  <c r="AL8" i="57"/>
  <c r="N15" i="61"/>
  <c r="Q15" i="61" s="1"/>
  <c r="AE15" i="61" s="1"/>
  <c r="AI8" i="67"/>
  <c r="G25" i="64"/>
  <c r="G24" i="64"/>
  <c r="V21" i="57"/>
  <c r="N21" i="57"/>
  <c r="Q21" i="57" s="1"/>
  <c r="Q23" i="57" s="1"/>
  <c r="K23" i="57"/>
  <c r="AH8" i="58"/>
  <c r="AL8" i="58" s="1"/>
  <c r="AL24" i="58" s="1"/>
  <c r="O25" i="60"/>
  <c r="AD12" i="68"/>
  <c r="AE21" i="60"/>
  <c r="AD22" i="60"/>
  <c r="M18" i="68"/>
  <c r="M23" i="68" s="1"/>
  <c r="M24" i="68" s="1"/>
  <c r="J23" i="68"/>
  <c r="J24" i="68" s="1"/>
  <c r="R19" i="57"/>
  <c r="R24" i="57" s="1"/>
  <c r="R25" i="57" s="1"/>
  <c r="AD13" i="57"/>
  <c r="AE13" i="57" s="1"/>
  <c r="T22" i="62"/>
  <c r="T24" i="62" s="1"/>
  <c r="AH8" i="62"/>
  <c r="V14" i="63"/>
  <c r="N14" i="63"/>
  <c r="Q14" i="63" s="1"/>
  <c r="K18" i="63"/>
  <c r="R17" i="62"/>
  <c r="AD17" i="62" s="1"/>
  <c r="O18" i="62"/>
  <c r="O23" i="62" s="1"/>
  <c r="S22" i="66"/>
  <c r="S24" i="66" s="1"/>
  <c r="AD19" i="66"/>
  <c r="AD22" i="66" s="1"/>
  <c r="S25" i="66"/>
  <c r="Q19" i="63"/>
  <c r="V23" i="56"/>
  <c r="V26" i="56" s="1"/>
  <c r="AE10" i="57"/>
  <c r="Q19" i="57"/>
  <c r="N18" i="58"/>
  <c r="N23" i="58" s="1"/>
  <c r="N24" i="58" s="1"/>
  <c r="K23" i="58"/>
  <c r="K24" i="58" s="1"/>
  <c r="AD22" i="61"/>
  <c r="Y22" i="60"/>
  <c r="O25" i="63"/>
  <c r="O24" i="63"/>
  <c r="AK8" i="60"/>
  <c r="U23" i="60"/>
  <c r="U24" i="60" s="1"/>
  <c r="Q13" i="64"/>
  <c r="O13" i="64"/>
  <c r="P13" i="64"/>
  <c r="P18" i="64" s="1"/>
  <c r="N18" i="64"/>
  <c r="N23" i="64" s="1"/>
  <c r="K22" i="61"/>
  <c r="K25" i="61" s="1"/>
  <c r="Q22" i="56"/>
  <c r="R22" i="56"/>
  <c r="AL8" i="56"/>
  <c r="O23" i="56"/>
  <c r="V15" i="62"/>
  <c r="K18" i="62"/>
  <c r="AD16" i="63"/>
  <c r="AE16" i="63" s="1"/>
  <c r="AJ8" i="63"/>
  <c r="Q13" i="68"/>
  <c r="O13" i="68"/>
  <c r="T13" i="68" s="1"/>
  <c r="T18" i="68" s="1"/>
  <c r="T23" i="68" s="1"/>
  <c r="T24" i="68" s="1"/>
  <c r="AH8" i="68" s="1"/>
  <c r="N18" i="68"/>
  <c r="N23" i="68" s="1"/>
  <c r="K22" i="63"/>
  <c r="K25" i="63" s="1"/>
  <c r="Q21" i="56"/>
  <c r="Q17" i="61"/>
  <c r="AE13" i="58"/>
  <c r="Q18" i="58"/>
  <c r="R18" i="58"/>
  <c r="R23" i="58" s="1"/>
  <c r="AD10" i="58"/>
  <c r="U19" i="57"/>
  <c r="AD16" i="66"/>
  <c r="AE16" i="66" s="1"/>
  <c r="Q18" i="66"/>
  <c r="Q23" i="66" s="1"/>
  <c r="Q24" i="66" s="1"/>
  <c r="P12" i="66"/>
  <c r="Q19" i="62"/>
  <c r="Y25" i="61"/>
  <c r="Y24" i="61"/>
  <c r="AI8" i="61" s="1"/>
  <c r="AC10" i="68"/>
  <c r="AD10" i="68" s="1"/>
  <c r="S18" i="68"/>
  <c r="S23" i="68" s="1"/>
  <c r="S24" i="68" s="1"/>
  <c r="AN8" i="56"/>
  <c r="U24" i="56"/>
  <c r="AD19" i="58"/>
  <c r="R22" i="58"/>
  <c r="N25" i="65"/>
  <c r="N24" i="65"/>
  <c r="T18" i="63"/>
  <c r="T23" i="63" s="1"/>
  <c r="T24" i="63" s="1"/>
  <c r="R19" i="62"/>
  <c r="O22" i="62"/>
  <c r="Y24" i="66"/>
  <c r="AH8" i="66" s="1"/>
  <c r="Y25" i="66"/>
  <c r="AE20" i="61"/>
  <c r="AE17" i="62"/>
  <c r="O18" i="68"/>
  <c r="O23" i="68" s="1"/>
  <c r="O24" i="68" s="1"/>
  <c r="AD21" i="56"/>
  <c r="AM8" i="56"/>
  <c r="AD16" i="56"/>
  <c r="R17" i="61"/>
  <c r="AD17" i="61" s="1"/>
  <c r="AJ8" i="61"/>
  <c r="Y25" i="63"/>
  <c r="AD25" i="63" s="1"/>
  <c r="Y24" i="63"/>
  <c r="AK8" i="63" s="1"/>
  <c r="Q19" i="68"/>
  <c r="N22" i="68"/>
  <c r="N21" i="61"/>
  <c r="AC17" i="68"/>
  <c r="AD17" i="68" s="1"/>
  <c r="N15" i="62"/>
  <c r="Q15" i="62" s="1"/>
  <c r="M19" i="66"/>
  <c r="J22" i="66"/>
  <c r="J25" i="66" s="1"/>
  <c r="Q12" i="60"/>
  <c r="P18" i="60"/>
  <c r="P23" i="60" s="1"/>
  <c r="P24" i="60" s="1"/>
  <c r="Y25" i="57"/>
  <c r="AK8" i="57" s="1"/>
  <c r="Y26" i="57"/>
  <c r="M18" i="67"/>
  <c r="M23" i="67" s="1"/>
  <c r="J23" i="67"/>
  <c r="AC14" i="67"/>
  <c r="AD14" i="67" s="1"/>
  <c r="AD12" i="61"/>
  <c r="V19" i="57"/>
  <c r="V24" i="57" s="1"/>
  <c r="AD16" i="57"/>
  <c r="AE16" i="57" s="1"/>
  <c r="Q18" i="63"/>
  <c r="Q25" i="66"/>
  <c r="AD19" i="57"/>
  <c r="AD24" i="57" s="1"/>
  <c r="O19" i="56"/>
  <c r="O24" i="56" s="1"/>
  <c r="P19" i="68"/>
  <c r="M25" i="68"/>
  <c r="T22" i="61"/>
  <c r="T24" i="61" s="1"/>
  <c r="AC16" i="64"/>
  <c r="AD16" i="64" s="1"/>
  <c r="T25" i="57"/>
  <c r="AD10" i="61"/>
  <c r="R18" i="61"/>
  <c r="R23" i="61" s="1"/>
  <c r="R24" i="61" s="1"/>
  <c r="AC12" i="65"/>
  <c r="Q18" i="65"/>
  <c r="Q23" i="65" s="1"/>
  <c r="P18" i="67"/>
  <c r="P23" i="67" s="1"/>
  <c r="AD10" i="67"/>
  <c r="AD17" i="64"/>
  <c r="N25" i="58"/>
  <c r="Q20" i="58"/>
  <c r="AE21" i="63"/>
  <c r="AD19" i="65"/>
  <c r="U15" i="68"/>
  <c r="M15" i="68"/>
  <c r="P15" i="68" s="1"/>
  <c r="AG8" i="66"/>
  <c r="AL8" i="66" s="1"/>
  <c r="AL24" i="66" s="1"/>
  <c r="AD14" i="62"/>
  <c r="AD12" i="65"/>
  <c r="N25" i="67"/>
  <c r="N24" i="67"/>
  <c r="Q22" i="64"/>
  <c r="N23" i="56"/>
  <c r="N26" i="56" s="1"/>
  <c r="K25" i="56"/>
  <c r="K26" i="56"/>
  <c r="M24" i="65"/>
  <c r="AJ8" i="62"/>
  <c r="AF11" i="69"/>
  <c r="O20" i="69"/>
  <c r="O22" i="69" s="1"/>
  <c r="R19" i="69"/>
  <c r="AE19" i="69" s="1"/>
  <c r="Q19" i="69"/>
  <c r="T20" i="69"/>
  <c r="P10" i="69"/>
  <c r="Q10" i="69" s="1"/>
  <c r="N17" i="69"/>
  <c r="Q17" i="69" s="1"/>
  <c r="I13" i="73"/>
  <c r="J13" i="73" s="1"/>
  <c r="E10" i="71"/>
  <c r="U10" i="69"/>
  <c r="AE10" i="69" s="1"/>
  <c r="E11" i="71"/>
  <c r="U15" i="69"/>
  <c r="T16" i="69"/>
  <c r="T21" i="69" s="1"/>
  <c r="R15" i="69"/>
  <c r="O16" i="69"/>
  <c r="N15" i="69"/>
  <c r="N16" i="69" s="1"/>
  <c r="K20" i="69"/>
  <c r="N20" i="69" s="1"/>
  <c r="I16" i="74"/>
  <c r="P8" i="69"/>
  <c r="R8" i="69"/>
  <c r="AE8" i="69" s="1"/>
  <c r="T22" i="69"/>
  <c r="K16" i="69"/>
  <c r="H21" i="69"/>
  <c r="D10" i="76" s="1"/>
  <c r="I11" i="73"/>
  <c r="N18" i="69"/>
  <c r="Q18" i="69" s="1"/>
  <c r="AF18" i="69" s="1"/>
  <c r="H22" i="69"/>
  <c r="R17" i="69"/>
  <c r="AK6" i="69" s="1"/>
  <c r="I18" i="75"/>
  <c r="AL6" i="69"/>
  <c r="I14" i="73" l="1"/>
  <c r="J14" i="73" s="1"/>
  <c r="M24" i="67"/>
  <c r="P19" i="64"/>
  <c r="M25" i="64"/>
  <c r="P22" i="65"/>
  <c r="P25" i="65" s="1"/>
  <c r="R18" i="60"/>
  <c r="R23" i="60" s="1"/>
  <c r="R24" i="60" s="1"/>
  <c r="R18" i="62"/>
  <c r="R23" i="62" s="1"/>
  <c r="AD26" i="57"/>
  <c r="N19" i="57"/>
  <c r="N24" i="57" s="1"/>
  <c r="K24" i="57"/>
  <c r="K25" i="57" s="1"/>
  <c r="AH25" i="57" s="1"/>
  <c r="Q12" i="62"/>
  <c r="AE12" i="62" s="1"/>
  <c r="P18" i="62"/>
  <c r="P23" i="62" s="1"/>
  <c r="P24" i="62" s="1"/>
  <c r="AC16" i="65"/>
  <c r="AC18" i="65" s="1"/>
  <c r="AC23" i="65" s="1"/>
  <c r="N18" i="61"/>
  <c r="N23" i="61" s="1"/>
  <c r="U23" i="62"/>
  <c r="U24" i="62" s="1"/>
  <c r="AK8" i="62"/>
  <c r="V19" i="56"/>
  <c r="V24" i="56" s="1"/>
  <c r="AD14" i="56"/>
  <c r="AE14" i="56" s="1"/>
  <c r="P19" i="67"/>
  <c r="M25" i="67"/>
  <c r="P16" i="65"/>
  <c r="O18" i="65"/>
  <c r="O23" i="65" s="1"/>
  <c r="O24" i="65" s="1"/>
  <c r="T16" i="65"/>
  <c r="AC18" i="67"/>
  <c r="AC23" i="67" s="1"/>
  <c r="AC24" i="67" s="1"/>
  <c r="AD25" i="66"/>
  <c r="AE12" i="61"/>
  <c r="AG24" i="60"/>
  <c r="AM24" i="60" s="1"/>
  <c r="U23" i="61"/>
  <c r="U24" i="61" s="1"/>
  <c r="K26" i="57"/>
  <c r="N23" i="57"/>
  <c r="AC20" i="65"/>
  <c r="AC22" i="65" s="1"/>
  <c r="Q22" i="65"/>
  <c r="Q25" i="65" s="1"/>
  <c r="AC25" i="65" s="1"/>
  <c r="J25" i="67"/>
  <c r="T24" i="60"/>
  <c r="V25" i="57"/>
  <c r="AL8" i="61"/>
  <c r="AL24" i="61" s="1"/>
  <c r="Q24" i="65"/>
  <c r="AD19" i="56"/>
  <c r="AD24" i="56" s="1"/>
  <c r="V25" i="56"/>
  <c r="Q26" i="57"/>
  <c r="N24" i="60"/>
  <c r="N25" i="60"/>
  <c r="J24" i="65"/>
  <c r="M18" i="64"/>
  <c r="M23" i="64" s="1"/>
  <c r="M24" i="64" s="1"/>
  <c r="J23" i="64"/>
  <c r="J24" i="64" s="1"/>
  <c r="N25" i="62"/>
  <c r="J24" i="67"/>
  <c r="N24" i="64"/>
  <c r="AG24" i="58"/>
  <c r="AM24" i="58" s="1"/>
  <c r="V23" i="57"/>
  <c r="V26" i="57" s="1"/>
  <c r="AD21" i="57"/>
  <c r="AD23" i="57" s="1"/>
  <c r="AD25" i="57" s="1"/>
  <c r="AD21" i="65"/>
  <c r="N24" i="66"/>
  <c r="J25" i="65"/>
  <c r="O25" i="62"/>
  <c r="O24" i="62"/>
  <c r="U24" i="57"/>
  <c r="AN8" i="57"/>
  <c r="AD14" i="63"/>
  <c r="AD18" i="63" s="1"/>
  <c r="AD23" i="63" s="1"/>
  <c r="AD24" i="63" s="1"/>
  <c r="V18" i="63"/>
  <c r="V23" i="63" s="1"/>
  <c r="V24" i="63" s="1"/>
  <c r="AI20" i="63" s="1"/>
  <c r="AN20" i="63" s="1"/>
  <c r="AE14" i="62"/>
  <c r="T25" i="61"/>
  <c r="AD25" i="61" s="1"/>
  <c r="AD19" i="62"/>
  <c r="AD22" i="62" s="1"/>
  <c r="R22" i="62"/>
  <c r="AF8" i="68"/>
  <c r="AK8" i="68" s="1"/>
  <c r="AE10" i="58"/>
  <c r="AD18" i="58"/>
  <c r="AD23" i="58" s="1"/>
  <c r="K23" i="62"/>
  <c r="K24" i="62" s="1"/>
  <c r="AG24" i="62" s="1"/>
  <c r="N18" i="62"/>
  <c r="N23" i="62" s="1"/>
  <c r="N24" i="62" s="1"/>
  <c r="AL8" i="62"/>
  <c r="AL24" i="62" s="1"/>
  <c r="AD18" i="67"/>
  <c r="AD23" i="67" s="1"/>
  <c r="P19" i="66"/>
  <c r="N22" i="63"/>
  <c r="V18" i="62"/>
  <c r="V23" i="62" s="1"/>
  <c r="V24" i="62" s="1"/>
  <c r="AG20" i="62" s="1"/>
  <c r="AL20" i="62" s="1"/>
  <c r="AD15" i="62"/>
  <c r="AD18" i="62" s="1"/>
  <c r="AD23" i="62" s="1"/>
  <c r="AE16" i="56"/>
  <c r="Q19" i="56"/>
  <c r="Q24" i="56" s="1"/>
  <c r="AD24" i="60"/>
  <c r="Q25" i="64"/>
  <c r="AC25" i="64" s="1"/>
  <c r="Q18" i="62"/>
  <c r="R24" i="58"/>
  <c r="R25" i="58"/>
  <c r="AD25" i="58" s="1"/>
  <c r="Q23" i="58"/>
  <c r="O25" i="56"/>
  <c r="AH25" i="56" s="1"/>
  <c r="O26" i="56"/>
  <c r="Q24" i="57"/>
  <c r="Q25" i="57" s="1"/>
  <c r="AE19" i="57"/>
  <c r="AE24" i="57" s="1"/>
  <c r="T25" i="62"/>
  <c r="AE22" i="60"/>
  <c r="AE25" i="60" s="1"/>
  <c r="P23" i="64"/>
  <c r="AD22" i="58"/>
  <c r="AE19" i="58"/>
  <c r="N25" i="56"/>
  <c r="AD15" i="68"/>
  <c r="P25" i="68"/>
  <c r="P22" i="68"/>
  <c r="Q23" i="63"/>
  <c r="Q21" i="61"/>
  <c r="U25" i="56"/>
  <c r="AI8" i="56"/>
  <c r="AN9" i="56" s="1"/>
  <c r="Q22" i="62"/>
  <c r="AE17" i="61"/>
  <c r="Q18" i="61"/>
  <c r="P13" i="68"/>
  <c r="AD22" i="56"/>
  <c r="AD23" i="56" s="1"/>
  <c r="AD25" i="56" s="1"/>
  <c r="R23" i="56"/>
  <c r="AC15" i="68"/>
  <c r="U18" i="68"/>
  <c r="U23" i="68" s="1"/>
  <c r="U24" i="68" s="1"/>
  <c r="AF20" i="68" s="1"/>
  <c r="AK20" i="68" s="1"/>
  <c r="AE20" i="58"/>
  <c r="Q22" i="58"/>
  <c r="Q25" i="58" s="1"/>
  <c r="N25" i="68"/>
  <c r="N24" i="68"/>
  <c r="AC13" i="68"/>
  <c r="Q18" i="68"/>
  <c r="T13" i="64"/>
  <c r="O18" i="64"/>
  <c r="O23" i="64" s="1"/>
  <c r="O24" i="64" s="1"/>
  <c r="AH24" i="64" s="1"/>
  <c r="K23" i="63"/>
  <c r="K24" i="63" s="1"/>
  <c r="AI24" i="63" s="1"/>
  <c r="N18" i="63"/>
  <c r="N23" i="63" s="1"/>
  <c r="J24" i="66"/>
  <c r="M22" i="66"/>
  <c r="M24" i="66" s="1"/>
  <c r="AF19" i="69"/>
  <c r="E17" i="71" s="1"/>
  <c r="AD18" i="61"/>
  <c r="AD23" i="61" s="1"/>
  <c r="AD24" i="61" s="1"/>
  <c r="AE10" i="61"/>
  <c r="Q18" i="60"/>
  <c r="AE12" i="60"/>
  <c r="Q22" i="68"/>
  <c r="AC19" i="68"/>
  <c r="AC22" i="68" s="1"/>
  <c r="AE12" i="66"/>
  <c r="AE18" i="66" s="1"/>
  <c r="AE23" i="66" s="1"/>
  <c r="P18" i="66"/>
  <c r="P23" i="66" s="1"/>
  <c r="AE21" i="56"/>
  <c r="Q23" i="56"/>
  <c r="Q25" i="56" s="1"/>
  <c r="AN8" i="63"/>
  <c r="Q18" i="64"/>
  <c r="Q23" i="64" s="1"/>
  <c r="Q24" i="64" s="1"/>
  <c r="Y25" i="60"/>
  <c r="AD25" i="60" s="1"/>
  <c r="Y24" i="60"/>
  <c r="AI8" i="60" s="1"/>
  <c r="AL8" i="60" s="1"/>
  <c r="AL24" i="60" s="1"/>
  <c r="Q22" i="63"/>
  <c r="Q25" i="63"/>
  <c r="AE19" i="63"/>
  <c r="AE14" i="63"/>
  <c r="AD18" i="66"/>
  <c r="AD23" i="66" s="1"/>
  <c r="AD24" i="66" s="1"/>
  <c r="N22" i="61"/>
  <c r="N24" i="61" s="1"/>
  <c r="K24" i="61"/>
  <c r="AG24" i="61" s="1"/>
  <c r="AM24" i="61" s="1"/>
  <c r="O21" i="69"/>
  <c r="D11" i="76" s="1"/>
  <c r="AE17" i="69"/>
  <c r="AF17" i="69" s="1"/>
  <c r="AE15" i="69"/>
  <c r="AF10" i="69"/>
  <c r="E9" i="71" s="1"/>
  <c r="Q15" i="69"/>
  <c r="Q8" i="69"/>
  <c r="AF8" i="69" s="1"/>
  <c r="E7" i="71" s="1"/>
  <c r="V20" i="69"/>
  <c r="V21" i="69" s="1"/>
  <c r="K21" i="69"/>
  <c r="D7" i="76" s="1"/>
  <c r="R20" i="69"/>
  <c r="R22" i="69" s="1"/>
  <c r="N22" i="69"/>
  <c r="K22" i="69"/>
  <c r="R16" i="69"/>
  <c r="J11" i="73"/>
  <c r="U16" i="69"/>
  <c r="U21" i="69" s="1"/>
  <c r="AJ6" i="69" s="1"/>
  <c r="P16" i="69"/>
  <c r="P21" i="69" s="1"/>
  <c r="N21" i="69"/>
  <c r="Y22" i="69"/>
  <c r="Q20" i="69"/>
  <c r="N25" i="61" l="1"/>
  <c r="AD16" i="65"/>
  <c r="P18" i="65"/>
  <c r="AD20" i="65"/>
  <c r="Q24" i="63"/>
  <c r="AK24" i="68"/>
  <c r="AE19" i="56"/>
  <c r="AE24" i="56" s="1"/>
  <c r="AC24" i="65"/>
  <c r="P22" i="67"/>
  <c r="P24" i="67" s="1"/>
  <c r="P25" i="67"/>
  <c r="AD19" i="67"/>
  <c r="AD22" i="67" s="1"/>
  <c r="AD24" i="67" s="1"/>
  <c r="N25" i="57"/>
  <c r="N26" i="57"/>
  <c r="AD19" i="64"/>
  <c r="P22" i="64"/>
  <c r="P25" i="64" s="1"/>
  <c r="P24" i="64"/>
  <c r="AE21" i="57"/>
  <c r="AE23" i="57" s="1"/>
  <c r="T18" i="65"/>
  <c r="T23" i="65" s="1"/>
  <c r="T24" i="65" s="1"/>
  <c r="AH8" i="65" s="1"/>
  <c r="AF8" i="65"/>
  <c r="AK8" i="65" s="1"/>
  <c r="AK24" i="65" s="1"/>
  <c r="AD19" i="68"/>
  <c r="Q23" i="60"/>
  <c r="Q24" i="60" s="1"/>
  <c r="AE18" i="60"/>
  <c r="AE23" i="60" s="1"/>
  <c r="AE24" i="60" s="1"/>
  <c r="AI8" i="64"/>
  <c r="T18" i="64"/>
  <c r="AD13" i="68"/>
  <c r="AD18" i="68" s="1"/>
  <c r="AD23" i="68" s="1"/>
  <c r="P18" i="68"/>
  <c r="P23" i="68" s="1"/>
  <c r="AD22" i="68"/>
  <c r="M25" i="66"/>
  <c r="AE22" i="56"/>
  <c r="AE23" i="56" s="1"/>
  <c r="Q24" i="58"/>
  <c r="Q23" i="61"/>
  <c r="AE18" i="61"/>
  <c r="AE23" i="61" s="1"/>
  <c r="AE18" i="58"/>
  <c r="AE23" i="58" s="1"/>
  <c r="AE19" i="66"/>
  <c r="P22" i="66"/>
  <c r="P24" i="66" s="1"/>
  <c r="R25" i="62"/>
  <c r="AD25" i="62" s="1"/>
  <c r="R24" i="62"/>
  <c r="AE21" i="61"/>
  <c r="Q22" i="61"/>
  <c r="Q25" i="61"/>
  <c r="AI8" i="57"/>
  <c r="AN9" i="57" s="1"/>
  <c r="U25" i="57"/>
  <c r="Q25" i="68"/>
  <c r="AC25" i="68" s="1"/>
  <c r="Q26" i="56"/>
  <c r="Q23" i="68"/>
  <c r="Q24" i="68" s="1"/>
  <c r="AC18" i="68"/>
  <c r="AC23" i="68" s="1"/>
  <c r="AC24" i="68" s="1"/>
  <c r="Q25" i="62"/>
  <c r="AE22" i="58"/>
  <c r="Q23" i="62"/>
  <c r="Q24" i="62" s="1"/>
  <c r="AE18" i="62"/>
  <c r="AE23" i="62" s="1"/>
  <c r="AD24" i="62"/>
  <c r="AC13" i="64"/>
  <c r="AN24" i="63"/>
  <c r="AO24" i="63" s="1"/>
  <c r="AD25" i="67"/>
  <c r="AE19" i="62"/>
  <c r="AE18" i="63"/>
  <c r="AE23" i="63" s="1"/>
  <c r="AD24" i="58"/>
  <c r="AE15" i="62"/>
  <c r="AM24" i="62"/>
  <c r="AE22" i="63"/>
  <c r="AE25" i="63" s="1"/>
  <c r="R25" i="56"/>
  <c r="R26" i="56"/>
  <c r="AD26" i="56" s="1"/>
  <c r="P24" i="68"/>
  <c r="N24" i="63"/>
  <c r="N25" i="63"/>
  <c r="AF15" i="69"/>
  <c r="E14" i="71" s="1"/>
  <c r="AH18" i="69"/>
  <c r="AM18" i="69" s="1"/>
  <c r="H17" i="73"/>
  <c r="E16" i="71"/>
  <c r="V22" i="69"/>
  <c r="AE22" i="69" s="1"/>
  <c r="R21" i="69"/>
  <c r="D19" i="76" s="1"/>
  <c r="AF20" i="69"/>
  <c r="AE20" i="69"/>
  <c r="AH6" i="69"/>
  <c r="D16" i="76"/>
  <c r="AE16" i="69"/>
  <c r="Q22" i="69"/>
  <c r="Q16" i="69"/>
  <c r="Q21" i="69" s="1"/>
  <c r="D21" i="76"/>
  <c r="D12" i="76"/>
  <c r="D13" i="76" s="1"/>
  <c r="AI6" i="69"/>
  <c r="D28" i="76"/>
  <c r="AE25" i="56" l="1"/>
  <c r="AE26" i="57"/>
  <c r="AE25" i="57"/>
  <c r="AE24" i="58"/>
  <c r="P23" i="65"/>
  <c r="P24" i="65" s="1"/>
  <c r="AD18" i="65"/>
  <c r="AD23" i="65" s="1"/>
  <c r="AD22" i="65"/>
  <c r="AD22" i="64"/>
  <c r="AD25" i="64"/>
  <c r="T23" i="64"/>
  <c r="T24" i="64" s="1"/>
  <c r="AL8" i="64"/>
  <c r="AM8" i="64" s="1"/>
  <c r="AM24" i="64" s="1"/>
  <c r="AN24" i="64" s="1"/>
  <c r="AE25" i="58"/>
  <c r="P25" i="66"/>
  <c r="AE24" i="63"/>
  <c r="AE22" i="66"/>
  <c r="AE24" i="66" s="1"/>
  <c r="AD24" i="68"/>
  <c r="AE26" i="56"/>
  <c r="AE22" i="62"/>
  <c r="AE24" i="62" s="1"/>
  <c r="AC18" i="64"/>
  <c r="AD13" i="64"/>
  <c r="Q24" i="61"/>
  <c r="AD25" i="68"/>
  <c r="AE22" i="61"/>
  <c r="AE24" i="61" s="1"/>
  <c r="AM6" i="69"/>
  <c r="AM21" i="69" s="1"/>
  <c r="AE21" i="69"/>
  <c r="AF22" i="69"/>
  <c r="E15" i="71"/>
  <c r="D23" i="76"/>
  <c r="D24" i="76" s="1"/>
  <c r="D22" i="76"/>
  <c r="AE25" i="62" l="1"/>
  <c r="AD24" i="65"/>
  <c r="AD25" i="65"/>
  <c r="AC23" i="64"/>
  <c r="AC24" i="64" s="1"/>
  <c r="AD18" i="64"/>
  <c r="AD23" i="64" s="1"/>
  <c r="AD24" i="64" s="1"/>
  <c r="AE25" i="66"/>
  <c r="AE25" i="61"/>
  <c r="AM33" i="69"/>
  <c r="E18" i="71"/>
  <c r="AF16" i="69"/>
  <c r="AF21" i="69" s="1"/>
  <c r="H18" i="71" l="1"/>
  <c r="J18" i="71" s="1"/>
  <c r="AH21" i="69"/>
  <c r="AM37" i="69"/>
  <c r="D15" i="76"/>
  <c r="D32" i="76" s="1"/>
  <c r="R32" i="76" s="1"/>
</calcChain>
</file>

<file path=xl/sharedStrings.xml><?xml version="1.0" encoding="utf-8"?>
<sst xmlns="http://schemas.openxmlformats.org/spreadsheetml/2006/main" count="1303" uniqueCount="328">
  <si>
    <t>A/c.No.</t>
  </si>
  <si>
    <t>Total Pay</t>
  </si>
  <si>
    <t>Total Salary</t>
  </si>
  <si>
    <t>Sr.Officer</t>
  </si>
  <si>
    <t>Officer</t>
  </si>
  <si>
    <t>"</t>
  </si>
  <si>
    <t>Sub-Total: B</t>
  </si>
  <si>
    <t>B.Fund</t>
  </si>
  <si>
    <t>R.Stamp</t>
  </si>
  <si>
    <t>Net payable</t>
  </si>
  <si>
    <t>Total paid by bank</t>
  </si>
  <si>
    <t>Net Deductione</t>
  </si>
  <si>
    <t xml:space="preserve"> </t>
  </si>
  <si>
    <t xml:space="preserve">Sub-Total : A </t>
  </si>
  <si>
    <t>Total: ( A+B )</t>
  </si>
  <si>
    <t xml:space="preserve">     </t>
  </si>
  <si>
    <t>" Md.Abdur Rahim</t>
  </si>
  <si>
    <t>Mrs. Arpita Rani Paul</t>
  </si>
  <si>
    <t>" Md.Jahangir Alam</t>
  </si>
  <si>
    <t>Pr.Officer</t>
  </si>
  <si>
    <t>HBA</t>
  </si>
  <si>
    <t>Designation</t>
  </si>
  <si>
    <t>Basic Pay</t>
  </si>
  <si>
    <t>Arear Pay</t>
  </si>
  <si>
    <t>Substan.Bill</t>
  </si>
  <si>
    <t>House Rent</t>
  </si>
  <si>
    <t>Paper Bill</t>
  </si>
  <si>
    <t xml:space="preserve">          Name</t>
  </si>
  <si>
    <t>Education All.</t>
  </si>
  <si>
    <t>HBA Instalment</t>
  </si>
  <si>
    <t>Mr.Md.Jahangir Alam</t>
  </si>
  <si>
    <t>M.Cycle Loan</t>
  </si>
  <si>
    <t>" Md.Salah Uddin</t>
  </si>
  <si>
    <t>Senior Officer</t>
  </si>
  <si>
    <t>Medical</t>
  </si>
  <si>
    <t>D E D U C T  I O N</t>
  </si>
  <si>
    <t>% OF OWN CONT.OF P.F.</t>
  </si>
  <si>
    <t>" Partha Sarathi Das</t>
  </si>
  <si>
    <t>55% Super Anuation &amp; 10% Gratuaty fund</t>
  </si>
  <si>
    <t>Bank.Con.of P.F.10%</t>
  </si>
  <si>
    <t>Mr.Md.Jahangir Alam*</t>
  </si>
  <si>
    <t xml:space="preserve">Provident .Fund </t>
  </si>
  <si>
    <t>Sr.Pr.Officer</t>
  </si>
  <si>
    <t>Principal Officer</t>
  </si>
  <si>
    <t>MCL</t>
  </si>
  <si>
    <t>S.S.Staff.</t>
  </si>
  <si>
    <t>" Abdul Kader</t>
  </si>
  <si>
    <t xml:space="preserve">NOAKHALI  BRANCH, NOAKHALI. </t>
  </si>
  <si>
    <t>Washing Allowance.</t>
  </si>
  <si>
    <t>Medical Allowance.</t>
  </si>
  <si>
    <t>P.Fund Loan</t>
  </si>
  <si>
    <t>Revenue.Stamp</t>
  </si>
  <si>
    <t xml:space="preserve">Bank.Con.of P. Fund 10% </t>
  </si>
  <si>
    <t>Income Tax</t>
  </si>
  <si>
    <t>"  Abul Hossain Patwary</t>
  </si>
  <si>
    <t>Revenue Stamp</t>
  </si>
  <si>
    <t>Net Payable</t>
  </si>
  <si>
    <t>BABGLADESH DEVELOPMENT BANK LTD</t>
  </si>
  <si>
    <t>" Md.Mohin Uddin Morshed</t>
  </si>
  <si>
    <t>S.S.Grade-2</t>
  </si>
  <si>
    <t xml:space="preserve">MOBILE BILL </t>
  </si>
  <si>
    <t>BSRS</t>
  </si>
  <si>
    <t>" Shajahan Sarkar</t>
  </si>
  <si>
    <t>"  Abul Hashem</t>
  </si>
  <si>
    <t>BANGLADESH DEVELOPMENT BANK LTD.</t>
  </si>
  <si>
    <t>Mr. Zohirul Islam Bhuiyan</t>
  </si>
  <si>
    <t>PF INST, PF Member  Con. (BSRS)</t>
  </si>
  <si>
    <t>PF INST, PF Member &amp; B. Con. (BSB &amp; BDBL)</t>
  </si>
  <si>
    <t>Paper Bill &amp; B.Fund</t>
  </si>
  <si>
    <t>Pension Fund (BSB)</t>
  </si>
  <si>
    <t>Pension Fund (BSRS)</t>
  </si>
  <si>
    <t>Gratuity Fund Bank Con.</t>
  </si>
  <si>
    <t>( Abul Hashem )</t>
  </si>
  <si>
    <t xml:space="preserve">                                                                                                                                              SALARY FOR THE MONTH OF </t>
  </si>
  <si>
    <t xml:space="preserve">Incom Tax </t>
  </si>
  <si>
    <t>S.S.Grade-1</t>
  </si>
  <si>
    <t>Mr.Md.Rakeeb Hossain*</t>
  </si>
  <si>
    <t>Computer Loan</t>
  </si>
  <si>
    <t>Mr.Md.Rakeeb Hossain</t>
  </si>
  <si>
    <t xml:space="preserve">  Name of Employees</t>
  </si>
  <si>
    <t xml:space="preserve">                      ( ABUL HASHEM )                                                        ( ARPITA RANI PAUL )                                                   ( MD.RAKEEB HOSSAIN )                                                                                        </t>
  </si>
  <si>
    <t xml:space="preserve">                                                              * Refixation of pay against the Promotion vide HO letter No.06.1/1.1891/32038 dated 04.12.2016 w.e.f.28.09.2016.</t>
  </si>
  <si>
    <t xml:space="preserve">                                                              * Refixation of pay against the Promotion vide HO letter No.06.1/1.1309/206 dated 03.01.2017 w.e.f.23.11.2016.</t>
  </si>
  <si>
    <t xml:space="preserve">  ( Taka Six lac Fifty One thousand One hundred Twenty Two only)</t>
  </si>
  <si>
    <t>SALARY FOR THE MONTH OF JANUARY,2017.</t>
  </si>
  <si>
    <t>S.Sub Staff</t>
  </si>
  <si>
    <t xml:space="preserve">                                                          SENIOR OFFICER                                                     PRINCIPAL OFFICER                                                  SENIOR PRINCIPAL OFFICER                                                                           </t>
  </si>
  <si>
    <t>SALARY FOR THE MONTH OF FEBRUARY,2017.</t>
  </si>
  <si>
    <t xml:space="preserve">  ( Taka Six lac Forty Nine thousand Seven hundred Eighty Eight only)</t>
  </si>
  <si>
    <t>Mr.Saibal Barua</t>
  </si>
  <si>
    <t>Mr. Md.Abdur Rahim</t>
  </si>
  <si>
    <t xml:space="preserve">  ( Taka Five lac Eighty Four thousand Two hundred Sixty Five only)</t>
  </si>
  <si>
    <t>SALARY FOR THE MONTH OF MARCH, 2017.</t>
  </si>
  <si>
    <t>MC</t>
  </si>
  <si>
    <t>COM</t>
  </si>
  <si>
    <t>Stamp</t>
  </si>
  <si>
    <t>NOAKHALI BRANCH, NOAKHALI.</t>
  </si>
  <si>
    <t>" Soibal Barua</t>
  </si>
  <si>
    <t>SPO</t>
  </si>
  <si>
    <t>(Sixty One thousand One hundred Sixty Four only).</t>
  </si>
  <si>
    <t>( Engr.Md. Rakeeb Hossain)</t>
  </si>
  <si>
    <t xml:space="preserve">              Manager</t>
  </si>
  <si>
    <t>Engr. Md.Rakeeb Hossain</t>
  </si>
  <si>
    <t>20% Basic pay of March,2017</t>
  </si>
  <si>
    <t>Staff</t>
  </si>
  <si>
    <t>Sumsuary</t>
  </si>
  <si>
    <t>H/Rent</t>
  </si>
  <si>
    <t>Education</t>
  </si>
  <si>
    <t>Washing</t>
  </si>
  <si>
    <t xml:space="preserve">Bengali New Years Allowance paid to the Employees of this branch equivalent to 20% basic pay of March, 2017 as per CAD Circular No    /2017, Dated: 02-04-2017 Debit to ADM.53100-21 </t>
  </si>
  <si>
    <t>( Soibal Barua )</t>
  </si>
  <si>
    <t>SALARY FOR THE MONTH OF APRIL, 2017.</t>
  </si>
  <si>
    <t>COMP</t>
  </si>
  <si>
    <t>CAD Credit</t>
  </si>
  <si>
    <t xml:space="preserve">  ( Taka Six lac Forty Seven thousand One hundred Seventy Five only)</t>
  </si>
  <si>
    <t xml:space="preserve">                                   * Refixation of pay  Mr. Engr. Md.Rakeeb Hossain,SPO Vide HO, HRMD Letter No.06.1/1925/8665 dated 17.04.2017 w.e.f.01.10.2016 to 31.03.2017.</t>
  </si>
  <si>
    <t>SALARY FOR THE MONTH OF May, 2017.</t>
  </si>
  <si>
    <t xml:space="preserve">  ( Taka Five lac Ninty Three thousand Two hundred Fifty Three only)</t>
  </si>
  <si>
    <t>Br.Debit</t>
  </si>
  <si>
    <t>SALARY FOR THE MONTH OF JUNE, 2017.</t>
  </si>
  <si>
    <t>SALARY FOR THE MONTH OF JULY, 2017.</t>
  </si>
  <si>
    <t xml:space="preserve">  ( Taka Six lac Eighteen thousand Two only)</t>
  </si>
  <si>
    <t xml:space="preserve">                                 ( ABUL HASHEM )                                                    ( ARPITA RANI PAUL )                                                ( ENGR.MD.RAKEEB HOSSAIN )                                                                                        </t>
  </si>
  <si>
    <t xml:space="preserve">      Grand of Annual Increment vide HRMD.HO.Letter No.06.1/15239,15733,16077,16632,15835,15869,16407,16262,14473,15053 &amp;15119 Dated 17.7.17,18.7.17,19.7.17,17.7.17,19.7.17,05.7.17,11.7.17, &amp; 12.7.17  w.e.f.01.07.2017.</t>
  </si>
  <si>
    <t xml:space="preserve">                                                                  SENIOR OFFICER                                                     PRINCIPAL OFFICER                                                  SENIOR PRINCIPAL OFFICER                                                                           </t>
  </si>
  <si>
    <t>SALARY FOR THE MONTH OF AUGUST, 2017.</t>
  </si>
  <si>
    <t>% Of Own Cont.Of P.F.</t>
  </si>
  <si>
    <t>SALARY FOR THE MONTH OF SEPTEMBER, 2017.</t>
  </si>
  <si>
    <t>Br.Credit</t>
  </si>
  <si>
    <t>Comp.</t>
  </si>
  <si>
    <t>Engr.Md.Rakeeb Hossain</t>
  </si>
  <si>
    <t>SALARY FOR THE MONTH OF OCTOBER, 2017.</t>
  </si>
  <si>
    <t xml:space="preserve">One day salary paid to Rohinga </t>
  </si>
  <si>
    <t>D   E   D   U   C   T    I   O   N</t>
  </si>
  <si>
    <t xml:space="preserve">                                                Column No.21, One day salary paid to Rohinga vide HO,HRMD letter No.06.1/85.02/11/2017/26357 dated 25.10.2017.</t>
  </si>
  <si>
    <t xml:space="preserve">                                 ( ABUL HASHEM )                                                      ( Zahirul Islam Bhuiyan )                                              ( ENGR.MD.RAKEEB HOSSAIN )                                                                                        </t>
  </si>
  <si>
    <t>SALARY FOR THE MONTH OF NOVEMBER, 2017.</t>
  </si>
  <si>
    <t xml:space="preserve">                                 ( ABUL HASHEM )                                                      (  SAIBAL BARUA  )                                              ( ENGR.MD.RAKEEB HOSSAIN )                                                                                        </t>
  </si>
  <si>
    <t>SALARY FOR THE MONTH OF DECEMBER, 2017.</t>
  </si>
  <si>
    <t>Sourav Chowdhry (SO), Release from Agrabad Br. Release date: 15/01/2018, Promotion Date: 24/12/2017</t>
  </si>
  <si>
    <t>Salary Arrear</t>
  </si>
  <si>
    <t>House Rent Allowances Break-up</t>
  </si>
  <si>
    <t>From 24/12/2018 - To 31/12/2017 (in Ctg)</t>
  </si>
  <si>
    <t>From 01/01/2018 - To 15/01/2018  (in Ctg)</t>
  </si>
  <si>
    <t>From 16/01/2018 - To 31/01/2018  (in N.khali)</t>
  </si>
  <si>
    <t>Total House Rent Payable</t>
  </si>
  <si>
    <t>House Rent Allowances given in salary Sheet</t>
  </si>
  <si>
    <t>Add. Difference</t>
  </si>
  <si>
    <t>Akbar Hossain (SO), Release from Khatungonj Br. Release date: 10/01/2018, Promotion Date: 24/12/2017</t>
  </si>
  <si>
    <t>From 01/01/2018 - To 10/01/2018  (in Ctg)</t>
  </si>
  <si>
    <t>From 11/01/2018 - To 31/01/2018  (in N.khali)</t>
  </si>
  <si>
    <t>Branch Office, Noakhali</t>
  </si>
  <si>
    <t>Salary and Allowances for the Employees of the Branch:</t>
  </si>
  <si>
    <t>Sl No.</t>
  </si>
  <si>
    <t>Name</t>
  </si>
  <si>
    <t>SB A/C No.</t>
  </si>
  <si>
    <t>Amount</t>
  </si>
  <si>
    <t>Total</t>
  </si>
  <si>
    <t xml:space="preserve">                                                                                            </t>
  </si>
  <si>
    <t>SALARY FOR THE MONTH OF :</t>
  </si>
  <si>
    <t>Md. Shajahan Sarkar</t>
  </si>
  <si>
    <t xml:space="preserve">Staff Loan (HBA) Installments of the Employees of the Branch : </t>
  </si>
  <si>
    <t>HBA Installment</t>
  </si>
  <si>
    <t xml:space="preserve">Staff Loan (Computer) Installments of the Employees: </t>
  </si>
  <si>
    <t>Motorcycle Loan</t>
  </si>
  <si>
    <t xml:space="preserve">Staff Loan (Motorcycle) Installments of the Employees: </t>
  </si>
  <si>
    <t>Md Salah Uddin</t>
  </si>
  <si>
    <t xml:space="preserve">Cerdit </t>
  </si>
  <si>
    <t>Narration</t>
  </si>
  <si>
    <t>Cr. To Individual A/C</t>
  </si>
  <si>
    <t>Contribution to BSB Employees Superannuation Fund</t>
  </si>
  <si>
    <t>Cr. To CAD A/C 20750-49</t>
  </si>
  <si>
    <t>Contribution to BSRS Employees Superannuation Fund</t>
  </si>
  <si>
    <t>Cr. To CAD A/C 20750-50</t>
  </si>
  <si>
    <t>Cr. To CAD A/C 20750-47</t>
  </si>
  <si>
    <t>Employees contribution to PF fund ( BSB )</t>
  </si>
  <si>
    <t>Cr. To CAD A/C 20750-43</t>
  </si>
  <si>
    <t>Employees contribution to PF fund (BDBL)</t>
  </si>
  <si>
    <t>P.F Fund Loan Installment</t>
  </si>
  <si>
    <t>Employees contribution to Provident Fund (BSRS)</t>
  </si>
  <si>
    <t>Cr. To CAD A/C 20750-44</t>
  </si>
  <si>
    <t>Cr. To CAD A/C 20750-45</t>
  </si>
  <si>
    <t>Benevolent Fund</t>
  </si>
  <si>
    <t>Total Credit</t>
  </si>
  <si>
    <t>Debit</t>
  </si>
  <si>
    <t>Subsistance Allowance</t>
  </si>
  <si>
    <t>G.L Head - 53100-23</t>
  </si>
  <si>
    <t>Education Allowance</t>
  </si>
  <si>
    <t>G.L Head - 53100-33</t>
  </si>
  <si>
    <t>House Rent Allowance</t>
  </si>
  <si>
    <t>G.L Head - 53100-02</t>
  </si>
  <si>
    <t>Medical Allowance</t>
  </si>
  <si>
    <t>G.L Head - 53100-03</t>
  </si>
  <si>
    <t>Washing Allowance</t>
  </si>
  <si>
    <t>G.L Head - 53100-17</t>
  </si>
  <si>
    <t>Salary &amp; Allowance</t>
  </si>
  <si>
    <t>G.L Head - 53100-31</t>
  </si>
  <si>
    <t>Pension &amp; Benevolent Fund</t>
  </si>
  <si>
    <t>G.L Head - 53100-25</t>
  </si>
  <si>
    <t>Bank Contri. To PF fund</t>
  </si>
  <si>
    <t>G.L Head - 53100-06</t>
  </si>
  <si>
    <t>Date:</t>
  </si>
  <si>
    <t>Subsistance Allowance for the month of</t>
  </si>
  <si>
    <t>Education Allowance for the month of</t>
  </si>
  <si>
    <t>House Rent Allowance for the month of</t>
  </si>
  <si>
    <t>Medical Allowance for the month of</t>
  </si>
  <si>
    <t>Washing Allowance for the month of</t>
  </si>
  <si>
    <t>Pension &amp; Benevolent Fund for the month of</t>
  </si>
  <si>
    <t>Bank Contribution To PF fund for the month of</t>
  </si>
  <si>
    <t>GL Head</t>
  </si>
  <si>
    <t>Salary for the month of</t>
  </si>
  <si>
    <t>HBA Loan Repayment for the month of</t>
  </si>
  <si>
    <t>MCA Loan Repayment for the month of</t>
  </si>
  <si>
    <t>Computer Loan Repayment for the month of</t>
  </si>
  <si>
    <t>(Noakhali Branch)</t>
  </si>
  <si>
    <t>Bank's contribution to gratuity fund (BDBL) for the month of</t>
  </si>
  <si>
    <t>Employees contribution to provident fund ( BSB ) for the month of</t>
  </si>
  <si>
    <t xml:space="preserve">Employees contribution to provident fund ( BDBL ) for the month of </t>
  </si>
  <si>
    <t xml:space="preserve">Bank's contri. to BSRS employees superannuation fund for the month of </t>
  </si>
  <si>
    <t xml:space="preserve">Bank's contri. to BSB employees superannuation fund for the month of </t>
  </si>
  <si>
    <t>Bank's contri. to BSRS employees superannuation fund for the month of</t>
  </si>
  <si>
    <t>Salary Paid (Sundry Parties)</t>
  </si>
  <si>
    <t>HBA Loan (Sundry Parties)</t>
  </si>
  <si>
    <t>MCA Loan (Sundry Parties)</t>
  </si>
  <si>
    <t>Computer Loan (Sundry Parties)</t>
  </si>
  <si>
    <t>Banks contribution to PF fund       ( BDBL)</t>
  </si>
  <si>
    <t>Total Debit</t>
  </si>
  <si>
    <t>-</t>
  </si>
  <si>
    <t>A/C No.</t>
  </si>
  <si>
    <t>Checking Sheet</t>
  </si>
  <si>
    <t xml:space="preserve">Banks contribution to provident fund ( BDBL ) for the month of </t>
  </si>
  <si>
    <t xml:space="preserve">PF Loan installment of Mr. Abdur Rahim, SSG-1 for the month of </t>
  </si>
  <si>
    <t xml:space="preserve">Benevolent Fund for the month of </t>
  </si>
  <si>
    <t xml:space="preserve">Paper bill adjustment for the month of </t>
  </si>
  <si>
    <t>Revenue stamp of salary for the month of</t>
  </si>
  <si>
    <t>Cr. To GL Head 20750-14</t>
  </si>
  <si>
    <t>Transfer Voucher</t>
  </si>
  <si>
    <t>Partha Sarathi Das</t>
  </si>
  <si>
    <t>Net Deduction</t>
  </si>
  <si>
    <t xml:space="preserve">Income Tax </t>
  </si>
  <si>
    <t>DEDUCTION</t>
  </si>
  <si>
    <t>PAYMENT</t>
  </si>
  <si>
    <t>Bangladesh Development Bank Limited</t>
  </si>
  <si>
    <t>Md. Shahed Hossain</t>
  </si>
  <si>
    <t>.</t>
  </si>
  <si>
    <t>41% Super Anuation &amp; 10% Gratuity fund</t>
  </si>
  <si>
    <t>Banks Contribution to Gratuity Fund</t>
  </si>
  <si>
    <t>Cr. To CAD A/C 20750-62</t>
  </si>
  <si>
    <t>Branch Office, Noakhali.</t>
  </si>
  <si>
    <t>Sr. Officer</t>
  </si>
  <si>
    <t>0620100000894</t>
  </si>
  <si>
    <t>0620100001530</t>
  </si>
  <si>
    <t>0620100000200</t>
  </si>
  <si>
    <t>0620100000808</t>
  </si>
  <si>
    <t>0620100000495</t>
  </si>
  <si>
    <t>Savings A/c.No.</t>
  </si>
  <si>
    <t>(PARTHA SARATHI DAS)</t>
  </si>
  <si>
    <t>0620630000012</t>
  </si>
  <si>
    <t>0620630000029</t>
  </si>
  <si>
    <t>0620720000006</t>
  </si>
  <si>
    <t>BANGLADESH DEVELOPMENT BANK LIMITED</t>
  </si>
  <si>
    <t>0620640000030</t>
  </si>
  <si>
    <t>0620640000025</t>
  </si>
  <si>
    <t>0620640000028</t>
  </si>
  <si>
    <t>NET</t>
  </si>
  <si>
    <t>Salary &amp; Allowance for the month of</t>
  </si>
  <si>
    <t>0620100001562</t>
  </si>
  <si>
    <t>Md. Afsar Uddin</t>
  </si>
  <si>
    <t>Officer(Cash)</t>
  </si>
  <si>
    <t>0620720000009</t>
  </si>
  <si>
    <t>Md. Abdur Rahim</t>
  </si>
  <si>
    <t>Md. Salah Uddin</t>
  </si>
  <si>
    <t>Mr. Shankar Chandra Debnath</t>
  </si>
  <si>
    <t>0620100001565</t>
  </si>
  <si>
    <t>0620630000032</t>
  </si>
  <si>
    <t>Income Tax deduction from employee salary for the month of</t>
  </si>
  <si>
    <t>Cr. To GL Head 20850-03</t>
  </si>
  <si>
    <t>0620100001118</t>
  </si>
  <si>
    <t>Abdul Kader</t>
  </si>
  <si>
    <t>0620640000031</t>
  </si>
  <si>
    <t>0620200001600</t>
  </si>
  <si>
    <t>Mrs. Popy Rani Talapatra</t>
  </si>
  <si>
    <t>Sree Narayan Chakraborty</t>
  </si>
  <si>
    <t>Sr. Officer(IT)</t>
  </si>
  <si>
    <t>0620200001614</t>
  </si>
  <si>
    <t>MANAGER (SENIOR PRINCIPAL OFFICER)</t>
  </si>
  <si>
    <t>Sr. Pr. Officer</t>
  </si>
  <si>
    <t>0620640000032</t>
  </si>
  <si>
    <t>Officer (Cash)</t>
  </si>
  <si>
    <t>Md: Mohin Uddin Morshed</t>
  </si>
  <si>
    <t>Pr. Officer</t>
  </si>
  <si>
    <t xml:space="preserve">NOAKHALI  BRANCH </t>
  </si>
  <si>
    <t>0620100000497</t>
  </si>
  <si>
    <t>0620630000033</t>
  </si>
  <si>
    <t>0620630000034</t>
  </si>
  <si>
    <t>S. of O.A</t>
  </si>
  <si>
    <t>0620720000010</t>
  </si>
  <si>
    <t>0620720000011</t>
  </si>
  <si>
    <t>0620720000012</t>
  </si>
  <si>
    <t>0620640000033</t>
  </si>
  <si>
    <t>0620640000034</t>
  </si>
  <si>
    <t>0620640000035</t>
  </si>
  <si>
    <t>Subs. of Officers' Association</t>
  </si>
  <si>
    <t>BDBLOA Subscription</t>
  </si>
  <si>
    <t>0620720000013</t>
  </si>
  <si>
    <t>0620720000014</t>
  </si>
  <si>
    <t>In word: Eleven Thousand One Hundred Thirty Seven Only</t>
  </si>
  <si>
    <t>0620640000036</t>
  </si>
  <si>
    <t>In word: Thirty Two Thousand Eight Hundred Thirty Three Only</t>
  </si>
  <si>
    <t>Subscription of BDBL Officers' Association for the month of</t>
  </si>
  <si>
    <t>(SHANKAR CHANDRA DEBNATH)</t>
  </si>
  <si>
    <t>SENIOR OFFICER</t>
  </si>
  <si>
    <t>s</t>
  </si>
  <si>
    <t>August, 2021</t>
  </si>
  <si>
    <t>In Words: Taka Four Lac Ninety Seven Thousand Nine Hundred Sixty Eight Only</t>
  </si>
  <si>
    <t>In Words: Taka Two Lac Ninety Eight Thousand Eight Hundred Ninety Three Only.</t>
  </si>
  <si>
    <t>In Words: Thirty Thousand Three Hundred Ninety Only</t>
  </si>
  <si>
    <t>(MD. MOHIN UDDIN MORSHED)</t>
  </si>
  <si>
    <t>PRINCIPAL OFFICER</t>
  </si>
  <si>
    <t>id</t>
  </si>
  <si>
    <t>2371</t>
  </si>
  <si>
    <t>1957</t>
  </si>
  <si>
    <t>2468</t>
  </si>
  <si>
    <t>2634</t>
  </si>
  <si>
    <t>2651</t>
  </si>
  <si>
    <t>2657</t>
  </si>
  <si>
    <t>2780</t>
  </si>
  <si>
    <t>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</si>
</sst>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/mmm/yy;@"/>
    <numFmt numFmtId="167" formatCode="dd/mm/yyyy;@"/>
  </numFmts>
  <fonts count="75" x14ac:knownFonts="1"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u/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 Narrow"/>
      <family val="2"/>
    </font>
    <font>
      <u/>
      <sz val="12"/>
      <name val="Arial Narrow"/>
      <family val="2"/>
    </font>
    <font>
      <sz val="12"/>
      <name val="Arial Black"/>
      <family val="2"/>
    </font>
    <font>
      <u/>
      <sz val="12"/>
      <name val="Arial Black"/>
      <family val="2"/>
    </font>
    <font>
      <b/>
      <sz val="14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u/>
      <sz val="12"/>
      <name val="Arial Narrow"/>
      <family val="2"/>
    </font>
    <font>
      <b/>
      <sz val="12"/>
      <name val="Arial"/>
      <family val="2"/>
    </font>
    <font>
      <b/>
      <sz val="8"/>
      <name val="Arial Narrow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1"/>
      <name val="Arial Narrow"/>
      <family val="2"/>
    </font>
    <font>
      <b/>
      <sz val="11"/>
      <name val="Arial Narrow"/>
      <family val="2"/>
    </font>
    <font>
      <b/>
      <sz val="14"/>
      <name val="Times New Roman"/>
      <family val="1"/>
    </font>
    <font>
      <u/>
      <sz val="10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13"/>
      <name val="Arial Narrow"/>
      <family val="2"/>
    </font>
    <font>
      <sz val="14"/>
      <name val="Times New Roman"/>
      <family val="1"/>
    </font>
    <font>
      <b/>
      <u/>
      <sz val="14"/>
      <name val="Arial Narrow"/>
      <family val="2"/>
    </font>
    <font>
      <sz val="12"/>
      <name val="Times"/>
      <family val="1"/>
    </font>
    <font>
      <b/>
      <u/>
      <sz val="13"/>
      <name val="Times"/>
      <family val="1"/>
    </font>
    <font>
      <b/>
      <sz val="12"/>
      <name val="Times"/>
    </font>
    <font>
      <b/>
      <sz val="12"/>
      <name val="Times"/>
      <family val="1"/>
    </font>
    <font>
      <b/>
      <sz val="11"/>
      <name val="Times New Roman"/>
      <family val="1"/>
    </font>
    <font>
      <b/>
      <sz val="17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b/>
      <u/>
      <sz val="20"/>
      <name val="Times New Roman"/>
      <family val="1"/>
    </font>
    <font>
      <sz val="14"/>
      <color rgb="FF002060"/>
      <name val="Arial Narrow"/>
      <family val="2"/>
    </font>
    <font>
      <b/>
      <sz val="12"/>
      <color rgb="FF002060"/>
      <name val="Arial Narrow"/>
      <family val="2"/>
    </font>
    <font>
      <sz val="12"/>
      <color rgb="FF002060"/>
      <name val="Arial Narrow"/>
      <family val="2"/>
    </font>
    <font>
      <sz val="11"/>
      <color rgb="FF00206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"/>
      <family val="1"/>
    </font>
    <font>
      <sz val="12"/>
      <color rgb="FF00B050"/>
      <name val="Times New Roman"/>
      <family val="1"/>
    </font>
    <font>
      <b/>
      <sz val="15"/>
      <name val="Times New Roman"/>
      <family val="1"/>
    </font>
    <font>
      <b/>
      <sz val="25"/>
      <name val="Times New Roman"/>
      <family val="1"/>
    </font>
    <font>
      <b/>
      <sz val="22"/>
      <name val="Times New Roman"/>
      <family val="1"/>
    </font>
    <font>
      <b/>
      <sz val="12"/>
      <color rgb="FF7030A0"/>
      <name val="Arial"/>
      <family val="2"/>
    </font>
    <font>
      <b/>
      <sz val="12"/>
      <color rgb="FF7030A0"/>
      <name val="Times"/>
      <family val="1"/>
    </font>
    <font>
      <b/>
      <sz val="12"/>
      <color rgb="FF7030A0"/>
      <name val="Times"/>
    </font>
    <font>
      <b/>
      <sz val="12"/>
      <color rgb="FF7030A0"/>
      <name val="Times New Roman"/>
      <family val="1"/>
    </font>
    <font>
      <u/>
      <sz val="14"/>
      <name val="Arial Black"/>
      <family val="2"/>
    </font>
    <font>
      <b/>
      <u/>
      <sz val="13"/>
      <name val="Times"/>
    </font>
    <font>
      <b/>
      <sz val="14"/>
      <name val="Times"/>
      <family val="1"/>
    </font>
    <font>
      <b/>
      <u/>
      <sz val="14"/>
      <name val="Times New Roman"/>
      <family val="1"/>
    </font>
    <font>
      <b/>
      <sz val="20"/>
      <color rgb="FF7030A0"/>
      <name val="Times New Roman"/>
      <family val="1"/>
    </font>
    <font>
      <sz val="18"/>
      <name val="Arial Black"/>
      <family val="2"/>
    </font>
    <font>
      <b/>
      <sz val="24"/>
      <name val="Times New Roman"/>
      <family val="1"/>
    </font>
    <font>
      <b/>
      <u/>
      <sz val="1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9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0" fillId="0" borderId="1" xfId="0" applyBorder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0" fontId="9" fillId="0" borderId="0" xfId="0" applyFont="1"/>
    <xf numFmtId="0" fontId="1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9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0" xfId="0" applyFont="1" applyAlignment="1"/>
    <xf numFmtId="0" fontId="23" fillId="0" borderId="1" xfId="0" applyFont="1" applyBorder="1" applyAlignment="1">
      <alignment horizontal="center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23" fillId="0" borderId="1" xfId="0" applyFont="1" applyBorder="1" applyAlignment="1">
      <alignment horizontal="center" textRotation="90"/>
    </xf>
    <xf numFmtId="9" fontId="13" fillId="0" borderId="1" xfId="0" applyNumberFormat="1" applyFont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0" fontId="27" fillId="0" borderId="0" xfId="0" applyFont="1"/>
    <xf numFmtId="0" fontId="23" fillId="0" borderId="0" xfId="0" applyFont="1" applyBorder="1"/>
    <xf numFmtId="0" fontId="1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Fill="1"/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right" vertical="top"/>
    </xf>
    <xf numFmtId="1" fontId="12" fillId="0" borderId="1" xfId="0" applyNumberFormat="1" applyFont="1" applyFill="1" applyBorder="1" applyAlignment="1">
      <alignment horizontal="center" vertical="top"/>
    </xf>
    <xf numFmtId="1" fontId="12" fillId="0" borderId="1" xfId="2" applyNumberFormat="1" applyFont="1" applyFill="1" applyBorder="1" applyAlignment="1">
      <alignment horizontal="center" vertical="top"/>
    </xf>
    <xf numFmtId="1" fontId="12" fillId="0" borderId="2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vertical="center"/>
    </xf>
    <xf numFmtId="0" fontId="12" fillId="0" borderId="0" xfId="0" applyFont="1" applyFill="1"/>
    <xf numFmtId="1" fontId="12" fillId="0" borderId="1" xfId="0" applyNumberFormat="1" applyFont="1" applyFill="1" applyBorder="1" applyAlignment="1">
      <alignment horizontal="right"/>
    </xf>
    <xf numFmtId="1" fontId="22" fillId="0" borderId="1" xfId="0" applyNumberFormat="1" applyFont="1" applyFill="1" applyBorder="1" applyAlignment="1">
      <alignment horizontal="right" vertical="top"/>
    </xf>
    <xf numFmtId="1" fontId="22" fillId="0" borderId="1" xfId="0" applyNumberFormat="1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1" fontId="15" fillId="0" borderId="1" xfId="0" applyNumberFormat="1" applyFont="1" applyFill="1" applyBorder="1" applyAlignment="1">
      <alignment horizontal="right" vertical="top"/>
    </xf>
    <xf numFmtId="1" fontId="15" fillId="0" borderId="1" xfId="0" applyNumberFormat="1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top"/>
    </xf>
    <xf numFmtId="1" fontId="25" fillId="0" borderId="2" xfId="2" applyNumberFormat="1" applyFont="1" applyFill="1" applyBorder="1" applyAlignment="1">
      <alignment horizontal="center" vertical="top"/>
    </xf>
    <xf numFmtId="2" fontId="25" fillId="0" borderId="2" xfId="0" applyNumberFormat="1" applyFont="1" applyFill="1" applyBorder="1" applyAlignment="1">
      <alignment horizontal="center" vertical="top"/>
    </xf>
    <xf numFmtId="2" fontId="25" fillId="0" borderId="2" xfId="0" applyNumberFormat="1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2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" fontId="25" fillId="0" borderId="1" xfId="2" applyNumberFormat="1" applyFont="1" applyFill="1" applyBorder="1" applyAlignment="1">
      <alignment horizontal="center" vertical="top"/>
    </xf>
    <xf numFmtId="2" fontId="25" fillId="0" borderId="1" xfId="0" applyNumberFormat="1" applyFont="1" applyFill="1" applyBorder="1" applyAlignment="1">
      <alignment horizontal="center" vertical="top"/>
    </xf>
    <xf numFmtId="2" fontId="25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2" fontId="2" fillId="0" borderId="3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Alignment="1"/>
    <xf numFmtId="0" fontId="6" fillId="0" borderId="0" xfId="0" applyFont="1" applyFill="1"/>
    <xf numFmtId="1" fontId="12" fillId="0" borderId="1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1" fontId="22" fillId="0" borderId="0" xfId="0" applyNumberFormat="1" applyFont="1" applyFill="1" applyBorder="1" applyAlignment="1">
      <alignment horizontal="right" vertical="top"/>
    </xf>
    <xf numFmtId="1" fontId="12" fillId="0" borderId="0" xfId="0" applyNumberFormat="1" applyFont="1" applyFill="1" applyBorder="1" applyAlignment="1">
      <alignment horizontal="right" vertical="top"/>
    </xf>
    <xf numFmtId="1" fontId="15" fillId="0" borderId="0" xfId="0" applyNumberFormat="1" applyFont="1" applyFill="1" applyBorder="1" applyAlignment="1">
      <alignment horizontal="right" vertical="top"/>
    </xf>
    <xf numFmtId="1" fontId="13" fillId="0" borderId="1" xfId="0" applyNumberFormat="1" applyFont="1" applyFill="1" applyBorder="1" applyAlignment="1">
      <alignment horizontal="right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top"/>
    </xf>
    <xf numFmtId="0" fontId="13" fillId="0" borderId="0" xfId="0" applyFont="1" applyFill="1"/>
    <xf numFmtId="0" fontId="18" fillId="0" borderId="0" xfId="0" applyFont="1" applyFill="1"/>
    <xf numFmtId="1" fontId="18" fillId="0" borderId="0" xfId="0" applyNumberFormat="1" applyFont="1" applyFill="1"/>
    <xf numFmtId="0" fontId="7" fillId="0" borderId="1" xfId="0" applyFont="1" applyBorder="1" applyAlignment="1">
      <alignment horizontal="center" textRotation="90"/>
    </xf>
    <xf numFmtId="0" fontId="20" fillId="0" borderId="0" xfId="0" applyFont="1" applyAlignment="1">
      <alignment horizontal="center"/>
    </xf>
    <xf numFmtId="0" fontId="26" fillId="0" borderId="0" xfId="0" applyFont="1"/>
    <xf numFmtId="0" fontId="34" fillId="0" borderId="0" xfId="0" applyFont="1"/>
    <xf numFmtId="0" fontId="19" fillId="0" borderId="1" xfId="0" applyFont="1" applyBorder="1" applyAlignment="1">
      <alignment textRotation="90" wrapText="1"/>
    </xf>
    <xf numFmtId="0" fontId="30" fillId="0" borderId="0" xfId="0" applyFont="1" applyAlignment="1"/>
    <xf numFmtId="0" fontId="30" fillId="0" borderId="4" xfId="0" applyFont="1" applyBorder="1" applyAlignment="1"/>
    <xf numFmtId="0" fontId="24" fillId="0" borderId="0" xfId="0" applyFont="1" applyAlignment="1">
      <alignment textRotation="90"/>
    </xf>
    <xf numFmtId="0" fontId="14" fillId="2" borderId="0" xfId="0" applyFont="1" applyFill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right" vertical="top"/>
    </xf>
    <xf numFmtId="1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right" vertical="center"/>
    </xf>
    <xf numFmtId="1" fontId="12" fillId="2" borderId="1" xfId="0" applyNumberFormat="1" applyFont="1" applyFill="1" applyBorder="1" applyAlignment="1">
      <alignment vertical="center"/>
    </xf>
    <xf numFmtId="1" fontId="12" fillId="2" borderId="2" xfId="0" applyNumberFormat="1" applyFont="1" applyFill="1" applyBorder="1" applyAlignment="1">
      <alignment horizontal="right" vertical="center"/>
    </xf>
    <xf numFmtId="1" fontId="12" fillId="2" borderId="2" xfId="0" applyNumberFormat="1" applyFont="1" applyFill="1" applyBorder="1" applyAlignment="1">
      <alignment vertical="center"/>
    </xf>
    <xf numFmtId="0" fontId="12" fillId="2" borderId="0" xfId="0" applyFont="1" applyFill="1"/>
    <xf numFmtId="1" fontId="1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vertical="center"/>
    </xf>
    <xf numFmtId="1" fontId="14" fillId="0" borderId="0" xfId="0" applyNumberFormat="1" applyFont="1" applyFill="1"/>
    <xf numFmtId="1" fontId="14" fillId="0" borderId="0" xfId="0" applyNumberFormat="1" applyFont="1" applyFill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20" fillId="0" borderId="0" xfId="0" applyFont="1" applyAlignment="1">
      <alignment wrapText="1"/>
    </xf>
    <xf numFmtId="1" fontId="5" fillId="2" borderId="2" xfId="0" applyNumberFormat="1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textRotation="90" wrapText="1"/>
    </xf>
    <xf numFmtId="0" fontId="37" fillId="0" borderId="1" xfId="0" applyFont="1" applyBorder="1" applyAlignment="1">
      <alignment horizontal="center" textRotation="90" wrapText="1"/>
    </xf>
    <xf numFmtId="1" fontId="3" fillId="0" borderId="0" xfId="0" applyNumberFormat="1" applyFont="1"/>
    <xf numFmtId="0" fontId="6" fillId="0" borderId="0" xfId="0" applyFont="1" applyFill="1" applyBorder="1" applyAlignment="1">
      <alignment horizontal="left" vertical="center"/>
    </xf>
    <xf numFmtId="1" fontId="28" fillId="0" borderId="0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7" fillId="0" borderId="1" xfId="0" applyFont="1" applyBorder="1" applyAlignment="1">
      <alignment horizontal="center" textRotation="90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textRotation="90"/>
    </xf>
    <xf numFmtId="0" fontId="32" fillId="0" borderId="1" xfId="0" applyFont="1" applyFill="1" applyBorder="1" applyAlignment="1">
      <alignment horizontal="left" vertic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38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13" fillId="0" borderId="0" xfId="0" applyNumberFormat="1" applyFont="1" applyFill="1"/>
    <xf numFmtId="0" fontId="19" fillId="0" borderId="1" xfId="0" applyFont="1" applyBorder="1" applyAlignment="1">
      <alignment horizontal="center" textRotation="90"/>
    </xf>
    <xf numFmtId="165" fontId="0" fillId="0" borderId="0" xfId="1" applyNumberFormat="1" applyFont="1"/>
    <xf numFmtId="43" fontId="5" fillId="0" borderId="2" xfId="1" applyFont="1" applyFill="1" applyBorder="1" applyAlignment="1">
      <alignment horizontal="right" vertical="center"/>
    </xf>
    <xf numFmtId="43" fontId="0" fillId="0" borderId="1" xfId="1" applyFont="1" applyBorder="1"/>
    <xf numFmtId="43" fontId="12" fillId="0" borderId="1" xfId="1" applyFont="1" applyFill="1" applyBorder="1" applyAlignment="1">
      <alignment horizontal="right" vertical="top"/>
    </xf>
    <xf numFmtId="43" fontId="22" fillId="0" borderId="1" xfId="1" applyFont="1" applyFill="1" applyBorder="1" applyAlignment="1">
      <alignment horizontal="right" vertical="top"/>
    </xf>
    <xf numFmtId="43" fontId="15" fillId="0" borderId="1" xfId="1" applyFont="1" applyFill="1" applyBorder="1" applyAlignment="1">
      <alignment horizontal="right" vertical="top"/>
    </xf>
    <xf numFmtId="0" fontId="3" fillId="0" borderId="0" xfId="0" applyFont="1" applyAlignment="1"/>
    <xf numFmtId="1" fontId="0" fillId="0" borderId="0" xfId="0" applyNumberFormat="1" applyFill="1"/>
    <xf numFmtId="0" fontId="18" fillId="0" borderId="0" xfId="0" applyFont="1" applyFill="1" applyAlignment="1">
      <alignment horizontal="center"/>
    </xf>
    <xf numFmtId="0" fontId="39" fillId="0" borderId="1" xfId="0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/>
    </xf>
    <xf numFmtId="1" fontId="28" fillId="0" borderId="0" xfId="0" applyNumberFormat="1" applyFont="1" applyBorder="1" applyAlignment="1">
      <alignment horizontal="right" vertical="top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28" fillId="0" borderId="0" xfId="0" applyFont="1" applyFill="1" applyAlignment="1">
      <alignment horizontal="center"/>
    </xf>
    <xf numFmtId="0" fontId="40" fillId="0" borderId="0" xfId="0" applyFont="1" applyFill="1"/>
    <xf numFmtId="1" fontId="28" fillId="0" borderId="0" xfId="0" applyNumberFormat="1" applyFont="1" applyFill="1"/>
    <xf numFmtId="0" fontId="28" fillId="0" borderId="0" xfId="0" applyFont="1" applyFill="1"/>
    <xf numFmtId="0" fontId="33" fillId="0" borderId="0" xfId="0" applyFont="1" applyFill="1"/>
    <xf numFmtId="0" fontId="29" fillId="0" borderId="0" xfId="0" applyFont="1" applyFill="1"/>
    <xf numFmtId="43" fontId="6" fillId="0" borderId="0" xfId="1" applyFont="1"/>
    <xf numFmtId="43" fontId="6" fillId="0" borderId="0" xfId="0" applyNumberFormat="1" applyFont="1"/>
    <xf numFmtId="164" fontId="6" fillId="0" borderId="0" xfId="0" applyNumberFormat="1" applyFont="1"/>
    <xf numFmtId="43" fontId="0" fillId="0" borderId="0" xfId="1" applyFont="1"/>
    <xf numFmtId="43" fontId="0" fillId="0" borderId="0" xfId="0" applyNumberFormat="1"/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30" fillId="0" borderId="0" xfId="0" applyFont="1" applyBorder="1" applyAlignment="1"/>
    <xf numFmtId="0" fontId="13" fillId="0" borderId="0" xfId="0" applyFont="1" applyBorder="1" applyAlignment="1">
      <alignment horizontal="center" textRotation="90"/>
    </xf>
    <xf numFmtId="0" fontId="13" fillId="0" borderId="0" xfId="0" applyFont="1" applyBorder="1" applyAlignment="1">
      <alignment horizontal="center"/>
    </xf>
    <xf numFmtId="1" fontId="12" fillId="0" borderId="0" xfId="0" applyNumberFormat="1" applyFont="1" applyFill="1" applyBorder="1" applyAlignment="1">
      <alignment vertical="center"/>
    </xf>
    <xf numFmtId="1" fontId="41" fillId="0" borderId="0" xfId="0" applyNumberFormat="1" applyFont="1" applyFill="1" applyBorder="1" applyAlignment="1">
      <alignment horizontal="right" vertical="top"/>
    </xf>
    <xf numFmtId="0" fontId="31" fillId="0" borderId="2" xfId="0" applyFont="1" applyFill="1" applyBorder="1" applyAlignment="1">
      <alignment horizontal="right" vertical="center"/>
    </xf>
    <xf numFmtId="1" fontId="6" fillId="0" borderId="0" xfId="0" applyNumberFormat="1" applyFont="1" applyAlignment="1">
      <alignment horizontal="center"/>
    </xf>
    <xf numFmtId="0" fontId="13" fillId="0" borderId="0" xfId="0" applyFont="1" applyAlignment="1">
      <alignment textRotation="90"/>
    </xf>
    <xf numFmtId="0" fontId="0" fillId="0" borderId="0" xfId="0" applyFill="1" applyAlignment="1"/>
    <xf numFmtId="0" fontId="12" fillId="0" borderId="2" xfId="0" applyFont="1" applyFill="1" applyBorder="1" applyAlignment="1">
      <alignment horizontal="right" vertical="center"/>
    </xf>
    <xf numFmtId="0" fontId="29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1" fontId="14" fillId="0" borderId="0" xfId="0" applyNumberFormat="1" applyFont="1" applyFill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65" fontId="12" fillId="0" borderId="2" xfId="1" applyNumberFormat="1" applyFont="1" applyFill="1" applyBorder="1" applyAlignment="1">
      <alignment horizontal="right" vertical="center"/>
    </xf>
    <xf numFmtId="165" fontId="22" fillId="0" borderId="1" xfId="1" applyNumberFormat="1" applyFont="1" applyFill="1" applyBorder="1" applyAlignment="1">
      <alignment horizontal="right" vertical="top"/>
    </xf>
    <xf numFmtId="165" fontId="12" fillId="0" borderId="1" xfId="1" applyNumberFormat="1" applyFont="1" applyFill="1" applyBorder="1" applyAlignment="1">
      <alignment horizontal="right" vertical="top"/>
    </xf>
    <xf numFmtId="165" fontId="15" fillId="0" borderId="1" xfId="1" applyNumberFormat="1" applyFont="1" applyFill="1" applyBorder="1" applyAlignment="1">
      <alignment horizontal="right" vertical="top"/>
    </xf>
    <xf numFmtId="0" fontId="53" fillId="0" borderId="0" xfId="0" applyFont="1" applyFill="1"/>
    <xf numFmtId="0" fontId="54" fillId="0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left" vertical="center"/>
    </xf>
    <xf numFmtId="1" fontId="55" fillId="0" borderId="1" xfId="0" applyNumberFormat="1" applyFont="1" applyFill="1" applyBorder="1" applyAlignment="1">
      <alignment horizontal="right" vertical="top"/>
    </xf>
    <xf numFmtId="1" fontId="55" fillId="0" borderId="1" xfId="0" applyNumberFormat="1" applyFont="1" applyFill="1" applyBorder="1" applyAlignment="1">
      <alignment horizontal="center" vertical="top"/>
    </xf>
    <xf numFmtId="1" fontId="55" fillId="0" borderId="1" xfId="0" applyNumberFormat="1" applyFont="1" applyFill="1" applyBorder="1" applyAlignment="1">
      <alignment horizontal="right" vertical="center"/>
    </xf>
    <xf numFmtId="1" fontId="55" fillId="0" borderId="1" xfId="0" applyNumberFormat="1" applyFont="1" applyFill="1" applyBorder="1" applyAlignment="1">
      <alignment horizontal="center"/>
    </xf>
    <xf numFmtId="1" fontId="55" fillId="0" borderId="1" xfId="0" applyNumberFormat="1" applyFont="1" applyFill="1" applyBorder="1" applyAlignment="1">
      <alignment vertical="center"/>
    </xf>
    <xf numFmtId="1" fontId="56" fillId="0" borderId="2" xfId="0" applyNumberFormat="1" applyFont="1" applyFill="1" applyBorder="1" applyAlignment="1">
      <alignment vertical="center"/>
    </xf>
    <xf numFmtId="1" fontId="55" fillId="0" borderId="1" xfId="2" applyNumberFormat="1" applyFont="1" applyFill="1" applyBorder="1" applyAlignment="1">
      <alignment horizontal="center" vertical="top"/>
    </xf>
    <xf numFmtId="1" fontId="55" fillId="0" borderId="2" xfId="0" applyNumberFormat="1" applyFont="1" applyFill="1" applyBorder="1" applyAlignment="1">
      <alignment vertical="center"/>
    </xf>
    <xf numFmtId="1" fontId="55" fillId="0" borderId="2" xfId="0" applyNumberFormat="1" applyFont="1" applyFill="1" applyBorder="1" applyAlignment="1">
      <alignment horizontal="right" vertical="center"/>
    </xf>
    <xf numFmtId="0" fontId="55" fillId="0" borderId="0" xfId="0" applyFont="1" applyFill="1"/>
    <xf numFmtId="0" fontId="24" fillId="0" borderId="1" xfId="0" applyFont="1" applyBorder="1" applyAlignment="1">
      <alignment horizontal="center" textRotation="90"/>
    </xf>
    <xf numFmtId="14" fontId="26" fillId="0" borderId="0" xfId="0" applyNumberFormat="1" applyFont="1"/>
    <xf numFmtId="14" fontId="0" fillId="0" borderId="0" xfId="0" applyNumberFormat="1"/>
    <xf numFmtId="0" fontId="2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1" xfId="0" applyNumberFormat="1" applyFont="1" applyBorder="1"/>
    <xf numFmtId="0" fontId="0" fillId="0" borderId="3" xfId="0" applyBorder="1"/>
    <xf numFmtId="1" fontId="19" fillId="0" borderId="3" xfId="0" applyNumberFormat="1" applyFont="1" applyBorder="1"/>
    <xf numFmtId="0" fontId="0" fillId="0" borderId="6" xfId="0" applyBorder="1"/>
    <xf numFmtId="1" fontId="19" fillId="0" borderId="6" xfId="0" applyNumberFormat="1" applyFont="1" applyBorder="1"/>
    <xf numFmtId="1" fontId="7" fillId="0" borderId="6" xfId="0" applyNumberFormat="1" applyFont="1" applyBorder="1"/>
    <xf numFmtId="0" fontId="42" fillId="0" borderId="0" xfId="0" applyFont="1"/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2" fillId="0" borderId="0" xfId="0" applyFont="1" applyAlignment="1"/>
    <xf numFmtId="0" fontId="42" fillId="0" borderId="0" xfId="0" applyFont="1" applyAlignment="1">
      <alignment horizontal="center"/>
    </xf>
    <xf numFmtId="0" fontId="42" fillId="4" borderId="1" xfId="0" applyFont="1" applyFill="1" applyBorder="1"/>
    <xf numFmtId="0" fontId="42" fillId="4" borderId="1" xfId="0" applyFont="1" applyFill="1" applyBorder="1" applyAlignment="1">
      <alignment horizontal="center"/>
    </xf>
    <xf numFmtId="0" fontId="29" fillId="0" borderId="0" xfId="0" applyFont="1"/>
    <xf numFmtId="17" fontId="29" fillId="0" borderId="0" xfId="0" applyNumberFormat="1" applyFont="1"/>
    <xf numFmtId="0" fontId="46" fillId="0" borderId="0" xfId="0" applyFont="1" applyAlignment="1"/>
    <xf numFmtId="0" fontId="29" fillId="0" borderId="0" xfId="0" applyFont="1" applyAlignment="1">
      <alignment vertical="center" wrapText="1"/>
    </xf>
    <xf numFmtId="4" fontId="29" fillId="0" borderId="0" xfId="0" applyNumberFormat="1" applyFont="1" applyFill="1"/>
    <xf numFmtId="1" fontId="29" fillId="0" borderId="0" xfId="0" applyNumberFormat="1" applyFont="1"/>
    <xf numFmtId="17" fontId="29" fillId="0" borderId="0" xfId="0" applyNumberFormat="1" applyFont="1" applyFill="1"/>
    <xf numFmtId="0" fontId="46" fillId="0" borderId="0" xfId="0" applyFont="1" applyFill="1" applyAlignment="1"/>
    <xf numFmtId="0" fontId="29" fillId="0" borderId="0" xfId="0" applyFont="1" applyFill="1" applyAlignment="1"/>
    <xf numFmtId="1" fontId="29" fillId="0" borderId="0" xfId="0" applyNumberFormat="1" applyFont="1" applyFill="1"/>
    <xf numFmtId="1" fontId="42" fillId="0" borderId="0" xfId="0" applyNumberFormat="1" applyFont="1"/>
    <xf numFmtId="4" fontId="42" fillId="0" borderId="0" xfId="0" applyNumberFormat="1" applyFont="1"/>
    <xf numFmtId="0" fontId="40" fillId="0" borderId="0" xfId="0" applyFont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2" fontId="40" fillId="0" borderId="0" xfId="1" applyNumberFormat="1" applyFont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2" fontId="40" fillId="0" borderId="0" xfId="1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2" fontId="48" fillId="0" borderId="0" xfId="0" applyNumberFormat="1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4" fontId="29" fillId="0" borderId="0" xfId="0" applyNumberFormat="1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2" fontId="47" fillId="0" borderId="0" xfId="0" applyNumberFormat="1" applyFont="1" applyFill="1" applyAlignment="1">
      <alignment horizontal="center" vertical="center"/>
    </xf>
    <xf numFmtId="2" fontId="40" fillId="0" borderId="0" xfId="0" applyNumberFormat="1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6" fillId="0" borderId="0" xfId="0" applyFont="1" applyFill="1" applyBorder="1" applyAlignment="1"/>
    <xf numFmtId="0" fontId="42" fillId="3" borderId="0" xfId="0" applyFont="1" applyFill="1"/>
    <xf numFmtId="0" fontId="29" fillId="3" borderId="0" xfId="0" applyFont="1" applyFill="1"/>
    <xf numFmtId="0" fontId="40" fillId="5" borderId="0" xfId="0" applyFont="1" applyFill="1" applyAlignment="1">
      <alignment horizontal="center" vertical="center"/>
    </xf>
    <xf numFmtId="0" fontId="40" fillId="6" borderId="0" xfId="0" applyFont="1" applyFill="1" applyAlignment="1">
      <alignment horizontal="center" vertical="center"/>
    </xf>
    <xf numFmtId="2" fontId="48" fillId="0" borderId="1" xfId="0" applyNumberFormat="1" applyFont="1" applyFill="1" applyBorder="1" applyAlignment="1">
      <alignment horizontal="center" vertical="center"/>
    </xf>
    <xf numFmtId="2" fontId="48" fillId="5" borderId="1" xfId="0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2" fontId="48" fillId="0" borderId="1" xfId="1" applyNumberFormat="1" applyFont="1" applyFill="1" applyBorder="1" applyAlignment="1">
      <alignment horizontal="center" vertical="center"/>
    </xf>
    <xf numFmtId="2" fontId="48" fillId="5" borderId="1" xfId="1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7" fillId="6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right" vertical="center"/>
    </xf>
    <xf numFmtId="1" fontId="12" fillId="4" borderId="1" xfId="0" applyNumberFormat="1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vertical="center"/>
    </xf>
    <xf numFmtId="1" fontId="12" fillId="4" borderId="2" xfId="0" applyNumberFormat="1" applyFont="1" applyFill="1" applyBorder="1" applyAlignment="1">
      <alignment vertical="center"/>
    </xf>
    <xf numFmtId="1" fontId="12" fillId="4" borderId="2" xfId="0" applyNumberFormat="1" applyFont="1" applyFill="1" applyBorder="1" applyAlignment="1">
      <alignment horizontal="right" vertical="center"/>
    </xf>
    <xf numFmtId="0" fontId="14" fillId="4" borderId="0" xfId="0" applyFont="1" applyFill="1"/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right" vertical="top"/>
    </xf>
    <xf numFmtId="1" fontId="12" fillId="4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top"/>
    </xf>
    <xf numFmtId="1" fontId="12" fillId="4" borderId="2" xfId="0" applyNumberFormat="1" applyFont="1" applyFill="1" applyBorder="1" applyAlignment="1">
      <alignment horizontal="center" vertical="top"/>
    </xf>
    <xf numFmtId="0" fontId="12" fillId="4" borderId="0" xfId="0" applyFont="1" applyFill="1"/>
    <xf numFmtId="1" fontId="14" fillId="4" borderId="0" xfId="0" applyNumberFormat="1" applyFont="1" applyFill="1"/>
    <xf numFmtId="1" fontId="12" fillId="4" borderId="1" xfId="2" applyNumberFormat="1" applyFont="1" applyFill="1" applyBorder="1" applyAlignment="1">
      <alignment horizontal="center" vertical="top"/>
    </xf>
    <xf numFmtId="0" fontId="47" fillId="6" borderId="14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40" fillId="6" borderId="17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5" borderId="19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4" fontId="58" fillId="4" borderId="1" xfId="0" applyNumberFormat="1" applyFont="1" applyFill="1" applyBorder="1" applyAlignment="1">
      <alignment horizontal="center"/>
    </xf>
    <xf numFmtId="4" fontId="42" fillId="4" borderId="1" xfId="0" applyNumberFormat="1" applyFont="1" applyFill="1" applyBorder="1" applyAlignment="1">
      <alignment horizontal="center"/>
    </xf>
    <xf numFmtId="4" fontId="64" fillId="4" borderId="1" xfId="0" applyNumberFormat="1" applyFont="1" applyFill="1" applyBorder="1" applyAlignment="1">
      <alignment horizontal="center"/>
    </xf>
    <xf numFmtId="17" fontId="68" fillId="0" borderId="0" xfId="0" applyNumberFormat="1" applyFont="1"/>
    <xf numFmtId="0" fontId="29" fillId="0" borderId="0" xfId="0" applyFont="1" applyFill="1" applyAlignment="1">
      <alignment vertical="center"/>
    </xf>
    <xf numFmtId="166" fontId="51" fillId="0" borderId="0" xfId="0" applyNumberFormat="1" applyFont="1" applyFill="1" applyAlignment="1">
      <alignment vertical="center"/>
    </xf>
    <xf numFmtId="166" fontId="30" fillId="0" borderId="0" xfId="0" applyNumberFormat="1" applyFont="1" applyFill="1" applyBorder="1" applyAlignment="1"/>
    <xf numFmtId="2" fontId="71" fillId="0" borderId="1" xfId="0" applyNumberFormat="1" applyFont="1" applyFill="1" applyBorder="1" applyAlignment="1">
      <alignment horizontal="center" vertical="center"/>
    </xf>
    <xf numFmtId="2" fontId="71" fillId="0" borderId="22" xfId="0" applyNumberFormat="1" applyFont="1" applyFill="1" applyBorder="1" applyAlignment="1">
      <alignment horizontal="center" vertical="center"/>
    </xf>
    <xf numFmtId="9" fontId="29" fillId="0" borderId="0" xfId="0" applyNumberFormat="1" applyFont="1"/>
    <xf numFmtId="0" fontId="29" fillId="4" borderId="1" xfId="0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/>
    </xf>
    <xf numFmtId="0" fontId="29" fillId="4" borderId="1" xfId="0" applyFont="1" applyFill="1" applyBorder="1"/>
    <xf numFmtId="0" fontId="29" fillId="4" borderId="1" xfId="0" applyFont="1" applyFill="1" applyBorder="1" applyAlignment="1">
      <alignment horizontal="center"/>
    </xf>
    <xf numFmtId="4" fontId="29" fillId="4" borderId="1" xfId="0" applyNumberFormat="1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/>
    </xf>
    <xf numFmtId="49" fontId="42" fillId="4" borderId="0" xfId="0" applyNumberFormat="1" applyFont="1" applyFill="1" applyAlignment="1">
      <alignment horizontal="center"/>
    </xf>
    <xf numFmtId="49" fontId="42" fillId="4" borderId="0" xfId="0" applyNumberFormat="1" applyFont="1" applyFill="1" applyAlignment="1"/>
    <xf numFmtId="4" fontId="66" fillId="4" borderId="3" xfId="0" applyNumberFormat="1" applyFont="1" applyFill="1" applyBorder="1" applyAlignment="1">
      <alignment horizontal="center"/>
    </xf>
    <xf numFmtId="4" fontId="66" fillId="0" borderId="3" xfId="0" applyNumberFormat="1" applyFont="1" applyFill="1" applyBorder="1" applyAlignment="1">
      <alignment horizontal="center"/>
    </xf>
    <xf numFmtId="1" fontId="28" fillId="4" borderId="0" xfId="0" applyNumberFormat="1" applyFont="1" applyFill="1"/>
    <xf numFmtId="0" fontId="29" fillId="5" borderId="1" xfId="0" applyFont="1" applyFill="1" applyBorder="1" applyAlignment="1">
      <alignment horizontal="center" vertical="center"/>
    </xf>
    <xf numFmtId="49" fontId="29" fillId="5" borderId="5" xfId="0" applyNumberFormat="1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left"/>
    </xf>
    <xf numFmtId="0" fontId="29" fillId="5" borderId="1" xfId="0" applyFont="1" applyFill="1" applyBorder="1" applyAlignment="1">
      <alignment horizontal="center"/>
    </xf>
    <xf numFmtId="4" fontId="29" fillId="5" borderId="1" xfId="0" applyNumberFormat="1" applyFont="1" applyFill="1" applyBorder="1" applyAlignment="1">
      <alignment horizontal="center"/>
    </xf>
    <xf numFmtId="49" fontId="29" fillId="5" borderId="1" xfId="0" applyNumberFormat="1" applyFont="1" applyFill="1" applyBorder="1" applyAlignment="1">
      <alignment horizontal="center"/>
    </xf>
    <xf numFmtId="49" fontId="29" fillId="5" borderId="3" xfId="0" applyNumberFormat="1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49" fontId="42" fillId="4" borderId="1" xfId="0" applyNumberFormat="1" applyFont="1" applyFill="1" applyBorder="1" applyAlignment="1">
      <alignment horizontal="center"/>
    </xf>
    <xf numFmtId="0" fontId="42" fillId="4" borderId="1" xfId="0" applyFont="1" applyFill="1" applyBorder="1" applyAlignment="1">
      <alignment vertical="center"/>
    </xf>
    <xf numFmtId="4" fontId="58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right" vertical="top"/>
    </xf>
    <xf numFmtId="0" fontId="11" fillId="4" borderId="1" xfId="0" applyFont="1" applyFill="1" applyBorder="1" applyAlignment="1">
      <alignment horizontal="left" vertical="center"/>
    </xf>
    <xf numFmtId="1" fontId="12" fillId="4" borderId="2" xfId="0" applyNumberFormat="1" applyFont="1" applyFill="1" applyBorder="1" applyAlignment="1">
      <alignment horizontal="right" vertical="top"/>
    </xf>
    <xf numFmtId="49" fontId="29" fillId="4" borderId="1" xfId="0" applyNumberFormat="1" applyFont="1" applyFill="1" applyBorder="1" applyAlignment="1">
      <alignment horizontal="center" vertical="center"/>
    </xf>
    <xf numFmtId="4" fontId="29" fillId="4" borderId="3" xfId="0" applyNumberFormat="1" applyFont="1" applyFill="1" applyBorder="1" applyAlignment="1">
      <alignment horizontal="center"/>
    </xf>
    <xf numFmtId="0" fontId="59" fillId="4" borderId="0" xfId="0" applyFont="1" applyFill="1"/>
    <xf numFmtId="49" fontId="29" fillId="4" borderId="5" xfId="0" applyNumberFormat="1" applyFont="1" applyFill="1" applyBorder="1" applyAlignment="1">
      <alignment horizontal="center" vertical="center"/>
    </xf>
    <xf numFmtId="49" fontId="29" fillId="4" borderId="5" xfId="0" quotePrefix="1" applyNumberFormat="1" applyFont="1" applyFill="1" applyBorder="1" applyAlignment="1">
      <alignment horizontal="center" vertical="center"/>
    </xf>
    <xf numFmtId="0" fontId="29" fillId="4" borderId="0" xfId="0" applyFont="1" applyFill="1"/>
    <xf numFmtId="0" fontId="67" fillId="4" borderId="0" xfId="0" applyFont="1" applyFill="1" applyAlignment="1">
      <alignment horizontal="center"/>
    </xf>
    <xf numFmtId="0" fontId="30" fillId="4" borderId="25" xfId="0" applyFont="1" applyFill="1" applyBorder="1" applyAlignment="1"/>
    <xf numFmtId="0" fontId="13" fillId="4" borderId="29" xfId="0" applyFont="1" applyFill="1" applyBorder="1" applyAlignment="1">
      <alignment horizontal="center" textRotation="90"/>
    </xf>
    <xf numFmtId="0" fontId="13" fillId="4" borderId="2" xfId="0" applyFont="1" applyFill="1" applyBorder="1" applyAlignment="1">
      <alignment horizontal="center"/>
    </xf>
    <xf numFmtId="1" fontId="25" fillId="4" borderId="2" xfId="2" applyNumberFormat="1" applyFont="1" applyFill="1" applyBorder="1" applyAlignment="1">
      <alignment horizontal="center" vertical="top"/>
    </xf>
    <xf numFmtId="1" fontId="25" fillId="4" borderId="1" xfId="2" applyNumberFormat="1" applyFont="1" applyFill="1" applyBorder="1" applyAlignment="1">
      <alignment horizontal="center" vertical="top"/>
    </xf>
    <xf numFmtId="1" fontId="2" fillId="4" borderId="1" xfId="0" applyNumberFormat="1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0" fillId="4" borderId="0" xfId="0" applyFill="1"/>
    <xf numFmtId="0" fontId="48" fillId="4" borderId="1" xfId="0" applyFont="1" applyFill="1" applyBorder="1" applyAlignment="1">
      <alignment horizontal="center" vertical="center"/>
    </xf>
    <xf numFmtId="2" fontId="48" fillId="4" borderId="1" xfId="0" applyNumberFormat="1" applyFont="1" applyFill="1" applyBorder="1" applyAlignment="1">
      <alignment horizontal="center" vertical="center"/>
    </xf>
    <xf numFmtId="0" fontId="28" fillId="4" borderId="0" xfId="0" applyFont="1" applyFill="1" applyAlignment="1"/>
    <xf numFmtId="0" fontId="21" fillId="4" borderId="0" xfId="0" applyFont="1" applyFill="1"/>
    <xf numFmtId="0" fontId="3" fillId="4" borderId="0" xfId="0" applyFont="1" applyFill="1"/>
    <xf numFmtId="0" fontId="18" fillId="4" borderId="0" xfId="0" applyFont="1" applyFill="1"/>
    <xf numFmtId="0" fontId="6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32" fillId="4" borderId="18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left"/>
    </xf>
    <xf numFmtId="0" fontId="29" fillId="5" borderId="3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 vertical="top" wrapText="1"/>
    </xf>
    <xf numFmtId="49" fontId="29" fillId="5" borderId="1" xfId="0" applyNumberFormat="1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left" vertical="top" wrapText="1"/>
    </xf>
    <xf numFmtId="0" fontId="29" fillId="0" borderId="0" xfId="0" applyFont="1" applyAlignment="1">
      <alignment vertical="top" wrapText="1"/>
    </xf>
    <xf numFmtId="0" fontId="29" fillId="4" borderId="1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4" fontId="66" fillId="4" borderId="6" xfId="0" applyNumberFormat="1" applyFont="1" applyFill="1" applyBorder="1" applyAlignment="1">
      <alignment horizontal="center" vertical="top"/>
    </xf>
    <xf numFmtId="4" fontId="28" fillId="0" borderId="0" xfId="0" applyNumberFormat="1" applyFont="1" applyBorder="1" applyAlignment="1">
      <alignment horizontal="center" vertical="top"/>
    </xf>
    <xf numFmtId="2" fontId="29" fillId="4" borderId="1" xfId="1" applyNumberFormat="1" applyFont="1" applyFill="1" applyBorder="1" applyAlignment="1">
      <alignment horizontal="center" wrapText="1"/>
    </xf>
    <xf numFmtId="2" fontId="29" fillId="5" borderId="1" xfId="0" applyNumberFormat="1" applyFont="1" applyFill="1" applyBorder="1" applyAlignment="1">
      <alignment horizontal="center" vertical="top"/>
    </xf>
    <xf numFmtId="2" fontId="29" fillId="4" borderId="1" xfId="0" applyNumberFormat="1" applyFont="1" applyFill="1" applyBorder="1" applyAlignment="1">
      <alignment horizontal="center" vertical="top"/>
    </xf>
    <xf numFmtId="2" fontId="29" fillId="5" borderId="3" xfId="0" applyNumberFormat="1" applyFont="1" applyFill="1" applyBorder="1" applyAlignment="1">
      <alignment horizontal="center" vertical="top"/>
    </xf>
    <xf numFmtId="43" fontId="29" fillId="0" borderId="1" xfId="1" applyFont="1" applyBorder="1" applyAlignment="1">
      <alignment vertical="center"/>
    </xf>
    <xf numFmtId="43" fontId="29" fillId="0" borderId="0" xfId="1" applyFont="1" applyAlignment="1">
      <alignment horizontal="center"/>
    </xf>
    <xf numFmtId="43" fontId="29" fillId="0" borderId="0" xfId="1" applyFont="1" applyFill="1" applyAlignment="1">
      <alignment horizontal="center"/>
    </xf>
    <xf numFmtId="2" fontId="29" fillId="0" borderId="1" xfId="1" applyNumberFormat="1" applyFont="1" applyBorder="1" applyAlignment="1">
      <alignment horizontal="center" vertical="center"/>
    </xf>
    <xf numFmtId="9" fontId="29" fillId="0" borderId="0" xfId="0" applyNumberFormat="1" applyFont="1" applyAlignment="1">
      <alignment vertical="top" wrapText="1"/>
    </xf>
    <xf numFmtId="2" fontId="29" fillId="0" borderId="0" xfId="1" applyNumberFormat="1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 vertical="center"/>
    </xf>
    <xf numFmtId="0" fontId="42" fillId="7" borderId="1" xfId="0" applyFont="1" applyFill="1" applyBorder="1"/>
    <xf numFmtId="0" fontId="42" fillId="7" borderId="1" xfId="0" applyFont="1" applyFill="1" applyBorder="1" applyAlignment="1">
      <alignment horizontal="center"/>
    </xf>
    <xf numFmtId="4" fontId="29" fillId="7" borderId="3" xfId="0" applyNumberFormat="1" applyFont="1" applyFill="1" applyBorder="1" applyAlignment="1">
      <alignment horizontal="center"/>
    </xf>
    <xf numFmtId="0" fontId="59" fillId="7" borderId="0" xfId="0" applyFont="1" applyFill="1"/>
    <xf numFmtId="49" fontId="29" fillId="7" borderId="5" xfId="0" applyNumberFormat="1" applyFont="1" applyFill="1" applyBorder="1" applyAlignment="1">
      <alignment horizontal="center" vertical="center"/>
    </xf>
    <xf numFmtId="4" fontId="29" fillId="7" borderId="1" xfId="0" applyNumberFormat="1" applyFont="1" applyFill="1" applyBorder="1" applyAlignment="1">
      <alignment horizontal="center"/>
    </xf>
    <xf numFmtId="0" fontId="16" fillId="4" borderId="0" xfId="0" applyFont="1" applyFill="1" applyAlignment="1"/>
    <xf numFmtId="0" fontId="17" fillId="4" borderId="0" xfId="0" applyFont="1" applyFill="1" applyAlignment="1"/>
    <xf numFmtId="0" fontId="28" fillId="4" borderId="3" xfId="0" applyFont="1" applyFill="1" applyBorder="1" applyAlignment="1"/>
    <xf numFmtId="0" fontId="28" fillId="4" borderId="25" xfId="0" applyFont="1" applyFill="1" applyBorder="1" applyAlignment="1"/>
    <xf numFmtId="0" fontId="30" fillId="4" borderId="25" xfId="0" applyFont="1" applyFill="1" applyBorder="1" applyAlignment="1">
      <alignment horizontal="center"/>
    </xf>
    <xf numFmtId="0" fontId="30" fillId="4" borderId="27" xfId="0" applyFont="1" applyFill="1" applyBorder="1" applyAlignment="1"/>
    <xf numFmtId="0" fontId="30" fillId="4" borderId="0" xfId="0" applyFont="1" applyFill="1" applyAlignment="1"/>
    <xf numFmtId="0" fontId="13" fillId="4" borderId="12" xfId="0" applyFont="1" applyFill="1" applyBorder="1" applyAlignment="1">
      <alignment horizontal="center" textRotation="90"/>
    </xf>
    <xf numFmtId="0" fontId="13" fillId="4" borderId="14" xfId="0" applyFont="1" applyFill="1" applyBorder="1" applyAlignment="1">
      <alignment horizontal="center" textRotation="90"/>
    </xf>
    <xf numFmtId="0" fontId="13" fillId="4" borderId="26" xfId="0" applyFont="1" applyFill="1" applyBorder="1" applyAlignment="1">
      <alignment horizontal="center" textRotation="90"/>
    </xf>
    <xf numFmtId="0" fontId="7" fillId="4" borderId="32" xfId="0" applyFont="1" applyFill="1" applyBorder="1" applyAlignment="1">
      <alignment horizontal="center" textRotation="90"/>
    </xf>
    <xf numFmtId="0" fontId="13" fillId="4" borderId="33" xfId="0" applyFont="1" applyFill="1" applyBorder="1" applyAlignment="1">
      <alignment horizontal="center" textRotation="90"/>
    </xf>
    <xf numFmtId="9" fontId="13" fillId="4" borderId="33" xfId="0" applyNumberFormat="1" applyFont="1" applyFill="1" applyBorder="1" applyAlignment="1">
      <alignment horizontal="center" textRotation="90"/>
    </xf>
    <xf numFmtId="0" fontId="11" fillId="4" borderId="33" xfId="0" applyFont="1" applyFill="1" applyBorder="1" applyAlignment="1">
      <alignment horizontal="center" textRotation="90" wrapText="1"/>
    </xf>
    <xf numFmtId="0" fontId="13" fillId="4" borderId="34" xfId="0" applyFont="1" applyFill="1" applyBorder="1" applyAlignment="1">
      <alignment horizontal="center" textRotation="90"/>
    </xf>
    <xf numFmtId="0" fontId="11" fillId="4" borderId="28" xfId="0" applyFont="1" applyFill="1" applyBorder="1" applyAlignment="1">
      <alignment horizontal="center" textRotation="90" wrapText="1"/>
    </xf>
    <xf numFmtId="0" fontId="11" fillId="4" borderId="29" xfId="0" applyFont="1" applyFill="1" applyBorder="1" applyAlignment="1">
      <alignment horizontal="center" textRotation="90"/>
    </xf>
    <xf numFmtId="0" fontId="13" fillId="4" borderId="30" xfId="0" applyFont="1" applyFill="1" applyBorder="1" applyAlignment="1">
      <alignment horizontal="center" textRotation="90"/>
    </xf>
    <xf numFmtId="0" fontId="13" fillId="4" borderId="31" xfId="0" applyFont="1" applyFill="1" applyBorder="1" applyAlignment="1">
      <alignment horizontal="center" textRotation="90"/>
    </xf>
    <xf numFmtId="0" fontId="23" fillId="4" borderId="0" xfId="0" applyFont="1" applyFill="1"/>
    <xf numFmtId="0" fontId="20" fillId="4" borderId="0" xfId="0" applyFont="1" applyFill="1" applyAlignment="1">
      <alignment wrapText="1"/>
    </xf>
    <xf numFmtId="0" fontId="20" fillId="4" borderId="0" xfId="0" applyFont="1" applyFill="1" applyAlignment="1">
      <alignment horizontal="center" wrapText="1"/>
    </xf>
    <xf numFmtId="0" fontId="19" fillId="4" borderId="0" xfId="0" applyFont="1" applyFill="1" applyAlignment="1">
      <alignment horizontal="right"/>
    </xf>
    <xf numFmtId="0" fontId="2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4" borderId="23" xfId="0" applyFont="1" applyFill="1" applyBorder="1" applyAlignment="1">
      <alignment horizontal="center" textRotation="90"/>
    </xf>
    <xf numFmtId="0" fontId="13" fillId="4" borderId="6" xfId="0" applyFont="1" applyFill="1" applyBorder="1" applyAlignment="1">
      <alignment horizontal="center"/>
    </xf>
    <xf numFmtId="1" fontId="7" fillId="4" borderId="0" xfId="0" applyNumberFormat="1" applyFont="1" applyFill="1"/>
    <xf numFmtId="0" fontId="23" fillId="4" borderId="35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5" fillId="4" borderId="0" xfId="0" applyFont="1" applyFill="1"/>
    <xf numFmtId="1" fontId="12" fillId="4" borderId="36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horizontal="right" vertical="center"/>
    </xf>
    <xf numFmtId="1" fontId="22" fillId="4" borderId="20" xfId="0" applyNumberFormat="1" applyFont="1" applyFill="1" applyBorder="1" applyAlignment="1">
      <alignment horizontal="right" vertical="center"/>
    </xf>
    <xf numFmtId="0" fontId="13" fillId="4" borderId="18" xfId="0" applyFont="1" applyFill="1" applyBorder="1" applyAlignment="1">
      <alignment horizontal="center" vertical="center"/>
    </xf>
    <xf numFmtId="1" fontId="22" fillId="4" borderId="1" xfId="0" applyNumberFormat="1" applyFont="1" applyFill="1" applyBorder="1" applyAlignment="1">
      <alignment horizontal="right" vertical="top"/>
    </xf>
    <xf numFmtId="1" fontId="22" fillId="4" borderId="1" xfId="0" applyNumberFormat="1" applyFont="1" applyFill="1" applyBorder="1" applyAlignment="1">
      <alignment horizontal="center"/>
    </xf>
    <xf numFmtId="1" fontId="22" fillId="4" borderId="1" xfId="0" applyNumberFormat="1" applyFont="1" applyFill="1" applyBorder="1" applyAlignment="1">
      <alignment horizontal="center" vertical="top"/>
    </xf>
    <xf numFmtId="1" fontId="13" fillId="4" borderId="1" xfId="0" applyNumberFormat="1" applyFont="1" applyFill="1" applyBorder="1" applyAlignment="1">
      <alignment horizontal="right" vertical="center"/>
    </xf>
    <xf numFmtId="1" fontId="22" fillId="4" borderId="20" xfId="0" applyNumberFormat="1" applyFont="1" applyFill="1" applyBorder="1" applyAlignment="1">
      <alignment horizontal="right" vertical="top"/>
    </xf>
    <xf numFmtId="0" fontId="13" fillId="4" borderId="0" xfId="0" applyFont="1" applyFill="1"/>
    <xf numFmtId="0" fontId="18" fillId="4" borderId="0" xfId="0" applyFont="1" applyFill="1" applyAlignment="1">
      <alignment horizontal="center"/>
    </xf>
    <xf numFmtId="0" fontId="13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30" fillId="4" borderId="22" xfId="0" applyFont="1" applyFill="1" applyBorder="1" applyAlignment="1">
      <alignment horizontal="left" vertical="center"/>
    </xf>
    <xf numFmtId="1" fontId="22" fillId="4" borderId="22" xfId="0" applyNumberFormat="1" applyFont="1" applyFill="1" applyBorder="1" applyAlignment="1">
      <alignment horizontal="center" vertical="center"/>
    </xf>
    <xf numFmtId="1" fontId="13" fillId="4" borderId="0" xfId="0" applyNumberFormat="1" applyFont="1" applyFill="1"/>
    <xf numFmtId="165" fontId="13" fillId="4" borderId="0" xfId="1" applyNumberFormat="1" applyFont="1" applyFill="1"/>
    <xf numFmtId="1" fontId="12" fillId="4" borderId="0" xfId="0" applyNumberFormat="1" applyFont="1" applyFill="1"/>
    <xf numFmtId="0" fontId="25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1" fontId="25" fillId="4" borderId="2" xfId="0" applyNumberFormat="1" applyFont="1" applyFill="1" applyBorder="1" applyAlignment="1">
      <alignment horizontal="center" vertical="top"/>
    </xf>
    <xf numFmtId="1" fontId="25" fillId="4" borderId="2" xfId="0" applyNumberFormat="1" applyFont="1" applyFill="1" applyBorder="1" applyAlignment="1">
      <alignment horizontal="center"/>
    </xf>
    <xf numFmtId="2" fontId="25" fillId="4" borderId="2" xfId="0" applyNumberFormat="1" applyFont="1" applyFill="1" applyBorder="1" applyAlignment="1">
      <alignment horizontal="center" vertical="top"/>
    </xf>
    <xf numFmtId="2" fontId="25" fillId="4" borderId="2" xfId="0" applyNumberFormat="1" applyFont="1" applyFill="1" applyBorder="1" applyAlignment="1">
      <alignment horizontal="center"/>
    </xf>
    <xf numFmtId="1" fontId="25" fillId="4" borderId="1" xfId="0" applyNumberFormat="1" applyFont="1" applyFill="1" applyBorder="1" applyAlignment="1">
      <alignment horizontal="center" vertical="top"/>
    </xf>
    <xf numFmtId="0" fontId="2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1" fontId="25" fillId="4" borderId="1" xfId="0" applyNumberFormat="1" applyFont="1" applyFill="1" applyBorder="1" applyAlignment="1">
      <alignment horizontal="center"/>
    </xf>
    <xf numFmtId="2" fontId="25" fillId="4" borderId="1" xfId="0" applyNumberFormat="1" applyFont="1" applyFill="1" applyBorder="1" applyAlignment="1">
      <alignment horizontal="center" vertical="top"/>
    </xf>
    <xf numFmtId="2" fontId="25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top"/>
    </xf>
    <xf numFmtId="1" fontId="6" fillId="4" borderId="0" xfId="0" applyNumberFormat="1" applyFont="1" applyFill="1" applyBorder="1" applyAlignment="1">
      <alignment horizontal="right" vertical="top"/>
    </xf>
    <xf numFmtId="1" fontId="0" fillId="4" borderId="0" xfId="0" applyNumberFormat="1" applyFill="1"/>
    <xf numFmtId="0" fontId="6" fillId="4" borderId="0" xfId="0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vertical="center"/>
    </xf>
    <xf numFmtId="1" fontId="6" fillId="4" borderId="0" xfId="0" applyNumberFormat="1" applyFont="1" applyFill="1" applyBorder="1" applyAlignment="1">
      <alignment vertical="center"/>
    </xf>
    <xf numFmtId="1" fontId="63" fillId="4" borderId="0" xfId="0" applyNumberFormat="1" applyFont="1" applyFill="1" applyBorder="1" applyAlignment="1">
      <alignment vertical="center"/>
    </xf>
    <xf numFmtId="0" fontId="0" fillId="4" borderId="0" xfId="0" applyFill="1" applyAlignment="1"/>
    <xf numFmtId="0" fontId="13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29" fillId="4" borderId="0" xfId="0" applyFont="1" applyFill="1" applyAlignment="1">
      <alignment horizontal="right"/>
    </xf>
    <xf numFmtId="0" fontId="29" fillId="4" borderId="0" xfId="0" applyFont="1" applyFill="1" applyBorder="1" applyAlignment="1">
      <alignment horizontal="center"/>
    </xf>
    <xf numFmtId="1" fontId="28" fillId="4" borderId="0" xfId="0" applyNumberFormat="1" applyFont="1" applyFill="1" applyBorder="1" applyAlignment="1">
      <alignment horizontal="center"/>
    </xf>
    <xf numFmtId="0" fontId="29" fillId="4" borderId="0" xfId="0" applyFont="1" applyFill="1" applyBorder="1" applyAlignment="1">
      <alignment horizontal="right"/>
    </xf>
    <xf numFmtId="0" fontId="12" fillId="4" borderId="0" xfId="0" applyFont="1" applyFill="1" applyAlignment="1">
      <alignment horizontal="left"/>
    </xf>
    <xf numFmtId="0" fontId="29" fillId="4" borderId="0" xfId="0" applyFont="1" applyFill="1" applyAlignment="1">
      <alignment horizontal="center"/>
    </xf>
    <xf numFmtId="0" fontId="8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164" fontId="6" fillId="4" borderId="0" xfId="0" applyNumberFormat="1" applyFont="1" applyFill="1"/>
    <xf numFmtId="43" fontId="0" fillId="4" borderId="0" xfId="1" applyFont="1" applyFill="1"/>
    <xf numFmtId="43" fontId="0" fillId="4" borderId="0" xfId="0" applyNumberFormat="1" applyFill="1"/>
    <xf numFmtId="0" fontId="0" fillId="4" borderId="0" xfId="0" applyFill="1" applyAlignment="1">
      <alignment horizontal="center"/>
    </xf>
    <xf numFmtId="0" fontId="14" fillId="8" borderId="0" xfId="0" applyFont="1" applyFill="1"/>
    <xf numFmtId="49" fontId="32" fillId="8" borderId="18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right" vertical="top"/>
    </xf>
    <xf numFmtId="1" fontId="12" fillId="8" borderId="1" xfId="0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right" vertical="center"/>
    </xf>
    <xf numFmtId="1" fontId="12" fillId="8" borderId="1" xfId="0" applyNumberFormat="1" applyFont="1" applyFill="1" applyBorder="1" applyAlignment="1">
      <alignment horizontal="center" vertical="top"/>
    </xf>
    <xf numFmtId="1" fontId="12" fillId="8" borderId="1" xfId="0" applyNumberFormat="1" applyFont="1" applyFill="1" applyBorder="1" applyAlignment="1">
      <alignment vertical="center"/>
    </xf>
    <xf numFmtId="1" fontId="5" fillId="8" borderId="2" xfId="0" applyNumberFormat="1" applyFont="1" applyFill="1" applyBorder="1" applyAlignment="1">
      <alignment vertical="center"/>
    </xf>
    <xf numFmtId="1" fontId="12" fillId="8" borderId="2" xfId="0" applyNumberFormat="1" applyFont="1" applyFill="1" applyBorder="1" applyAlignment="1">
      <alignment vertical="center"/>
    </xf>
    <xf numFmtId="1" fontId="12" fillId="8" borderId="2" xfId="0" applyNumberFormat="1" applyFont="1" applyFill="1" applyBorder="1" applyAlignment="1">
      <alignment horizontal="right" vertical="center"/>
    </xf>
    <xf numFmtId="1" fontId="12" fillId="8" borderId="2" xfId="0" applyNumberFormat="1" applyFont="1" applyFill="1" applyBorder="1" applyAlignment="1">
      <alignment horizontal="center" vertical="top"/>
    </xf>
    <xf numFmtId="1" fontId="12" fillId="8" borderId="36" xfId="0" applyNumberFormat="1" applyFont="1" applyFill="1" applyBorder="1" applyAlignment="1">
      <alignment vertical="center"/>
    </xf>
    <xf numFmtId="0" fontId="12" fillId="8" borderId="0" xfId="0" applyFont="1" applyFill="1"/>
    <xf numFmtId="1" fontId="14" fillId="8" borderId="0" xfId="0" applyNumberFormat="1" applyFont="1" applyFill="1"/>
    <xf numFmtId="1" fontId="12" fillId="8" borderId="1" xfId="2" applyNumberFormat="1" applyFont="1" applyFill="1" applyBorder="1" applyAlignment="1">
      <alignment horizontal="center" vertical="top"/>
    </xf>
    <xf numFmtId="1" fontId="12" fillId="8" borderId="1" xfId="0" applyNumberFormat="1" applyFont="1" applyFill="1" applyBorder="1" applyAlignment="1">
      <alignment horizontal="center" vertical="center"/>
    </xf>
    <xf numFmtId="0" fontId="28" fillId="8" borderId="0" xfId="0" applyFont="1" applyFill="1" applyAlignment="1">
      <alignment horizontal="center"/>
    </xf>
    <xf numFmtId="0" fontId="46" fillId="8" borderId="0" xfId="0" applyFont="1" applyFill="1" applyAlignment="1">
      <alignment horizontal="center"/>
    </xf>
    <xf numFmtId="0" fontId="28" fillId="8" borderId="0" xfId="0" applyFont="1" applyFill="1" applyAlignment="1">
      <alignment horizontal="right"/>
    </xf>
    <xf numFmtId="1" fontId="41" fillId="9" borderId="22" xfId="0" applyNumberFormat="1" applyFont="1" applyFill="1" applyBorder="1" applyAlignment="1">
      <alignment horizontal="center" vertical="center"/>
    </xf>
    <xf numFmtId="1" fontId="22" fillId="9" borderId="23" xfId="0" applyNumberFormat="1" applyFont="1" applyFill="1" applyBorder="1" applyAlignment="1">
      <alignment horizontal="center" vertical="center"/>
    </xf>
    <xf numFmtId="166" fontId="30" fillId="0" borderId="0" xfId="0" applyNumberFormat="1" applyFont="1" applyAlignment="1">
      <alignment horizontal="left" vertical="top"/>
    </xf>
    <xf numFmtId="0" fontId="67" fillId="4" borderId="0" xfId="0" applyFont="1" applyFill="1" applyAlignment="1">
      <alignment horizontal="center"/>
    </xf>
    <xf numFmtId="0" fontId="72" fillId="4" borderId="0" xfId="0" applyFont="1" applyFill="1" applyAlignment="1">
      <alignment horizontal="center"/>
    </xf>
    <xf numFmtId="0" fontId="74" fillId="4" borderId="3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center"/>
    </xf>
    <xf numFmtId="0" fontId="23" fillId="4" borderId="10" xfId="0" applyFont="1" applyFill="1" applyBorder="1" applyAlignment="1">
      <alignment horizontal="center"/>
    </xf>
    <xf numFmtId="0" fontId="23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67" fillId="4" borderId="0" xfId="0" applyFont="1" applyFill="1" applyAlignment="1">
      <alignment horizontal="center"/>
    </xf>
    <xf numFmtId="0" fontId="50" fillId="4" borderId="2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9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68" fillId="0" borderId="0" xfId="0" applyFont="1" applyAlignment="1">
      <alignment horizontal="right"/>
    </xf>
    <xf numFmtId="0" fontId="44" fillId="4" borderId="7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/>
    </xf>
    <xf numFmtId="0" fontId="65" fillId="4" borderId="7" xfId="0" applyFont="1" applyFill="1" applyBorder="1" applyAlignment="1">
      <alignment horizontal="center"/>
    </xf>
    <xf numFmtId="0" fontId="65" fillId="4" borderId="8" xfId="0" applyFont="1" applyFill="1" applyBorder="1" applyAlignment="1">
      <alignment horizontal="center"/>
    </xf>
    <xf numFmtId="0" fontId="65" fillId="4" borderId="5" xfId="0" applyFont="1" applyFill="1" applyBorder="1" applyAlignment="1">
      <alignment horizontal="center"/>
    </xf>
    <xf numFmtId="2" fontId="28" fillId="0" borderId="0" xfId="0" applyNumberFormat="1" applyFont="1" applyAlignment="1">
      <alignment horizontal="center"/>
    </xf>
    <xf numFmtId="0" fontId="66" fillId="0" borderId="0" xfId="0" applyFont="1" applyFill="1" applyBorder="1" applyAlignment="1">
      <alignment horizontal="center"/>
    </xf>
    <xf numFmtId="43" fontId="29" fillId="0" borderId="1" xfId="1" applyFont="1" applyBorder="1" applyAlignment="1">
      <alignment vertical="center"/>
    </xf>
    <xf numFmtId="0" fontId="28" fillId="4" borderId="3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29" fillId="0" borderId="1" xfId="0" applyFont="1" applyBorder="1" applyAlignment="1">
      <alignment horizontal="center" vertical="center" wrapText="1"/>
    </xf>
    <xf numFmtId="2" fontId="29" fillId="0" borderId="1" xfId="1" applyNumberFormat="1" applyFont="1" applyBorder="1" applyAlignment="1">
      <alignment horizontal="center" vertical="center"/>
    </xf>
    <xf numFmtId="43" fontId="29" fillId="0" borderId="3" xfId="1" applyFont="1" applyBorder="1" applyAlignment="1">
      <alignment horizontal="center" vertical="center" wrapText="1"/>
    </xf>
    <xf numFmtId="43" fontId="29" fillId="0" borderId="2" xfId="1" applyFont="1" applyBorder="1" applyAlignment="1">
      <alignment horizontal="center" vertical="center" wrapText="1"/>
    </xf>
    <xf numFmtId="2" fontId="29" fillId="0" borderId="3" xfId="1" applyNumberFormat="1" applyFont="1" applyBorder="1" applyAlignment="1">
      <alignment horizontal="center" vertical="center" wrapText="1"/>
    </xf>
    <xf numFmtId="2" fontId="29" fillId="0" borderId="2" xfId="1" applyNumberFormat="1" applyFont="1" applyBorder="1" applyAlignment="1">
      <alignment horizontal="center" vertical="center" wrapText="1"/>
    </xf>
    <xf numFmtId="0" fontId="48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right" vertical="center"/>
    </xf>
    <xf numFmtId="0" fontId="28" fillId="4" borderId="3" xfId="0" applyFont="1" applyFill="1" applyBorder="1" applyAlignment="1">
      <alignment horizontal="center"/>
    </xf>
    <xf numFmtId="0" fontId="66" fillId="0" borderId="9" xfId="0" applyFont="1" applyFill="1" applyBorder="1" applyAlignment="1">
      <alignment horizontal="center"/>
    </xf>
    <xf numFmtId="0" fontId="66" fillId="0" borderId="10" xfId="0" applyFont="1" applyFill="1" applyBorder="1" applyAlignment="1">
      <alignment horizontal="center"/>
    </xf>
    <xf numFmtId="0" fontId="66" fillId="0" borderId="11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30" fillId="0" borderId="0" xfId="0" applyFont="1" applyFill="1" applyAlignment="1">
      <alignment horizontal="right"/>
    </xf>
    <xf numFmtId="0" fontId="28" fillId="0" borderId="3" xfId="0" applyFont="1" applyFill="1" applyBorder="1" applyAlignment="1">
      <alignment horizontal="center"/>
    </xf>
    <xf numFmtId="0" fontId="48" fillId="0" borderId="37" xfId="0" applyFont="1" applyFill="1" applyBorder="1" applyAlignment="1">
      <alignment horizontal="left" vertical="center"/>
    </xf>
    <xf numFmtId="0" fontId="48" fillId="0" borderId="5" xfId="0" applyFont="1" applyFill="1" applyBorder="1" applyAlignment="1">
      <alignment horizontal="left" vertical="center"/>
    </xf>
    <xf numFmtId="0" fontId="48" fillId="0" borderId="7" xfId="0" applyFont="1" applyBorder="1" applyAlignment="1">
      <alignment horizontal="right" vertical="center" wrapText="1"/>
    </xf>
    <xf numFmtId="0" fontId="48" fillId="0" borderId="8" xfId="0" applyFont="1" applyBorder="1" applyAlignment="1">
      <alignment horizontal="right" vertical="center" wrapText="1"/>
    </xf>
    <xf numFmtId="0" fontId="60" fillId="0" borderId="8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8" fillId="5" borderId="18" xfId="0" applyFont="1" applyFill="1" applyBorder="1" applyAlignment="1">
      <alignment horizontal="left" vertical="center"/>
    </xf>
    <xf numFmtId="0" fontId="48" fillId="5" borderId="1" xfId="0" applyFont="1" applyFill="1" applyBorder="1" applyAlignment="1">
      <alignment horizontal="left" vertical="center"/>
    </xf>
    <xf numFmtId="0" fontId="48" fillId="5" borderId="8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48" fillId="5" borderId="19" xfId="0" applyFont="1" applyFill="1" applyBorder="1" applyAlignment="1">
      <alignment horizontal="center" vertical="center"/>
    </xf>
    <xf numFmtId="2" fontId="71" fillId="0" borderId="22" xfId="0" applyNumberFormat="1" applyFont="1" applyBorder="1" applyAlignment="1">
      <alignment horizontal="center" vertical="center"/>
    </xf>
    <xf numFmtId="2" fontId="71" fillId="0" borderId="23" xfId="0" applyNumberFormat="1" applyFont="1" applyBorder="1" applyAlignment="1">
      <alignment horizontal="center" vertical="center"/>
    </xf>
    <xf numFmtId="0" fontId="48" fillId="0" borderId="18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2" fontId="49" fillId="0" borderId="21" xfId="1" applyNumberFormat="1" applyFont="1" applyBorder="1" applyAlignment="1">
      <alignment horizontal="center" vertical="center"/>
    </xf>
    <xf numFmtId="2" fontId="49" fillId="0" borderId="22" xfId="1" applyNumberFormat="1" applyFont="1" applyBorder="1" applyAlignment="1">
      <alignment horizontal="center" vertical="center"/>
    </xf>
    <xf numFmtId="0" fontId="48" fillId="5" borderId="7" xfId="0" applyFont="1" applyFill="1" applyBorder="1" applyAlignment="1">
      <alignment horizontal="right" vertical="center"/>
    </xf>
    <xf numFmtId="0" fontId="48" fillId="5" borderId="8" xfId="0" applyFont="1" applyFill="1" applyBorder="1" applyAlignment="1">
      <alignment horizontal="right" vertical="center"/>
    </xf>
    <xf numFmtId="0" fontId="48" fillId="0" borderId="8" xfId="0" applyFont="1" applyBorder="1" applyAlignment="1">
      <alignment vertical="center"/>
    </xf>
    <xf numFmtId="0" fontId="48" fillId="0" borderId="19" xfId="0" applyFont="1" applyBorder="1" applyAlignment="1">
      <alignment vertical="center"/>
    </xf>
    <xf numFmtId="2" fontId="48" fillId="0" borderId="18" xfId="1" applyNumberFormat="1" applyFont="1" applyFill="1" applyBorder="1" applyAlignment="1">
      <alignment horizontal="left" vertical="center"/>
    </xf>
    <xf numFmtId="2" fontId="48" fillId="0" borderId="1" xfId="1" applyNumberFormat="1" applyFont="1" applyFill="1" applyBorder="1" applyAlignment="1">
      <alignment horizontal="left" vertical="center"/>
    </xf>
    <xf numFmtId="2" fontId="48" fillId="5" borderId="18" xfId="1" applyNumberFormat="1" applyFont="1" applyFill="1" applyBorder="1" applyAlignment="1">
      <alignment horizontal="left" vertical="center"/>
    </xf>
    <xf numFmtId="2" fontId="48" fillId="5" borderId="1" xfId="1" applyNumberFormat="1" applyFont="1" applyFill="1" applyBorder="1" applyAlignment="1">
      <alignment horizontal="left" vertical="center"/>
    </xf>
    <xf numFmtId="0" fontId="48" fillId="0" borderId="7" xfId="0" applyFont="1" applyBorder="1" applyAlignment="1">
      <alignment horizontal="right" vertical="center"/>
    </xf>
    <xf numFmtId="0" fontId="48" fillId="0" borderId="8" xfId="0" applyFont="1" applyBorder="1" applyAlignment="1">
      <alignment horizontal="right" vertical="center"/>
    </xf>
    <xf numFmtId="2" fontId="48" fillId="0" borderId="18" xfId="1" applyNumberFormat="1" applyFont="1" applyFill="1" applyBorder="1" applyAlignment="1">
      <alignment horizontal="left" vertical="center" wrapText="1"/>
    </xf>
    <xf numFmtId="2" fontId="48" fillId="0" borderId="1" xfId="1" applyNumberFormat="1" applyFont="1" applyFill="1" applyBorder="1" applyAlignment="1">
      <alignment horizontal="left" vertical="center" wrapText="1"/>
    </xf>
    <xf numFmtId="2" fontId="48" fillId="5" borderId="18" xfId="1" applyNumberFormat="1" applyFont="1" applyFill="1" applyBorder="1" applyAlignment="1">
      <alignment horizontal="left" vertical="center" wrapText="1"/>
    </xf>
    <xf numFmtId="2" fontId="48" fillId="5" borderId="1" xfId="1" applyNumberFormat="1" applyFont="1" applyFill="1" applyBorder="1" applyAlignment="1">
      <alignment horizontal="left" vertical="center" wrapText="1"/>
    </xf>
    <xf numFmtId="0" fontId="48" fillId="5" borderId="18" xfId="0" applyFont="1" applyFill="1" applyBorder="1" applyAlignment="1">
      <alignment horizontal="left" vertical="center" wrapText="1"/>
    </xf>
    <xf numFmtId="0" fontId="48" fillId="5" borderId="1" xfId="0" applyFont="1" applyFill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47" fillId="6" borderId="15" xfId="0" applyFont="1" applyFill="1" applyBorder="1" applyAlignment="1">
      <alignment horizontal="center" vertical="center"/>
    </xf>
    <xf numFmtId="0" fontId="47" fillId="6" borderId="16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left" vertical="center"/>
    </xf>
    <xf numFmtId="0" fontId="48" fillId="5" borderId="8" xfId="0" applyFont="1" applyFill="1" applyBorder="1" applyAlignment="1">
      <alignment horizontal="left" vertical="center"/>
    </xf>
    <xf numFmtId="0" fontId="73" fillId="6" borderId="12" xfId="0" applyFont="1" applyFill="1" applyBorder="1" applyAlignment="1">
      <alignment horizontal="center" vertical="center"/>
    </xf>
    <xf numFmtId="0" fontId="73" fillId="6" borderId="13" xfId="0" applyFont="1" applyFill="1" applyBorder="1" applyAlignment="1">
      <alignment horizontal="center" vertical="center"/>
    </xf>
    <xf numFmtId="0" fontId="48" fillId="0" borderId="18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167" fontId="48" fillId="0" borderId="24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8" fillId="0" borderId="18" xfId="0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left" vertical="center" wrapText="1"/>
    </xf>
    <xf numFmtId="2" fontId="73" fillId="6" borderId="18" xfId="1" applyNumberFormat="1" applyFont="1" applyFill="1" applyBorder="1" applyAlignment="1">
      <alignment horizontal="center" vertical="center"/>
    </xf>
    <xf numFmtId="2" fontId="73" fillId="6" borderId="1" xfId="1" applyNumberFormat="1" applyFont="1" applyFill="1" applyBorder="1" applyAlignment="1">
      <alignment horizontal="center" vertical="center"/>
    </xf>
    <xf numFmtId="2" fontId="71" fillId="0" borderId="1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20" xfId="0" applyFont="1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0" fontId="47" fillId="6" borderId="20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9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 textRotation="90" wrapText="1"/>
    </xf>
    <xf numFmtId="0" fontId="13" fillId="0" borderId="8" xfId="0" applyFont="1" applyBorder="1" applyAlignment="1">
      <alignment horizontal="center" textRotation="90" wrapText="1"/>
    </xf>
    <xf numFmtId="0" fontId="13" fillId="0" borderId="5" xfId="0" applyFont="1" applyBorder="1" applyAlignment="1">
      <alignment horizontal="center" textRotation="90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6" fillId="0" borderId="0" xfId="0" applyFont="1" applyAlignment="1"/>
    <xf numFmtId="0" fontId="23" fillId="4" borderId="39" xfId="0" applyFont="1" applyFill="1" applyBorder="1" applyAlignment="1">
      <alignment horizontal="center" vertical="center"/>
    </xf>
    <xf numFmtId="0" fontId="23" fillId="4" borderId="40" xfId="0" applyFont="1" applyFill="1" applyBorder="1" applyAlignment="1">
      <alignment horizontal="center"/>
    </xf>
    <xf numFmtId="49" fontId="32" fillId="8" borderId="5" xfId="0" applyNumberFormat="1" applyFont="1" applyFill="1" applyBorder="1" applyAlignment="1">
      <alignment horizontal="center" vertical="center"/>
    </xf>
    <xf numFmtId="49" fontId="32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2"/>
  <sheetViews>
    <sheetView tabSelected="1" view="pageBreakPreview" zoomScale="80" zoomScaleNormal="90" zoomScaleSheetLayoutView="80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C16" sqref="C16"/>
    </sheetView>
  </sheetViews>
  <sheetFormatPr defaultRowHeight="24.95" customHeight="1" x14ac:dyDescent="0.25"/>
  <cols>
    <col min="1" max="1" width="2" style="340" customWidth="1"/>
    <col min="2" max="2" width="19" style="340" customWidth="1"/>
    <col min="3" max="3" width="11.42578125" style="340" customWidth="1"/>
    <col min="4" max="4" width="25.28515625" style="455" customWidth="1"/>
    <col min="5" max="5" width="14" style="456" customWidth="1"/>
    <col min="6" max="6" width="8.140625" style="340" customWidth="1"/>
    <col min="7" max="7" width="4.5703125" style="474" customWidth="1"/>
    <col min="8" max="8" width="8.5703125" style="340" customWidth="1"/>
    <col min="9" max="9" width="4.7109375" style="340" customWidth="1"/>
    <col min="10" max="10" width="5.140625" style="340" customWidth="1"/>
    <col min="11" max="11" width="8" style="340" customWidth="1"/>
    <col min="12" max="12" width="6.28515625" style="340" customWidth="1"/>
    <col min="13" max="13" width="5" style="340" customWidth="1"/>
    <col min="14" max="14" width="10" style="340" customWidth="1"/>
    <col min="15" max="15" width="10.140625" style="340" customWidth="1"/>
    <col min="16" max="16" width="6.28515625" style="340" customWidth="1"/>
    <col min="17" max="17" width="10" style="340" customWidth="1"/>
    <col min="18" max="18" width="7.42578125" style="340" customWidth="1"/>
    <col min="19" max="19" width="3" style="340" customWidth="1"/>
    <col min="20" max="20" width="6.28515625" style="340" customWidth="1"/>
    <col min="21" max="21" width="6.5703125" style="340" customWidth="1"/>
    <col min="22" max="22" width="6.7109375" style="340" customWidth="1"/>
    <col min="23" max="23" width="6.5703125" style="340" customWidth="1"/>
    <col min="24" max="24" width="5.28515625" style="345" customWidth="1"/>
    <col min="25" max="25" width="5.140625" style="345" customWidth="1"/>
    <col min="26" max="26" width="3.85546875" style="345" customWidth="1"/>
    <col min="27" max="27" width="5.85546875" style="345" customWidth="1"/>
    <col min="28" max="28" width="5.28515625" style="345" customWidth="1"/>
    <col min="29" max="29" width="6.42578125" style="345" customWidth="1"/>
    <col min="30" max="30" width="4.5703125" style="340" customWidth="1"/>
    <col min="31" max="31" width="7.42578125" style="340" customWidth="1"/>
    <col min="32" max="32" width="8.28515625" style="340" customWidth="1"/>
    <col min="33" max="33" width="8.5703125" style="340" customWidth="1"/>
    <col min="34" max="34" width="11.42578125" style="340" customWidth="1"/>
    <col min="35" max="35" width="10.7109375" style="340" customWidth="1"/>
    <col min="36" max="36" width="10.140625" style="340" customWidth="1"/>
    <col min="37" max="37" width="8.85546875" style="340" customWidth="1"/>
    <col min="38" max="38" width="11.7109375" style="340" customWidth="1"/>
    <col min="39" max="39" width="12.140625" style="340" customWidth="1"/>
    <col min="40" max="40" width="9.140625" style="340"/>
    <col min="41" max="41" width="12.42578125" style="340" customWidth="1"/>
    <col min="42" max="71" width="9.140625" style="340"/>
    <col min="72" max="72" width="14.5703125" style="340" customWidth="1"/>
    <col min="73" max="73" width="14.85546875" style="340" customWidth="1"/>
    <col min="74" max="75" width="12.28515625" style="340" customWidth="1"/>
    <col min="76" max="76" width="11.140625" style="340" customWidth="1"/>
    <col min="77" max="16384" width="9.140625" style="340"/>
  </cols>
  <sheetData>
    <row r="1" spans="1:39" ht="24" customHeight="1" x14ac:dyDescent="0.5">
      <c r="A1" s="340" t="s">
        <v>244</v>
      </c>
      <c r="B1" s="500" t="s">
        <v>260</v>
      </c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381"/>
    </row>
    <row r="2" spans="1:39" ht="18.75" customHeight="1" x14ac:dyDescent="0.45">
      <c r="B2" s="508" t="s">
        <v>291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382"/>
    </row>
    <row r="3" spans="1:39" ht="12" customHeight="1" x14ac:dyDescent="0.45">
      <c r="B3" s="328"/>
      <c r="C3" s="499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82"/>
    </row>
    <row r="4" spans="1:39" s="387" customFormat="1" ht="23.25" customHeight="1" thickBot="1" x14ac:dyDescent="0.3">
      <c r="A4" s="343" t="s">
        <v>158</v>
      </c>
      <c r="B4" s="383"/>
      <c r="C4" s="384"/>
      <c r="D4" s="384"/>
      <c r="E4" s="384"/>
      <c r="F4" s="384"/>
      <c r="G4" s="385"/>
      <c r="H4" s="329"/>
      <c r="I4" s="329"/>
      <c r="J4" s="509" t="s">
        <v>159</v>
      </c>
      <c r="K4" s="509"/>
      <c r="L4" s="509"/>
      <c r="M4" s="509"/>
      <c r="N4" s="509"/>
      <c r="O4" s="509"/>
      <c r="P4" s="501" t="s">
        <v>313</v>
      </c>
      <c r="Q4" s="501"/>
      <c r="R4" s="501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86"/>
    </row>
    <row r="5" spans="1:39" s="345" customFormat="1" ht="146.25" customHeight="1" thickBot="1" x14ac:dyDescent="0.3">
      <c r="A5" s="344"/>
      <c r="B5" s="388" t="s">
        <v>255</v>
      </c>
      <c r="C5" s="389" t="s">
        <v>319</v>
      </c>
      <c r="D5" s="389" t="s">
        <v>79</v>
      </c>
      <c r="E5" s="390" t="s">
        <v>21</v>
      </c>
      <c r="F5" s="391" t="s">
        <v>22</v>
      </c>
      <c r="G5" s="392" t="s">
        <v>23</v>
      </c>
      <c r="H5" s="392" t="s">
        <v>1</v>
      </c>
      <c r="I5" s="392" t="s">
        <v>24</v>
      </c>
      <c r="J5" s="392" t="s">
        <v>28</v>
      </c>
      <c r="K5" s="392" t="s">
        <v>25</v>
      </c>
      <c r="L5" s="392" t="s">
        <v>49</v>
      </c>
      <c r="M5" s="392" t="s">
        <v>48</v>
      </c>
      <c r="N5" s="393" t="s">
        <v>2</v>
      </c>
      <c r="O5" s="394" t="s">
        <v>245</v>
      </c>
      <c r="P5" s="394" t="s">
        <v>52</v>
      </c>
      <c r="Q5" s="395" t="s">
        <v>10</v>
      </c>
      <c r="R5" s="396" t="s">
        <v>245</v>
      </c>
      <c r="S5" s="397" t="s">
        <v>126</v>
      </c>
      <c r="T5" s="330" t="s">
        <v>41</v>
      </c>
      <c r="U5" s="330" t="s">
        <v>39</v>
      </c>
      <c r="V5" s="330" t="s">
        <v>29</v>
      </c>
      <c r="W5" s="330" t="s">
        <v>31</v>
      </c>
      <c r="X5" s="330" t="s">
        <v>50</v>
      </c>
      <c r="Y5" s="330" t="s">
        <v>7</v>
      </c>
      <c r="Z5" s="330" t="s">
        <v>26</v>
      </c>
      <c r="AA5" s="330" t="s">
        <v>239</v>
      </c>
      <c r="AB5" s="330" t="s">
        <v>303</v>
      </c>
      <c r="AC5" s="330" t="s">
        <v>77</v>
      </c>
      <c r="AD5" s="330" t="s">
        <v>55</v>
      </c>
      <c r="AE5" s="398" t="s">
        <v>238</v>
      </c>
      <c r="AF5" s="399" t="s">
        <v>9</v>
      </c>
      <c r="AG5" s="400"/>
      <c r="AH5" s="401" t="s">
        <v>67</v>
      </c>
      <c r="AI5" s="401" t="s">
        <v>68</v>
      </c>
      <c r="AJ5" s="401" t="s">
        <v>71</v>
      </c>
      <c r="AK5" s="401" t="s">
        <v>69</v>
      </c>
      <c r="AL5" s="402" t="s">
        <v>53</v>
      </c>
      <c r="AM5" s="403" t="s">
        <v>113</v>
      </c>
    </row>
    <row r="6" spans="1:39" s="345" customFormat="1" ht="17.25" customHeight="1" thickBot="1" x14ac:dyDescent="0.3">
      <c r="A6" s="344"/>
      <c r="B6" s="404"/>
      <c r="C6" s="633"/>
      <c r="D6" s="405"/>
      <c r="E6" s="406"/>
      <c r="F6" s="502" t="s">
        <v>241</v>
      </c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4"/>
      <c r="R6" s="505" t="s">
        <v>240</v>
      </c>
      <c r="S6" s="506"/>
      <c r="T6" s="506"/>
      <c r="U6" s="506"/>
      <c r="V6" s="506"/>
      <c r="W6" s="506"/>
      <c r="X6" s="506"/>
      <c r="Y6" s="506"/>
      <c r="Z6" s="506"/>
      <c r="AA6" s="506"/>
      <c r="AB6" s="506"/>
      <c r="AC6" s="506"/>
      <c r="AD6" s="506"/>
      <c r="AE6" s="507"/>
      <c r="AF6" s="407" t="s">
        <v>264</v>
      </c>
      <c r="AG6" s="338"/>
      <c r="AH6" s="408">
        <f>T21+U21+X21</f>
        <v>59985</v>
      </c>
      <c r="AI6" s="408">
        <f>Y21+Z21</f>
        <v>2000</v>
      </c>
      <c r="AJ6" s="408">
        <f>U21</f>
        <v>19109</v>
      </c>
      <c r="AK6" s="408">
        <f>R9+R17+R18+R19</f>
        <v>40144</v>
      </c>
      <c r="AL6" s="408">
        <f>AA21</f>
        <v>4167</v>
      </c>
      <c r="AM6" s="408">
        <f>AH6+AI6+AJ6+AK6+AL6</f>
        <v>125405</v>
      </c>
    </row>
    <row r="7" spans="1:39" s="345" customFormat="1" ht="16.5" customHeight="1" x14ac:dyDescent="0.25">
      <c r="B7" s="409">
        <v>1</v>
      </c>
      <c r="C7" s="634"/>
      <c r="D7" s="331">
        <v>2</v>
      </c>
      <c r="E7" s="410">
        <v>3</v>
      </c>
      <c r="F7" s="331">
        <v>4</v>
      </c>
      <c r="G7" s="410">
        <v>5</v>
      </c>
      <c r="H7" s="331">
        <v>6</v>
      </c>
      <c r="I7" s="410">
        <v>7</v>
      </c>
      <c r="J7" s="410">
        <v>8</v>
      </c>
      <c r="K7" s="331">
        <v>9</v>
      </c>
      <c r="L7" s="331">
        <v>10</v>
      </c>
      <c r="M7" s="410">
        <v>11</v>
      </c>
      <c r="N7" s="331">
        <v>12</v>
      </c>
      <c r="O7" s="410">
        <v>13</v>
      </c>
      <c r="P7" s="331">
        <v>14</v>
      </c>
      <c r="Q7" s="410">
        <v>15</v>
      </c>
      <c r="R7" s="331">
        <v>16</v>
      </c>
      <c r="S7" s="410"/>
      <c r="T7" s="331">
        <v>17</v>
      </c>
      <c r="U7" s="410">
        <v>18</v>
      </c>
      <c r="V7" s="331">
        <v>19</v>
      </c>
      <c r="W7" s="410">
        <v>20</v>
      </c>
      <c r="X7" s="331">
        <v>21</v>
      </c>
      <c r="Y7" s="410">
        <v>22</v>
      </c>
      <c r="Z7" s="410">
        <v>23</v>
      </c>
      <c r="AA7" s="410">
        <v>24</v>
      </c>
      <c r="AB7" s="410">
        <v>25</v>
      </c>
      <c r="AC7" s="410">
        <v>26</v>
      </c>
      <c r="AD7" s="410">
        <v>27</v>
      </c>
      <c r="AE7" s="410">
        <v>28</v>
      </c>
      <c r="AF7" s="410">
        <v>29</v>
      </c>
      <c r="AG7" s="411"/>
    </row>
    <row r="8" spans="1:39" s="475" customFormat="1" ht="15.75" customHeight="1" x14ac:dyDescent="0.25">
      <c r="B8" s="476" t="s">
        <v>250</v>
      </c>
      <c r="C8" s="635" t="s">
        <v>320</v>
      </c>
      <c r="D8" s="477" t="s">
        <v>237</v>
      </c>
      <c r="E8" s="478" t="s">
        <v>286</v>
      </c>
      <c r="F8" s="479">
        <v>45330</v>
      </c>
      <c r="G8" s="480">
        <v>0</v>
      </c>
      <c r="H8" s="481">
        <f>F8+G8</f>
        <v>45330</v>
      </c>
      <c r="I8" s="480">
        <v>0</v>
      </c>
      <c r="J8" s="482">
        <v>0</v>
      </c>
      <c r="K8" s="481">
        <f>ROUND(H8*35%,0)</f>
        <v>15866</v>
      </c>
      <c r="L8" s="483">
        <v>1500</v>
      </c>
      <c r="M8" s="482">
        <v>0</v>
      </c>
      <c r="N8" s="481">
        <f>H8+I8+J8+K8+L8+M8</f>
        <v>62696</v>
      </c>
      <c r="O8" s="483">
        <f>ROUND((H8*10%),0)</f>
        <v>4533</v>
      </c>
      <c r="P8" s="479">
        <f>O8</f>
        <v>4533</v>
      </c>
      <c r="Q8" s="483">
        <f>ROUND((N8+O8+P8),0)</f>
        <v>71762</v>
      </c>
      <c r="R8" s="484">
        <f>O8</f>
        <v>4533</v>
      </c>
      <c r="S8" s="482">
        <v>10</v>
      </c>
      <c r="T8" s="485">
        <f>ROUND((H8*S8%),0)</f>
        <v>4533</v>
      </c>
      <c r="U8" s="482">
        <f>T8</f>
        <v>4533</v>
      </c>
      <c r="V8" s="482">
        <v>0</v>
      </c>
      <c r="W8" s="480">
        <v>3200</v>
      </c>
      <c r="X8" s="482">
        <v>0</v>
      </c>
      <c r="Y8" s="486">
        <v>250</v>
      </c>
      <c r="Z8" s="482">
        <v>0</v>
      </c>
      <c r="AA8" s="482">
        <v>1000</v>
      </c>
      <c r="AB8" s="482">
        <v>25</v>
      </c>
      <c r="AC8" s="482">
        <v>1133</v>
      </c>
      <c r="AD8" s="487">
        <v>10</v>
      </c>
      <c r="AE8" s="486">
        <f>R8+T8+U8+V8+W8+X8+Y8+Z8+AA8+AB8+AC8+AD8</f>
        <v>19217</v>
      </c>
      <c r="AF8" s="488">
        <f>Q8-AE8</f>
        <v>52545</v>
      </c>
      <c r="AG8" s="489"/>
      <c r="AH8" s="490"/>
    </row>
    <row r="9" spans="1:39" s="268" customFormat="1" ht="15.75" customHeight="1" x14ac:dyDescent="0.25">
      <c r="B9" s="350" t="s">
        <v>292</v>
      </c>
      <c r="C9" s="636" t="s">
        <v>321</v>
      </c>
      <c r="D9" s="269" t="s">
        <v>289</v>
      </c>
      <c r="E9" s="270" t="s">
        <v>290</v>
      </c>
      <c r="F9" s="271">
        <v>43170</v>
      </c>
      <c r="G9" s="272">
        <v>0</v>
      </c>
      <c r="H9" s="263">
        <f>F9+G9</f>
        <v>43170</v>
      </c>
      <c r="I9" s="272">
        <v>0</v>
      </c>
      <c r="J9" s="273">
        <v>1000</v>
      </c>
      <c r="K9" s="263">
        <f>ROUND(H9*35%,0)</f>
        <v>15110</v>
      </c>
      <c r="L9" s="264">
        <v>1500</v>
      </c>
      <c r="M9" s="273">
        <v>0</v>
      </c>
      <c r="N9" s="263">
        <f>H9+I9+J9+K9+L9+M9</f>
        <v>60780</v>
      </c>
      <c r="O9" s="264">
        <f>ROUND((H9*41%),0)</f>
        <v>17700</v>
      </c>
      <c r="P9" s="271">
        <v>0</v>
      </c>
      <c r="Q9" s="264">
        <f>ROUND((N9+O9+P9),0)</f>
        <v>78480</v>
      </c>
      <c r="R9" s="265">
        <f>O9</f>
        <v>17700</v>
      </c>
      <c r="S9" s="273">
        <v>25</v>
      </c>
      <c r="T9" s="266">
        <f t="shared" ref="T9:T19" si="0">ROUND((H9*S9%),0)</f>
        <v>10793</v>
      </c>
      <c r="U9" s="273">
        <v>0</v>
      </c>
      <c r="V9" s="273">
        <v>15110</v>
      </c>
      <c r="W9" s="272">
        <v>3200</v>
      </c>
      <c r="X9" s="273">
        <v>0</v>
      </c>
      <c r="Y9" s="267">
        <v>250</v>
      </c>
      <c r="Z9" s="273">
        <v>0</v>
      </c>
      <c r="AA9" s="273">
        <v>1000</v>
      </c>
      <c r="AB9" s="273">
        <v>25</v>
      </c>
      <c r="AC9" s="273">
        <v>1604</v>
      </c>
      <c r="AD9" s="274">
        <v>10</v>
      </c>
      <c r="AE9" s="267">
        <f t="shared" ref="AE9:AE15" si="1">R9+T9+U9+V9+W9+X9+Y9+Z9+AA9+AB9+AC9+AD9</f>
        <v>49692</v>
      </c>
      <c r="AF9" s="412">
        <f t="shared" ref="AF9:AF15" si="2">Q9-AE9</f>
        <v>28788</v>
      </c>
      <c r="AG9" s="275"/>
      <c r="AH9" s="276"/>
    </row>
    <row r="10" spans="1:39" s="475" customFormat="1" ht="16.5" customHeight="1" x14ac:dyDescent="0.25">
      <c r="B10" s="476" t="s">
        <v>277</v>
      </c>
      <c r="C10" s="635" t="s">
        <v>322</v>
      </c>
      <c r="D10" s="477" t="s">
        <v>278</v>
      </c>
      <c r="E10" s="478" t="s">
        <v>249</v>
      </c>
      <c r="F10" s="479">
        <v>26760</v>
      </c>
      <c r="G10" s="480">
        <v>0</v>
      </c>
      <c r="H10" s="481">
        <f>F10+G10</f>
        <v>26760</v>
      </c>
      <c r="I10" s="480">
        <v>0</v>
      </c>
      <c r="J10" s="482">
        <v>0</v>
      </c>
      <c r="K10" s="481">
        <f>ROUND((H10*40%),0)</f>
        <v>10704</v>
      </c>
      <c r="L10" s="483">
        <v>1500</v>
      </c>
      <c r="M10" s="482">
        <v>0</v>
      </c>
      <c r="N10" s="481">
        <f>H10+I10+J10+K10+L10+M10</f>
        <v>38964</v>
      </c>
      <c r="O10" s="483">
        <f>ROUND((H10*10%),0)</f>
        <v>2676</v>
      </c>
      <c r="P10" s="479">
        <f>O10</f>
        <v>2676</v>
      </c>
      <c r="Q10" s="483">
        <f>ROUND((N10+O10+P10),0)</f>
        <v>44316</v>
      </c>
      <c r="R10" s="484">
        <f>O10</f>
        <v>2676</v>
      </c>
      <c r="S10" s="491">
        <v>10</v>
      </c>
      <c r="T10" s="485">
        <f t="shared" si="0"/>
        <v>2676</v>
      </c>
      <c r="U10" s="479">
        <f>P10</f>
        <v>2676</v>
      </c>
      <c r="V10" s="482">
        <v>0</v>
      </c>
      <c r="W10" s="482">
        <v>5000</v>
      </c>
      <c r="X10" s="480">
        <v>0</v>
      </c>
      <c r="Y10" s="486">
        <f t="shared" ref="Y10:Y12" si="3">ROUND(IF(F10*1%&gt;200,200,F10*1%),0)</f>
        <v>200</v>
      </c>
      <c r="Z10" s="482">
        <v>0</v>
      </c>
      <c r="AA10" s="482">
        <v>250</v>
      </c>
      <c r="AB10" s="482">
        <v>25</v>
      </c>
      <c r="AC10" s="482">
        <v>0</v>
      </c>
      <c r="AD10" s="487">
        <v>10</v>
      </c>
      <c r="AE10" s="486">
        <f t="shared" si="1"/>
        <v>13513</v>
      </c>
      <c r="AF10" s="488">
        <f t="shared" si="2"/>
        <v>30803</v>
      </c>
      <c r="AG10" s="489"/>
      <c r="AH10" s="490"/>
      <c r="AI10" s="490"/>
    </row>
    <row r="11" spans="1:39" s="268" customFormat="1" ht="16.5" customHeight="1" x14ac:dyDescent="0.25">
      <c r="B11" s="350" t="s">
        <v>273</v>
      </c>
      <c r="C11" s="636" t="s">
        <v>323</v>
      </c>
      <c r="D11" s="320" t="s">
        <v>272</v>
      </c>
      <c r="E11" s="270" t="s">
        <v>249</v>
      </c>
      <c r="F11" s="271">
        <v>25480</v>
      </c>
      <c r="G11" s="272">
        <v>0</v>
      </c>
      <c r="H11" s="263">
        <f t="shared" ref="H11:H15" si="4">F11+G11</f>
        <v>25480</v>
      </c>
      <c r="I11" s="272">
        <v>0</v>
      </c>
      <c r="J11" s="273">
        <v>0</v>
      </c>
      <c r="K11" s="263">
        <f>ROUND((H11*40%),0)</f>
        <v>10192</v>
      </c>
      <c r="L11" s="264">
        <v>1500</v>
      </c>
      <c r="M11" s="273">
        <v>0</v>
      </c>
      <c r="N11" s="263">
        <f t="shared" ref="N11:N19" si="5">H11+I11+J11+K11+L11+M11</f>
        <v>37172</v>
      </c>
      <c r="O11" s="264">
        <f t="shared" ref="O11:O12" si="6">ROUND((H11*10%),0)</f>
        <v>2548</v>
      </c>
      <c r="P11" s="271">
        <f t="shared" ref="P11:P15" si="7">O11</f>
        <v>2548</v>
      </c>
      <c r="Q11" s="264">
        <f>ROUND((N11+O11+P11),0)</f>
        <v>42268</v>
      </c>
      <c r="R11" s="265">
        <f t="shared" ref="R11:R15" si="8">O11</f>
        <v>2548</v>
      </c>
      <c r="S11" s="277">
        <v>10</v>
      </c>
      <c r="T11" s="266">
        <f t="shared" si="0"/>
        <v>2548</v>
      </c>
      <c r="U11" s="271">
        <f t="shared" ref="U11:U12" si="9">P11</f>
        <v>2548</v>
      </c>
      <c r="V11" s="273">
        <v>0</v>
      </c>
      <c r="W11" s="273">
        <v>3025</v>
      </c>
      <c r="X11" s="272">
        <v>0</v>
      </c>
      <c r="Y11" s="267">
        <f t="shared" si="3"/>
        <v>200</v>
      </c>
      <c r="Z11" s="273">
        <v>0</v>
      </c>
      <c r="AA11" s="273">
        <v>250</v>
      </c>
      <c r="AB11" s="273">
        <v>25</v>
      </c>
      <c r="AC11" s="273">
        <v>1600</v>
      </c>
      <c r="AD11" s="274">
        <v>10</v>
      </c>
      <c r="AE11" s="267">
        <f t="shared" si="1"/>
        <v>12754</v>
      </c>
      <c r="AF11" s="412">
        <f t="shared" si="2"/>
        <v>29514</v>
      </c>
      <c r="AG11" s="275"/>
      <c r="AH11" s="276"/>
      <c r="AI11" s="276"/>
    </row>
    <row r="12" spans="1:39" s="475" customFormat="1" ht="16.5" customHeight="1" x14ac:dyDescent="0.25">
      <c r="B12" s="476" t="s">
        <v>251</v>
      </c>
      <c r="C12" s="635" t="s">
        <v>324</v>
      </c>
      <c r="D12" s="477" t="s">
        <v>243</v>
      </c>
      <c r="E12" s="478" t="s">
        <v>249</v>
      </c>
      <c r="F12" s="479">
        <v>25480</v>
      </c>
      <c r="G12" s="480">
        <v>0</v>
      </c>
      <c r="H12" s="481">
        <f t="shared" si="4"/>
        <v>25480</v>
      </c>
      <c r="I12" s="480">
        <v>0</v>
      </c>
      <c r="J12" s="482">
        <v>0</v>
      </c>
      <c r="K12" s="481">
        <f t="shared" ref="K12" si="10">ROUND((H12*40%),0)</f>
        <v>10192</v>
      </c>
      <c r="L12" s="483">
        <v>1500</v>
      </c>
      <c r="M12" s="482">
        <v>0</v>
      </c>
      <c r="N12" s="481">
        <f t="shared" si="5"/>
        <v>37172</v>
      </c>
      <c r="O12" s="483">
        <f t="shared" si="6"/>
        <v>2548</v>
      </c>
      <c r="P12" s="479">
        <f t="shared" si="7"/>
        <v>2548</v>
      </c>
      <c r="Q12" s="483">
        <f t="shared" ref="Q12" si="11">ROUND((N12+O12+P12),0)</f>
        <v>42268</v>
      </c>
      <c r="R12" s="484">
        <f t="shared" si="8"/>
        <v>2548</v>
      </c>
      <c r="S12" s="491">
        <v>10</v>
      </c>
      <c r="T12" s="485">
        <f t="shared" si="0"/>
        <v>2548</v>
      </c>
      <c r="U12" s="479">
        <f t="shared" si="9"/>
        <v>2548</v>
      </c>
      <c r="V12" s="482">
        <v>0</v>
      </c>
      <c r="W12" s="482">
        <v>3025</v>
      </c>
      <c r="X12" s="480">
        <v>0</v>
      </c>
      <c r="Y12" s="486">
        <f t="shared" si="3"/>
        <v>200</v>
      </c>
      <c r="Z12" s="482">
        <v>0</v>
      </c>
      <c r="AA12" s="482">
        <v>417</v>
      </c>
      <c r="AB12" s="482">
        <v>25</v>
      </c>
      <c r="AC12" s="482">
        <v>1600</v>
      </c>
      <c r="AD12" s="487">
        <v>10</v>
      </c>
      <c r="AE12" s="486">
        <f t="shared" si="1"/>
        <v>12921</v>
      </c>
      <c r="AF12" s="488">
        <f t="shared" si="2"/>
        <v>29347</v>
      </c>
      <c r="AG12" s="489"/>
      <c r="AH12" s="490"/>
      <c r="AI12" s="490"/>
    </row>
    <row r="13" spans="1:39" s="268" customFormat="1" ht="16.5" customHeight="1" x14ac:dyDescent="0.25">
      <c r="B13" s="350" t="s">
        <v>280</v>
      </c>
      <c r="C13" s="636" t="s">
        <v>325</v>
      </c>
      <c r="D13" s="269" t="s">
        <v>281</v>
      </c>
      <c r="E13" s="270" t="s">
        <v>249</v>
      </c>
      <c r="F13" s="271">
        <v>25480</v>
      </c>
      <c r="G13" s="272">
        <v>0</v>
      </c>
      <c r="H13" s="263">
        <f t="shared" si="4"/>
        <v>25480</v>
      </c>
      <c r="I13" s="272">
        <v>0</v>
      </c>
      <c r="J13" s="273">
        <v>0</v>
      </c>
      <c r="K13" s="263">
        <f t="shared" ref="K13" si="12">ROUND((H13*40%),0)</f>
        <v>10192</v>
      </c>
      <c r="L13" s="264">
        <v>1500</v>
      </c>
      <c r="M13" s="273">
        <v>0</v>
      </c>
      <c r="N13" s="263">
        <f t="shared" ref="N13" si="13">H13+I13+J13+K13+L13+M13</f>
        <v>37172</v>
      </c>
      <c r="O13" s="264">
        <f t="shared" ref="O13" si="14">ROUND((H13*10%),0)</f>
        <v>2548</v>
      </c>
      <c r="P13" s="271">
        <f t="shared" ref="P13" si="15">O13</f>
        <v>2548</v>
      </c>
      <c r="Q13" s="264">
        <f t="shared" ref="Q13" si="16">ROUND((N13+O13+P13),0)</f>
        <v>42268</v>
      </c>
      <c r="R13" s="265">
        <f t="shared" ref="R13" si="17">O13</f>
        <v>2548</v>
      </c>
      <c r="S13" s="277">
        <v>10</v>
      </c>
      <c r="T13" s="266">
        <f t="shared" si="0"/>
        <v>2548</v>
      </c>
      <c r="U13" s="271">
        <f t="shared" ref="U13" si="18">P13</f>
        <v>2548</v>
      </c>
      <c r="V13" s="273">
        <v>0</v>
      </c>
      <c r="W13" s="273">
        <v>4000</v>
      </c>
      <c r="X13" s="272">
        <v>0</v>
      </c>
      <c r="Y13" s="267">
        <f t="shared" ref="Y13" si="19">ROUND(IF(F13*1%&gt;200,200,F13*1%),0)</f>
        <v>200</v>
      </c>
      <c r="Z13" s="273">
        <v>0</v>
      </c>
      <c r="AA13" s="273">
        <v>250</v>
      </c>
      <c r="AB13" s="273">
        <v>25</v>
      </c>
      <c r="AC13" s="273">
        <v>2000</v>
      </c>
      <c r="AD13" s="274">
        <v>10</v>
      </c>
      <c r="AE13" s="267">
        <f t="shared" si="1"/>
        <v>14129</v>
      </c>
      <c r="AF13" s="412">
        <f t="shared" si="2"/>
        <v>28139</v>
      </c>
      <c r="AG13" s="275"/>
      <c r="AH13" s="276"/>
      <c r="AI13" s="276"/>
    </row>
    <row r="14" spans="1:39" s="475" customFormat="1" ht="16.5" customHeight="1" x14ac:dyDescent="0.25">
      <c r="B14" s="476" t="s">
        <v>284</v>
      </c>
      <c r="C14" s="635" t="s">
        <v>326</v>
      </c>
      <c r="D14" s="477" t="s">
        <v>282</v>
      </c>
      <c r="E14" s="478" t="s">
        <v>283</v>
      </c>
      <c r="F14" s="479">
        <v>23100</v>
      </c>
      <c r="G14" s="480">
        <v>0</v>
      </c>
      <c r="H14" s="481">
        <f t="shared" ref="H14" si="20">F14+G14</f>
        <v>23100</v>
      </c>
      <c r="I14" s="480">
        <v>0</v>
      </c>
      <c r="J14" s="482">
        <v>0</v>
      </c>
      <c r="K14" s="481">
        <f t="shared" ref="K14" si="21">ROUND((H14*40%),0)</f>
        <v>9240</v>
      </c>
      <c r="L14" s="483">
        <v>1500</v>
      </c>
      <c r="M14" s="482">
        <v>0</v>
      </c>
      <c r="N14" s="481">
        <f t="shared" ref="N14" si="22">H14+I14+J14+K14+L14+M14</f>
        <v>33840</v>
      </c>
      <c r="O14" s="483">
        <f t="shared" ref="O14" si="23">ROUND((H14*10%),0)</f>
        <v>2310</v>
      </c>
      <c r="P14" s="479">
        <f t="shared" ref="P14" si="24">O14</f>
        <v>2310</v>
      </c>
      <c r="Q14" s="483">
        <f t="shared" ref="Q14" si="25">ROUND((N14+O14+P14),0)</f>
        <v>38460</v>
      </c>
      <c r="R14" s="484">
        <f t="shared" ref="R14" si="26">O14</f>
        <v>2310</v>
      </c>
      <c r="S14" s="491">
        <v>10</v>
      </c>
      <c r="T14" s="485">
        <f t="shared" si="0"/>
        <v>2310</v>
      </c>
      <c r="U14" s="479">
        <f t="shared" ref="U14" si="27">P14</f>
        <v>2310</v>
      </c>
      <c r="V14" s="482">
        <v>0</v>
      </c>
      <c r="W14" s="482">
        <v>0</v>
      </c>
      <c r="X14" s="480">
        <v>0</v>
      </c>
      <c r="Y14" s="486">
        <f t="shared" ref="Y14" si="28">ROUND(IF(F14*1%&gt;200,200,F14*1%),0)</f>
        <v>200</v>
      </c>
      <c r="Z14" s="482">
        <v>0</v>
      </c>
      <c r="AA14" s="482">
        <v>250</v>
      </c>
      <c r="AB14" s="482">
        <v>25</v>
      </c>
      <c r="AC14" s="482">
        <v>0</v>
      </c>
      <c r="AD14" s="487">
        <v>10</v>
      </c>
      <c r="AE14" s="486">
        <f t="shared" si="1"/>
        <v>7415</v>
      </c>
      <c r="AF14" s="488">
        <f t="shared" si="2"/>
        <v>31045</v>
      </c>
      <c r="AG14" s="489"/>
      <c r="AH14" s="490"/>
      <c r="AI14" s="490"/>
    </row>
    <row r="15" spans="1:39" s="268" customFormat="1" ht="18.75" customHeight="1" x14ac:dyDescent="0.25">
      <c r="B15" s="350" t="s">
        <v>266</v>
      </c>
      <c r="C15" s="636" t="s">
        <v>327</v>
      </c>
      <c r="D15" s="269" t="s">
        <v>267</v>
      </c>
      <c r="E15" s="318" t="s">
        <v>268</v>
      </c>
      <c r="F15" s="271">
        <v>19460</v>
      </c>
      <c r="G15" s="272">
        <v>0</v>
      </c>
      <c r="H15" s="271">
        <f t="shared" si="4"/>
        <v>19460</v>
      </c>
      <c r="I15" s="273">
        <v>0</v>
      </c>
      <c r="J15" s="273">
        <v>0</v>
      </c>
      <c r="K15" s="263">
        <f>F15*0.4</f>
        <v>7784</v>
      </c>
      <c r="L15" s="271">
        <v>1500</v>
      </c>
      <c r="M15" s="273">
        <v>0</v>
      </c>
      <c r="N15" s="263">
        <f>H15+I15+J15+K15+L15+M15</f>
        <v>28744</v>
      </c>
      <c r="O15" s="264">
        <f>ROUND((H15*10%),0)</f>
        <v>1946</v>
      </c>
      <c r="P15" s="271">
        <f t="shared" si="7"/>
        <v>1946</v>
      </c>
      <c r="Q15" s="264">
        <f>ROUND((N15+O15+P15),0)</f>
        <v>32636</v>
      </c>
      <c r="R15" s="319">
        <f t="shared" si="8"/>
        <v>1946</v>
      </c>
      <c r="S15" s="277">
        <v>10</v>
      </c>
      <c r="T15" s="266">
        <f t="shared" si="0"/>
        <v>1946</v>
      </c>
      <c r="U15" s="271">
        <f>P15</f>
        <v>1946</v>
      </c>
      <c r="V15" s="273">
        <v>0</v>
      </c>
      <c r="W15" s="273">
        <v>3183</v>
      </c>
      <c r="X15" s="272">
        <v>0</v>
      </c>
      <c r="Y15" s="267">
        <v>200</v>
      </c>
      <c r="Z15" s="271">
        <v>0</v>
      </c>
      <c r="AA15" s="271">
        <v>250</v>
      </c>
      <c r="AB15" s="273">
        <v>25</v>
      </c>
      <c r="AC15" s="273">
        <v>1600</v>
      </c>
      <c r="AD15" s="321">
        <v>10</v>
      </c>
      <c r="AE15" s="267">
        <f t="shared" si="1"/>
        <v>11106</v>
      </c>
      <c r="AF15" s="412">
        <f t="shared" si="2"/>
        <v>21530</v>
      </c>
      <c r="AG15" s="275"/>
      <c r="AI15" s="276"/>
    </row>
    <row r="16" spans="1:39" s="268" customFormat="1" ht="19.5" customHeight="1" x14ac:dyDescent="0.25">
      <c r="B16" s="350"/>
      <c r="C16" s="636"/>
      <c r="D16" s="269" t="s">
        <v>13</v>
      </c>
      <c r="E16" s="270" t="s">
        <v>227</v>
      </c>
      <c r="F16" s="413">
        <f t="shared" ref="F16:R16" si="29">SUM(F8:F15)</f>
        <v>234260</v>
      </c>
      <c r="G16" s="413">
        <f t="shared" si="29"/>
        <v>0</v>
      </c>
      <c r="H16" s="413">
        <f t="shared" si="29"/>
        <v>234260</v>
      </c>
      <c r="I16" s="413">
        <f t="shared" si="29"/>
        <v>0</v>
      </c>
      <c r="J16" s="413">
        <f t="shared" si="29"/>
        <v>1000</v>
      </c>
      <c r="K16" s="413">
        <f t="shared" si="29"/>
        <v>89280</v>
      </c>
      <c r="L16" s="413">
        <f t="shared" si="29"/>
        <v>12000</v>
      </c>
      <c r="M16" s="413">
        <f t="shared" si="29"/>
        <v>0</v>
      </c>
      <c r="N16" s="413">
        <f>SUM(N8:N15)</f>
        <v>336540</v>
      </c>
      <c r="O16" s="413">
        <f>SUM(O8:O15)</f>
        <v>36809</v>
      </c>
      <c r="P16" s="413">
        <f t="shared" si="29"/>
        <v>19109</v>
      </c>
      <c r="Q16" s="413">
        <f t="shared" si="29"/>
        <v>392458</v>
      </c>
      <c r="R16" s="413">
        <f t="shared" si="29"/>
        <v>36809</v>
      </c>
      <c r="S16" s="413"/>
      <c r="T16" s="413">
        <f>SUM(T8:T15)</f>
        <v>29902</v>
      </c>
      <c r="U16" s="413">
        <f t="shared" ref="U16:AF16" si="30">SUM(U8:U15)</f>
        <v>19109</v>
      </c>
      <c r="V16" s="413">
        <f t="shared" si="30"/>
        <v>15110</v>
      </c>
      <c r="W16" s="413">
        <f t="shared" si="30"/>
        <v>24633</v>
      </c>
      <c r="X16" s="413">
        <f t="shared" si="30"/>
        <v>0</v>
      </c>
      <c r="Y16" s="413">
        <f t="shared" si="30"/>
        <v>1700</v>
      </c>
      <c r="Z16" s="413">
        <f t="shared" si="30"/>
        <v>0</v>
      </c>
      <c r="AA16" s="413">
        <f t="shared" si="30"/>
        <v>3667</v>
      </c>
      <c r="AB16" s="413">
        <f t="shared" si="30"/>
        <v>200</v>
      </c>
      <c r="AC16" s="413">
        <f t="shared" si="30"/>
        <v>9537</v>
      </c>
      <c r="AD16" s="413">
        <f t="shared" si="30"/>
        <v>80</v>
      </c>
      <c r="AE16" s="413">
        <f t="shared" si="30"/>
        <v>140747</v>
      </c>
      <c r="AF16" s="414">
        <f t="shared" si="30"/>
        <v>251711</v>
      </c>
      <c r="AG16" s="275"/>
    </row>
    <row r="17" spans="2:41" s="475" customFormat="1" ht="18" customHeight="1" x14ac:dyDescent="0.25">
      <c r="B17" s="476" t="s">
        <v>252</v>
      </c>
      <c r="C17" s="635"/>
      <c r="D17" s="477" t="s">
        <v>270</v>
      </c>
      <c r="E17" s="478" t="s">
        <v>75</v>
      </c>
      <c r="F17" s="479">
        <v>21860</v>
      </c>
      <c r="G17" s="480">
        <v>0</v>
      </c>
      <c r="H17" s="479">
        <f>F17+G17</f>
        <v>21860</v>
      </c>
      <c r="I17" s="482">
        <v>0</v>
      </c>
      <c r="J17" s="479">
        <v>0</v>
      </c>
      <c r="K17" s="479">
        <f>H17*40%</f>
        <v>8744</v>
      </c>
      <c r="L17" s="479">
        <v>1500</v>
      </c>
      <c r="M17" s="479">
        <v>100</v>
      </c>
      <c r="N17" s="481">
        <f>H17+I17+J17+K17+L17+M17</f>
        <v>32204</v>
      </c>
      <c r="O17" s="483">
        <f>ROUND((H17*41%),0)</f>
        <v>8963</v>
      </c>
      <c r="P17" s="482">
        <v>0</v>
      </c>
      <c r="Q17" s="479">
        <f>ROUND((N17+O17),0)</f>
        <v>41167</v>
      </c>
      <c r="R17" s="479">
        <f>O17</f>
        <v>8963</v>
      </c>
      <c r="S17" s="491">
        <v>10</v>
      </c>
      <c r="T17" s="485">
        <f t="shared" si="0"/>
        <v>2186</v>
      </c>
      <c r="U17" s="482">
        <v>0</v>
      </c>
      <c r="V17" s="482">
        <v>7924</v>
      </c>
      <c r="W17" s="482">
        <v>3200</v>
      </c>
      <c r="X17" s="492">
        <v>5500</v>
      </c>
      <c r="Y17" s="479">
        <v>100</v>
      </c>
      <c r="Z17" s="482">
        <v>0</v>
      </c>
      <c r="AA17" s="482">
        <v>250</v>
      </c>
      <c r="AB17" s="482">
        <v>0</v>
      </c>
      <c r="AC17" s="482">
        <v>1600</v>
      </c>
      <c r="AD17" s="487">
        <v>10</v>
      </c>
      <c r="AE17" s="486">
        <f>AD17+AC17+AB17+AA17+Z17+Y17+X17+W17+V17+U17+T17+R17</f>
        <v>29733</v>
      </c>
      <c r="AF17" s="488">
        <f>Q17-AE17</f>
        <v>11434</v>
      </c>
      <c r="AG17" s="489"/>
      <c r="AH17" s="493" t="s">
        <v>20</v>
      </c>
      <c r="AI17" s="493" t="s">
        <v>44</v>
      </c>
      <c r="AJ17" s="493" t="s">
        <v>8</v>
      </c>
      <c r="AK17" s="493" t="s">
        <v>129</v>
      </c>
      <c r="AL17" s="494" t="s">
        <v>295</v>
      </c>
      <c r="AM17" s="495" t="s">
        <v>128</v>
      </c>
    </row>
    <row r="18" spans="2:41" s="268" customFormat="1" ht="19.5" customHeight="1" x14ac:dyDescent="0.25">
      <c r="B18" s="350" t="s">
        <v>253</v>
      </c>
      <c r="C18" s="636"/>
      <c r="D18" s="269" t="s">
        <v>160</v>
      </c>
      <c r="E18" s="270" t="s">
        <v>59</v>
      </c>
      <c r="F18" s="271">
        <v>20280</v>
      </c>
      <c r="G18" s="272">
        <v>0</v>
      </c>
      <c r="H18" s="271">
        <f>F18+G18</f>
        <v>20280</v>
      </c>
      <c r="I18" s="273">
        <v>0</v>
      </c>
      <c r="J18" s="271">
        <v>1000</v>
      </c>
      <c r="K18" s="271">
        <f>H18*40%</f>
        <v>8112</v>
      </c>
      <c r="L18" s="271">
        <v>1500</v>
      </c>
      <c r="M18" s="271">
        <v>100</v>
      </c>
      <c r="N18" s="263">
        <f t="shared" si="5"/>
        <v>30992</v>
      </c>
      <c r="O18" s="264">
        <f>ROUND((H18*41%),0)</f>
        <v>8315</v>
      </c>
      <c r="P18" s="273">
        <v>0</v>
      </c>
      <c r="Q18" s="271">
        <f>ROUND((N18+O18),0)</f>
        <v>39307</v>
      </c>
      <c r="R18" s="271">
        <f>O18</f>
        <v>8315</v>
      </c>
      <c r="S18" s="277">
        <v>10</v>
      </c>
      <c r="T18" s="266">
        <f t="shared" si="0"/>
        <v>2028</v>
      </c>
      <c r="U18" s="273">
        <v>0</v>
      </c>
      <c r="V18" s="273">
        <v>7356</v>
      </c>
      <c r="W18" s="273">
        <v>0</v>
      </c>
      <c r="X18" s="272">
        <v>0</v>
      </c>
      <c r="Y18" s="271">
        <v>100</v>
      </c>
      <c r="Z18" s="273">
        <v>0</v>
      </c>
      <c r="AA18" s="273">
        <v>250</v>
      </c>
      <c r="AB18" s="273">
        <v>0</v>
      </c>
      <c r="AC18" s="273">
        <v>0</v>
      </c>
      <c r="AD18" s="274">
        <v>10</v>
      </c>
      <c r="AE18" s="267">
        <f t="shared" ref="AE18:AE19" si="31">AD18+AC18+AB18+AA18+Z18+Y18+X18+W18+V18+U18+T18+R18</f>
        <v>18059</v>
      </c>
      <c r="AF18" s="412">
        <f t="shared" ref="AF18:AF19" si="32">Q18-AE18</f>
        <v>21248</v>
      </c>
      <c r="AG18" s="275"/>
      <c r="AH18" s="306">
        <f>V21</f>
        <v>30390</v>
      </c>
      <c r="AI18" s="306">
        <f>W21</f>
        <v>32833</v>
      </c>
      <c r="AJ18" s="306">
        <f>AD21</f>
        <v>110</v>
      </c>
      <c r="AK18" s="306">
        <f>AC21</f>
        <v>11137</v>
      </c>
      <c r="AL18" s="306">
        <f>AB21</f>
        <v>200</v>
      </c>
      <c r="AM18" s="306">
        <f>AH18+AI18+AJ18+AK18+AL18</f>
        <v>74670</v>
      </c>
    </row>
    <row r="19" spans="2:41" s="475" customFormat="1" ht="19.5" customHeight="1" x14ac:dyDescent="0.25">
      <c r="B19" s="476" t="s">
        <v>254</v>
      </c>
      <c r="C19" s="635"/>
      <c r="D19" s="477" t="s">
        <v>271</v>
      </c>
      <c r="E19" s="478" t="s">
        <v>59</v>
      </c>
      <c r="F19" s="479">
        <v>12600</v>
      </c>
      <c r="G19" s="480">
        <v>0</v>
      </c>
      <c r="H19" s="479">
        <f>F19+G19</f>
        <v>12600</v>
      </c>
      <c r="I19" s="482">
        <v>0</v>
      </c>
      <c r="J19" s="479">
        <v>0</v>
      </c>
      <c r="K19" s="479">
        <f>H19*45%</f>
        <v>5670</v>
      </c>
      <c r="L19" s="479">
        <v>1500</v>
      </c>
      <c r="M19" s="479">
        <v>100</v>
      </c>
      <c r="N19" s="481">
        <f t="shared" si="5"/>
        <v>19870</v>
      </c>
      <c r="O19" s="483">
        <f>ROUND((H19*41%),0)</f>
        <v>5166</v>
      </c>
      <c r="P19" s="482">
        <v>0</v>
      </c>
      <c r="Q19" s="479">
        <f>ROUND((N19+O19),0)</f>
        <v>25036</v>
      </c>
      <c r="R19" s="479">
        <f>O19</f>
        <v>5166</v>
      </c>
      <c r="S19" s="491">
        <v>10</v>
      </c>
      <c r="T19" s="485">
        <f t="shared" si="0"/>
        <v>1260</v>
      </c>
      <c r="U19" s="482">
        <v>0</v>
      </c>
      <c r="V19" s="482">
        <v>0</v>
      </c>
      <c r="W19" s="482">
        <v>5000</v>
      </c>
      <c r="X19" s="480">
        <v>0</v>
      </c>
      <c r="Y19" s="479">
        <v>100</v>
      </c>
      <c r="Z19" s="482">
        <v>0</v>
      </c>
      <c r="AA19" s="482">
        <v>0</v>
      </c>
      <c r="AB19" s="482">
        <v>0</v>
      </c>
      <c r="AC19" s="482">
        <v>0</v>
      </c>
      <c r="AD19" s="487">
        <v>10</v>
      </c>
      <c r="AE19" s="486">
        <f t="shared" si="31"/>
        <v>11536</v>
      </c>
      <c r="AF19" s="488">
        <f t="shared" si="32"/>
        <v>13500</v>
      </c>
      <c r="AG19" s="489"/>
    </row>
    <row r="20" spans="2:41" s="346" customFormat="1" ht="19.5" customHeight="1" x14ac:dyDescent="0.25">
      <c r="B20" s="415"/>
      <c r="C20" s="637"/>
      <c r="D20" s="270" t="s">
        <v>6</v>
      </c>
      <c r="E20" s="269"/>
      <c r="F20" s="416">
        <f>SUM(F17:F19)</f>
        <v>54740</v>
      </c>
      <c r="G20" s="417">
        <f t="shared" ref="G20:K20" si="33">SUM(G17:G19)</f>
        <v>0</v>
      </c>
      <c r="H20" s="416">
        <f t="shared" si="33"/>
        <v>54740</v>
      </c>
      <c r="I20" s="418">
        <f t="shared" si="33"/>
        <v>0</v>
      </c>
      <c r="J20" s="416">
        <f t="shared" si="33"/>
        <v>1000</v>
      </c>
      <c r="K20" s="416">
        <f t="shared" si="33"/>
        <v>22526</v>
      </c>
      <c r="L20" s="416">
        <f t="shared" ref="L20:R20" si="34">SUM(L17:L19)</f>
        <v>4500</v>
      </c>
      <c r="M20" s="416">
        <f t="shared" si="34"/>
        <v>300</v>
      </c>
      <c r="N20" s="419">
        <f>H20+I20+J20+K20+L20+M20</f>
        <v>83066</v>
      </c>
      <c r="O20" s="416">
        <f>SUM(O17:O19)</f>
        <v>22444</v>
      </c>
      <c r="P20" s="418">
        <f t="shared" si="34"/>
        <v>0</v>
      </c>
      <c r="Q20" s="416">
        <f t="shared" si="34"/>
        <v>105510</v>
      </c>
      <c r="R20" s="416">
        <f t="shared" si="34"/>
        <v>22444</v>
      </c>
      <c r="S20" s="418"/>
      <c r="T20" s="416">
        <f>SUM(T17:T19)</f>
        <v>5474</v>
      </c>
      <c r="U20" s="416">
        <f t="shared" ref="U20:AF20" si="35">SUM(U17:U19)</f>
        <v>0</v>
      </c>
      <c r="V20" s="416">
        <f t="shared" si="35"/>
        <v>15280</v>
      </c>
      <c r="W20" s="416">
        <f t="shared" si="35"/>
        <v>8200</v>
      </c>
      <c r="X20" s="416">
        <f t="shared" si="35"/>
        <v>5500</v>
      </c>
      <c r="Y20" s="416">
        <f t="shared" si="35"/>
        <v>300</v>
      </c>
      <c r="Z20" s="416">
        <f t="shared" si="35"/>
        <v>0</v>
      </c>
      <c r="AA20" s="416">
        <f t="shared" si="35"/>
        <v>500</v>
      </c>
      <c r="AB20" s="416">
        <f t="shared" si="35"/>
        <v>0</v>
      </c>
      <c r="AC20" s="416">
        <f t="shared" si="35"/>
        <v>1600</v>
      </c>
      <c r="AD20" s="416">
        <f t="shared" si="35"/>
        <v>30</v>
      </c>
      <c r="AE20" s="416">
        <f t="shared" si="35"/>
        <v>59328</v>
      </c>
      <c r="AF20" s="420">
        <f t="shared" si="35"/>
        <v>46182</v>
      </c>
      <c r="AG20" s="421"/>
      <c r="AH20" s="422" t="s">
        <v>312</v>
      </c>
      <c r="AI20" s="422"/>
      <c r="AJ20" s="422"/>
    </row>
    <row r="21" spans="2:41" s="275" customFormat="1" ht="24.75" customHeight="1" thickBot="1" x14ac:dyDescent="0.3">
      <c r="B21" s="423"/>
      <c r="C21" s="638"/>
      <c r="D21" s="424" t="s">
        <v>14</v>
      </c>
      <c r="E21" s="425"/>
      <c r="F21" s="426">
        <f>F16+F20</f>
        <v>289000</v>
      </c>
      <c r="G21" s="426">
        <f t="shared" ref="G21:R21" si="36">G16+G20</f>
        <v>0</v>
      </c>
      <c r="H21" s="426">
        <f t="shared" si="36"/>
        <v>289000</v>
      </c>
      <c r="I21" s="426">
        <f t="shared" si="36"/>
        <v>0</v>
      </c>
      <c r="J21" s="426">
        <f t="shared" si="36"/>
        <v>2000</v>
      </c>
      <c r="K21" s="426">
        <f t="shared" si="36"/>
        <v>111806</v>
      </c>
      <c r="L21" s="426">
        <f t="shared" si="36"/>
        <v>16500</v>
      </c>
      <c r="M21" s="426">
        <f t="shared" si="36"/>
        <v>300</v>
      </c>
      <c r="N21" s="426">
        <f t="shared" si="36"/>
        <v>419606</v>
      </c>
      <c r="O21" s="426">
        <f t="shared" si="36"/>
        <v>59253</v>
      </c>
      <c r="P21" s="426">
        <f t="shared" si="36"/>
        <v>19109</v>
      </c>
      <c r="Q21" s="496">
        <f>Q16+Q20</f>
        <v>497968</v>
      </c>
      <c r="R21" s="426">
        <f t="shared" si="36"/>
        <v>59253</v>
      </c>
      <c r="S21" s="426"/>
      <c r="T21" s="426">
        <f>T16+T20</f>
        <v>35376</v>
      </c>
      <c r="U21" s="426">
        <f t="shared" ref="U21:AF21" si="37">U16+U20</f>
        <v>19109</v>
      </c>
      <c r="V21" s="426">
        <f t="shared" si="37"/>
        <v>30390</v>
      </c>
      <c r="W21" s="426">
        <f t="shared" si="37"/>
        <v>32833</v>
      </c>
      <c r="X21" s="426">
        <f t="shared" si="37"/>
        <v>5500</v>
      </c>
      <c r="Y21" s="426">
        <f t="shared" si="37"/>
        <v>2000</v>
      </c>
      <c r="Z21" s="426">
        <f t="shared" si="37"/>
        <v>0</v>
      </c>
      <c r="AA21" s="426">
        <f t="shared" si="37"/>
        <v>4167</v>
      </c>
      <c r="AB21" s="426">
        <f t="shared" si="37"/>
        <v>200</v>
      </c>
      <c r="AC21" s="426">
        <f t="shared" si="37"/>
        <v>11137</v>
      </c>
      <c r="AD21" s="426">
        <f t="shared" si="37"/>
        <v>110</v>
      </c>
      <c r="AE21" s="426">
        <f t="shared" si="37"/>
        <v>200075</v>
      </c>
      <c r="AF21" s="497">
        <f t="shared" si="37"/>
        <v>297893</v>
      </c>
      <c r="AG21" s="427"/>
      <c r="AH21" s="428">
        <f>AF21+V21+W21+AC21</f>
        <v>372253</v>
      </c>
      <c r="AK21" s="429"/>
      <c r="AL21" s="429"/>
      <c r="AM21" s="427">
        <f>AM6+AM18</f>
        <v>200075</v>
      </c>
      <c r="AN21" s="427"/>
      <c r="AO21" s="429"/>
    </row>
    <row r="22" spans="2:41" ht="18.75" hidden="1" customHeight="1" x14ac:dyDescent="0.2">
      <c r="B22" s="430"/>
      <c r="C22" s="430"/>
      <c r="D22" s="431"/>
      <c r="E22" s="432"/>
      <c r="F22" s="433">
        <f>SUM(F20)</f>
        <v>54740</v>
      </c>
      <c r="G22" s="434">
        <f>SUM(G20)</f>
        <v>0</v>
      </c>
      <c r="H22" s="433">
        <f>SUM(H20)</f>
        <v>54740</v>
      </c>
      <c r="I22" s="433"/>
      <c r="J22" s="433">
        <f>SUM(J20)</f>
        <v>1000</v>
      </c>
      <c r="K22" s="433">
        <f>SUM(K17:K20)</f>
        <v>45052</v>
      </c>
      <c r="L22" s="433">
        <f>SUM(L20)</f>
        <v>4500</v>
      </c>
      <c r="M22" s="433">
        <f>SUM(M20)</f>
        <v>300</v>
      </c>
      <c r="N22" s="433">
        <f>SUM(N17:N20)</f>
        <v>166132</v>
      </c>
      <c r="O22" s="433">
        <f>SUM(O20)</f>
        <v>22444</v>
      </c>
      <c r="P22" s="433">
        <f>SUM(P20)</f>
        <v>0</v>
      </c>
      <c r="Q22" s="433">
        <f>SUM(Q17:Q20)</f>
        <v>211020</v>
      </c>
      <c r="R22" s="433">
        <f>SUM(R20)</f>
        <v>22444</v>
      </c>
      <c r="S22" s="433">
        <f>SUM(S17:S20)</f>
        <v>30</v>
      </c>
      <c r="T22" s="332">
        <f>SUM(T17:T20)</f>
        <v>10948</v>
      </c>
      <c r="U22" s="332">
        <f>SUM(U20)</f>
        <v>0</v>
      </c>
      <c r="V22" s="433">
        <f>SUM(V17:V20)</f>
        <v>30560</v>
      </c>
      <c r="W22" s="433">
        <f>SUM(W20)</f>
        <v>8200</v>
      </c>
      <c r="X22" s="435">
        <f>SUM(X20)</f>
        <v>5500</v>
      </c>
      <c r="Y22" s="436">
        <f>SUM(Y20)</f>
        <v>300</v>
      </c>
      <c r="Z22" s="433">
        <f>SUM(Z20)</f>
        <v>0</v>
      </c>
      <c r="AA22" s="433"/>
      <c r="AB22" s="433"/>
      <c r="AC22" s="433"/>
      <c r="AD22" s="433"/>
      <c r="AE22" s="267" t="e">
        <f>R22+T22+U22+V22+W22+X22+Y22+#REF!+Z22</f>
        <v>#REF!</v>
      </c>
      <c r="AF22" s="433">
        <f>SUM(AF17:AF20)</f>
        <v>92364</v>
      </c>
      <c r="AG22" s="437"/>
    </row>
    <row r="23" spans="2:41" ht="21" hidden="1" customHeight="1" x14ac:dyDescent="0.2">
      <c r="B23" s="438"/>
      <c r="C23" s="438"/>
      <c r="D23" s="269"/>
      <c r="E23" s="439"/>
      <c r="F23" s="437"/>
      <c r="G23" s="440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333"/>
      <c r="U23" s="333"/>
      <c r="V23" s="437"/>
      <c r="W23" s="437"/>
      <c r="X23" s="441"/>
      <c r="Y23" s="442"/>
      <c r="Z23" s="437"/>
      <c r="AA23" s="437"/>
      <c r="AB23" s="437"/>
      <c r="AC23" s="437"/>
      <c r="AD23" s="437"/>
      <c r="AE23" s="437"/>
      <c r="AF23" s="437"/>
      <c r="AG23" s="437"/>
    </row>
    <row r="24" spans="2:41" ht="15" hidden="1" customHeight="1" x14ac:dyDescent="0.2">
      <c r="B24" s="438"/>
      <c r="C24" s="438"/>
      <c r="D24" s="269"/>
      <c r="E24" s="439"/>
      <c r="F24" s="437"/>
      <c r="G24" s="440"/>
      <c r="H24" s="437"/>
      <c r="I24" s="437"/>
      <c r="J24" s="437"/>
      <c r="K24" s="437"/>
      <c r="L24" s="437"/>
      <c r="M24" s="437"/>
      <c r="N24" s="437"/>
      <c r="O24" s="437"/>
      <c r="P24" s="437"/>
      <c r="Q24" s="437"/>
      <c r="R24" s="437"/>
      <c r="S24" s="437"/>
      <c r="T24" s="333"/>
      <c r="U24" s="333"/>
      <c r="V24" s="437"/>
      <c r="W24" s="437"/>
      <c r="X24" s="441"/>
      <c r="Y24" s="442"/>
      <c r="Z24" s="437"/>
      <c r="AA24" s="437"/>
      <c r="AB24" s="437"/>
      <c r="AC24" s="437"/>
      <c r="AD24" s="437"/>
      <c r="AE24" s="437"/>
      <c r="AF24" s="437"/>
      <c r="AG24" s="437"/>
    </row>
    <row r="25" spans="2:41" ht="18" hidden="1" customHeight="1" x14ac:dyDescent="0.2">
      <c r="B25" s="438"/>
      <c r="C25" s="438"/>
      <c r="D25" s="269"/>
      <c r="E25" s="439"/>
      <c r="F25" s="437"/>
      <c r="G25" s="440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333"/>
      <c r="U25" s="333"/>
      <c r="V25" s="437"/>
      <c r="W25" s="437"/>
      <c r="X25" s="441"/>
      <c r="Y25" s="442"/>
      <c r="Z25" s="437"/>
      <c r="AA25" s="437"/>
      <c r="AB25" s="437"/>
      <c r="AC25" s="437"/>
      <c r="AD25" s="437"/>
      <c r="AE25" s="437"/>
      <c r="AF25" s="437"/>
      <c r="AG25" s="437"/>
    </row>
    <row r="26" spans="2:41" ht="15.75" hidden="1" customHeight="1" x14ac:dyDescent="0.25">
      <c r="B26" s="438"/>
      <c r="C26" s="438"/>
      <c r="D26" s="269"/>
      <c r="E26" s="269"/>
      <c r="F26" s="334"/>
      <c r="G26" s="443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444"/>
      <c r="Y26" s="444"/>
      <c r="Z26" s="334"/>
      <c r="AA26" s="334"/>
      <c r="AB26" s="334"/>
      <c r="AC26" s="334"/>
      <c r="AD26" s="334"/>
      <c r="AE26" s="334"/>
      <c r="AF26" s="334"/>
      <c r="AG26" s="334"/>
    </row>
    <row r="27" spans="2:41" ht="18.75" hidden="1" customHeight="1" x14ac:dyDescent="0.2">
      <c r="B27" s="445"/>
      <c r="C27" s="445"/>
      <c r="D27" s="269"/>
      <c r="E27" s="439"/>
      <c r="F27" s="437"/>
      <c r="G27" s="440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333"/>
      <c r="U27" s="333"/>
      <c r="V27" s="437"/>
      <c r="W27" s="437"/>
      <c r="X27" s="441"/>
      <c r="Y27" s="442"/>
      <c r="Z27" s="437"/>
      <c r="AA27" s="437"/>
      <c r="AB27" s="437"/>
      <c r="AC27" s="437"/>
      <c r="AD27" s="437"/>
      <c r="AE27" s="437"/>
      <c r="AF27" s="437"/>
      <c r="AG27" s="437"/>
    </row>
    <row r="28" spans="2:41" ht="18" hidden="1" customHeight="1" x14ac:dyDescent="0.2">
      <c r="B28" s="438"/>
      <c r="C28" s="438"/>
      <c r="D28" s="269"/>
      <c r="E28" s="439"/>
      <c r="F28" s="437"/>
      <c r="G28" s="440"/>
      <c r="H28" s="437"/>
      <c r="I28" s="437"/>
      <c r="J28" s="437"/>
      <c r="K28" s="437"/>
      <c r="L28" s="437"/>
      <c r="M28" s="437"/>
      <c r="N28" s="437"/>
      <c r="O28" s="437"/>
      <c r="P28" s="437"/>
      <c r="Q28" s="437"/>
      <c r="R28" s="437"/>
      <c r="S28" s="437"/>
      <c r="T28" s="333"/>
      <c r="U28" s="333"/>
      <c r="V28" s="437"/>
      <c r="W28" s="437"/>
      <c r="X28" s="441"/>
      <c r="Y28" s="442"/>
      <c r="Z28" s="437"/>
      <c r="AA28" s="437"/>
      <c r="AB28" s="437"/>
      <c r="AC28" s="437"/>
      <c r="AD28" s="437"/>
      <c r="AE28" s="437"/>
      <c r="AF28" s="437"/>
      <c r="AG28" s="437"/>
    </row>
    <row r="29" spans="2:41" ht="23.25" hidden="1" customHeight="1" x14ac:dyDescent="0.25">
      <c r="B29" s="438"/>
      <c r="C29" s="438"/>
      <c r="D29" s="269"/>
      <c r="E29" s="269"/>
      <c r="F29" s="334"/>
      <c r="G29" s="443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444"/>
      <c r="Y29" s="444"/>
      <c r="Z29" s="334"/>
      <c r="AA29" s="334"/>
      <c r="AB29" s="334"/>
      <c r="AC29" s="334"/>
      <c r="AD29" s="334"/>
      <c r="AE29" s="334"/>
      <c r="AF29" s="334"/>
      <c r="AG29" s="334"/>
    </row>
    <row r="30" spans="2:41" ht="24.75" hidden="1" customHeight="1" x14ac:dyDescent="0.25">
      <c r="B30" s="445"/>
      <c r="C30" s="445"/>
      <c r="D30" s="269"/>
      <c r="E30" s="269"/>
      <c r="F30" s="334"/>
      <c r="G30" s="443"/>
      <c r="H30" s="446"/>
      <c r="I30" s="446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34"/>
      <c r="W30" s="334"/>
      <c r="X30" s="444"/>
      <c r="Y30" s="444"/>
      <c r="Z30" s="334"/>
      <c r="AA30" s="334"/>
      <c r="AB30" s="334"/>
      <c r="AC30" s="334"/>
      <c r="AD30" s="334"/>
      <c r="AE30" s="334"/>
      <c r="AF30" s="334"/>
      <c r="AG30" s="334"/>
    </row>
    <row r="31" spans="2:41" ht="0.75" hidden="1" customHeight="1" x14ac:dyDescent="0.2">
      <c r="B31" s="445"/>
      <c r="C31" s="445"/>
      <c r="D31" s="269"/>
      <c r="E31" s="439"/>
      <c r="F31" s="437"/>
      <c r="G31" s="440"/>
      <c r="H31" s="437"/>
      <c r="I31" s="437"/>
      <c r="J31" s="437"/>
      <c r="K31" s="437"/>
      <c r="L31" s="437"/>
      <c r="M31" s="437"/>
      <c r="N31" s="437"/>
      <c r="O31" s="437"/>
      <c r="P31" s="437"/>
      <c r="Q31" s="437"/>
      <c r="R31" s="437"/>
      <c r="S31" s="437"/>
      <c r="T31" s="333"/>
      <c r="U31" s="333"/>
      <c r="V31" s="437"/>
      <c r="W31" s="437"/>
      <c r="X31" s="441"/>
      <c r="Y31" s="442"/>
      <c r="Z31" s="437"/>
      <c r="AA31" s="437"/>
      <c r="AB31" s="437"/>
      <c r="AC31" s="437"/>
      <c r="AD31" s="437"/>
      <c r="AE31" s="437"/>
      <c r="AF31" s="437"/>
      <c r="AG31" s="437"/>
    </row>
    <row r="32" spans="2:41" ht="24.75" hidden="1" customHeight="1" x14ac:dyDescent="0.25">
      <c r="B32" s="438"/>
      <c r="C32" s="438"/>
      <c r="D32" s="269"/>
      <c r="E32" s="269"/>
      <c r="F32" s="334"/>
      <c r="G32" s="443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444"/>
      <c r="Y32" s="444"/>
      <c r="Z32" s="334"/>
      <c r="AA32" s="334"/>
      <c r="AB32" s="334"/>
      <c r="AC32" s="334"/>
      <c r="AD32" s="334"/>
      <c r="AE32" s="334"/>
      <c r="AF32" s="334"/>
      <c r="AG32" s="334"/>
    </row>
    <row r="33" spans="1:248" ht="24" customHeight="1" x14ac:dyDescent="0.2">
      <c r="B33" s="510" t="s">
        <v>314</v>
      </c>
      <c r="C33" s="510"/>
      <c r="D33" s="510"/>
      <c r="E33" s="510"/>
      <c r="F33" s="510"/>
      <c r="G33" s="510"/>
      <c r="H33" s="510"/>
      <c r="I33" s="510"/>
      <c r="J33" s="510"/>
      <c r="K33" s="510"/>
      <c r="L33" s="510"/>
      <c r="M33" s="510"/>
      <c r="N33" s="510"/>
      <c r="O33" s="510"/>
      <c r="P33" s="510"/>
      <c r="Q33" s="510"/>
      <c r="R33" s="510"/>
      <c r="S33" s="510"/>
      <c r="T33" s="510"/>
      <c r="U33" s="510"/>
      <c r="V33" s="510"/>
      <c r="W33" s="510"/>
      <c r="X33" s="510"/>
      <c r="Y33" s="510"/>
      <c r="Z33" s="510"/>
      <c r="AA33" s="510"/>
      <c r="AB33" s="510"/>
      <c r="AC33" s="510"/>
      <c r="AD33" s="510"/>
      <c r="AE33" s="510"/>
      <c r="AF33" s="510"/>
      <c r="AG33" s="447"/>
      <c r="AM33" s="448">
        <f>AE21-AM21</f>
        <v>0</v>
      </c>
    </row>
    <row r="34" spans="1:248" ht="24" customHeight="1" x14ac:dyDescent="0.2">
      <c r="B34" s="449"/>
      <c r="C34" s="449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449"/>
      <c r="AB34" s="449"/>
      <c r="AC34" s="449"/>
      <c r="AD34" s="450"/>
      <c r="AE34" s="450"/>
      <c r="AF34" s="450"/>
      <c r="AG34" s="447"/>
      <c r="AM34" s="448"/>
    </row>
    <row r="35" spans="1:248" ht="24" customHeight="1" x14ac:dyDescent="0.2">
      <c r="B35" s="449"/>
      <c r="C35" s="449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449"/>
      <c r="AB35" s="449"/>
      <c r="AC35" s="449"/>
      <c r="AD35" s="450"/>
      <c r="AE35" s="450"/>
      <c r="AF35" s="450"/>
      <c r="AG35" s="447"/>
      <c r="AM35" s="448"/>
    </row>
    <row r="36" spans="1:248" ht="24" customHeight="1" x14ac:dyDescent="0.2">
      <c r="B36" s="449"/>
      <c r="C36" s="449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449"/>
      <c r="AB36" s="449"/>
      <c r="AC36" s="449"/>
      <c r="AD36" s="450"/>
      <c r="AE36" s="450"/>
      <c r="AF36" s="450"/>
      <c r="AG36" s="447"/>
      <c r="AM36" s="448"/>
    </row>
    <row r="37" spans="1:248" s="454" customFormat="1" ht="24.75" customHeight="1" x14ac:dyDescent="0.2">
      <c r="A37" s="347"/>
      <c r="B37" s="347"/>
      <c r="C37" s="347"/>
      <c r="D37" s="347"/>
      <c r="E37" s="347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1"/>
      <c r="S37" s="511"/>
      <c r="T37" s="511"/>
      <c r="U37" s="511"/>
      <c r="V37" s="511"/>
      <c r="W37" s="511"/>
      <c r="X37" s="511"/>
      <c r="Y37" s="511"/>
      <c r="Z37" s="511"/>
      <c r="AA37" s="347"/>
      <c r="AB37" s="347"/>
      <c r="AC37" s="347"/>
      <c r="AD37" s="347"/>
      <c r="AE37" s="347"/>
      <c r="AF37" s="347"/>
      <c r="AG37" s="451"/>
      <c r="AH37" s="452"/>
      <c r="AI37" s="451"/>
      <c r="AJ37" s="452"/>
      <c r="AK37" s="451"/>
      <c r="AL37" s="451"/>
      <c r="AM37" s="453">
        <f>AF21+AM21</f>
        <v>497968</v>
      </c>
      <c r="AN37" s="451"/>
      <c r="AO37" s="451"/>
      <c r="AP37" s="451"/>
      <c r="AQ37" s="451"/>
      <c r="AR37" s="451"/>
      <c r="AS37" s="451"/>
      <c r="AT37" s="451"/>
      <c r="AU37" s="451"/>
      <c r="AV37" s="451"/>
      <c r="AW37" s="451"/>
      <c r="AX37" s="451"/>
      <c r="AY37" s="451"/>
      <c r="AZ37" s="451"/>
      <c r="BA37" s="451"/>
      <c r="BB37" s="451"/>
      <c r="BC37" s="451"/>
      <c r="BD37" s="451"/>
      <c r="BE37" s="451"/>
      <c r="BF37" s="451"/>
      <c r="BG37" s="451"/>
      <c r="BH37" s="451"/>
      <c r="BI37" s="451"/>
      <c r="BJ37" s="451"/>
      <c r="BK37" s="451"/>
      <c r="BL37" s="451"/>
      <c r="BM37" s="451"/>
      <c r="BN37" s="451"/>
      <c r="BO37" s="451"/>
      <c r="BP37" s="451"/>
      <c r="BQ37" s="451"/>
      <c r="BR37" s="451"/>
      <c r="BS37" s="451"/>
      <c r="BT37" s="451"/>
      <c r="BU37" s="451"/>
      <c r="BV37" s="451"/>
      <c r="BW37" s="451"/>
      <c r="BX37" s="451"/>
      <c r="BY37" s="451"/>
      <c r="BZ37" s="451"/>
      <c r="CA37" s="451"/>
      <c r="CB37" s="451"/>
      <c r="CC37" s="451"/>
      <c r="CD37" s="451"/>
      <c r="CE37" s="451"/>
      <c r="CF37" s="451"/>
      <c r="CG37" s="451"/>
      <c r="CH37" s="451"/>
      <c r="CI37" s="451"/>
      <c r="CJ37" s="451"/>
      <c r="CK37" s="451"/>
      <c r="CL37" s="451"/>
      <c r="CM37" s="451"/>
      <c r="CN37" s="451"/>
      <c r="CO37" s="451"/>
      <c r="CP37" s="451"/>
      <c r="CQ37" s="451"/>
      <c r="CR37" s="451"/>
      <c r="CS37" s="451"/>
      <c r="CT37" s="451"/>
      <c r="CU37" s="451"/>
      <c r="CV37" s="451"/>
      <c r="CW37" s="451"/>
      <c r="CX37" s="451"/>
      <c r="CY37" s="451"/>
      <c r="CZ37" s="451"/>
      <c r="DA37" s="451"/>
      <c r="DB37" s="451"/>
      <c r="DC37" s="451"/>
      <c r="DD37" s="451"/>
      <c r="DE37" s="451"/>
      <c r="DF37" s="451"/>
      <c r="DG37" s="451"/>
      <c r="DH37" s="451"/>
      <c r="DI37" s="451"/>
      <c r="DJ37" s="451"/>
      <c r="DK37" s="451"/>
      <c r="DL37" s="451"/>
      <c r="DM37" s="451"/>
      <c r="DN37" s="451"/>
      <c r="DO37" s="451"/>
      <c r="DP37" s="451"/>
      <c r="DQ37" s="451"/>
      <c r="DR37" s="451"/>
      <c r="DS37" s="451"/>
      <c r="DT37" s="451"/>
      <c r="DU37" s="451"/>
      <c r="DV37" s="451"/>
      <c r="DW37" s="451"/>
      <c r="DX37" s="451"/>
      <c r="DY37" s="451"/>
      <c r="DZ37" s="451"/>
      <c r="EA37" s="451"/>
      <c r="EB37" s="451"/>
      <c r="EC37" s="451"/>
      <c r="ED37" s="451"/>
      <c r="EE37" s="451"/>
      <c r="EF37" s="451"/>
      <c r="EG37" s="451"/>
      <c r="EH37" s="451"/>
      <c r="EI37" s="451"/>
      <c r="EJ37" s="451"/>
      <c r="EK37" s="451"/>
      <c r="EL37" s="451"/>
      <c r="EM37" s="451"/>
      <c r="EN37" s="451"/>
      <c r="EO37" s="451"/>
      <c r="EP37" s="451"/>
      <c r="EQ37" s="451"/>
      <c r="ER37" s="451"/>
      <c r="ES37" s="451"/>
      <c r="ET37" s="451"/>
      <c r="EU37" s="451"/>
      <c r="EV37" s="451"/>
      <c r="EW37" s="451"/>
      <c r="EX37" s="451"/>
      <c r="EY37" s="451"/>
      <c r="EZ37" s="451"/>
      <c r="FA37" s="451"/>
      <c r="FB37" s="451"/>
      <c r="FC37" s="451"/>
      <c r="FD37" s="451"/>
      <c r="FE37" s="451"/>
      <c r="FF37" s="451"/>
      <c r="FG37" s="451"/>
      <c r="FH37" s="451"/>
      <c r="FI37" s="451"/>
      <c r="FJ37" s="451"/>
      <c r="FK37" s="451"/>
      <c r="FL37" s="451"/>
      <c r="FM37" s="451"/>
      <c r="FN37" s="451"/>
      <c r="FO37" s="451"/>
      <c r="FP37" s="451"/>
      <c r="FQ37" s="451"/>
      <c r="FR37" s="451"/>
      <c r="FS37" s="451"/>
      <c r="FT37" s="451"/>
      <c r="FU37" s="451"/>
      <c r="FV37" s="451"/>
      <c r="FW37" s="451"/>
      <c r="FX37" s="451"/>
      <c r="FY37" s="451"/>
      <c r="FZ37" s="451"/>
      <c r="GA37" s="451"/>
      <c r="GB37" s="451"/>
      <c r="GC37" s="451"/>
      <c r="GD37" s="451"/>
      <c r="GE37" s="451"/>
      <c r="GF37" s="451"/>
      <c r="GG37" s="451"/>
      <c r="GH37" s="451"/>
      <c r="GI37" s="451"/>
      <c r="GJ37" s="451"/>
      <c r="GK37" s="451"/>
      <c r="GL37" s="451"/>
      <c r="GM37" s="451"/>
      <c r="GN37" s="451"/>
      <c r="GO37" s="451"/>
      <c r="GP37" s="451"/>
      <c r="GQ37" s="451"/>
      <c r="GR37" s="451"/>
      <c r="GS37" s="451"/>
      <c r="GT37" s="451"/>
      <c r="GU37" s="451"/>
      <c r="GV37" s="451"/>
      <c r="GW37" s="451"/>
      <c r="GX37" s="451"/>
      <c r="GY37" s="451"/>
      <c r="GZ37" s="451"/>
      <c r="HA37" s="451"/>
      <c r="HB37" s="451"/>
      <c r="HC37" s="451"/>
      <c r="HD37" s="451"/>
      <c r="HE37" s="451"/>
      <c r="HF37" s="451"/>
      <c r="HG37" s="451"/>
      <c r="HH37" s="451"/>
      <c r="HI37" s="451"/>
      <c r="HJ37" s="451"/>
      <c r="HK37" s="451"/>
      <c r="HL37" s="451"/>
      <c r="HM37" s="451"/>
      <c r="HN37" s="451"/>
      <c r="HO37" s="451"/>
      <c r="HP37" s="451"/>
      <c r="HQ37" s="451"/>
      <c r="HR37" s="451"/>
      <c r="HS37" s="451"/>
      <c r="HT37" s="451"/>
      <c r="HU37" s="451"/>
      <c r="HV37" s="451"/>
      <c r="HW37" s="451"/>
      <c r="HX37" s="451"/>
      <c r="HY37" s="451"/>
      <c r="HZ37" s="451"/>
      <c r="IA37" s="451"/>
      <c r="IB37" s="451"/>
      <c r="IC37" s="451"/>
      <c r="ID37" s="451"/>
      <c r="IE37" s="451"/>
      <c r="IF37" s="451"/>
      <c r="IG37" s="451"/>
      <c r="IH37" s="451"/>
      <c r="II37" s="451"/>
      <c r="IJ37" s="451"/>
      <c r="IK37" s="451"/>
      <c r="IL37" s="451"/>
      <c r="IM37" s="451"/>
      <c r="IN37" s="451"/>
    </row>
    <row r="38" spans="1:248" s="348" customFormat="1" ht="21" customHeight="1" x14ac:dyDescent="0.2">
      <c r="B38" s="512" t="s">
        <v>310</v>
      </c>
      <c r="C38" s="512"/>
      <c r="D38" s="512"/>
      <c r="E38" s="512"/>
      <c r="F38" s="512"/>
      <c r="G38" s="512"/>
      <c r="H38" s="512"/>
      <c r="I38" s="512" t="s">
        <v>317</v>
      </c>
      <c r="J38" s="512"/>
      <c r="K38" s="512"/>
      <c r="L38" s="512"/>
      <c r="M38" s="512"/>
      <c r="N38" s="512"/>
      <c r="O38" s="512"/>
      <c r="P38" s="512"/>
      <c r="Q38" s="512"/>
      <c r="R38" s="512"/>
      <c r="S38" s="512"/>
      <c r="T38" s="512" t="s">
        <v>256</v>
      </c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</row>
    <row r="39" spans="1:248" s="349" customFormat="1" ht="18.75" customHeight="1" x14ac:dyDescent="0.2">
      <c r="B39" s="513" t="s">
        <v>311</v>
      </c>
      <c r="C39" s="513"/>
      <c r="D39" s="513"/>
      <c r="E39" s="513"/>
      <c r="F39" s="513"/>
      <c r="G39" s="513"/>
      <c r="H39" s="513"/>
      <c r="I39" s="513" t="s">
        <v>318</v>
      </c>
      <c r="J39" s="513"/>
      <c r="K39" s="513"/>
      <c r="L39" s="513"/>
      <c r="M39" s="513"/>
      <c r="N39" s="513"/>
      <c r="O39" s="513"/>
      <c r="P39" s="513"/>
      <c r="Q39" s="513"/>
      <c r="R39" s="513"/>
      <c r="S39" s="513"/>
      <c r="T39" s="510" t="s">
        <v>285</v>
      </c>
      <c r="U39" s="510"/>
      <c r="V39" s="510"/>
      <c r="W39" s="510"/>
      <c r="X39" s="510"/>
      <c r="Y39" s="510"/>
      <c r="Z39" s="510"/>
      <c r="AA39" s="510"/>
      <c r="AB39" s="510"/>
      <c r="AC39" s="510"/>
      <c r="AD39" s="510"/>
      <c r="AE39" s="510"/>
      <c r="AF39" s="510"/>
      <c r="AG39" s="335"/>
      <c r="AH39" s="335"/>
      <c r="AI39" s="335"/>
      <c r="AJ39" s="335"/>
      <c r="AK39" s="335"/>
      <c r="AL39" s="335"/>
      <c r="AM39" s="335"/>
      <c r="AN39" s="335"/>
      <c r="AO39" s="335"/>
      <c r="AP39" s="335"/>
      <c r="AQ39" s="335"/>
      <c r="AR39" s="335"/>
    </row>
    <row r="40" spans="1:248" ht="16.5" customHeight="1" x14ac:dyDescent="0.25">
      <c r="B40" s="339"/>
      <c r="C40" s="339"/>
      <c r="F40" s="457"/>
      <c r="G40" s="458"/>
      <c r="H40" s="457"/>
      <c r="I40" s="457"/>
      <c r="J40" s="336"/>
      <c r="K40" s="336"/>
      <c r="L40" s="459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460"/>
      <c r="Z40" s="461"/>
      <c r="AA40" s="461"/>
      <c r="AB40" s="461"/>
      <c r="AC40" s="461"/>
      <c r="AD40" s="339"/>
      <c r="AE40" s="339"/>
      <c r="AF40" s="339"/>
      <c r="AG40" s="339"/>
    </row>
    <row r="41" spans="1:248" ht="16.5" customHeight="1" x14ac:dyDescent="0.25">
      <c r="B41" s="339"/>
      <c r="C41" s="339"/>
      <c r="E41" s="462"/>
      <c r="F41" s="463"/>
      <c r="G41" s="464"/>
      <c r="H41" s="465"/>
      <c r="I41" s="45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461"/>
      <c r="Y41" s="461"/>
      <c r="Z41" s="461"/>
      <c r="AA41" s="461"/>
      <c r="AB41" s="461"/>
      <c r="AC41" s="461"/>
      <c r="AD41" s="339"/>
      <c r="AE41" s="339"/>
      <c r="AF41" s="339"/>
      <c r="AG41" s="339"/>
    </row>
    <row r="42" spans="1:248" ht="24.95" customHeight="1" x14ac:dyDescent="0.25">
      <c r="B42" s="338"/>
      <c r="C42" s="338"/>
      <c r="D42" s="466"/>
      <c r="E42" s="462"/>
      <c r="F42" s="462"/>
      <c r="G42" s="467"/>
      <c r="H42" s="462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Z42" s="460"/>
      <c r="AA42" s="460"/>
      <c r="AB42" s="460"/>
      <c r="AC42" s="460"/>
      <c r="AD42" s="468"/>
      <c r="AE42" s="338"/>
      <c r="AF42" s="468"/>
      <c r="AG42" s="338"/>
    </row>
    <row r="43" spans="1:248" ht="24.95" customHeight="1" x14ac:dyDescent="0.25">
      <c r="B43" s="338"/>
      <c r="C43" s="338"/>
      <c r="D43" s="466"/>
      <c r="E43" s="462"/>
      <c r="F43" s="462"/>
      <c r="G43" s="467"/>
      <c r="H43" s="462"/>
      <c r="I43" s="338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60"/>
      <c r="Z43" s="460"/>
      <c r="AA43" s="460"/>
      <c r="AB43" s="460"/>
      <c r="AC43" s="460"/>
      <c r="AD43" s="468"/>
      <c r="AE43" s="338"/>
      <c r="AF43" s="468"/>
      <c r="AG43" s="338"/>
    </row>
    <row r="44" spans="1:248" ht="24.95" customHeight="1" x14ac:dyDescent="0.25">
      <c r="B44" s="338"/>
      <c r="C44" s="338"/>
      <c r="D44" s="466"/>
      <c r="E44" s="462"/>
      <c r="F44" s="462"/>
      <c r="G44" s="467"/>
      <c r="H44" s="462"/>
      <c r="I44" s="338"/>
      <c r="Z44" s="460"/>
      <c r="AA44" s="460"/>
      <c r="AB44" s="460"/>
      <c r="AC44" s="460"/>
      <c r="AD44" s="468"/>
      <c r="AE44" s="338"/>
      <c r="AF44" s="338"/>
      <c r="AG44" s="338"/>
    </row>
    <row r="45" spans="1:248" ht="24.95" customHeight="1" x14ac:dyDescent="0.25">
      <c r="B45" s="339"/>
      <c r="C45" s="339"/>
      <c r="D45" s="466"/>
      <c r="E45" s="462"/>
      <c r="F45" s="462"/>
      <c r="G45" s="467"/>
      <c r="H45" s="462"/>
      <c r="I45" s="339"/>
      <c r="X45" s="461"/>
      <c r="Y45" s="461"/>
      <c r="Z45" s="461"/>
      <c r="AA45" s="461"/>
      <c r="AB45" s="461"/>
      <c r="AC45" s="461"/>
      <c r="AD45" s="339"/>
      <c r="AE45" s="339"/>
      <c r="AF45" s="339"/>
      <c r="AG45" s="339"/>
      <c r="BT45" s="469"/>
      <c r="BU45" s="469"/>
      <c r="BV45" s="470"/>
      <c r="BW45" s="469"/>
      <c r="BX45" s="470"/>
      <c r="BY45" s="338"/>
      <c r="BZ45" s="338"/>
      <c r="CA45" s="338"/>
    </row>
    <row r="46" spans="1:248" ht="24.95" customHeight="1" x14ac:dyDescent="0.25">
      <c r="D46" s="466"/>
      <c r="E46" s="462"/>
      <c r="F46" s="462"/>
      <c r="G46" s="467"/>
      <c r="H46" s="462"/>
      <c r="L46" s="455"/>
      <c r="M46" s="462"/>
      <c r="N46" s="463"/>
      <c r="O46" s="465"/>
      <c r="P46" s="465"/>
      <c r="BT46" s="469"/>
      <c r="BU46" s="469"/>
      <c r="BV46" s="470"/>
      <c r="BW46" s="469"/>
      <c r="BX46" s="470"/>
      <c r="BY46" s="338"/>
      <c r="BZ46" s="338"/>
      <c r="CA46" s="338"/>
    </row>
    <row r="47" spans="1:248" ht="24.95" customHeight="1" x14ac:dyDescent="0.25">
      <c r="E47" s="462"/>
      <c r="F47" s="462"/>
      <c r="G47" s="467"/>
      <c r="H47" s="462"/>
      <c r="L47" s="466"/>
      <c r="M47" s="462"/>
      <c r="N47" s="462"/>
      <c r="O47" s="465"/>
      <c r="P47" s="462"/>
      <c r="BT47" s="469"/>
      <c r="BU47" s="469"/>
      <c r="BV47" s="470"/>
      <c r="BW47" s="469"/>
      <c r="BX47" s="470"/>
      <c r="BY47" s="338"/>
      <c r="BZ47" s="338"/>
      <c r="CA47" s="338"/>
    </row>
    <row r="48" spans="1:248" ht="24.95" customHeight="1" x14ac:dyDescent="0.25">
      <c r="E48" s="462"/>
      <c r="F48" s="462"/>
      <c r="G48" s="467"/>
      <c r="H48" s="462"/>
      <c r="L48" s="466"/>
      <c r="M48" s="462"/>
      <c r="N48" s="462"/>
      <c r="O48" s="465"/>
      <c r="P48" s="462"/>
      <c r="BT48" s="469"/>
      <c r="BU48" s="469"/>
      <c r="BV48" s="470"/>
      <c r="BW48" s="469"/>
      <c r="BX48" s="470"/>
      <c r="BY48" s="338"/>
      <c r="BZ48" s="338"/>
      <c r="CA48" s="338"/>
    </row>
    <row r="49" spans="5:79" ht="24.95" customHeight="1" x14ac:dyDescent="0.25">
      <c r="E49" s="462"/>
      <c r="F49" s="462"/>
      <c r="G49" s="467"/>
      <c r="H49" s="462"/>
      <c r="L49" s="466"/>
      <c r="M49" s="462"/>
      <c r="N49" s="462"/>
      <c r="O49" s="465"/>
      <c r="P49" s="462"/>
      <c r="BT49" s="469"/>
      <c r="BU49" s="469"/>
      <c r="BV49" s="470"/>
      <c r="BW49" s="469"/>
      <c r="BX49" s="470"/>
      <c r="BY49" s="338"/>
      <c r="BZ49" s="338"/>
      <c r="CA49" s="338"/>
    </row>
    <row r="50" spans="5:79" ht="24.95" customHeight="1" x14ac:dyDescent="0.25">
      <c r="E50" s="462"/>
      <c r="F50" s="462"/>
      <c r="G50" s="467"/>
      <c r="H50" s="462"/>
      <c r="L50" s="466"/>
      <c r="M50" s="462"/>
      <c r="N50" s="462"/>
      <c r="O50" s="465"/>
      <c r="P50" s="462"/>
      <c r="BT50" s="469"/>
      <c r="BU50" s="469"/>
      <c r="BV50" s="470"/>
      <c r="BW50" s="469"/>
      <c r="BX50" s="470"/>
      <c r="BY50" s="338"/>
      <c r="BZ50" s="338"/>
      <c r="CA50" s="338"/>
    </row>
    <row r="51" spans="5:79" ht="24.95" customHeight="1" x14ac:dyDescent="0.25">
      <c r="E51" s="462"/>
      <c r="F51" s="462"/>
      <c r="G51" s="467"/>
      <c r="H51" s="462"/>
      <c r="L51" s="466"/>
      <c r="M51" s="462"/>
      <c r="N51" s="462"/>
      <c r="O51" s="465"/>
      <c r="P51" s="462"/>
      <c r="BT51" s="469"/>
      <c r="BU51" s="469"/>
      <c r="BV51" s="470"/>
      <c r="BW51" s="469"/>
      <c r="BX51" s="470"/>
      <c r="BY51" s="338"/>
      <c r="BZ51" s="338"/>
      <c r="CA51" s="338"/>
    </row>
    <row r="52" spans="5:79" ht="24.95" customHeight="1" x14ac:dyDescent="0.25">
      <c r="E52" s="462"/>
      <c r="F52" s="462"/>
      <c r="G52" s="467"/>
      <c r="H52" s="462"/>
      <c r="L52" s="455"/>
      <c r="M52" s="462"/>
      <c r="N52" s="462"/>
      <c r="O52" s="465"/>
      <c r="P52" s="462"/>
      <c r="BT52" s="470"/>
      <c r="BU52" s="470"/>
      <c r="BV52" s="470"/>
      <c r="BW52" s="470"/>
      <c r="BX52" s="471"/>
      <c r="BY52" s="338"/>
      <c r="BZ52" s="338"/>
      <c r="CA52" s="338"/>
    </row>
    <row r="53" spans="5:79" ht="24.95" customHeight="1" x14ac:dyDescent="0.25">
      <c r="E53" s="462"/>
      <c r="F53" s="462"/>
      <c r="G53" s="467"/>
      <c r="H53" s="462"/>
      <c r="L53" s="455"/>
      <c r="M53" s="462"/>
      <c r="N53" s="462"/>
      <c r="O53" s="465"/>
      <c r="P53" s="462"/>
      <c r="BV53" s="472"/>
    </row>
    <row r="54" spans="5:79" ht="24.95" customHeight="1" x14ac:dyDescent="0.25">
      <c r="E54" s="462"/>
      <c r="F54" s="462"/>
      <c r="G54" s="467"/>
      <c r="H54" s="462"/>
      <c r="L54" s="455"/>
      <c r="M54" s="462"/>
      <c r="N54" s="462"/>
      <c r="O54" s="465"/>
      <c r="P54" s="462"/>
      <c r="BV54" s="473">
        <f>SUM(BV52:BV53)</f>
        <v>0</v>
      </c>
    </row>
    <row r="55" spans="5:79" ht="24.95" customHeight="1" x14ac:dyDescent="0.25">
      <c r="E55" s="462"/>
      <c r="F55" s="462"/>
      <c r="G55" s="467"/>
      <c r="H55" s="462"/>
      <c r="L55" s="455"/>
      <c r="M55" s="462"/>
      <c r="N55" s="462"/>
      <c r="O55" s="465"/>
      <c r="P55" s="462"/>
    </row>
    <row r="56" spans="5:79" ht="24.95" customHeight="1" x14ac:dyDescent="0.25">
      <c r="E56" s="462"/>
      <c r="F56" s="462"/>
      <c r="G56" s="467"/>
      <c r="H56" s="462"/>
      <c r="L56" s="455"/>
      <c r="M56" s="462"/>
      <c r="N56" s="462"/>
      <c r="O56" s="465"/>
      <c r="P56" s="462"/>
    </row>
    <row r="57" spans="5:79" ht="18.75" customHeight="1" x14ac:dyDescent="0.25">
      <c r="H57" s="462"/>
      <c r="L57" s="455"/>
      <c r="M57" s="462"/>
      <c r="N57" s="462"/>
      <c r="O57" s="465"/>
      <c r="P57" s="462"/>
    </row>
    <row r="58" spans="5:79" ht="24.95" customHeight="1" x14ac:dyDescent="0.25">
      <c r="L58" s="455"/>
      <c r="M58" s="462"/>
      <c r="N58" s="462"/>
      <c r="O58" s="465"/>
      <c r="P58" s="462"/>
    </row>
    <row r="59" spans="5:79" ht="24.95" customHeight="1" x14ac:dyDescent="0.25">
      <c r="L59" s="455"/>
      <c r="M59" s="462"/>
      <c r="N59" s="462"/>
      <c r="O59" s="465"/>
      <c r="P59" s="462"/>
    </row>
    <row r="60" spans="5:79" ht="24.95" customHeight="1" x14ac:dyDescent="0.25">
      <c r="L60" s="455"/>
      <c r="M60" s="462"/>
      <c r="N60" s="462"/>
      <c r="O60" s="465"/>
      <c r="P60" s="462"/>
    </row>
    <row r="61" spans="5:79" ht="24.95" customHeight="1" x14ac:dyDescent="0.25">
      <c r="L61" s="455"/>
      <c r="M61" s="462"/>
      <c r="N61" s="462"/>
      <c r="O61" s="465"/>
      <c r="P61" s="462"/>
    </row>
    <row r="62" spans="5:79" ht="24.95" customHeight="1" x14ac:dyDescent="0.25">
      <c r="L62" s="455"/>
      <c r="M62" s="456"/>
      <c r="O62" s="462"/>
      <c r="P62" s="462"/>
    </row>
  </sheetData>
  <mergeCells count="14">
    <mergeCell ref="B33:AF33"/>
    <mergeCell ref="F37:Z37"/>
    <mergeCell ref="B38:H38"/>
    <mergeCell ref="B39:H39"/>
    <mergeCell ref="I38:S38"/>
    <mergeCell ref="T38:AF38"/>
    <mergeCell ref="T39:AF39"/>
    <mergeCell ref="I39:S39"/>
    <mergeCell ref="B1:AF1"/>
    <mergeCell ref="P4:R4"/>
    <mergeCell ref="F6:Q6"/>
    <mergeCell ref="R6:AE6"/>
    <mergeCell ref="B2:AF2"/>
    <mergeCell ref="J4:O4"/>
  </mergeCells>
  <pageMargins left="0.25" right="0.2" top="0.75" bottom="0.75" header="0.3" footer="0.3"/>
  <pageSetup paperSize="5" scale="74" orientation="landscape" r:id="rId1"/>
  <colBreaks count="1" manualBreakCount="1">
    <brk id="3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7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V5" sqref="V1:V65536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140625" style="134" customWidth="1"/>
    <col min="4" max="4" width="17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.140625" customWidth="1"/>
    <col min="10" max="10" width="8.7109375" customWidth="1"/>
    <col min="11" max="11" width="6.28515625" customWidth="1"/>
    <col min="12" max="12" width="5" customWidth="1"/>
    <col min="13" max="14" width="7" customWidth="1"/>
    <col min="15" max="15" width="5.7109375" customWidth="1"/>
    <col min="16" max="17" width="7.42578125" customWidth="1"/>
    <col min="18" max="18" width="4.42578125" customWidth="1"/>
    <col min="19" max="19" width="6.28515625" customWidth="1"/>
    <col min="20" max="20" width="5.5703125" customWidth="1"/>
    <col min="21" max="21" width="7.42578125" customWidth="1"/>
    <col min="22" max="22" width="8.42578125" customWidth="1"/>
    <col min="23" max="23" width="5.85546875" customWidth="1"/>
    <col min="24" max="24" width="5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8.5703125" customWidth="1"/>
    <col min="33" max="33" width="10.42578125" customWidth="1"/>
    <col min="34" max="34" width="10.7109375" customWidth="1"/>
    <col min="35" max="35" width="10.140625" customWidth="1"/>
    <col min="36" max="37" width="8.85546875" customWidth="1"/>
    <col min="38" max="38" width="12.140625" customWidth="1"/>
    <col min="40" max="40" width="12.42578125" customWidth="1"/>
    <col min="72" max="72" width="14.5703125" customWidth="1"/>
    <col min="73" max="73" width="14.85546875" customWidth="1"/>
    <col min="74" max="75" width="12.28515625" customWidth="1"/>
    <col min="76" max="76" width="11.140625" customWidth="1"/>
  </cols>
  <sheetData>
    <row r="1" spans="1:38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38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38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</row>
    <row r="4" spans="1:38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</row>
    <row r="5" spans="1:38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</row>
    <row r="6" spans="1:38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622" t="s">
        <v>131</v>
      </c>
      <c r="K6" s="622"/>
      <c r="L6" s="622"/>
      <c r="M6" s="622"/>
      <c r="N6" s="622"/>
      <c r="O6" s="622"/>
      <c r="P6" s="622"/>
      <c r="Q6" s="622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8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30" t="s">
        <v>28</v>
      </c>
      <c r="J7" s="30" t="s">
        <v>25</v>
      </c>
      <c r="K7" s="30" t="s">
        <v>49</v>
      </c>
      <c r="L7" s="30" t="s">
        <v>48</v>
      </c>
      <c r="M7" s="32" t="s">
        <v>2</v>
      </c>
      <c r="N7" s="129" t="s">
        <v>38</v>
      </c>
      <c r="O7" s="130" t="s">
        <v>52</v>
      </c>
      <c r="P7" s="30" t="s">
        <v>10</v>
      </c>
      <c r="Q7" s="129" t="s">
        <v>38</v>
      </c>
      <c r="R7" s="136" t="s">
        <v>126</v>
      </c>
      <c r="S7" s="30" t="s">
        <v>41</v>
      </c>
      <c r="T7" s="30" t="s">
        <v>39</v>
      </c>
      <c r="U7" s="30" t="s">
        <v>29</v>
      </c>
      <c r="V7" s="33" t="s">
        <v>132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26" t="s">
        <v>67</v>
      </c>
      <c r="AH7" s="126" t="s">
        <v>68</v>
      </c>
      <c r="AI7" s="126" t="s">
        <v>71</v>
      </c>
      <c r="AJ7" s="126" t="s">
        <v>69</v>
      </c>
      <c r="AK7" s="104" t="s">
        <v>53</v>
      </c>
      <c r="AL7" s="184" t="s">
        <v>113</v>
      </c>
    </row>
    <row r="8" spans="1:38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2"/>
      <c r="N8" s="33"/>
      <c r="O8" s="33"/>
      <c r="P8" s="30"/>
      <c r="Q8" s="623" t="s">
        <v>133</v>
      </c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41">
        <f>X22+S10+S11+S12+S13+S14+S15+S16+S17+S19+S20+S21+T12+T13+T16</f>
        <v>61096</v>
      </c>
      <c r="AH8" s="141">
        <f>+Y24+AA24</f>
        <v>2029</v>
      </c>
      <c r="AI8" s="141">
        <f>T24</f>
        <v>9309</v>
      </c>
      <c r="AJ8" s="141">
        <f>+N10+N11+N14+N15+N17+N19+N20+N21</f>
        <v>127887</v>
      </c>
      <c r="AK8" s="141">
        <f>AB24</f>
        <v>1056</v>
      </c>
      <c r="AL8" s="141">
        <f>AG8+AH8+AI8+AJ8+AK8+V24</f>
        <v>211881.74193548388</v>
      </c>
    </row>
    <row r="9" spans="1:38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7">
        <v>8</v>
      </c>
      <c r="J9" s="25">
        <v>9</v>
      </c>
      <c r="K9" s="25">
        <v>10</v>
      </c>
      <c r="L9" s="27">
        <v>11</v>
      </c>
      <c r="M9" s="25">
        <v>12</v>
      </c>
      <c r="N9" s="27">
        <v>13</v>
      </c>
      <c r="O9" s="25">
        <v>14</v>
      </c>
      <c r="P9" s="27">
        <v>15</v>
      </c>
      <c r="Q9" s="25">
        <v>16</v>
      </c>
      <c r="R9" s="27">
        <v>17</v>
      </c>
      <c r="S9" s="25">
        <v>18</v>
      </c>
      <c r="T9" s="27">
        <v>19</v>
      </c>
      <c r="U9" s="25">
        <v>20</v>
      </c>
      <c r="V9" s="25">
        <v>21</v>
      </c>
      <c r="W9" s="27">
        <v>22</v>
      </c>
      <c r="X9" s="25">
        <v>23</v>
      </c>
      <c r="Y9" s="27">
        <v>24</v>
      </c>
      <c r="Z9" s="25">
        <v>25</v>
      </c>
      <c r="AA9" s="27">
        <v>26</v>
      </c>
      <c r="AB9" s="27">
        <v>27</v>
      </c>
      <c r="AC9" s="25">
        <v>28</v>
      </c>
      <c r="AD9" s="27">
        <v>29</v>
      </c>
      <c r="AE9" s="25">
        <v>30</v>
      </c>
      <c r="AF9" s="22"/>
    </row>
    <row r="10" spans="1:38" s="39" customFormat="1" ht="20.100000000000001" customHeight="1" x14ac:dyDescent="0.2">
      <c r="B10" s="128">
        <v>1364</v>
      </c>
      <c r="C10" s="92" t="s">
        <v>130</v>
      </c>
      <c r="D10" s="41" t="s">
        <v>42</v>
      </c>
      <c r="E10" s="182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88">
        <f>ROUND((G10*35%),0)</f>
        <v>20496</v>
      </c>
      <c r="K10" s="89">
        <v>1500</v>
      </c>
      <c r="L10" s="43">
        <v>0</v>
      </c>
      <c r="M10" s="88">
        <f>G10+H10+I10+J10+K10+L10</f>
        <v>80756</v>
      </c>
      <c r="N10" s="89">
        <f>ROUND((G10*55%),0)</f>
        <v>32208</v>
      </c>
      <c r="O10" s="43">
        <v>0</v>
      </c>
      <c r="P10" s="89">
        <f t="shared" ref="P10:P17" si="1">ROUND((M10+N10+O10),0)</f>
        <v>112964</v>
      </c>
      <c r="Q10" s="122">
        <f t="shared" ref="Q10:Q17" si="2">N10</f>
        <v>32208</v>
      </c>
      <c r="R10" s="42">
        <v>10</v>
      </c>
      <c r="S10" s="54">
        <f>ROUND((G10*10%),0)</f>
        <v>5856</v>
      </c>
      <c r="T10" s="42">
        <v>0</v>
      </c>
      <c r="U10" s="52">
        <v>18400</v>
      </c>
      <c r="V10" s="187">
        <f>ROUND((G10/31),0)</f>
        <v>1889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ROUND((SUM(Q10:AC10)-R10),0)</f>
        <v>60935</v>
      </c>
      <c r="AE10" s="54">
        <f>P10-AD10</f>
        <v>52029</v>
      </c>
      <c r="AF10" s="45"/>
      <c r="AG10" s="185"/>
      <c r="AH10" s="185"/>
      <c r="AI10" s="124"/>
      <c r="AJ10" s="124"/>
      <c r="AK10" s="124"/>
    </row>
    <row r="11" spans="1:38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88">
        <f>ROUND((G11*35%),0)</f>
        <v>17955</v>
      </c>
      <c r="K11" s="89">
        <v>1500</v>
      </c>
      <c r="L11" s="50">
        <v>0</v>
      </c>
      <c r="M11" s="88">
        <f t="shared" ref="M11:M22" si="4">G11+H11+I11+J11+K11+L11</f>
        <v>70755</v>
      </c>
      <c r="N11" s="89">
        <f>ROUND((G11*55%),0)</f>
        <v>28215</v>
      </c>
      <c r="O11" s="50">
        <v>0</v>
      </c>
      <c r="P11" s="89">
        <f t="shared" si="1"/>
        <v>98970</v>
      </c>
      <c r="Q11" s="122">
        <f t="shared" si="2"/>
        <v>28215</v>
      </c>
      <c r="R11" s="50">
        <v>15</v>
      </c>
      <c r="S11" s="54">
        <f>ROUND((G11*15%),0)</f>
        <v>7695</v>
      </c>
      <c r="T11" s="50">
        <v>0</v>
      </c>
      <c r="U11" s="49">
        <v>8600</v>
      </c>
      <c r="V11" s="187">
        <f t="shared" ref="V11:V17" si="5">ROUND((G11/31),0)</f>
        <v>1655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46375</v>
      </c>
      <c r="AE11" s="54">
        <f>P11-AD11</f>
        <v>52595</v>
      </c>
      <c r="AF11" s="55"/>
    </row>
    <row r="12" spans="1:38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88">
        <v>13800</v>
      </c>
      <c r="K12" s="89">
        <v>1500</v>
      </c>
      <c r="L12" s="50">
        <v>0</v>
      </c>
      <c r="M12" s="88">
        <f t="shared" si="4"/>
        <v>52580</v>
      </c>
      <c r="N12" s="89">
        <f>ROUND((G12*10%),0)</f>
        <v>3728</v>
      </c>
      <c r="O12" s="49">
        <f>N12</f>
        <v>3728</v>
      </c>
      <c r="P12" s="89">
        <f>ROUND((M12+N12+O12),0)</f>
        <v>60036</v>
      </c>
      <c r="Q12" s="122">
        <f>N12</f>
        <v>3728</v>
      </c>
      <c r="R12" s="50">
        <v>10</v>
      </c>
      <c r="S12" s="54">
        <f>ROUND((G12*10%),0)</f>
        <v>3728</v>
      </c>
      <c r="T12" s="50">
        <f>S12</f>
        <v>3728</v>
      </c>
      <c r="U12" s="50">
        <v>0</v>
      </c>
      <c r="V12" s="187">
        <f t="shared" si="5"/>
        <v>1203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 t="shared" si="3"/>
        <v>16747</v>
      </c>
      <c r="AE12" s="54">
        <f t="shared" ref="AE12:AE17" si="6">P12-AD12</f>
        <v>43289</v>
      </c>
      <c r="AF12" s="55"/>
      <c r="AG12" s="123"/>
    </row>
    <row r="13" spans="1:38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88">
        <v>13800</v>
      </c>
      <c r="K13" s="89">
        <v>1500</v>
      </c>
      <c r="L13" s="50">
        <v>0</v>
      </c>
      <c r="M13" s="88">
        <f t="shared" si="4"/>
        <v>52580</v>
      </c>
      <c r="N13" s="89">
        <f>ROUND((G13*10%),0)</f>
        <v>3728</v>
      </c>
      <c r="O13" s="49">
        <f>N13</f>
        <v>3728</v>
      </c>
      <c r="P13" s="89">
        <f t="shared" si="1"/>
        <v>60036</v>
      </c>
      <c r="Q13" s="122">
        <f t="shared" si="2"/>
        <v>3728</v>
      </c>
      <c r="R13" s="50">
        <v>10</v>
      </c>
      <c r="S13" s="54">
        <f>ROUND((G13*10%),0)</f>
        <v>3728</v>
      </c>
      <c r="T13" s="49">
        <f>O13</f>
        <v>3728</v>
      </c>
      <c r="U13" s="50">
        <v>0</v>
      </c>
      <c r="V13" s="187">
        <f t="shared" si="5"/>
        <v>1203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15797</v>
      </c>
      <c r="AE13" s="54">
        <f t="shared" si="6"/>
        <v>44239</v>
      </c>
      <c r="AF13" s="55"/>
      <c r="AH13" s="123"/>
    </row>
    <row r="14" spans="1:38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28100</v>
      </c>
      <c r="F14" s="50">
        <v>0</v>
      </c>
      <c r="G14" s="88">
        <f t="shared" si="0"/>
        <v>28100</v>
      </c>
      <c r="H14" s="53">
        <v>0</v>
      </c>
      <c r="I14" s="49">
        <v>1000</v>
      </c>
      <c r="J14" s="88">
        <f>ROUND((G14*40%),0)</f>
        <v>11240</v>
      </c>
      <c r="K14" s="89">
        <v>1500</v>
      </c>
      <c r="L14" s="50">
        <v>0</v>
      </c>
      <c r="M14" s="88">
        <f t="shared" si="4"/>
        <v>41840</v>
      </c>
      <c r="N14" s="89">
        <f>ROUND((G14*55%),0)</f>
        <v>15455</v>
      </c>
      <c r="O14" s="50">
        <v>0</v>
      </c>
      <c r="P14" s="89">
        <f t="shared" si="1"/>
        <v>57295</v>
      </c>
      <c r="Q14" s="122">
        <f t="shared" si="2"/>
        <v>15455</v>
      </c>
      <c r="R14" s="51">
        <v>25</v>
      </c>
      <c r="S14" s="54">
        <f>ROUND((G14*25%),0)</f>
        <v>7025</v>
      </c>
      <c r="T14" s="50">
        <f>O14</f>
        <v>0</v>
      </c>
      <c r="U14" s="49">
        <f>J14</f>
        <v>11240</v>
      </c>
      <c r="V14" s="187">
        <f t="shared" si="5"/>
        <v>906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1150</v>
      </c>
      <c r="AD14" s="52">
        <f t="shared" si="3"/>
        <v>39186</v>
      </c>
      <c r="AE14" s="54">
        <f t="shared" si="6"/>
        <v>18109</v>
      </c>
      <c r="AF14" s="55"/>
    </row>
    <row r="15" spans="1:38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49">
        <v>1000</v>
      </c>
      <c r="J15" s="88">
        <f>ROUND((G15*40%),0)</f>
        <v>12336</v>
      </c>
      <c r="K15" s="89">
        <v>1500</v>
      </c>
      <c r="L15" s="50">
        <v>0</v>
      </c>
      <c r="M15" s="88">
        <f t="shared" si="4"/>
        <v>45676</v>
      </c>
      <c r="N15" s="89">
        <f>ROUND((G15*55%),0)</f>
        <v>16962</v>
      </c>
      <c r="O15" s="50">
        <v>0</v>
      </c>
      <c r="P15" s="89">
        <f t="shared" si="1"/>
        <v>62638</v>
      </c>
      <c r="Q15" s="122">
        <f t="shared" si="2"/>
        <v>16962</v>
      </c>
      <c r="R15" s="51">
        <v>25</v>
      </c>
      <c r="S15" s="54">
        <f>ROUND((G15*25%),0)</f>
        <v>7710</v>
      </c>
      <c r="T15" s="50">
        <f>O15</f>
        <v>0</v>
      </c>
      <c r="U15" s="49">
        <f>J15</f>
        <v>12336</v>
      </c>
      <c r="V15" s="187">
        <f t="shared" si="5"/>
        <v>995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1500</v>
      </c>
      <c r="AD15" s="52">
        <f t="shared" si="3"/>
        <v>43213</v>
      </c>
      <c r="AE15" s="54">
        <f t="shared" si="6"/>
        <v>19425</v>
      </c>
      <c r="AF15" s="55"/>
    </row>
    <row r="16" spans="1:38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88">
        <f>ROUND((G16*40%),0)</f>
        <v>7412</v>
      </c>
      <c r="K16" s="89">
        <v>1500</v>
      </c>
      <c r="L16" s="50">
        <v>0</v>
      </c>
      <c r="M16" s="88">
        <f t="shared" si="4"/>
        <v>27442</v>
      </c>
      <c r="N16" s="89">
        <f>ROUND((G16*10%),0)</f>
        <v>1853</v>
      </c>
      <c r="O16" s="49">
        <f>N16</f>
        <v>1853</v>
      </c>
      <c r="P16" s="89">
        <f t="shared" si="1"/>
        <v>31148</v>
      </c>
      <c r="Q16" s="122">
        <f t="shared" si="2"/>
        <v>1853</v>
      </c>
      <c r="R16" s="51">
        <v>10</v>
      </c>
      <c r="S16" s="54">
        <f>ROUND((G16*10%),0)</f>
        <v>1853</v>
      </c>
      <c r="T16" s="49">
        <f>O16</f>
        <v>1853</v>
      </c>
      <c r="U16" s="50">
        <v>0</v>
      </c>
      <c r="V16" s="187">
        <f t="shared" si="5"/>
        <v>598</v>
      </c>
      <c r="W16" s="50">
        <v>5000</v>
      </c>
      <c r="X16" s="53">
        <v>0</v>
      </c>
      <c r="Y16" s="49">
        <f>ROUND((G16*1%),0)</f>
        <v>185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11352</v>
      </c>
      <c r="AE16" s="54">
        <f t="shared" si="6"/>
        <v>19796</v>
      </c>
      <c r="AF16" s="55"/>
    </row>
    <row r="17" spans="2:40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49">
        <v>500</v>
      </c>
      <c r="J17" s="88">
        <f>ROUND((G17*40%),0)</f>
        <v>7412</v>
      </c>
      <c r="K17" s="49">
        <v>1500</v>
      </c>
      <c r="L17" s="50">
        <v>0</v>
      </c>
      <c r="M17" s="88">
        <f t="shared" si="4"/>
        <v>27942</v>
      </c>
      <c r="N17" s="89">
        <f>ROUND((G17*55%),0)</f>
        <v>10192</v>
      </c>
      <c r="O17" s="50">
        <v>0</v>
      </c>
      <c r="P17" s="89">
        <f t="shared" si="1"/>
        <v>38134</v>
      </c>
      <c r="Q17" s="49">
        <f t="shared" si="2"/>
        <v>10192</v>
      </c>
      <c r="R17" s="51">
        <v>25</v>
      </c>
      <c r="S17" s="54">
        <f>ROUND((G17*25%),0)</f>
        <v>4633</v>
      </c>
      <c r="T17" s="50">
        <v>0</v>
      </c>
      <c r="U17" s="49">
        <f>J17</f>
        <v>7412</v>
      </c>
      <c r="V17" s="187">
        <f t="shared" si="5"/>
        <v>598</v>
      </c>
      <c r="W17" s="50">
        <v>4000</v>
      </c>
      <c r="X17" s="53">
        <v>0</v>
      </c>
      <c r="Y17" s="49">
        <f>ROUND((G17*1%),0)</f>
        <v>185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27030</v>
      </c>
      <c r="AE17" s="54">
        <f t="shared" si="6"/>
        <v>11104</v>
      </c>
      <c r="AF17" s="55"/>
    </row>
    <row r="18" spans="2:40" s="46" customFormat="1" ht="19.5" customHeight="1" x14ac:dyDescent="0.25">
      <c r="B18" s="47"/>
      <c r="C18" s="48" t="s">
        <v>13</v>
      </c>
      <c r="D18" s="48"/>
      <c r="E18" s="57">
        <f t="shared" ref="E18:Q18" si="7">SUM(E10:E17)</f>
        <v>280420</v>
      </c>
      <c r="F18" s="58">
        <f t="shared" si="7"/>
        <v>0</v>
      </c>
      <c r="G18" s="57">
        <f t="shared" si="7"/>
        <v>280420</v>
      </c>
      <c r="H18" s="57">
        <f t="shared" si="7"/>
        <v>200</v>
      </c>
      <c r="I18" s="57">
        <f t="shared" si="7"/>
        <v>2500</v>
      </c>
      <c r="J18" s="57">
        <f t="shared" si="7"/>
        <v>104451</v>
      </c>
      <c r="K18" s="57">
        <f t="shared" si="7"/>
        <v>12000</v>
      </c>
      <c r="L18" s="58">
        <f t="shared" si="7"/>
        <v>0</v>
      </c>
      <c r="M18" s="97">
        <f t="shared" si="4"/>
        <v>399571</v>
      </c>
      <c r="N18" s="57">
        <f t="shared" si="7"/>
        <v>112341</v>
      </c>
      <c r="O18" s="57">
        <f t="shared" si="7"/>
        <v>9309</v>
      </c>
      <c r="P18" s="57">
        <f>SUM(P10:P17)</f>
        <v>521221</v>
      </c>
      <c r="Q18" s="57">
        <f t="shared" si="7"/>
        <v>112341</v>
      </c>
      <c r="R18" s="57"/>
      <c r="S18" s="57">
        <f t="shared" ref="S18:AC18" si="8">SUM(S10:S17)</f>
        <v>42228</v>
      </c>
      <c r="T18" s="57">
        <f t="shared" si="8"/>
        <v>9309</v>
      </c>
      <c r="U18" s="57">
        <f t="shared" si="8"/>
        <v>57988</v>
      </c>
      <c r="V18" s="57">
        <f t="shared" si="8"/>
        <v>9047</v>
      </c>
      <c r="W18" s="57">
        <f t="shared" si="8"/>
        <v>23235</v>
      </c>
      <c r="X18" s="58">
        <f t="shared" si="8"/>
        <v>0</v>
      </c>
      <c r="Y18" s="57">
        <f t="shared" si="8"/>
        <v>1570</v>
      </c>
      <c r="Z18" s="57">
        <f t="shared" si="8"/>
        <v>80</v>
      </c>
      <c r="AA18" s="58">
        <f t="shared" si="8"/>
        <v>6</v>
      </c>
      <c r="AB18" s="57">
        <f t="shared" si="8"/>
        <v>1056</v>
      </c>
      <c r="AC18" s="57">
        <f t="shared" si="8"/>
        <v>3775</v>
      </c>
      <c r="AD18" s="57">
        <f>SUM(AD10:AD17)</f>
        <v>260635</v>
      </c>
      <c r="AE18" s="57">
        <f>SUM(AE10:AE17)</f>
        <v>260586</v>
      </c>
      <c r="AF18" s="55"/>
    </row>
    <row r="19" spans="2:40" s="46" customFormat="1" ht="19.5" customHeight="1" x14ac:dyDescent="0.25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49">
        <v>1000</v>
      </c>
      <c r="J19" s="49">
        <f>G19*40%</f>
        <v>7184</v>
      </c>
      <c r="K19" s="49">
        <v>1500</v>
      </c>
      <c r="L19" s="49">
        <v>100</v>
      </c>
      <c r="M19" s="88">
        <f>G19+H19+I19+J19+K19+L19</f>
        <v>27744</v>
      </c>
      <c r="N19" s="89">
        <f>ROUND((G19*55%),0)</f>
        <v>9878</v>
      </c>
      <c r="O19" s="50">
        <v>0</v>
      </c>
      <c r="P19" s="49">
        <f>ROUND((M19+N19),0)</f>
        <v>37622</v>
      </c>
      <c r="Q19" s="49">
        <f>N19</f>
        <v>9878</v>
      </c>
      <c r="R19" s="51">
        <v>10</v>
      </c>
      <c r="S19" s="54">
        <f>ROUND((G19*10%),0)</f>
        <v>1796</v>
      </c>
      <c r="T19" s="50">
        <v>0</v>
      </c>
      <c r="U19" s="50">
        <v>0</v>
      </c>
      <c r="V19" s="189">
        <f>G19/31</f>
        <v>579.35483870967744</v>
      </c>
      <c r="W19" s="50">
        <v>3200</v>
      </c>
      <c r="X19" s="56">
        <v>5040</v>
      </c>
      <c r="Y19" s="49">
        <f>ROUND((G19*1%),0)</f>
        <v>180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ROUND((SUM(Q19:AC19)-R19),0)</f>
        <v>20683</v>
      </c>
      <c r="AE19" s="49">
        <f>P19-AD19</f>
        <v>16939</v>
      </c>
      <c r="AF19" s="55"/>
      <c r="AG19" s="160" t="s">
        <v>20</v>
      </c>
      <c r="AH19" s="160" t="s">
        <v>44</v>
      </c>
      <c r="AI19" s="160" t="s">
        <v>8</v>
      </c>
      <c r="AJ19" s="160" t="s">
        <v>129</v>
      </c>
      <c r="AK19" s="160"/>
      <c r="AL19" s="183" t="s">
        <v>128</v>
      </c>
    </row>
    <row r="20" spans="2:40" s="46" customFormat="1" ht="19.5" customHeight="1" x14ac:dyDescent="0.25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49">
        <v>1000</v>
      </c>
      <c r="J20" s="49">
        <v>7000</v>
      </c>
      <c r="K20" s="49">
        <v>1500</v>
      </c>
      <c r="L20" s="49">
        <v>100</v>
      </c>
      <c r="M20" s="88">
        <f t="shared" si="4"/>
        <v>26270</v>
      </c>
      <c r="N20" s="89">
        <f>ROUND((G20*55%),0)</f>
        <v>9169</v>
      </c>
      <c r="O20" s="50">
        <v>0</v>
      </c>
      <c r="P20" s="49">
        <f>ROUND((M20+N20),0)</f>
        <v>35439</v>
      </c>
      <c r="Q20" s="49">
        <f>N20</f>
        <v>9169</v>
      </c>
      <c r="R20" s="51">
        <v>10</v>
      </c>
      <c r="S20" s="54">
        <f>ROUND((G20*10%),0)</f>
        <v>1667</v>
      </c>
      <c r="T20" s="50">
        <v>0</v>
      </c>
      <c r="U20" s="49">
        <f>J20</f>
        <v>7000</v>
      </c>
      <c r="V20" s="189">
        <f>G20/31</f>
        <v>537.74193548387098</v>
      </c>
      <c r="W20" s="49">
        <v>1500</v>
      </c>
      <c r="X20" s="53">
        <v>0</v>
      </c>
      <c r="Y20" s="49">
        <f>ROUND((G20*1%),0)</f>
        <v>167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ROUND((SUM(Q20:AC20)-R20),0)</f>
        <v>20051</v>
      </c>
      <c r="AE20" s="49">
        <f>P20-AD20</f>
        <v>15388</v>
      </c>
      <c r="AF20" s="55"/>
      <c r="AG20" s="162">
        <f>U24</f>
        <v>64988</v>
      </c>
      <c r="AH20" s="162">
        <f>W24</f>
        <v>32935</v>
      </c>
      <c r="AI20" s="162">
        <f>Z24</f>
        <v>110</v>
      </c>
      <c r="AJ20" s="162">
        <f>AC24</f>
        <v>3775</v>
      </c>
      <c r="AK20" s="163"/>
      <c r="AL20" s="162">
        <f>AG20+AH20+AI20+AJ20</f>
        <v>101808</v>
      </c>
    </row>
    <row r="21" spans="2:40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49">
        <v>1000</v>
      </c>
      <c r="J21" s="49">
        <f>G21*45%</f>
        <v>4752</v>
      </c>
      <c r="K21" s="49">
        <v>1500</v>
      </c>
      <c r="L21" s="49">
        <v>100</v>
      </c>
      <c r="M21" s="88">
        <f t="shared" si="4"/>
        <v>17912</v>
      </c>
      <c r="N21" s="89">
        <f>ROUND((G21*55%),0)</f>
        <v>5808</v>
      </c>
      <c r="O21" s="50">
        <v>0</v>
      </c>
      <c r="P21" s="49">
        <f>ROUND((M21+N21),0)</f>
        <v>23720</v>
      </c>
      <c r="Q21" s="49">
        <f>N21</f>
        <v>5808</v>
      </c>
      <c r="R21" s="51">
        <v>10</v>
      </c>
      <c r="S21" s="54">
        <f>ROUND((G21*10%),0)</f>
        <v>1056</v>
      </c>
      <c r="T21" s="50">
        <v>0</v>
      </c>
      <c r="U21" s="50">
        <v>0</v>
      </c>
      <c r="V21" s="189">
        <f>G21/31</f>
        <v>340.64516129032256</v>
      </c>
      <c r="W21" s="50">
        <v>5000</v>
      </c>
      <c r="X21" s="53">
        <v>0</v>
      </c>
      <c r="Y21" s="49">
        <f>ROUND((G21*1%),0)</f>
        <v>106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ROUND((SUM(Q21:AC21)-R21),0)</f>
        <v>12321</v>
      </c>
      <c r="AE21" s="49">
        <f>P21-AD21</f>
        <v>11399</v>
      </c>
      <c r="AF21" s="55"/>
    </row>
    <row r="22" spans="2:40" s="101" customFormat="1" ht="19.5" customHeight="1" x14ac:dyDescent="0.25">
      <c r="B22" s="47"/>
      <c r="C22" s="47" t="s">
        <v>6</v>
      </c>
      <c r="D22" s="48"/>
      <c r="E22" s="57">
        <f t="shared" ref="E22:J22" si="9">SUM(E19:E21)</f>
        <v>45190</v>
      </c>
      <c r="F22" s="58">
        <f t="shared" si="9"/>
        <v>0</v>
      </c>
      <c r="G22" s="57">
        <f t="shared" si="9"/>
        <v>45190</v>
      </c>
      <c r="H22" s="58">
        <f t="shared" si="9"/>
        <v>0</v>
      </c>
      <c r="I22" s="57">
        <f t="shared" si="9"/>
        <v>3000</v>
      </c>
      <c r="J22" s="57">
        <f t="shared" si="9"/>
        <v>18936</v>
      </c>
      <c r="K22" s="57">
        <f t="shared" ref="K22:Q22" si="10">SUM(K19:K21)</f>
        <v>4500</v>
      </c>
      <c r="L22" s="57">
        <f t="shared" si="10"/>
        <v>300</v>
      </c>
      <c r="M22" s="97">
        <f t="shared" si="4"/>
        <v>71926</v>
      </c>
      <c r="N22" s="57">
        <f t="shared" si="10"/>
        <v>24855</v>
      </c>
      <c r="O22" s="58">
        <f t="shared" si="10"/>
        <v>0</v>
      </c>
      <c r="P22" s="57">
        <f t="shared" si="10"/>
        <v>96781</v>
      </c>
      <c r="Q22" s="57">
        <f t="shared" si="10"/>
        <v>24855</v>
      </c>
      <c r="R22" s="58">
        <v>0</v>
      </c>
      <c r="S22" s="57">
        <f t="shared" ref="S22:AA22" si="11">SUM(S19:S21)</f>
        <v>4519</v>
      </c>
      <c r="T22" s="58">
        <f t="shared" si="11"/>
        <v>0</v>
      </c>
      <c r="U22" s="57">
        <f t="shared" si="11"/>
        <v>7000</v>
      </c>
      <c r="V22" s="188">
        <f>SUM(V19:V21)</f>
        <v>1457.7419354838707</v>
      </c>
      <c r="W22" s="57">
        <f t="shared" si="11"/>
        <v>9700</v>
      </c>
      <c r="X22" s="57">
        <f t="shared" si="11"/>
        <v>5040</v>
      </c>
      <c r="Y22" s="57">
        <f t="shared" si="11"/>
        <v>453</v>
      </c>
      <c r="Z22" s="57">
        <f t="shared" si="11"/>
        <v>30</v>
      </c>
      <c r="AA22" s="58">
        <f t="shared" si="11"/>
        <v>0</v>
      </c>
      <c r="AB22" s="58">
        <v>0</v>
      </c>
      <c r="AC22" s="58">
        <f>SUM(AC19:AC21)</f>
        <v>0</v>
      </c>
      <c r="AD22" s="57">
        <f>SUM(AD19:AD21)</f>
        <v>53055</v>
      </c>
      <c r="AE22" s="57">
        <f>SUM(AE19:AE21)</f>
        <v>43726</v>
      </c>
      <c r="AF22" s="100"/>
      <c r="AG22" s="154"/>
      <c r="AH22" s="154"/>
      <c r="AI22" s="154"/>
    </row>
    <row r="23" spans="2:40" s="46" customFormat="1" ht="19.5" customHeight="1" x14ac:dyDescent="0.25">
      <c r="B23" s="60"/>
      <c r="C23" s="47" t="s">
        <v>13</v>
      </c>
      <c r="D23" s="48"/>
      <c r="E23" s="61">
        <f t="shared" ref="E23:O23" si="12">E18</f>
        <v>280420</v>
      </c>
      <c r="F23" s="62">
        <f t="shared" si="12"/>
        <v>0</v>
      </c>
      <c r="G23" s="61">
        <f t="shared" si="12"/>
        <v>280420</v>
      </c>
      <c r="H23" s="61">
        <f t="shared" si="12"/>
        <v>200</v>
      </c>
      <c r="I23" s="61">
        <f t="shared" si="12"/>
        <v>2500</v>
      </c>
      <c r="J23" s="61">
        <f t="shared" si="12"/>
        <v>104451</v>
      </c>
      <c r="K23" s="61">
        <f t="shared" si="12"/>
        <v>12000</v>
      </c>
      <c r="L23" s="62">
        <f t="shared" si="12"/>
        <v>0</v>
      </c>
      <c r="M23" s="88">
        <f>M18</f>
        <v>399571</v>
      </c>
      <c r="N23" s="61">
        <f>N18</f>
        <v>112341</v>
      </c>
      <c r="O23" s="61">
        <f t="shared" si="12"/>
        <v>9309</v>
      </c>
      <c r="P23" s="49">
        <f>P18</f>
        <v>521221</v>
      </c>
      <c r="Q23" s="61">
        <f>Q18</f>
        <v>112341</v>
      </c>
      <c r="R23" s="62">
        <v>0</v>
      </c>
      <c r="S23" s="61">
        <f t="shared" ref="S23:AE23" si="13">S18</f>
        <v>42228</v>
      </c>
      <c r="T23" s="62">
        <f t="shared" si="13"/>
        <v>9309</v>
      </c>
      <c r="U23" s="61">
        <f t="shared" si="13"/>
        <v>57988</v>
      </c>
      <c r="V23" s="190">
        <f>V18</f>
        <v>9047</v>
      </c>
      <c r="W23" s="61">
        <f t="shared" si="13"/>
        <v>23235</v>
      </c>
      <c r="X23" s="62">
        <f t="shared" si="13"/>
        <v>0</v>
      </c>
      <c r="Y23" s="61">
        <f t="shared" si="13"/>
        <v>1570</v>
      </c>
      <c r="Z23" s="62">
        <f t="shared" si="13"/>
        <v>80</v>
      </c>
      <c r="AA23" s="62">
        <f t="shared" si="13"/>
        <v>6</v>
      </c>
      <c r="AB23" s="62">
        <f>AB18</f>
        <v>1056</v>
      </c>
      <c r="AC23" s="62">
        <f t="shared" si="13"/>
        <v>3775</v>
      </c>
      <c r="AD23" s="62">
        <f t="shared" si="13"/>
        <v>260635</v>
      </c>
      <c r="AE23" s="61">
        <f t="shared" si="13"/>
        <v>260586</v>
      </c>
      <c r="AF23" s="55"/>
      <c r="AG23" s="102"/>
      <c r="AH23" s="102"/>
      <c r="AI23" s="102"/>
      <c r="AJ23" s="102"/>
      <c r="AK23" s="102"/>
      <c r="AL23" s="102"/>
    </row>
    <row r="24" spans="2:40" s="46" customFormat="1" ht="18" customHeight="1" x14ac:dyDescent="0.25">
      <c r="B24" s="47"/>
      <c r="C24" s="63" t="s">
        <v>14</v>
      </c>
      <c r="D24" s="93"/>
      <c r="E24" s="57">
        <f t="shared" ref="E24:U24" si="14">E22+E23</f>
        <v>325610</v>
      </c>
      <c r="F24" s="58">
        <f t="shared" si="14"/>
        <v>0</v>
      </c>
      <c r="G24" s="57">
        <f t="shared" si="14"/>
        <v>325610</v>
      </c>
      <c r="H24" s="57">
        <f t="shared" si="14"/>
        <v>200</v>
      </c>
      <c r="I24" s="57">
        <f t="shared" si="14"/>
        <v>5500</v>
      </c>
      <c r="J24" s="57">
        <f t="shared" si="14"/>
        <v>123387</v>
      </c>
      <c r="K24" s="57">
        <f t="shared" si="14"/>
        <v>16500</v>
      </c>
      <c r="L24" s="57">
        <f t="shared" si="14"/>
        <v>300</v>
      </c>
      <c r="M24" s="97">
        <f t="shared" si="14"/>
        <v>471497</v>
      </c>
      <c r="N24" s="57">
        <f t="shared" si="14"/>
        <v>137196</v>
      </c>
      <c r="O24" s="57">
        <f t="shared" si="14"/>
        <v>9309</v>
      </c>
      <c r="P24" s="57">
        <f t="shared" si="14"/>
        <v>618002</v>
      </c>
      <c r="Q24" s="57">
        <f t="shared" si="14"/>
        <v>137196</v>
      </c>
      <c r="R24" s="58">
        <f t="shared" si="14"/>
        <v>0</v>
      </c>
      <c r="S24" s="57">
        <f t="shared" si="14"/>
        <v>46747</v>
      </c>
      <c r="T24" s="57">
        <f t="shared" si="14"/>
        <v>9309</v>
      </c>
      <c r="U24" s="57">
        <f t="shared" si="14"/>
        <v>64988</v>
      </c>
      <c r="V24" s="188">
        <f>SUM(V22:V23)</f>
        <v>10504.741935483871</v>
      </c>
      <c r="W24" s="57">
        <f t="shared" ref="W24:AE24" si="15">W22+W23</f>
        <v>32935</v>
      </c>
      <c r="X24" s="57">
        <f t="shared" si="15"/>
        <v>5040</v>
      </c>
      <c r="Y24" s="57">
        <f t="shared" si="15"/>
        <v>2023</v>
      </c>
      <c r="Z24" s="57">
        <f t="shared" si="15"/>
        <v>110</v>
      </c>
      <c r="AA24" s="58">
        <f t="shared" si="15"/>
        <v>6</v>
      </c>
      <c r="AB24" s="57">
        <f t="shared" si="15"/>
        <v>1056</v>
      </c>
      <c r="AC24" s="57">
        <f t="shared" si="15"/>
        <v>3775</v>
      </c>
      <c r="AD24" s="57">
        <f t="shared" si="15"/>
        <v>313690</v>
      </c>
      <c r="AE24" s="57">
        <f t="shared" si="15"/>
        <v>304312</v>
      </c>
      <c r="AF24" s="102"/>
      <c r="AJ24" s="123"/>
      <c r="AK24" s="123"/>
      <c r="AL24" s="102">
        <f>AL8+AL20</f>
        <v>313689.74193548388</v>
      </c>
      <c r="AM24" s="102"/>
      <c r="AN24" s="123"/>
    </row>
    <row r="25" spans="2:40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3000</v>
      </c>
      <c r="J25" s="65">
        <f>SUM(J19:J22)</f>
        <v>37872</v>
      </c>
      <c r="K25" s="65">
        <f>SUM(K22)</f>
        <v>4500</v>
      </c>
      <c r="L25" s="65">
        <f>SUM(L22)</f>
        <v>300</v>
      </c>
      <c r="M25" s="65">
        <f>SUM(M19:M22)</f>
        <v>143852</v>
      </c>
      <c r="N25" s="65">
        <f>SUM(N22)</f>
        <v>24855</v>
      </c>
      <c r="O25" s="65">
        <f>SUM(O22)</f>
        <v>0</v>
      </c>
      <c r="P25" s="65">
        <f>SUM(P19:P22)</f>
        <v>193562</v>
      </c>
      <c r="Q25" s="65">
        <f>SUM(Q22)</f>
        <v>24855</v>
      </c>
      <c r="R25" s="65">
        <f>SUM(R19:R22)</f>
        <v>30</v>
      </c>
      <c r="S25" s="66">
        <f>SUM(S19:S22)</f>
        <v>9038</v>
      </c>
      <c r="T25" s="66">
        <f>SUM(T22)</f>
        <v>0</v>
      </c>
      <c r="U25" s="65">
        <f>SUM(U19:U22)</f>
        <v>14000</v>
      </c>
      <c r="V25" s="65"/>
      <c r="W25" s="65">
        <f t="shared" ref="W25:AC25" si="16">SUM(W22)</f>
        <v>9700</v>
      </c>
      <c r="X25" s="67">
        <f t="shared" si="16"/>
        <v>5040</v>
      </c>
      <c r="Y25" s="68">
        <f t="shared" si="16"/>
        <v>453</v>
      </c>
      <c r="Z25" s="67">
        <f t="shared" si="16"/>
        <v>30</v>
      </c>
      <c r="AA25" s="65">
        <f t="shared" si="16"/>
        <v>0</v>
      </c>
      <c r="AB25" s="65"/>
      <c r="AC25" s="65">
        <f t="shared" si="16"/>
        <v>0</v>
      </c>
      <c r="AD25" s="52">
        <f>Q25+S25+T25+U25+W25+X25+Y25+Z25+AA25</f>
        <v>63116</v>
      </c>
      <c r="AE25" s="65">
        <f>SUM(AE19:AE22)</f>
        <v>87452</v>
      </c>
      <c r="AF25" s="69"/>
    </row>
    <row r="26" spans="2:40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3"/>
      <c r="T26" s="73"/>
      <c r="U26" s="69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</row>
    <row r="27" spans="2:40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3"/>
      <c r="T27" s="73"/>
      <c r="U27" s="69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40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73"/>
      <c r="T28" s="73"/>
      <c r="U28" s="69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40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</row>
    <row r="30" spans="2:40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3"/>
      <c r="T30" s="73"/>
      <c r="U30" s="69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</row>
    <row r="31" spans="2:40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73"/>
      <c r="U31" s="69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40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</row>
    <row r="33" spans="1:248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48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73"/>
      <c r="T34" s="73"/>
      <c r="U34" s="69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</row>
    <row r="35" spans="1:248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</row>
    <row r="36" spans="1:248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</row>
    <row r="37" spans="1:248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5"/>
      <c r="AL37" s="153"/>
    </row>
    <row r="38" spans="1:248" s="181" customFormat="1" ht="21.75" customHeight="1" x14ac:dyDescent="0.2">
      <c r="A38" s="627" t="s">
        <v>134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627"/>
      <c r="AB38" s="627"/>
      <c r="AC38" s="627"/>
      <c r="AD38" s="627"/>
      <c r="AE38" s="62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 t="s">
        <v>81</v>
      </c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 t="s">
        <v>81</v>
      </c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 t="s">
        <v>81</v>
      </c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 t="s">
        <v>81</v>
      </c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 t="s">
        <v>81</v>
      </c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</row>
    <row r="39" spans="1:248" s="181" customFormat="1" ht="21.75" customHeight="1" x14ac:dyDescent="0.2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37"/>
      <c r="HH39" s="137"/>
      <c r="HI39" s="137"/>
      <c r="HJ39" s="137"/>
      <c r="HK39" s="137"/>
      <c r="HL39" s="137"/>
      <c r="HM39" s="137"/>
      <c r="HN39" s="137"/>
      <c r="HO39" s="137"/>
      <c r="HP39" s="137"/>
      <c r="HQ39" s="137"/>
      <c r="HR39" s="137"/>
      <c r="HS39" s="137"/>
      <c r="HT39" s="137"/>
      <c r="HU39" s="137"/>
      <c r="HV39" s="137"/>
      <c r="HW39" s="137"/>
      <c r="HX39" s="137"/>
      <c r="HY39" s="137"/>
      <c r="HZ39" s="137"/>
      <c r="IA39" s="137"/>
      <c r="IB39" s="137"/>
      <c r="IC39" s="137"/>
      <c r="ID39" s="137"/>
      <c r="IE39" s="137"/>
      <c r="IF39" s="137"/>
      <c r="IG39" s="137"/>
      <c r="IH39" s="137"/>
      <c r="II39" s="137"/>
      <c r="IJ39" s="137"/>
      <c r="IK39" s="137"/>
      <c r="IL39" s="137"/>
      <c r="IM39" s="137"/>
      <c r="IN39" s="137"/>
    </row>
    <row r="40" spans="1:248" ht="17.25" customHeight="1" x14ac:dyDescent="0.25">
      <c r="B40" s="22"/>
      <c r="D40" s="616" t="s">
        <v>135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22"/>
    </row>
    <row r="41" spans="1:248" ht="13.5" customHeight="1" x14ac:dyDescent="0.2">
      <c r="B41" s="616" t="s">
        <v>124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3"/>
    </row>
    <row r="42" spans="1:248" ht="24.95" customHeight="1" x14ac:dyDescent="0.25">
      <c r="B42" s="22"/>
      <c r="C42" s="135"/>
      <c r="D42" s="14"/>
      <c r="E42" s="22"/>
      <c r="F42" s="22"/>
      <c r="G42" s="22"/>
      <c r="H42" s="22"/>
      <c r="I42" s="5"/>
      <c r="J42" s="5"/>
      <c r="K42" s="5"/>
      <c r="L42" s="5"/>
      <c r="M42" s="5"/>
      <c r="N42" s="5"/>
      <c r="O42" s="5"/>
      <c r="P42" s="179"/>
      <c r="Q42" s="5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</row>
    <row r="43" spans="1:248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26"/>
      <c r="O43" s="5"/>
      <c r="P43" s="5"/>
      <c r="Q43" s="47"/>
      <c r="R43" s="61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</row>
    <row r="44" spans="1:248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</row>
    <row r="45" spans="1:248" ht="16.5" customHeight="1" x14ac:dyDescent="0.25">
      <c r="B45" s="5"/>
      <c r="E45" s="9"/>
      <c r="F45" s="10"/>
      <c r="G45" s="9"/>
      <c r="H45" s="9"/>
      <c r="I45" s="4"/>
      <c r="J45" s="4"/>
      <c r="K45" s="14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</row>
    <row r="46" spans="1:248" ht="16.5" customHeight="1" x14ac:dyDescent="0.25">
      <c r="B46" s="5"/>
      <c r="D46" s="158"/>
      <c r="E46" s="156"/>
      <c r="F46" s="157"/>
      <c r="G46" s="159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</row>
    <row r="47" spans="1:248" ht="24.95" customHeight="1" x14ac:dyDescent="0.25">
      <c r="B47" s="2"/>
      <c r="C47" s="14"/>
      <c r="D47" s="158"/>
      <c r="E47" s="158"/>
      <c r="F47" s="158"/>
      <c r="G47" s="15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2"/>
    </row>
    <row r="48" spans="1:248" ht="24.95" customHeight="1" x14ac:dyDescent="0.25">
      <c r="B48" s="2"/>
      <c r="C48" s="14"/>
      <c r="D48" s="158"/>
      <c r="E48" s="158"/>
      <c r="F48" s="158"/>
      <c r="G48" s="158"/>
      <c r="H48" s="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2"/>
    </row>
    <row r="49" spans="2:79" ht="24.95" customHeight="1" x14ac:dyDescent="0.25">
      <c r="B49" s="2"/>
      <c r="C49" s="14"/>
      <c r="D49" s="158"/>
      <c r="E49" s="158"/>
      <c r="F49" s="158"/>
      <c r="G49" s="158"/>
      <c r="H49" s="2"/>
      <c r="Z49" s="12"/>
      <c r="AA49" s="12"/>
      <c r="AB49" s="12"/>
      <c r="AC49" s="3"/>
      <c r="AD49" s="2"/>
      <c r="AE49" s="2"/>
      <c r="AF49" s="2"/>
    </row>
    <row r="50" spans="2:79" ht="24.95" customHeight="1" x14ac:dyDescent="0.25">
      <c r="B50" s="5"/>
      <c r="C50" s="14"/>
      <c r="D50" s="158"/>
      <c r="E50" s="158"/>
      <c r="F50" s="158"/>
      <c r="G50" s="158"/>
      <c r="H50" s="5"/>
      <c r="X50" s="11"/>
      <c r="Y50" s="11"/>
      <c r="Z50" s="11"/>
      <c r="AA50" s="11"/>
      <c r="AB50" s="11"/>
      <c r="AC50" s="5"/>
      <c r="AD50" s="5"/>
      <c r="AE50" s="5"/>
      <c r="AF50" s="5"/>
      <c r="BT50" s="166"/>
      <c r="BU50" s="166"/>
      <c r="BV50" s="167"/>
      <c r="BW50" s="166"/>
      <c r="BX50" s="167"/>
      <c r="BY50" s="2"/>
      <c r="BZ50" s="2"/>
      <c r="CA50" s="2"/>
    </row>
    <row r="51" spans="2:79" ht="24.95" customHeight="1" x14ac:dyDescent="0.25">
      <c r="C51" s="14"/>
      <c r="D51" s="158"/>
      <c r="E51" s="158"/>
      <c r="F51" s="158"/>
      <c r="G51" s="158"/>
      <c r="K51" s="134"/>
      <c r="L51" s="158"/>
      <c r="M51" s="156"/>
      <c r="N51" s="159"/>
      <c r="O51" s="159"/>
      <c r="BT51" s="166"/>
      <c r="BU51" s="166"/>
      <c r="BV51" s="167"/>
      <c r="BW51" s="166"/>
      <c r="BX51" s="167"/>
      <c r="BY51" s="2"/>
      <c r="BZ51" s="2"/>
      <c r="CA51" s="2"/>
    </row>
    <row r="52" spans="2:79" ht="24.95" customHeight="1" x14ac:dyDescent="0.25">
      <c r="D52" s="158"/>
      <c r="E52" s="158"/>
      <c r="F52" s="158"/>
      <c r="G52" s="158"/>
      <c r="K52" s="14"/>
      <c r="L52" s="158"/>
      <c r="M52" s="158"/>
      <c r="N52" s="159"/>
      <c r="O52" s="158"/>
      <c r="BT52" s="166"/>
      <c r="BU52" s="166"/>
      <c r="BV52" s="167"/>
      <c r="BW52" s="166"/>
      <c r="BX52" s="167"/>
      <c r="BY52" s="2"/>
      <c r="BZ52" s="2"/>
      <c r="CA52" s="2"/>
    </row>
    <row r="53" spans="2:79" ht="24.95" customHeight="1" x14ac:dyDescent="0.25">
      <c r="D53" s="158"/>
      <c r="E53" s="158"/>
      <c r="F53" s="158"/>
      <c r="G53" s="158"/>
      <c r="K53" s="14"/>
      <c r="L53" s="158"/>
      <c r="M53" s="158"/>
      <c r="N53" s="159"/>
      <c r="O53" s="158"/>
      <c r="BT53" s="166"/>
      <c r="BU53" s="166"/>
      <c r="BV53" s="167"/>
      <c r="BW53" s="166"/>
      <c r="BX53" s="167"/>
      <c r="BY53" s="2"/>
      <c r="BZ53" s="2"/>
      <c r="CA53" s="2"/>
    </row>
    <row r="54" spans="2:79" ht="24.95" customHeight="1" x14ac:dyDescent="0.25">
      <c r="D54" s="158"/>
      <c r="E54" s="158"/>
      <c r="F54" s="158"/>
      <c r="G54" s="158"/>
      <c r="K54" s="14"/>
      <c r="L54" s="158"/>
      <c r="M54" s="158"/>
      <c r="N54" s="159"/>
      <c r="O54" s="158"/>
      <c r="BT54" s="166"/>
      <c r="BU54" s="166"/>
      <c r="BV54" s="167"/>
      <c r="BW54" s="166"/>
      <c r="BX54" s="167"/>
      <c r="BY54" s="2"/>
      <c r="BZ54" s="2"/>
      <c r="CA54" s="2"/>
    </row>
    <row r="55" spans="2:79" ht="24.95" customHeight="1" x14ac:dyDescent="0.25">
      <c r="D55" s="158"/>
      <c r="E55" s="158"/>
      <c r="F55" s="158"/>
      <c r="G55" s="158"/>
      <c r="K55" s="14"/>
      <c r="L55" s="158"/>
      <c r="M55" s="158"/>
      <c r="N55" s="159"/>
      <c r="O55" s="158"/>
      <c r="BT55" s="166"/>
      <c r="BU55" s="166"/>
      <c r="BV55" s="167"/>
      <c r="BW55" s="166"/>
      <c r="BX55" s="167"/>
      <c r="BY55" s="2"/>
      <c r="BZ55" s="2"/>
      <c r="CA55" s="2"/>
    </row>
    <row r="56" spans="2:79" ht="24.95" customHeight="1" x14ac:dyDescent="0.25">
      <c r="D56" s="158"/>
      <c r="E56" s="158"/>
      <c r="F56" s="158"/>
      <c r="G56" s="158"/>
      <c r="K56" s="14"/>
      <c r="L56" s="158"/>
      <c r="M56" s="158"/>
      <c r="N56" s="159"/>
      <c r="O56" s="158"/>
      <c r="BT56" s="166"/>
      <c r="BU56" s="166"/>
      <c r="BV56" s="167"/>
      <c r="BW56" s="166"/>
      <c r="BX56" s="167"/>
      <c r="BY56" s="2"/>
      <c r="BZ56" s="2"/>
      <c r="CA56" s="2"/>
    </row>
    <row r="57" spans="2:79" ht="24.95" customHeight="1" x14ac:dyDescent="0.25">
      <c r="D57" s="158"/>
      <c r="E57" s="158"/>
      <c r="F57" s="158"/>
      <c r="G57" s="158"/>
      <c r="K57" s="134"/>
      <c r="L57" s="158"/>
      <c r="M57" s="158"/>
      <c r="N57" s="159"/>
      <c r="O57" s="158"/>
      <c r="BT57" s="167"/>
      <c r="BU57" s="167"/>
      <c r="BV57" s="167"/>
      <c r="BW57" s="167"/>
      <c r="BX57" s="168"/>
      <c r="BY57" s="2"/>
      <c r="BZ57" s="2"/>
      <c r="CA57" s="2"/>
    </row>
    <row r="58" spans="2:79" ht="24.95" customHeight="1" x14ac:dyDescent="0.25">
      <c r="D58" s="158"/>
      <c r="E58" s="158"/>
      <c r="F58" s="158"/>
      <c r="G58" s="158"/>
      <c r="K58" s="134"/>
      <c r="L58" s="158"/>
      <c r="M58" s="158"/>
      <c r="N58" s="159"/>
      <c r="O58" s="158"/>
      <c r="BV58" s="169"/>
    </row>
    <row r="59" spans="2:79" ht="24.95" customHeight="1" x14ac:dyDescent="0.25">
      <c r="D59" s="158"/>
      <c r="E59" s="158"/>
      <c r="F59" s="158"/>
      <c r="G59" s="158"/>
      <c r="K59" s="134"/>
      <c r="L59" s="158"/>
      <c r="M59" s="158"/>
      <c r="N59" s="159"/>
      <c r="O59" s="158"/>
      <c r="BV59" s="170">
        <f>SUM(BV57:BV58)</f>
        <v>0</v>
      </c>
    </row>
    <row r="60" spans="2:79" ht="24.95" customHeight="1" x14ac:dyDescent="0.25">
      <c r="D60" s="158"/>
      <c r="E60" s="158"/>
      <c r="F60" s="158"/>
      <c r="G60" s="158"/>
      <c r="K60" s="134"/>
      <c r="L60" s="158"/>
      <c r="M60" s="158"/>
      <c r="N60" s="159"/>
      <c r="O60" s="158"/>
    </row>
    <row r="61" spans="2:79" ht="24.95" customHeight="1" x14ac:dyDescent="0.25">
      <c r="D61" s="158"/>
      <c r="E61" s="158"/>
      <c r="F61" s="158"/>
      <c r="G61" s="158"/>
      <c r="K61" s="134"/>
      <c r="L61" s="158"/>
      <c r="M61" s="158"/>
      <c r="N61" s="159"/>
      <c r="O61" s="158"/>
    </row>
    <row r="62" spans="2:79" ht="18.75" customHeight="1" x14ac:dyDescent="0.25">
      <c r="G62" s="158"/>
      <c r="K62" s="134"/>
      <c r="L62" s="158"/>
      <c r="M62" s="158"/>
      <c r="N62" s="159"/>
      <c r="O62" s="158"/>
    </row>
    <row r="63" spans="2:79" ht="24.95" customHeight="1" x14ac:dyDescent="0.25">
      <c r="K63" s="134"/>
      <c r="L63" s="158"/>
      <c r="M63" s="158"/>
      <c r="N63" s="159"/>
      <c r="O63" s="158"/>
    </row>
    <row r="64" spans="2:79" ht="24.95" customHeight="1" x14ac:dyDescent="0.25">
      <c r="K64" s="134"/>
      <c r="L64" s="158"/>
      <c r="M64" s="158"/>
      <c r="N64" s="159"/>
      <c r="O64" s="158"/>
    </row>
    <row r="65" spans="11:15" ht="24.95" customHeight="1" x14ac:dyDescent="0.25">
      <c r="K65" s="134"/>
      <c r="L65" s="158"/>
      <c r="M65" s="158"/>
      <c r="N65" s="159"/>
      <c r="O65" s="158"/>
    </row>
    <row r="66" spans="11:15" ht="24.95" customHeight="1" x14ac:dyDescent="0.25">
      <c r="K66" s="134"/>
      <c r="L66" s="158"/>
      <c r="M66" s="158"/>
      <c r="N66" s="159"/>
      <c r="O66" s="158"/>
    </row>
    <row r="67" spans="11:15" ht="24.95" customHeight="1" x14ac:dyDescent="0.25">
      <c r="K67" s="134"/>
      <c r="L67" s="15"/>
      <c r="N67" s="158"/>
      <c r="O67" s="158"/>
    </row>
  </sheetData>
  <mergeCells count="11">
    <mergeCell ref="B1:AE1"/>
    <mergeCell ref="B2:AE4"/>
    <mergeCell ref="J6:Q6"/>
    <mergeCell ref="Q8:AC8"/>
    <mergeCell ref="C37:AA37"/>
    <mergeCell ref="A38:AE38"/>
    <mergeCell ref="D40:AE40"/>
    <mergeCell ref="B41:AE41"/>
    <mergeCell ref="Z42:AX42"/>
    <mergeCell ref="C43:M43"/>
    <mergeCell ref="R43:AQ43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6"/>
  <sheetViews>
    <sheetView zoomScale="85" zoomScaleNormal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X14" sqref="X14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140625" style="134" customWidth="1"/>
    <col min="4" max="4" width="17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.140625" customWidth="1"/>
    <col min="10" max="10" width="8.7109375" customWidth="1"/>
    <col min="11" max="11" width="6.28515625" customWidth="1"/>
    <col min="12" max="12" width="5" customWidth="1"/>
    <col min="13" max="14" width="7" customWidth="1"/>
    <col min="15" max="15" width="5.7109375" customWidth="1"/>
    <col min="16" max="17" width="7.42578125" customWidth="1"/>
    <col min="18" max="18" width="4.42578125" customWidth="1"/>
    <col min="19" max="19" width="6.28515625" customWidth="1"/>
    <col min="20" max="20" width="5.5703125" customWidth="1"/>
    <col min="21" max="21" width="7.42578125" customWidth="1"/>
    <col min="22" max="22" width="5.85546875" customWidth="1"/>
    <col min="23" max="23" width="5.28515625" style="1" customWidth="1"/>
    <col min="24" max="24" width="5" style="1" customWidth="1"/>
    <col min="25" max="25" width="4.42578125" style="1" customWidth="1"/>
    <col min="26" max="26" width="3.85546875" style="1" customWidth="1"/>
    <col min="27" max="27" width="5.85546875" style="1" customWidth="1"/>
    <col min="28" max="28" width="6" customWidth="1"/>
    <col min="29" max="29" width="7.28515625" customWidth="1"/>
    <col min="30" max="30" width="8.28515625" customWidth="1"/>
    <col min="31" max="31" width="8.5703125" customWidth="1"/>
    <col min="32" max="32" width="12" customWidth="1"/>
    <col min="33" max="33" width="8.140625" customWidth="1"/>
    <col min="34" max="34" width="10.140625" customWidth="1"/>
    <col min="35" max="36" width="8.85546875" customWidth="1"/>
    <col min="37" max="37" width="12.140625" customWidth="1"/>
    <col min="39" max="39" width="12.42578125" customWidth="1"/>
    <col min="71" max="71" width="14.5703125" customWidth="1"/>
    <col min="72" max="72" width="14.85546875" customWidth="1"/>
    <col min="73" max="74" width="12.28515625" customWidth="1"/>
    <col min="75" max="75" width="11.140625" customWidth="1"/>
  </cols>
  <sheetData>
    <row r="1" spans="1:37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19"/>
    </row>
    <row r="2" spans="1:37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20"/>
    </row>
    <row r="3" spans="1:37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28"/>
    </row>
    <row r="4" spans="1:37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28"/>
    </row>
    <row r="5" spans="1:37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5"/>
      <c r="AE5" s="28"/>
    </row>
    <row r="6" spans="1:37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622" t="s">
        <v>127</v>
      </c>
      <c r="K6" s="622"/>
      <c r="L6" s="622"/>
      <c r="M6" s="622"/>
      <c r="N6" s="622"/>
      <c r="O6" s="622"/>
      <c r="P6" s="622"/>
      <c r="Q6" s="622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7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30" t="s">
        <v>28</v>
      </c>
      <c r="J7" s="30" t="s">
        <v>25</v>
      </c>
      <c r="K7" s="30" t="s">
        <v>49</v>
      </c>
      <c r="L7" s="30" t="s">
        <v>48</v>
      </c>
      <c r="M7" s="32" t="s">
        <v>2</v>
      </c>
      <c r="N7" s="129" t="s">
        <v>38</v>
      </c>
      <c r="O7" s="130" t="s">
        <v>52</v>
      </c>
      <c r="P7" s="30" t="s">
        <v>10</v>
      </c>
      <c r="Q7" s="129" t="s">
        <v>38</v>
      </c>
      <c r="R7" s="136" t="s">
        <v>126</v>
      </c>
      <c r="S7" s="30" t="s">
        <v>41</v>
      </c>
      <c r="T7" s="30" t="s">
        <v>39</v>
      </c>
      <c r="U7" s="30" t="s">
        <v>29</v>
      </c>
      <c r="V7" s="30" t="s">
        <v>31</v>
      </c>
      <c r="W7" s="30" t="s">
        <v>50</v>
      </c>
      <c r="X7" s="30" t="s">
        <v>7</v>
      </c>
      <c r="Y7" s="30" t="s">
        <v>51</v>
      </c>
      <c r="Z7" s="30" t="s">
        <v>26</v>
      </c>
      <c r="AA7" s="30" t="s">
        <v>74</v>
      </c>
      <c r="AB7" s="30" t="s">
        <v>77</v>
      </c>
      <c r="AC7" s="30" t="s">
        <v>11</v>
      </c>
      <c r="AD7" s="30" t="s">
        <v>9</v>
      </c>
      <c r="AE7" s="28"/>
      <c r="AF7" s="126" t="s">
        <v>67</v>
      </c>
      <c r="AG7" s="126" t="s">
        <v>68</v>
      </c>
      <c r="AH7" s="126" t="s">
        <v>71</v>
      </c>
      <c r="AI7" s="126" t="s">
        <v>69</v>
      </c>
      <c r="AJ7" s="104" t="s">
        <v>53</v>
      </c>
      <c r="AK7" s="184" t="s">
        <v>113</v>
      </c>
    </row>
    <row r="8" spans="1:37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2"/>
      <c r="N8" s="33"/>
      <c r="O8" s="33"/>
      <c r="P8" s="30"/>
      <c r="Q8" s="623" t="s">
        <v>35</v>
      </c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5"/>
      <c r="AC8" s="30"/>
      <c r="AD8" s="30"/>
      <c r="AE8" s="2"/>
      <c r="AF8" s="141">
        <f>W22+S10+S11+S12+S13+S14+S15+S16+S17+S19+S20+S21+T12+T13+T16</f>
        <v>61096</v>
      </c>
      <c r="AG8" s="141">
        <f>+X24+Z24</f>
        <v>2029</v>
      </c>
      <c r="AH8" s="141">
        <f>T24</f>
        <v>9309</v>
      </c>
      <c r="AI8" s="141">
        <f>+N10+N11+N14+N15+N17+N19+N20+N21</f>
        <v>127887</v>
      </c>
      <c r="AJ8" s="141">
        <f>AA24</f>
        <v>1056</v>
      </c>
      <c r="AK8" s="141">
        <f>AF8+AG8+AH8+AI8+AJ8</f>
        <v>201377</v>
      </c>
    </row>
    <row r="9" spans="1:37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7">
        <v>8</v>
      </c>
      <c r="J9" s="25">
        <v>9</v>
      </c>
      <c r="K9" s="25">
        <v>10</v>
      </c>
      <c r="L9" s="27">
        <v>11</v>
      </c>
      <c r="M9" s="25">
        <v>12</v>
      </c>
      <c r="N9" s="27">
        <v>13</v>
      </c>
      <c r="O9" s="25">
        <v>14</v>
      </c>
      <c r="P9" s="27">
        <v>15</v>
      </c>
      <c r="Q9" s="25">
        <v>16</v>
      </c>
      <c r="R9" s="27">
        <v>17</v>
      </c>
      <c r="S9" s="25">
        <v>18</v>
      </c>
      <c r="T9" s="27">
        <v>19</v>
      </c>
      <c r="U9" s="25">
        <v>20</v>
      </c>
      <c r="V9" s="27">
        <v>21</v>
      </c>
      <c r="W9" s="25">
        <v>22</v>
      </c>
      <c r="X9" s="27">
        <v>23</v>
      </c>
      <c r="Y9" s="25">
        <v>24</v>
      </c>
      <c r="Z9" s="27">
        <v>25</v>
      </c>
      <c r="AA9" s="27">
        <v>26</v>
      </c>
      <c r="AB9" s="25">
        <v>27</v>
      </c>
      <c r="AC9" s="27">
        <v>28</v>
      </c>
      <c r="AD9" s="25">
        <v>29</v>
      </c>
      <c r="AE9" s="22"/>
    </row>
    <row r="10" spans="1:37" s="39" customFormat="1" ht="20.100000000000001" customHeight="1" x14ac:dyDescent="0.2">
      <c r="B10" s="128">
        <v>1364</v>
      </c>
      <c r="C10" s="92" t="s">
        <v>130</v>
      </c>
      <c r="D10" s="41" t="s">
        <v>42</v>
      </c>
      <c r="E10" s="182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88">
        <f>ROUND((G10*35%),0)</f>
        <v>20496</v>
      </c>
      <c r="K10" s="89">
        <v>1500</v>
      </c>
      <c r="L10" s="43">
        <v>0</v>
      </c>
      <c r="M10" s="88">
        <f>G10+H10+I10+J10+K10+L10</f>
        <v>80756</v>
      </c>
      <c r="N10" s="89">
        <f>ROUND((G10*55%),0)</f>
        <v>32208</v>
      </c>
      <c r="O10" s="43">
        <v>0</v>
      </c>
      <c r="P10" s="89">
        <f t="shared" ref="P10:P17" si="1">ROUND((M10+N10+O10),0)</f>
        <v>112964</v>
      </c>
      <c r="Q10" s="122">
        <f t="shared" ref="Q10:Q17" si="2">N10</f>
        <v>32208</v>
      </c>
      <c r="R10" s="42">
        <v>10</v>
      </c>
      <c r="S10" s="54">
        <f>ROUND((G10*10%),0)</f>
        <v>5856</v>
      </c>
      <c r="T10" s="42">
        <v>0</v>
      </c>
      <c r="U10" s="52">
        <v>8400</v>
      </c>
      <c r="V10" s="42">
        <v>1310</v>
      </c>
      <c r="W10" s="42">
        <v>0</v>
      </c>
      <c r="X10" s="52">
        <v>200</v>
      </c>
      <c r="Y10" s="42">
        <v>10</v>
      </c>
      <c r="Z10" s="42">
        <v>6</v>
      </c>
      <c r="AA10" s="42">
        <v>1056</v>
      </c>
      <c r="AB10" s="98">
        <v>0</v>
      </c>
      <c r="AC10" s="52">
        <f t="shared" ref="AC10:AC17" si="3">ROUND((SUM(Q10:AB10)-R10),0)</f>
        <v>49046</v>
      </c>
      <c r="AD10" s="54">
        <f t="shared" ref="AD10:AD21" si="4">P10-AC10</f>
        <v>63918</v>
      </c>
      <c r="AE10" s="45"/>
      <c r="AF10" s="124"/>
      <c r="AG10" s="124"/>
      <c r="AH10" s="124"/>
      <c r="AI10" s="124"/>
      <c r="AJ10" s="124"/>
    </row>
    <row r="11" spans="1:37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88">
        <f>ROUND((G11*35%),0)</f>
        <v>17955</v>
      </c>
      <c r="K11" s="89">
        <v>1500</v>
      </c>
      <c r="L11" s="50">
        <v>0</v>
      </c>
      <c r="M11" s="88">
        <f t="shared" ref="M11:M22" si="5">G11+H11+I11+J11+K11+L11</f>
        <v>70755</v>
      </c>
      <c r="N11" s="89">
        <f>ROUND((G11*55%),0)</f>
        <v>28215</v>
      </c>
      <c r="O11" s="50">
        <v>0</v>
      </c>
      <c r="P11" s="89">
        <f t="shared" si="1"/>
        <v>98970</v>
      </c>
      <c r="Q11" s="122">
        <f t="shared" si="2"/>
        <v>28215</v>
      </c>
      <c r="R11" s="50">
        <v>15</v>
      </c>
      <c r="S11" s="54">
        <f>ROUND((G11*15%),0)</f>
        <v>7695</v>
      </c>
      <c r="T11" s="50">
        <v>0</v>
      </c>
      <c r="U11" s="49">
        <v>8600</v>
      </c>
      <c r="V11" s="53">
        <v>0</v>
      </c>
      <c r="W11" s="50">
        <v>0</v>
      </c>
      <c r="X11" s="49">
        <v>200</v>
      </c>
      <c r="Y11" s="50">
        <v>10</v>
      </c>
      <c r="Z11" s="50">
        <v>0</v>
      </c>
      <c r="AA11" s="50">
        <v>0</v>
      </c>
      <c r="AB11" s="50">
        <v>0</v>
      </c>
      <c r="AC11" s="52">
        <f t="shared" si="3"/>
        <v>44720</v>
      </c>
      <c r="AD11" s="54">
        <f t="shared" si="4"/>
        <v>54250</v>
      </c>
      <c r="AE11" s="55"/>
    </row>
    <row r="12" spans="1:37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88">
        <v>13800</v>
      </c>
      <c r="K12" s="89">
        <v>1500</v>
      </c>
      <c r="L12" s="50">
        <v>0</v>
      </c>
      <c r="M12" s="88">
        <f t="shared" si="5"/>
        <v>52580</v>
      </c>
      <c r="N12" s="89">
        <f>ROUND((G12*10%),0)</f>
        <v>3728</v>
      </c>
      <c r="O12" s="49">
        <f>N12</f>
        <v>3728</v>
      </c>
      <c r="P12" s="89">
        <f>ROUND((M12+N12+O12),0)</f>
        <v>60036</v>
      </c>
      <c r="Q12" s="122">
        <f>N12</f>
        <v>3728</v>
      </c>
      <c r="R12" s="50">
        <v>10</v>
      </c>
      <c r="S12" s="54">
        <f>ROUND((G12*10%),0)</f>
        <v>3728</v>
      </c>
      <c r="T12" s="50">
        <f>S12</f>
        <v>3728</v>
      </c>
      <c r="U12" s="50">
        <v>0</v>
      </c>
      <c r="V12" s="53">
        <v>3025</v>
      </c>
      <c r="W12" s="50">
        <v>0</v>
      </c>
      <c r="X12" s="49">
        <v>200</v>
      </c>
      <c r="Y12" s="50">
        <v>10</v>
      </c>
      <c r="Z12" s="50">
        <v>0</v>
      </c>
      <c r="AA12" s="50">
        <v>0</v>
      </c>
      <c r="AB12" s="50">
        <v>1125</v>
      </c>
      <c r="AC12" s="52">
        <f>ROUND((SUM(Q12:AB12)-R12),0)</f>
        <v>15544</v>
      </c>
      <c r="AD12" s="54">
        <f>P12-AC12</f>
        <v>44492</v>
      </c>
      <c r="AE12" s="55"/>
    </row>
    <row r="13" spans="1:37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88">
        <v>13800</v>
      </c>
      <c r="K13" s="89">
        <v>1500</v>
      </c>
      <c r="L13" s="50">
        <v>0</v>
      </c>
      <c r="M13" s="88">
        <f t="shared" si="5"/>
        <v>52580</v>
      </c>
      <c r="N13" s="89">
        <f>ROUND((G13*10%),0)</f>
        <v>3728</v>
      </c>
      <c r="O13" s="49">
        <f>N13</f>
        <v>3728</v>
      </c>
      <c r="P13" s="89">
        <f t="shared" si="1"/>
        <v>60036</v>
      </c>
      <c r="Q13" s="122">
        <f t="shared" si="2"/>
        <v>3728</v>
      </c>
      <c r="R13" s="50">
        <v>10</v>
      </c>
      <c r="S13" s="54">
        <f>ROUND((G13*10%),0)</f>
        <v>3728</v>
      </c>
      <c r="T13" s="49">
        <f>O13</f>
        <v>3728</v>
      </c>
      <c r="U13" s="50">
        <v>0</v>
      </c>
      <c r="V13" s="53">
        <v>3200</v>
      </c>
      <c r="W13" s="50">
        <v>0</v>
      </c>
      <c r="X13" s="49">
        <v>200</v>
      </c>
      <c r="Y13" s="50">
        <v>10</v>
      </c>
      <c r="Z13" s="50">
        <v>0</v>
      </c>
      <c r="AA13" s="50">
        <v>0</v>
      </c>
      <c r="AB13" s="50">
        <v>0</v>
      </c>
      <c r="AC13" s="52">
        <f t="shared" si="3"/>
        <v>14594</v>
      </c>
      <c r="AD13" s="54">
        <f t="shared" si="4"/>
        <v>45442</v>
      </c>
      <c r="AE13" s="55"/>
    </row>
    <row r="14" spans="1:37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28100</v>
      </c>
      <c r="F14" s="50">
        <v>0</v>
      </c>
      <c r="G14" s="88">
        <f t="shared" si="0"/>
        <v>28100</v>
      </c>
      <c r="H14" s="53">
        <v>0</v>
      </c>
      <c r="I14" s="49">
        <v>1000</v>
      </c>
      <c r="J14" s="88">
        <f>ROUND((G14*40%),0)</f>
        <v>11240</v>
      </c>
      <c r="K14" s="89">
        <v>1500</v>
      </c>
      <c r="L14" s="50">
        <v>0</v>
      </c>
      <c r="M14" s="88">
        <f t="shared" si="5"/>
        <v>41840</v>
      </c>
      <c r="N14" s="89">
        <f>ROUND((G14*55%),0)</f>
        <v>15455</v>
      </c>
      <c r="O14" s="50">
        <v>0</v>
      </c>
      <c r="P14" s="89">
        <f t="shared" si="1"/>
        <v>57295</v>
      </c>
      <c r="Q14" s="122">
        <f t="shared" si="2"/>
        <v>15455</v>
      </c>
      <c r="R14" s="51">
        <v>25</v>
      </c>
      <c r="S14" s="54">
        <f>ROUND((G14*25%),0)</f>
        <v>7025</v>
      </c>
      <c r="T14" s="50">
        <f>O14</f>
        <v>0</v>
      </c>
      <c r="U14" s="49">
        <f>J14</f>
        <v>11240</v>
      </c>
      <c r="V14" s="50">
        <v>3200</v>
      </c>
      <c r="W14" s="53">
        <v>0</v>
      </c>
      <c r="X14" s="49">
        <v>200</v>
      </c>
      <c r="Y14" s="50">
        <v>10</v>
      </c>
      <c r="Z14" s="50">
        <v>0</v>
      </c>
      <c r="AA14" s="50">
        <v>0</v>
      </c>
      <c r="AB14" s="50">
        <v>1150</v>
      </c>
      <c r="AC14" s="52">
        <f t="shared" si="3"/>
        <v>38280</v>
      </c>
      <c r="AD14" s="54">
        <f t="shared" si="4"/>
        <v>19015</v>
      </c>
      <c r="AE14" s="55"/>
    </row>
    <row r="15" spans="1:37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49">
        <v>1000</v>
      </c>
      <c r="J15" s="88">
        <f>ROUND((G15*40%),0)</f>
        <v>12336</v>
      </c>
      <c r="K15" s="89">
        <v>1500</v>
      </c>
      <c r="L15" s="50">
        <v>0</v>
      </c>
      <c r="M15" s="88">
        <f t="shared" si="5"/>
        <v>45676</v>
      </c>
      <c r="N15" s="89">
        <f>ROUND((G15*55%),0)</f>
        <v>16962</v>
      </c>
      <c r="O15" s="50">
        <v>0</v>
      </c>
      <c r="P15" s="89">
        <f t="shared" si="1"/>
        <v>62638</v>
      </c>
      <c r="Q15" s="122">
        <f t="shared" si="2"/>
        <v>16962</v>
      </c>
      <c r="R15" s="51">
        <v>25</v>
      </c>
      <c r="S15" s="54">
        <f>ROUND((G15*25%),0)</f>
        <v>7710</v>
      </c>
      <c r="T15" s="50">
        <f>O15</f>
        <v>0</v>
      </c>
      <c r="U15" s="49">
        <f>J15</f>
        <v>12336</v>
      </c>
      <c r="V15" s="50">
        <v>3500</v>
      </c>
      <c r="W15" s="53">
        <v>0</v>
      </c>
      <c r="X15" s="49">
        <v>200</v>
      </c>
      <c r="Y15" s="50">
        <v>10</v>
      </c>
      <c r="Z15" s="50">
        <v>0</v>
      </c>
      <c r="AA15" s="50">
        <v>0</v>
      </c>
      <c r="AB15" s="50">
        <v>1500</v>
      </c>
      <c r="AC15" s="52">
        <f t="shared" si="3"/>
        <v>42218</v>
      </c>
      <c r="AD15" s="54">
        <f t="shared" si="4"/>
        <v>20420</v>
      </c>
      <c r="AE15" s="55"/>
    </row>
    <row r="16" spans="1:37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88">
        <f>ROUND((G16*40%),0)</f>
        <v>7412</v>
      </c>
      <c r="K16" s="89">
        <v>1500</v>
      </c>
      <c r="L16" s="50">
        <v>0</v>
      </c>
      <c r="M16" s="88">
        <f t="shared" si="5"/>
        <v>27442</v>
      </c>
      <c r="N16" s="89">
        <f>ROUND((G16*10%),0)</f>
        <v>1853</v>
      </c>
      <c r="O16" s="49">
        <f>N16</f>
        <v>1853</v>
      </c>
      <c r="P16" s="89">
        <f t="shared" si="1"/>
        <v>31148</v>
      </c>
      <c r="Q16" s="122">
        <f t="shared" si="2"/>
        <v>1853</v>
      </c>
      <c r="R16" s="51">
        <v>10</v>
      </c>
      <c r="S16" s="54">
        <f>ROUND((G16*10%),0)</f>
        <v>1853</v>
      </c>
      <c r="T16" s="49">
        <f>O16</f>
        <v>1853</v>
      </c>
      <c r="U16" s="50">
        <v>0</v>
      </c>
      <c r="V16" s="50">
        <v>5000</v>
      </c>
      <c r="W16" s="53">
        <v>0</v>
      </c>
      <c r="X16" s="49">
        <f>ROUND((G16*1%),0)</f>
        <v>185</v>
      </c>
      <c r="Y16" s="50">
        <v>10</v>
      </c>
      <c r="Z16" s="50">
        <v>0</v>
      </c>
      <c r="AA16" s="50">
        <v>0</v>
      </c>
      <c r="AB16" s="50">
        <v>0</v>
      </c>
      <c r="AC16" s="52">
        <f t="shared" si="3"/>
        <v>10754</v>
      </c>
      <c r="AD16" s="54">
        <f t="shared" si="4"/>
        <v>20394</v>
      </c>
      <c r="AE16" s="55"/>
    </row>
    <row r="17" spans="2:39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49">
        <v>500</v>
      </c>
      <c r="J17" s="88">
        <f>ROUND((G17*40%),0)</f>
        <v>7412</v>
      </c>
      <c r="K17" s="49">
        <v>1500</v>
      </c>
      <c r="L17" s="50">
        <v>0</v>
      </c>
      <c r="M17" s="88">
        <f t="shared" si="5"/>
        <v>27942</v>
      </c>
      <c r="N17" s="89">
        <f>ROUND((G17*55%),0)</f>
        <v>10192</v>
      </c>
      <c r="O17" s="50">
        <v>0</v>
      </c>
      <c r="P17" s="89">
        <f t="shared" si="1"/>
        <v>38134</v>
      </c>
      <c r="Q17" s="49">
        <f t="shared" si="2"/>
        <v>10192</v>
      </c>
      <c r="R17" s="51">
        <v>25</v>
      </c>
      <c r="S17" s="54">
        <f>ROUND((G17*25%),0)</f>
        <v>4633</v>
      </c>
      <c r="T17" s="50">
        <v>0</v>
      </c>
      <c r="U17" s="49">
        <f>J17</f>
        <v>7412</v>
      </c>
      <c r="V17" s="50">
        <v>4000</v>
      </c>
      <c r="W17" s="53">
        <v>0</v>
      </c>
      <c r="X17" s="49">
        <f>ROUND((G17*1%),0)</f>
        <v>185</v>
      </c>
      <c r="Y17" s="50">
        <v>10</v>
      </c>
      <c r="Z17" s="50">
        <v>0</v>
      </c>
      <c r="AA17" s="50">
        <v>0</v>
      </c>
      <c r="AB17" s="50">
        <v>0</v>
      </c>
      <c r="AC17" s="52">
        <f t="shared" si="3"/>
        <v>26432</v>
      </c>
      <c r="AD17" s="49">
        <f t="shared" si="4"/>
        <v>11702</v>
      </c>
      <c r="AE17" s="55"/>
    </row>
    <row r="18" spans="2:39" s="46" customFormat="1" ht="19.5" customHeight="1" x14ac:dyDescent="0.25">
      <c r="B18" s="47"/>
      <c r="C18" s="48" t="s">
        <v>13</v>
      </c>
      <c r="D18" s="48"/>
      <c r="E18" s="57">
        <f t="shared" ref="E18:Q18" si="6">SUM(E10:E17)</f>
        <v>280420</v>
      </c>
      <c r="F18" s="58">
        <f t="shared" si="6"/>
        <v>0</v>
      </c>
      <c r="G18" s="57">
        <f t="shared" si="6"/>
        <v>280420</v>
      </c>
      <c r="H18" s="57">
        <f t="shared" si="6"/>
        <v>200</v>
      </c>
      <c r="I18" s="57">
        <f t="shared" si="6"/>
        <v>2500</v>
      </c>
      <c r="J18" s="57">
        <f t="shared" si="6"/>
        <v>104451</v>
      </c>
      <c r="K18" s="57">
        <f t="shared" si="6"/>
        <v>12000</v>
      </c>
      <c r="L18" s="58">
        <f t="shared" si="6"/>
        <v>0</v>
      </c>
      <c r="M18" s="88">
        <f t="shared" si="5"/>
        <v>399571</v>
      </c>
      <c r="N18" s="57">
        <f t="shared" si="6"/>
        <v>112341</v>
      </c>
      <c r="O18" s="57">
        <f t="shared" si="6"/>
        <v>9309</v>
      </c>
      <c r="P18" s="57">
        <f>SUM(P10:P17)</f>
        <v>521221</v>
      </c>
      <c r="Q18" s="57">
        <f t="shared" si="6"/>
        <v>112341</v>
      </c>
      <c r="R18" s="57"/>
      <c r="S18" s="57">
        <f t="shared" ref="S18:AC18" si="7">SUM(S10:S17)</f>
        <v>42228</v>
      </c>
      <c r="T18" s="57">
        <f t="shared" si="7"/>
        <v>9309</v>
      </c>
      <c r="U18" s="57">
        <f t="shared" si="7"/>
        <v>47988</v>
      </c>
      <c r="V18" s="57">
        <f t="shared" si="7"/>
        <v>23235</v>
      </c>
      <c r="W18" s="58">
        <f t="shared" si="7"/>
        <v>0</v>
      </c>
      <c r="X18" s="57">
        <f t="shared" si="7"/>
        <v>1570</v>
      </c>
      <c r="Y18" s="57">
        <f t="shared" si="7"/>
        <v>80</v>
      </c>
      <c r="Z18" s="58">
        <f t="shared" si="7"/>
        <v>6</v>
      </c>
      <c r="AA18" s="57">
        <f t="shared" si="7"/>
        <v>1056</v>
      </c>
      <c r="AB18" s="57">
        <f t="shared" si="7"/>
        <v>3775</v>
      </c>
      <c r="AC18" s="57">
        <f t="shared" si="7"/>
        <v>241588</v>
      </c>
      <c r="AD18" s="57">
        <f t="shared" si="4"/>
        <v>279633</v>
      </c>
      <c r="AE18" s="55"/>
    </row>
    <row r="19" spans="2:39" s="46" customFormat="1" ht="19.5" customHeight="1" x14ac:dyDescent="0.25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49">
        <v>1000</v>
      </c>
      <c r="J19" s="49">
        <f>G19*40%</f>
        <v>7184</v>
      </c>
      <c r="K19" s="49">
        <v>1500</v>
      </c>
      <c r="L19" s="49">
        <v>100</v>
      </c>
      <c r="M19" s="88">
        <f>G19+H19+I19+J19+K19+L19</f>
        <v>27744</v>
      </c>
      <c r="N19" s="89">
        <f>ROUND((G19*55%),0)</f>
        <v>9878</v>
      </c>
      <c r="O19" s="50">
        <v>0</v>
      </c>
      <c r="P19" s="49">
        <f>ROUND((M19+N19),0)</f>
        <v>37622</v>
      </c>
      <c r="Q19" s="49">
        <f>N19</f>
        <v>9878</v>
      </c>
      <c r="R19" s="51">
        <v>10</v>
      </c>
      <c r="S19" s="54">
        <f>ROUND((G19*10%),0)</f>
        <v>1796</v>
      </c>
      <c r="T19" s="50">
        <v>0</v>
      </c>
      <c r="U19" s="50">
        <v>0</v>
      </c>
      <c r="V19" s="50">
        <v>3200</v>
      </c>
      <c r="W19" s="56">
        <v>5040</v>
      </c>
      <c r="X19" s="49">
        <f>ROUND((G19*1%),0)</f>
        <v>180</v>
      </c>
      <c r="Y19" s="50">
        <v>10</v>
      </c>
      <c r="Z19" s="50">
        <v>0</v>
      </c>
      <c r="AA19" s="50">
        <v>0</v>
      </c>
      <c r="AB19" s="50">
        <v>0</v>
      </c>
      <c r="AC19" s="52">
        <f>ROUND((SUM(Q19:AB19)-R19),0)</f>
        <v>20104</v>
      </c>
      <c r="AD19" s="49">
        <f t="shared" si="4"/>
        <v>17518</v>
      </c>
      <c r="AE19" s="55"/>
      <c r="AF19" s="160" t="s">
        <v>20</v>
      </c>
      <c r="AG19" s="160" t="s">
        <v>44</v>
      </c>
      <c r="AH19" s="160" t="s">
        <v>8</v>
      </c>
      <c r="AI19" s="160" t="s">
        <v>129</v>
      </c>
      <c r="AJ19" s="160"/>
      <c r="AK19" s="183" t="s">
        <v>128</v>
      </c>
    </row>
    <row r="20" spans="2:39" s="46" customFormat="1" ht="19.5" customHeight="1" x14ac:dyDescent="0.25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49">
        <v>1000</v>
      </c>
      <c r="J20" s="49">
        <v>7000</v>
      </c>
      <c r="K20" s="49">
        <v>1500</v>
      </c>
      <c r="L20" s="49">
        <v>100</v>
      </c>
      <c r="M20" s="88">
        <f t="shared" si="5"/>
        <v>26270</v>
      </c>
      <c r="N20" s="89">
        <f>ROUND((G20*55%),0)</f>
        <v>9169</v>
      </c>
      <c r="O20" s="50">
        <v>0</v>
      </c>
      <c r="P20" s="49">
        <f>ROUND((M20+N20),0)</f>
        <v>35439</v>
      </c>
      <c r="Q20" s="49">
        <f>N20</f>
        <v>9169</v>
      </c>
      <c r="R20" s="51">
        <v>10</v>
      </c>
      <c r="S20" s="54">
        <f>ROUND((G20*10%),0)</f>
        <v>1667</v>
      </c>
      <c r="T20" s="50">
        <v>0</v>
      </c>
      <c r="U20" s="49">
        <f>J20</f>
        <v>7000</v>
      </c>
      <c r="V20" s="49">
        <v>1500</v>
      </c>
      <c r="W20" s="53">
        <v>0</v>
      </c>
      <c r="X20" s="49">
        <f>ROUND((G20*1%),0)</f>
        <v>167</v>
      </c>
      <c r="Y20" s="50">
        <v>10</v>
      </c>
      <c r="Z20" s="50">
        <v>0</v>
      </c>
      <c r="AA20" s="50">
        <v>0</v>
      </c>
      <c r="AB20" s="50">
        <v>0</v>
      </c>
      <c r="AC20" s="52">
        <f>ROUND((SUM(Q20:AB20)-R20),0)</f>
        <v>19513</v>
      </c>
      <c r="AD20" s="49">
        <f t="shared" si="4"/>
        <v>15926</v>
      </c>
      <c r="AE20" s="55"/>
      <c r="AF20" s="162">
        <f>U24</f>
        <v>54988</v>
      </c>
      <c r="AG20" s="162">
        <f>V24</f>
        <v>32935</v>
      </c>
      <c r="AH20" s="162">
        <f>Y24</f>
        <v>110</v>
      </c>
      <c r="AI20" s="162">
        <f>AB24</f>
        <v>3775</v>
      </c>
      <c r="AJ20" s="163"/>
      <c r="AK20" s="162">
        <f>AF20+AG20+AH20+AI20</f>
        <v>91808</v>
      </c>
    </row>
    <row r="21" spans="2:39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49">
        <v>1000</v>
      </c>
      <c r="J21" s="49">
        <f>G21*45%</f>
        <v>4752</v>
      </c>
      <c r="K21" s="49">
        <v>1500</v>
      </c>
      <c r="L21" s="49">
        <v>100</v>
      </c>
      <c r="M21" s="88">
        <f t="shared" si="5"/>
        <v>17912</v>
      </c>
      <c r="N21" s="89">
        <f>ROUND((G21*55%),0)</f>
        <v>5808</v>
      </c>
      <c r="O21" s="50">
        <v>0</v>
      </c>
      <c r="P21" s="49">
        <f>ROUND((M21+N21),0)</f>
        <v>23720</v>
      </c>
      <c r="Q21" s="49">
        <f>N21</f>
        <v>5808</v>
      </c>
      <c r="R21" s="51">
        <v>10</v>
      </c>
      <c r="S21" s="54">
        <f>ROUND((G21*10%),0)</f>
        <v>1056</v>
      </c>
      <c r="T21" s="50">
        <v>0</v>
      </c>
      <c r="U21" s="50">
        <v>0</v>
      </c>
      <c r="V21" s="50">
        <v>5000</v>
      </c>
      <c r="W21" s="53">
        <v>0</v>
      </c>
      <c r="X21" s="49">
        <f>ROUND((G21*1%),0)</f>
        <v>106</v>
      </c>
      <c r="Y21" s="50">
        <v>10</v>
      </c>
      <c r="Z21" s="50">
        <v>0</v>
      </c>
      <c r="AA21" s="50">
        <v>0</v>
      </c>
      <c r="AB21" s="50">
        <v>0</v>
      </c>
      <c r="AC21" s="52">
        <f>ROUND((SUM(Q21:AB21)-R21),0)</f>
        <v>11980</v>
      </c>
      <c r="AD21" s="49">
        <f t="shared" si="4"/>
        <v>11740</v>
      </c>
      <c r="AE21" s="55"/>
    </row>
    <row r="22" spans="2:39" s="101" customFormat="1" ht="19.5" customHeight="1" x14ac:dyDescent="0.25">
      <c r="B22" s="47"/>
      <c r="C22" s="47" t="s">
        <v>6</v>
      </c>
      <c r="D22" s="48"/>
      <c r="E22" s="57">
        <f t="shared" ref="E22:J22" si="8">SUM(E19:E21)</f>
        <v>45190</v>
      </c>
      <c r="F22" s="58">
        <f t="shared" si="8"/>
        <v>0</v>
      </c>
      <c r="G22" s="57">
        <f t="shared" si="8"/>
        <v>45190</v>
      </c>
      <c r="H22" s="58">
        <f t="shared" si="8"/>
        <v>0</v>
      </c>
      <c r="I22" s="57">
        <f t="shared" si="8"/>
        <v>3000</v>
      </c>
      <c r="J22" s="57">
        <f t="shared" si="8"/>
        <v>18936</v>
      </c>
      <c r="K22" s="57">
        <f t="shared" ref="K22:Q22" si="9">SUM(K19:K21)</f>
        <v>4500</v>
      </c>
      <c r="L22" s="57">
        <f t="shared" si="9"/>
        <v>300</v>
      </c>
      <c r="M22" s="88">
        <f t="shared" si="5"/>
        <v>71926</v>
      </c>
      <c r="N22" s="57">
        <f t="shared" si="9"/>
        <v>24855</v>
      </c>
      <c r="O22" s="58">
        <f t="shared" si="9"/>
        <v>0</v>
      </c>
      <c r="P22" s="57">
        <f t="shared" si="9"/>
        <v>96781</v>
      </c>
      <c r="Q22" s="57">
        <f t="shared" si="9"/>
        <v>24855</v>
      </c>
      <c r="R22" s="58">
        <v>0</v>
      </c>
      <c r="S22" s="57">
        <f t="shared" ref="S22:Z22" si="10">SUM(S19:S21)</f>
        <v>4519</v>
      </c>
      <c r="T22" s="58">
        <f t="shared" si="10"/>
        <v>0</v>
      </c>
      <c r="U22" s="57">
        <f t="shared" si="10"/>
        <v>7000</v>
      </c>
      <c r="V22" s="57">
        <f t="shared" si="10"/>
        <v>9700</v>
      </c>
      <c r="W22" s="57">
        <f t="shared" si="10"/>
        <v>5040</v>
      </c>
      <c r="X22" s="57">
        <f t="shared" si="10"/>
        <v>453</v>
      </c>
      <c r="Y22" s="57">
        <f t="shared" si="10"/>
        <v>30</v>
      </c>
      <c r="Z22" s="58">
        <f t="shared" si="10"/>
        <v>0</v>
      </c>
      <c r="AA22" s="58">
        <v>0</v>
      </c>
      <c r="AB22" s="58">
        <f>SUM(AB19:AB21)</f>
        <v>0</v>
      </c>
      <c r="AC22" s="57">
        <f>SUM(AC19:AC21)</f>
        <v>51597</v>
      </c>
      <c r="AD22" s="57">
        <f>SUM(AD19:AD21)</f>
        <v>45184</v>
      </c>
      <c r="AE22" s="100"/>
      <c r="AF22" s="154"/>
      <c r="AG22" s="154"/>
      <c r="AH22" s="154"/>
    </row>
    <row r="23" spans="2:39" s="46" customFormat="1" ht="19.5" customHeight="1" x14ac:dyDescent="0.25">
      <c r="B23" s="60"/>
      <c r="C23" s="47" t="s">
        <v>13</v>
      </c>
      <c r="D23" s="48"/>
      <c r="E23" s="61">
        <f t="shared" ref="E23:O23" si="11">E18</f>
        <v>280420</v>
      </c>
      <c r="F23" s="62">
        <f t="shared" si="11"/>
        <v>0</v>
      </c>
      <c r="G23" s="61">
        <f t="shared" si="11"/>
        <v>280420</v>
      </c>
      <c r="H23" s="61">
        <f t="shared" si="11"/>
        <v>200</v>
      </c>
      <c r="I23" s="61">
        <f t="shared" si="11"/>
        <v>2500</v>
      </c>
      <c r="J23" s="61">
        <f t="shared" si="11"/>
        <v>104451</v>
      </c>
      <c r="K23" s="61">
        <f t="shared" si="11"/>
        <v>12000</v>
      </c>
      <c r="L23" s="62">
        <f t="shared" si="11"/>
        <v>0</v>
      </c>
      <c r="M23" s="88">
        <f>M18</f>
        <v>399571</v>
      </c>
      <c r="N23" s="61">
        <f>N18</f>
        <v>112341</v>
      </c>
      <c r="O23" s="61">
        <f t="shared" si="11"/>
        <v>9309</v>
      </c>
      <c r="P23" s="49">
        <f>P18</f>
        <v>521221</v>
      </c>
      <c r="Q23" s="61">
        <f>Q18</f>
        <v>112341</v>
      </c>
      <c r="R23" s="62">
        <v>0</v>
      </c>
      <c r="S23" s="61">
        <f t="shared" ref="S23:AD23" si="12">S18</f>
        <v>42228</v>
      </c>
      <c r="T23" s="62">
        <f t="shared" si="12"/>
        <v>9309</v>
      </c>
      <c r="U23" s="61">
        <f t="shared" si="12"/>
        <v>47988</v>
      </c>
      <c r="V23" s="61">
        <f t="shared" si="12"/>
        <v>23235</v>
      </c>
      <c r="W23" s="62">
        <f t="shared" si="12"/>
        <v>0</v>
      </c>
      <c r="X23" s="61">
        <f t="shared" si="12"/>
        <v>1570</v>
      </c>
      <c r="Y23" s="62">
        <f t="shared" si="12"/>
        <v>80</v>
      </c>
      <c r="Z23" s="62">
        <f t="shared" si="12"/>
        <v>6</v>
      </c>
      <c r="AA23" s="62">
        <f>AA18</f>
        <v>1056</v>
      </c>
      <c r="AB23" s="62">
        <f t="shared" si="12"/>
        <v>3775</v>
      </c>
      <c r="AC23" s="62">
        <f t="shared" si="12"/>
        <v>241588</v>
      </c>
      <c r="AD23" s="61">
        <f t="shared" si="12"/>
        <v>279633</v>
      </c>
      <c r="AE23" s="55"/>
      <c r="AF23" s="102"/>
      <c r="AG23" s="102"/>
      <c r="AH23" s="102"/>
      <c r="AI23" s="102"/>
      <c r="AJ23" s="102"/>
      <c r="AK23" s="102"/>
    </row>
    <row r="24" spans="2:39" s="46" customFormat="1" ht="18" customHeight="1" x14ac:dyDescent="0.25">
      <c r="B24" s="47"/>
      <c r="C24" s="63" t="s">
        <v>14</v>
      </c>
      <c r="D24" s="93"/>
      <c r="E24" s="57">
        <f>E22+E23</f>
        <v>325610</v>
      </c>
      <c r="F24" s="58">
        <f>F22+F23</f>
        <v>0</v>
      </c>
      <c r="G24" s="57">
        <f>G22+G23</f>
        <v>325610</v>
      </c>
      <c r="H24" s="57">
        <f t="shared" ref="H24:AB24" si="13">H22+H23</f>
        <v>200</v>
      </c>
      <c r="I24" s="57">
        <f t="shared" si="13"/>
        <v>5500</v>
      </c>
      <c r="J24" s="57">
        <f t="shared" si="13"/>
        <v>123387</v>
      </c>
      <c r="K24" s="57">
        <f t="shared" si="13"/>
        <v>16500</v>
      </c>
      <c r="L24" s="57">
        <f t="shared" si="13"/>
        <v>300</v>
      </c>
      <c r="M24" s="97">
        <f>M22+M23</f>
        <v>471497</v>
      </c>
      <c r="N24" s="57">
        <f>N22+N23</f>
        <v>137196</v>
      </c>
      <c r="O24" s="57">
        <f t="shared" si="13"/>
        <v>9309</v>
      </c>
      <c r="P24" s="57">
        <f>P22+P23</f>
        <v>618002</v>
      </c>
      <c r="Q24" s="57">
        <f>Q22+Q23</f>
        <v>137196</v>
      </c>
      <c r="R24" s="58">
        <f t="shared" si="13"/>
        <v>0</v>
      </c>
      <c r="S24" s="57">
        <f>S22+S23</f>
        <v>46747</v>
      </c>
      <c r="T24" s="57">
        <f>T22+T23</f>
        <v>9309</v>
      </c>
      <c r="U24" s="57">
        <f>U22+U23</f>
        <v>54988</v>
      </c>
      <c r="V24" s="57">
        <f>V22+V23</f>
        <v>32935</v>
      </c>
      <c r="W24" s="57">
        <f t="shared" si="13"/>
        <v>5040</v>
      </c>
      <c r="X24" s="57">
        <f>X22+X23</f>
        <v>2023</v>
      </c>
      <c r="Y24" s="57">
        <f>Y22+Y23</f>
        <v>110</v>
      </c>
      <c r="Z24" s="58">
        <f t="shared" si="13"/>
        <v>6</v>
      </c>
      <c r="AA24" s="57">
        <f>AA22+AA23</f>
        <v>1056</v>
      </c>
      <c r="AB24" s="57">
        <f t="shared" si="13"/>
        <v>3775</v>
      </c>
      <c r="AC24" s="57">
        <f>AC22+AC23</f>
        <v>293185</v>
      </c>
      <c r="AD24" s="57">
        <f>AD22+AD23</f>
        <v>324817</v>
      </c>
      <c r="AE24" s="102"/>
      <c r="AI24" s="123"/>
      <c r="AJ24" s="123"/>
      <c r="AK24" s="102">
        <f>AK8+AK20</f>
        <v>293185</v>
      </c>
      <c r="AL24" s="102"/>
      <c r="AM24" s="123"/>
    </row>
    <row r="25" spans="2:39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3000</v>
      </c>
      <c r="J25" s="65">
        <f>SUM(J19:J22)</f>
        <v>37872</v>
      </c>
      <c r="K25" s="65">
        <f>SUM(K22)</f>
        <v>4500</v>
      </c>
      <c r="L25" s="65">
        <f>SUM(L22)</f>
        <v>300</v>
      </c>
      <c r="M25" s="65">
        <f>SUM(M19:M22)</f>
        <v>143852</v>
      </c>
      <c r="N25" s="65">
        <f>SUM(N22)</f>
        <v>24855</v>
      </c>
      <c r="O25" s="65">
        <f>SUM(O22)</f>
        <v>0</v>
      </c>
      <c r="P25" s="65">
        <f>SUM(P19:P22)</f>
        <v>193562</v>
      </c>
      <c r="Q25" s="65">
        <f>SUM(Q22)</f>
        <v>24855</v>
      </c>
      <c r="R25" s="65">
        <f>SUM(R19:R22)</f>
        <v>30</v>
      </c>
      <c r="S25" s="66">
        <f>SUM(S19:S22)</f>
        <v>9038</v>
      </c>
      <c r="T25" s="66">
        <f>SUM(T22)</f>
        <v>0</v>
      </c>
      <c r="U25" s="65">
        <f>SUM(U19:U22)</f>
        <v>14000</v>
      </c>
      <c r="V25" s="65">
        <f t="shared" ref="V25:AB25" si="14">SUM(V22)</f>
        <v>9700</v>
      </c>
      <c r="W25" s="67">
        <f t="shared" si="14"/>
        <v>5040</v>
      </c>
      <c r="X25" s="68">
        <f t="shared" si="14"/>
        <v>453</v>
      </c>
      <c r="Y25" s="67">
        <f t="shared" si="14"/>
        <v>30</v>
      </c>
      <c r="Z25" s="65">
        <f t="shared" si="14"/>
        <v>0</v>
      </c>
      <c r="AA25" s="65"/>
      <c r="AB25" s="65">
        <f t="shared" si="14"/>
        <v>0</v>
      </c>
      <c r="AC25" s="52">
        <f>Q25+S25+T25+U25+V25+W25+X25+Y25+Z25</f>
        <v>63116</v>
      </c>
      <c r="AD25" s="65">
        <f>SUM(AD19:AD22)</f>
        <v>90368</v>
      </c>
      <c r="AE25" s="69"/>
    </row>
    <row r="26" spans="2:39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3"/>
      <c r="T26" s="73"/>
      <c r="U26" s="69"/>
      <c r="V26" s="69"/>
      <c r="W26" s="74"/>
      <c r="X26" s="75"/>
      <c r="Y26" s="74"/>
      <c r="Z26" s="69"/>
      <c r="AA26" s="69"/>
      <c r="AB26" s="69"/>
      <c r="AC26" s="69"/>
      <c r="AD26" s="69"/>
      <c r="AE26" s="69"/>
    </row>
    <row r="27" spans="2:39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3"/>
      <c r="T27" s="73"/>
      <c r="U27" s="69"/>
      <c r="V27" s="69"/>
      <c r="W27" s="74"/>
      <c r="X27" s="75"/>
      <c r="Y27" s="74"/>
      <c r="Z27" s="69"/>
      <c r="AA27" s="69"/>
      <c r="AB27" s="69"/>
      <c r="AC27" s="69"/>
      <c r="AD27" s="69"/>
      <c r="AE27" s="69"/>
    </row>
    <row r="28" spans="2:39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73"/>
      <c r="T28" s="73"/>
      <c r="U28" s="69"/>
      <c r="V28" s="69"/>
      <c r="W28" s="74"/>
      <c r="X28" s="75"/>
      <c r="Y28" s="74"/>
      <c r="Z28" s="69"/>
      <c r="AA28" s="69"/>
      <c r="AB28" s="69"/>
      <c r="AC28" s="69"/>
      <c r="AD28" s="69"/>
      <c r="AE28" s="69"/>
    </row>
    <row r="29" spans="2:39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7"/>
      <c r="X29" s="77"/>
      <c r="Y29" s="77"/>
      <c r="Z29" s="76"/>
      <c r="AA29" s="76"/>
      <c r="AB29" s="76"/>
      <c r="AC29" s="76"/>
      <c r="AD29" s="76"/>
      <c r="AE29" s="76"/>
    </row>
    <row r="30" spans="2:39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3"/>
      <c r="T30" s="73"/>
      <c r="U30" s="69"/>
      <c r="V30" s="69"/>
      <c r="W30" s="74"/>
      <c r="X30" s="75"/>
      <c r="Y30" s="74"/>
      <c r="Z30" s="69"/>
      <c r="AA30" s="69"/>
      <c r="AB30" s="69"/>
      <c r="AC30" s="69"/>
      <c r="AD30" s="69"/>
      <c r="AE30" s="69"/>
    </row>
    <row r="31" spans="2:39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73"/>
      <c r="U31" s="69"/>
      <c r="V31" s="69"/>
      <c r="W31" s="74"/>
      <c r="X31" s="75"/>
      <c r="Y31" s="74"/>
      <c r="Z31" s="69"/>
      <c r="AA31" s="69"/>
      <c r="AB31" s="69"/>
      <c r="AC31" s="69"/>
      <c r="AD31" s="69"/>
      <c r="AE31" s="69"/>
    </row>
    <row r="32" spans="2:39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7"/>
      <c r="X32" s="77"/>
      <c r="Y32" s="77"/>
      <c r="Z32" s="76"/>
      <c r="AA32" s="76"/>
      <c r="AB32" s="76"/>
      <c r="AC32" s="76"/>
      <c r="AD32" s="76"/>
      <c r="AE32" s="76"/>
    </row>
    <row r="33" spans="1:247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7"/>
      <c r="X33" s="77"/>
      <c r="Y33" s="77"/>
      <c r="Z33" s="76"/>
      <c r="AA33" s="76"/>
      <c r="AB33" s="76"/>
      <c r="AC33" s="76"/>
      <c r="AD33" s="76"/>
      <c r="AE33" s="76"/>
    </row>
    <row r="34" spans="1:247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73"/>
      <c r="T34" s="73"/>
      <c r="U34" s="69"/>
      <c r="V34" s="69"/>
      <c r="W34" s="74"/>
      <c r="X34" s="75"/>
      <c r="Y34" s="74"/>
      <c r="Z34" s="69"/>
      <c r="AA34" s="69"/>
      <c r="AB34" s="69"/>
      <c r="AC34" s="69"/>
      <c r="AD34" s="69"/>
      <c r="AE34" s="69"/>
    </row>
    <row r="35" spans="1:247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7"/>
      <c r="X35" s="77"/>
      <c r="Y35" s="77"/>
      <c r="Z35" s="76"/>
      <c r="AA35" s="76"/>
      <c r="AB35" s="76"/>
      <c r="AC35" s="76"/>
      <c r="AD35" s="76"/>
      <c r="AE35" s="76"/>
    </row>
    <row r="36" spans="1:247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2"/>
      <c r="X36" s="82"/>
      <c r="Y36" s="82"/>
      <c r="Z36" s="79"/>
      <c r="AA36" s="79"/>
      <c r="AB36" s="79"/>
      <c r="AC36" s="79"/>
      <c r="AD36" s="79"/>
      <c r="AE36" s="79"/>
    </row>
    <row r="37" spans="1:247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83"/>
      <c r="AB37" s="84"/>
      <c r="AC37" s="84"/>
      <c r="AD37" s="84"/>
      <c r="AE37" s="85"/>
      <c r="AK37" s="153"/>
    </row>
    <row r="38" spans="1:247" s="181" customFormat="1" ht="48" customHeight="1" x14ac:dyDescent="0.2">
      <c r="A38" s="628"/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628"/>
      <c r="AB38" s="628"/>
      <c r="AC38" s="628"/>
      <c r="AD38" s="628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 t="s">
        <v>81</v>
      </c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 t="s">
        <v>81</v>
      </c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 t="s">
        <v>81</v>
      </c>
      <c r="EW38" s="137"/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 t="s">
        <v>81</v>
      </c>
      <c r="GC38" s="137"/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 t="s">
        <v>81</v>
      </c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</row>
    <row r="39" spans="1:247" ht="17.25" customHeight="1" x14ac:dyDescent="0.25">
      <c r="B39" s="22"/>
      <c r="D39" s="616" t="s">
        <v>122</v>
      </c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616"/>
      <c r="AB39" s="616"/>
      <c r="AC39" s="616"/>
      <c r="AD39" s="616"/>
      <c r="AE39" s="22"/>
    </row>
    <row r="40" spans="1:247" ht="13.5" customHeight="1" x14ac:dyDescent="0.2">
      <c r="B40" s="616" t="s">
        <v>124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23"/>
    </row>
    <row r="41" spans="1:247" ht="24.95" customHeight="1" x14ac:dyDescent="0.25">
      <c r="B41" s="22"/>
      <c r="C41" s="135"/>
      <c r="D41" s="14"/>
      <c r="E41" s="22"/>
      <c r="F41" s="22"/>
      <c r="G41" s="22"/>
      <c r="H41" s="22"/>
      <c r="I41" s="5"/>
      <c r="J41" s="5"/>
      <c r="K41" s="5"/>
      <c r="L41" s="5"/>
      <c r="M41" s="5"/>
      <c r="N41" s="5"/>
      <c r="O41" s="5"/>
      <c r="P41" s="179"/>
      <c r="Q41" s="5"/>
      <c r="R41" s="5"/>
      <c r="S41" s="5"/>
      <c r="T41" s="5"/>
      <c r="U41" s="5"/>
      <c r="V41" s="5"/>
      <c r="W41" s="2"/>
      <c r="X41" s="2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L41" s="617"/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</row>
    <row r="42" spans="1:247" ht="16.5" customHeight="1" x14ac:dyDescent="0.25"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26"/>
      <c r="O42" s="5"/>
      <c r="P42" s="5"/>
      <c r="Q42" s="47"/>
      <c r="R42" s="617"/>
      <c r="S42" s="617"/>
      <c r="T42" s="617"/>
      <c r="U42" s="617"/>
      <c r="V42" s="617"/>
      <c r="W42" s="617"/>
      <c r="X42" s="617"/>
      <c r="Y42" s="617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</row>
    <row r="43" spans="1:247" ht="16.5" customHeight="1" x14ac:dyDescent="0.25">
      <c r="B43" s="5"/>
      <c r="E43" s="9"/>
      <c r="F43" s="10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1"/>
      <c r="X43" s="11"/>
      <c r="Z43" s="11"/>
      <c r="AA43" s="11"/>
      <c r="AB43" s="5"/>
      <c r="AC43" s="5"/>
      <c r="AD43" s="5"/>
      <c r="AE43" s="5"/>
    </row>
    <row r="44" spans="1:247" ht="16.5" customHeight="1" x14ac:dyDescent="0.25">
      <c r="B44" s="5"/>
      <c r="E44" s="9"/>
      <c r="F44" s="10"/>
      <c r="G44" s="9"/>
      <c r="H44" s="9"/>
      <c r="I44" s="4"/>
      <c r="J44" s="4"/>
      <c r="K44" s="14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12"/>
      <c r="Y44" s="12"/>
      <c r="Z44" s="11"/>
      <c r="AA44" s="11"/>
      <c r="AB44" s="5"/>
      <c r="AC44" s="5"/>
      <c r="AD44" s="5"/>
      <c r="AE44" s="5"/>
    </row>
    <row r="45" spans="1:247" ht="16.5" customHeight="1" x14ac:dyDescent="0.25">
      <c r="B45" s="5"/>
      <c r="D45" s="158"/>
      <c r="E45" s="156"/>
      <c r="F45" s="157"/>
      <c r="G45" s="15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1"/>
      <c r="X45" s="11"/>
      <c r="Y45" s="11"/>
      <c r="Z45" s="11"/>
      <c r="AA45" s="11"/>
      <c r="AB45" s="5"/>
      <c r="AC45" s="5"/>
      <c r="AD45" s="5"/>
      <c r="AE45" s="5"/>
    </row>
    <row r="46" spans="1:247" ht="24.95" customHeight="1" x14ac:dyDescent="0.25">
      <c r="B46" s="2"/>
      <c r="C46" s="14"/>
      <c r="D46" s="158"/>
      <c r="E46" s="158"/>
      <c r="F46" s="158"/>
      <c r="G46" s="1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Z46" s="12"/>
      <c r="AA46" s="12"/>
      <c r="AB46" s="3"/>
      <c r="AC46" s="2"/>
      <c r="AD46" s="3"/>
      <c r="AE46" s="2"/>
    </row>
    <row r="47" spans="1:247" ht="24.95" customHeight="1" x14ac:dyDescent="0.25">
      <c r="B47" s="2"/>
      <c r="C47" s="14"/>
      <c r="D47" s="158"/>
      <c r="E47" s="158"/>
      <c r="F47" s="158"/>
      <c r="G47" s="158"/>
      <c r="H47" s="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12"/>
      <c r="Y47" s="12"/>
      <c r="Z47" s="12"/>
      <c r="AA47" s="12"/>
      <c r="AB47" s="3"/>
      <c r="AC47" s="2"/>
      <c r="AD47" s="3"/>
      <c r="AE47" s="2"/>
    </row>
    <row r="48" spans="1:247" ht="24.95" customHeight="1" x14ac:dyDescent="0.25">
      <c r="B48" s="2"/>
      <c r="C48" s="14"/>
      <c r="D48" s="158"/>
      <c r="E48" s="158"/>
      <c r="F48" s="158"/>
      <c r="G48" s="158"/>
      <c r="H48" s="2"/>
      <c r="Y48" s="12"/>
      <c r="Z48" s="12"/>
      <c r="AA48" s="12"/>
      <c r="AB48" s="3"/>
      <c r="AC48" s="2"/>
      <c r="AD48" s="2"/>
      <c r="AE48" s="2"/>
    </row>
    <row r="49" spans="2:78" ht="24.95" customHeight="1" x14ac:dyDescent="0.25">
      <c r="B49" s="5"/>
      <c r="C49" s="14"/>
      <c r="D49" s="158"/>
      <c r="E49" s="158"/>
      <c r="F49" s="158"/>
      <c r="G49" s="158"/>
      <c r="H49" s="5"/>
      <c r="W49" s="11"/>
      <c r="X49" s="11"/>
      <c r="Y49" s="11"/>
      <c r="Z49" s="11"/>
      <c r="AA49" s="11"/>
      <c r="AB49" s="5"/>
      <c r="AC49" s="5"/>
      <c r="AD49" s="5"/>
      <c r="AE49" s="5"/>
      <c r="BS49" s="166"/>
      <c r="BT49" s="166"/>
      <c r="BU49" s="167"/>
      <c r="BV49" s="166"/>
      <c r="BW49" s="167"/>
      <c r="BX49" s="2"/>
      <c r="BY49" s="2"/>
      <c r="BZ49" s="2"/>
    </row>
    <row r="50" spans="2:78" ht="24.95" customHeight="1" x14ac:dyDescent="0.25">
      <c r="C50" s="14"/>
      <c r="D50" s="158"/>
      <c r="E50" s="158"/>
      <c r="F50" s="158"/>
      <c r="G50" s="158"/>
      <c r="K50" s="134"/>
      <c r="L50" s="158"/>
      <c r="M50" s="156"/>
      <c r="N50" s="159"/>
      <c r="O50" s="159"/>
      <c r="BS50" s="166"/>
      <c r="BT50" s="166"/>
      <c r="BU50" s="167"/>
      <c r="BV50" s="166"/>
      <c r="BW50" s="167"/>
      <c r="BX50" s="2"/>
      <c r="BY50" s="2"/>
      <c r="BZ50" s="2"/>
    </row>
    <row r="51" spans="2:78" ht="24.95" customHeight="1" x14ac:dyDescent="0.25">
      <c r="D51" s="158"/>
      <c r="E51" s="158"/>
      <c r="F51" s="158"/>
      <c r="G51" s="158"/>
      <c r="K51" s="14"/>
      <c r="L51" s="158"/>
      <c r="M51" s="158"/>
      <c r="N51" s="159"/>
      <c r="O51" s="158"/>
      <c r="BS51" s="166"/>
      <c r="BT51" s="166"/>
      <c r="BU51" s="167"/>
      <c r="BV51" s="166"/>
      <c r="BW51" s="167"/>
      <c r="BX51" s="2"/>
      <c r="BY51" s="2"/>
      <c r="BZ51" s="2"/>
    </row>
    <row r="52" spans="2:78" ht="24.95" customHeight="1" x14ac:dyDescent="0.25">
      <c r="D52" s="158"/>
      <c r="E52" s="158"/>
      <c r="F52" s="158"/>
      <c r="G52" s="158"/>
      <c r="K52" s="14"/>
      <c r="L52" s="158"/>
      <c r="M52" s="158"/>
      <c r="N52" s="159"/>
      <c r="O52" s="158"/>
      <c r="BS52" s="166"/>
      <c r="BT52" s="166"/>
      <c r="BU52" s="167"/>
      <c r="BV52" s="166"/>
      <c r="BW52" s="167"/>
      <c r="BX52" s="2"/>
      <c r="BY52" s="2"/>
      <c r="BZ52" s="2"/>
    </row>
    <row r="53" spans="2:78" ht="24.95" customHeight="1" x14ac:dyDescent="0.25">
      <c r="D53" s="158"/>
      <c r="E53" s="158"/>
      <c r="F53" s="158"/>
      <c r="G53" s="158"/>
      <c r="K53" s="14"/>
      <c r="L53" s="158"/>
      <c r="M53" s="158"/>
      <c r="N53" s="159"/>
      <c r="O53" s="158"/>
      <c r="BS53" s="166"/>
      <c r="BT53" s="166"/>
      <c r="BU53" s="167"/>
      <c r="BV53" s="166"/>
      <c r="BW53" s="167"/>
      <c r="BX53" s="2"/>
      <c r="BY53" s="2"/>
      <c r="BZ53" s="2"/>
    </row>
    <row r="54" spans="2:78" ht="24.95" customHeight="1" x14ac:dyDescent="0.25">
      <c r="D54" s="158"/>
      <c r="E54" s="158"/>
      <c r="F54" s="158"/>
      <c r="G54" s="158"/>
      <c r="K54" s="14"/>
      <c r="L54" s="158"/>
      <c r="M54" s="158"/>
      <c r="N54" s="159"/>
      <c r="O54" s="158"/>
      <c r="BS54" s="166"/>
      <c r="BT54" s="166"/>
      <c r="BU54" s="167"/>
      <c r="BV54" s="166"/>
      <c r="BW54" s="167"/>
      <c r="BX54" s="2"/>
      <c r="BY54" s="2"/>
      <c r="BZ54" s="2"/>
    </row>
    <row r="55" spans="2:78" ht="24.95" customHeight="1" x14ac:dyDescent="0.25">
      <c r="D55" s="158"/>
      <c r="E55" s="158"/>
      <c r="F55" s="158"/>
      <c r="G55" s="158"/>
      <c r="K55" s="14"/>
      <c r="L55" s="158"/>
      <c r="M55" s="158"/>
      <c r="N55" s="159"/>
      <c r="O55" s="158"/>
      <c r="BS55" s="166"/>
      <c r="BT55" s="166"/>
      <c r="BU55" s="167"/>
      <c r="BV55" s="166"/>
      <c r="BW55" s="167"/>
      <c r="BX55" s="2"/>
      <c r="BY55" s="2"/>
      <c r="BZ55" s="2"/>
    </row>
    <row r="56" spans="2:78" ht="24.95" customHeight="1" x14ac:dyDescent="0.25">
      <c r="D56" s="158"/>
      <c r="E56" s="158"/>
      <c r="F56" s="158"/>
      <c r="G56" s="158"/>
      <c r="K56" s="134"/>
      <c r="L56" s="158"/>
      <c r="M56" s="158"/>
      <c r="N56" s="159"/>
      <c r="O56" s="158"/>
      <c r="BS56" s="167"/>
      <c r="BT56" s="167"/>
      <c r="BU56" s="167"/>
      <c r="BV56" s="167"/>
      <c r="BW56" s="168"/>
      <c r="BX56" s="2"/>
      <c r="BY56" s="2"/>
      <c r="BZ56" s="2"/>
    </row>
    <row r="57" spans="2:78" ht="24.95" customHeight="1" x14ac:dyDescent="0.25">
      <c r="D57" s="158"/>
      <c r="E57" s="158"/>
      <c r="F57" s="158"/>
      <c r="G57" s="158"/>
      <c r="K57" s="134"/>
      <c r="L57" s="158"/>
      <c r="M57" s="158"/>
      <c r="N57" s="159"/>
      <c r="O57" s="158"/>
      <c r="BU57" s="169"/>
    </row>
    <row r="58" spans="2:78" ht="24.95" customHeight="1" x14ac:dyDescent="0.25">
      <c r="D58" s="158"/>
      <c r="E58" s="158"/>
      <c r="F58" s="158"/>
      <c r="G58" s="158"/>
      <c r="K58" s="134"/>
      <c r="L58" s="158"/>
      <c r="M58" s="158"/>
      <c r="N58" s="159"/>
      <c r="O58" s="158"/>
      <c r="BU58" s="170">
        <f>SUM(BU56:BU57)</f>
        <v>0</v>
      </c>
    </row>
    <row r="59" spans="2:78" ht="24.95" customHeight="1" x14ac:dyDescent="0.25">
      <c r="D59" s="158"/>
      <c r="E59" s="158"/>
      <c r="F59" s="158"/>
      <c r="G59" s="158"/>
      <c r="K59" s="134"/>
      <c r="L59" s="158"/>
      <c r="M59" s="158"/>
      <c r="N59" s="159"/>
      <c r="O59" s="158"/>
    </row>
    <row r="60" spans="2:78" ht="24.95" customHeight="1" x14ac:dyDescent="0.25">
      <c r="D60" s="158"/>
      <c r="E60" s="158"/>
      <c r="F60" s="158"/>
      <c r="G60" s="158"/>
      <c r="K60" s="134"/>
      <c r="L60" s="158"/>
      <c r="M60" s="158"/>
      <c r="N60" s="159"/>
      <c r="O60" s="158"/>
    </row>
    <row r="61" spans="2:78" ht="18.75" customHeight="1" x14ac:dyDescent="0.25">
      <c r="G61" s="158"/>
      <c r="K61" s="134"/>
      <c r="L61" s="158"/>
      <c r="M61" s="158"/>
      <c r="N61" s="159"/>
      <c r="O61" s="158"/>
    </row>
    <row r="62" spans="2:78" ht="24.95" customHeight="1" x14ac:dyDescent="0.25">
      <c r="K62" s="134"/>
      <c r="L62" s="158"/>
      <c r="M62" s="158"/>
      <c r="N62" s="159"/>
      <c r="O62" s="158"/>
    </row>
    <row r="63" spans="2:78" ht="24.95" customHeight="1" x14ac:dyDescent="0.25">
      <c r="K63" s="134"/>
      <c r="L63" s="158"/>
      <c r="M63" s="158"/>
      <c r="N63" s="159"/>
      <c r="O63" s="158"/>
    </row>
    <row r="64" spans="2:78" ht="24.95" customHeight="1" x14ac:dyDescent="0.25">
      <c r="K64" s="134"/>
      <c r="L64" s="158"/>
      <c r="M64" s="158"/>
      <c r="N64" s="159"/>
      <c r="O64" s="158"/>
    </row>
    <row r="65" spans="11:15" ht="24.95" customHeight="1" x14ac:dyDescent="0.25">
      <c r="K65" s="134"/>
      <c r="L65" s="158"/>
      <c r="M65" s="158"/>
      <c r="N65" s="159"/>
      <c r="O65" s="158"/>
    </row>
    <row r="66" spans="11:15" ht="24.95" customHeight="1" x14ac:dyDescent="0.25">
      <c r="K66" s="134"/>
      <c r="L66" s="15"/>
      <c r="N66" s="158"/>
      <c r="O66" s="158"/>
    </row>
  </sheetData>
  <mergeCells count="11">
    <mergeCell ref="A38:AD38"/>
    <mergeCell ref="B1:AD1"/>
    <mergeCell ref="B2:AD4"/>
    <mergeCell ref="J6:Q6"/>
    <mergeCell ref="Q8:AB8"/>
    <mergeCell ref="C37:Z37"/>
    <mergeCell ref="D39:AD39"/>
    <mergeCell ref="B40:AD40"/>
    <mergeCell ref="Y41:AW41"/>
    <mergeCell ref="C42:M42"/>
    <mergeCell ref="R42:AP42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66"/>
  <sheetViews>
    <sheetView zoomScale="85" zoomScaleNormal="85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J15" sqref="J15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140625" style="134" customWidth="1"/>
    <col min="4" max="4" width="17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.140625" customWidth="1"/>
    <col min="10" max="10" width="8.7109375" customWidth="1"/>
    <col min="11" max="11" width="6.28515625" customWidth="1"/>
    <col min="12" max="12" width="5" customWidth="1"/>
    <col min="13" max="14" width="7" customWidth="1"/>
    <col min="15" max="15" width="5.7109375" customWidth="1"/>
    <col min="16" max="17" width="7.42578125" customWidth="1"/>
    <col min="18" max="18" width="4.42578125" customWidth="1"/>
    <col min="19" max="19" width="6.28515625" customWidth="1"/>
    <col min="20" max="20" width="5.5703125" customWidth="1"/>
    <col min="21" max="21" width="7.42578125" customWidth="1"/>
    <col min="22" max="22" width="5.85546875" customWidth="1"/>
    <col min="23" max="23" width="5.28515625" style="1" customWidth="1"/>
    <col min="24" max="24" width="5" style="1" customWidth="1"/>
    <col min="25" max="25" width="4.42578125" style="1" customWidth="1"/>
    <col min="26" max="26" width="3.85546875" style="1" customWidth="1"/>
    <col min="27" max="27" width="5.85546875" style="1" customWidth="1"/>
    <col min="28" max="28" width="6" customWidth="1"/>
    <col min="29" max="29" width="7.28515625" customWidth="1"/>
    <col min="30" max="30" width="8.28515625" customWidth="1"/>
    <col min="31" max="31" width="6.85546875" customWidth="1"/>
    <col min="32" max="32" width="10.28515625" customWidth="1"/>
    <col min="33" max="33" width="8.5703125" customWidth="1"/>
    <col min="34" max="34" width="11.5703125" customWidth="1"/>
    <col min="35" max="35" width="12" customWidth="1"/>
    <col min="36" max="36" width="8.140625" customWidth="1"/>
    <col min="37" max="37" width="8.85546875" customWidth="1"/>
    <col min="38" max="38" width="8.5703125" customWidth="1"/>
    <col min="41" max="41" width="12.42578125" customWidth="1"/>
    <col min="73" max="73" width="14.5703125" customWidth="1"/>
    <col min="74" max="74" width="14.85546875" customWidth="1"/>
    <col min="75" max="76" width="12.28515625" customWidth="1"/>
    <col min="77" max="77" width="11.140625" customWidth="1"/>
  </cols>
  <sheetData>
    <row r="1" spans="1:39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171"/>
      <c r="AF1" s="171"/>
      <c r="AG1" s="19"/>
    </row>
    <row r="2" spans="1:39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21"/>
      <c r="AF2" s="21"/>
      <c r="AG2" s="20"/>
    </row>
    <row r="3" spans="1:39" ht="0.75" hidden="1" customHeight="1" x14ac:dyDescent="0.4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21"/>
      <c r="AF3" s="21"/>
      <c r="AG3" s="28"/>
    </row>
    <row r="4" spans="1:39" ht="0.75" customHeight="1" x14ac:dyDescent="0.4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172"/>
      <c r="AF4" s="172"/>
      <c r="AG4" s="28"/>
    </row>
    <row r="5" spans="1:39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5"/>
      <c r="AE5" s="35"/>
      <c r="AF5" s="35"/>
      <c r="AG5" s="28"/>
    </row>
    <row r="6" spans="1:39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622" t="s">
        <v>125</v>
      </c>
      <c r="K6" s="622"/>
      <c r="L6" s="622"/>
      <c r="M6" s="622"/>
      <c r="N6" s="622"/>
      <c r="O6" s="622"/>
      <c r="P6" s="622"/>
      <c r="Q6" s="622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73"/>
      <c r="AF6" s="173"/>
    </row>
    <row r="7" spans="1:39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30" t="s">
        <v>28</v>
      </c>
      <c r="J7" s="30" t="s">
        <v>25</v>
      </c>
      <c r="K7" s="30" t="s">
        <v>49</v>
      </c>
      <c r="L7" s="30" t="s">
        <v>48</v>
      </c>
      <c r="M7" s="32" t="s">
        <v>2</v>
      </c>
      <c r="N7" s="129" t="s">
        <v>38</v>
      </c>
      <c r="O7" s="130" t="s">
        <v>52</v>
      </c>
      <c r="P7" s="30" t="s">
        <v>10</v>
      </c>
      <c r="Q7" s="129" t="s">
        <v>38</v>
      </c>
      <c r="R7" s="136" t="s">
        <v>126</v>
      </c>
      <c r="S7" s="30" t="s">
        <v>41</v>
      </c>
      <c r="T7" s="30" t="s">
        <v>39</v>
      </c>
      <c r="U7" s="30" t="s">
        <v>29</v>
      </c>
      <c r="V7" s="30" t="s">
        <v>31</v>
      </c>
      <c r="W7" s="30" t="s">
        <v>50</v>
      </c>
      <c r="X7" s="30" t="s">
        <v>7</v>
      </c>
      <c r="Y7" s="30" t="s">
        <v>51</v>
      </c>
      <c r="Z7" s="30" t="s">
        <v>26</v>
      </c>
      <c r="AA7" s="30" t="s">
        <v>74</v>
      </c>
      <c r="AB7" s="30" t="s">
        <v>77</v>
      </c>
      <c r="AC7" s="30" t="s">
        <v>11</v>
      </c>
      <c r="AD7" s="30" t="s">
        <v>9</v>
      </c>
      <c r="AE7" s="174"/>
      <c r="AF7" s="174"/>
      <c r="AG7" s="28"/>
      <c r="AH7" s="142" t="s">
        <v>53</v>
      </c>
      <c r="AI7" s="126" t="s">
        <v>67</v>
      </c>
      <c r="AJ7" s="126" t="s">
        <v>68</v>
      </c>
      <c r="AK7" s="126" t="s">
        <v>69</v>
      </c>
      <c r="AL7" s="126" t="s">
        <v>71</v>
      </c>
      <c r="AM7" s="152" t="s">
        <v>113</v>
      </c>
    </row>
    <row r="8" spans="1:39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2"/>
      <c r="N8" s="33"/>
      <c r="O8" s="33"/>
      <c r="P8" s="30"/>
      <c r="Q8" s="623" t="s">
        <v>35</v>
      </c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5"/>
      <c r="AC8" s="30"/>
      <c r="AD8" s="30"/>
      <c r="AE8" s="174"/>
      <c r="AF8" s="174"/>
      <c r="AG8" s="2"/>
      <c r="AH8" s="141">
        <f>+AA24</f>
        <v>1056</v>
      </c>
      <c r="AI8" s="141">
        <f>W22+S10+S11+S12+S13+S14+S15+S16+S17+S19+S20+S21+T12+T13+T16</f>
        <v>61096</v>
      </c>
      <c r="AJ8" s="141">
        <f>+X24+Z24</f>
        <v>2029</v>
      </c>
      <c r="AK8" s="141">
        <f>+N10+N11+N14+N15+N17+N19+N20+N21</f>
        <v>127887</v>
      </c>
      <c r="AL8" s="141">
        <f>+T18</f>
        <v>9309</v>
      </c>
      <c r="AM8" s="141">
        <f>AH8+AI8+AJ8+AK8+AL8</f>
        <v>201377</v>
      </c>
    </row>
    <row r="9" spans="1:39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7">
        <v>8</v>
      </c>
      <c r="J9" s="25">
        <v>9</v>
      </c>
      <c r="K9" s="25">
        <v>10</v>
      </c>
      <c r="L9" s="27">
        <v>11</v>
      </c>
      <c r="M9" s="25">
        <v>12</v>
      </c>
      <c r="N9" s="27">
        <v>13</v>
      </c>
      <c r="O9" s="25">
        <v>14</v>
      </c>
      <c r="P9" s="27">
        <v>15</v>
      </c>
      <c r="Q9" s="25">
        <v>16</v>
      </c>
      <c r="R9" s="27">
        <v>17</v>
      </c>
      <c r="S9" s="25">
        <v>18</v>
      </c>
      <c r="T9" s="27">
        <v>19</v>
      </c>
      <c r="U9" s="25">
        <v>20</v>
      </c>
      <c r="V9" s="27">
        <v>21</v>
      </c>
      <c r="W9" s="25">
        <v>22</v>
      </c>
      <c r="X9" s="27">
        <v>23</v>
      </c>
      <c r="Y9" s="25">
        <v>24</v>
      </c>
      <c r="Z9" s="27">
        <v>25</v>
      </c>
      <c r="AA9" s="27">
        <v>26</v>
      </c>
      <c r="AB9" s="25">
        <v>27</v>
      </c>
      <c r="AC9" s="27">
        <v>28</v>
      </c>
      <c r="AD9" s="25">
        <v>29</v>
      </c>
      <c r="AE9" s="175"/>
      <c r="AF9" s="175"/>
      <c r="AG9" s="22"/>
      <c r="AL9" s="131"/>
    </row>
    <row r="10" spans="1:39" s="39" customFormat="1" ht="20.100000000000001" customHeight="1" x14ac:dyDescent="0.2">
      <c r="B10" s="128">
        <v>1364</v>
      </c>
      <c r="C10" s="92" t="s">
        <v>78</v>
      </c>
      <c r="D10" s="41" t="s">
        <v>42</v>
      </c>
      <c r="E10" s="182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88">
        <f>ROUND((G10*35%),0)</f>
        <v>20496</v>
      </c>
      <c r="K10" s="89">
        <v>1500</v>
      </c>
      <c r="L10" s="43"/>
      <c r="M10" s="88">
        <f>G10+H10+I10+J10+K10+L10</f>
        <v>80756</v>
      </c>
      <c r="N10" s="89">
        <f>ROUND((G10*55%),0)</f>
        <v>32208</v>
      </c>
      <c r="O10" s="43">
        <v>0</v>
      </c>
      <c r="P10" s="89">
        <f t="shared" ref="P10:P17" si="1">ROUND((M10+N10+O10),0)</f>
        <v>112964</v>
      </c>
      <c r="Q10" s="122">
        <f t="shared" ref="Q10:Q17" si="2">N10</f>
        <v>32208</v>
      </c>
      <c r="R10" s="42">
        <v>10</v>
      </c>
      <c r="S10" s="54">
        <f>ROUND((G10*10%),0)</f>
        <v>5856</v>
      </c>
      <c r="T10" s="42">
        <v>0</v>
      </c>
      <c r="U10" s="52">
        <v>8400</v>
      </c>
      <c r="V10" s="42">
        <v>1310</v>
      </c>
      <c r="W10" s="42">
        <v>0</v>
      </c>
      <c r="X10" s="52">
        <v>200</v>
      </c>
      <c r="Y10" s="42">
        <v>10</v>
      </c>
      <c r="Z10" s="42">
        <v>6</v>
      </c>
      <c r="AA10" s="42">
        <v>1056</v>
      </c>
      <c r="AB10" s="98">
        <v>0</v>
      </c>
      <c r="AC10" s="52">
        <f t="shared" ref="AC10:AC17" si="3">ROUND((SUM(Q10:AB10)-R10),0)</f>
        <v>49046</v>
      </c>
      <c r="AD10" s="54">
        <f t="shared" ref="AD10:AD21" si="4">P10-AC10</f>
        <v>63918</v>
      </c>
      <c r="AE10" s="176"/>
      <c r="AF10" s="176"/>
      <c r="AG10" s="45"/>
      <c r="AI10" s="124"/>
      <c r="AJ10" s="124"/>
      <c r="AK10" s="124"/>
      <c r="AL10" s="124"/>
    </row>
    <row r="11" spans="1:39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88">
        <f>ROUND((G11*35%),0)</f>
        <v>17955</v>
      </c>
      <c r="K11" s="89">
        <v>1500</v>
      </c>
      <c r="L11" s="50">
        <v>0</v>
      </c>
      <c r="M11" s="88">
        <f t="shared" ref="M11:M22" si="5">G11+H11+I11+J11+K11+L11</f>
        <v>70755</v>
      </c>
      <c r="N11" s="89">
        <f>ROUND((G11*55%),0)</f>
        <v>28215</v>
      </c>
      <c r="O11" s="50">
        <v>0</v>
      </c>
      <c r="P11" s="89">
        <f t="shared" si="1"/>
        <v>98970</v>
      </c>
      <c r="Q11" s="122">
        <f t="shared" si="2"/>
        <v>28215</v>
      </c>
      <c r="R11" s="50">
        <v>15</v>
      </c>
      <c r="S11" s="54">
        <f>ROUND((G11*15%),0)</f>
        <v>7695</v>
      </c>
      <c r="T11" s="50">
        <v>0</v>
      </c>
      <c r="U11" s="49">
        <v>8600</v>
      </c>
      <c r="V11" s="53">
        <v>0</v>
      </c>
      <c r="W11" s="50">
        <v>0</v>
      </c>
      <c r="X11" s="49">
        <v>200</v>
      </c>
      <c r="Y11" s="50">
        <v>10</v>
      </c>
      <c r="Z11" s="50">
        <v>0</v>
      </c>
      <c r="AA11" s="50">
        <v>0</v>
      </c>
      <c r="AB11" s="50">
        <v>0</v>
      </c>
      <c r="AC11" s="52">
        <f t="shared" si="3"/>
        <v>44720</v>
      </c>
      <c r="AD11" s="54">
        <f t="shared" si="4"/>
        <v>54250</v>
      </c>
      <c r="AE11" s="176"/>
      <c r="AF11" s="176"/>
      <c r="AG11" s="55"/>
    </row>
    <row r="12" spans="1:39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88">
        <v>13800</v>
      </c>
      <c r="K12" s="89">
        <v>1500</v>
      </c>
      <c r="L12" s="50">
        <v>0</v>
      </c>
      <c r="M12" s="88">
        <f t="shared" si="5"/>
        <v>52580</v>
      </c>
      <c r="N12" s="89">
        <f>ROUND((G12*10%),0)</f>
        <v>3728</v>
      </c>
      <c r="O12" s="49">
        <f>N12</f>
        <v>3728</v>
      </c>
      <c r="P12" s="89">
        <f>ROUND((M12+N12+O12),0)</f>
        <v>60036</v>
      </c>
      <c r="Q12" s="122">
        <f>N12</f>
        <v>3728</v>
      </c>
      <c r="R12" s="50">
        <v>10</v>
      </c>
      <c r="S12" s="54">
        <f>ROUND((G12*10%),0)</f>
        <v>3728</v>
      </c>
      <c r="T12" s="50">
        <f>S12</f>
        <v>3728</v>
      </c>
      <c r="U12" s="50">
        <v>0</v>
      </c>
      <c r="V12" s="53">
        <v>3025</v>
      </c>
      <c r="W12" s="50">
        <v>0</v>
      </c>
      <c r="X12" s="49">
        <v>200</v>
      </c>
      <c r="Y12" s="50">
        <v>10</v>
      </c>
      <c r="Z12" s="50">
        <v>0</v>
      </c>
      <c r="AA12" s="50">
        <v>0</v>
      </c>
      <c r="AB12" s="50">
        <v>1125</v>
      </c>
      <c r="AC12" s="52">
        <f>ROUND((SUM(Q12:AB12)-R12),0)</f>
        <v>15544</v>
      </c>
      <c r="AD12" s="54">
        <f>P12-AC12</f>
        <v>44492</v>
      </c>
      <c r="AE12" s="176"/>
      <c r="AF12" s="176"/>
      <c r="AG12" s="55"/>
    </row>
    <row r="13" spans="1:39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88">
        <v>13800</v>
      </c>
      <c r="K13" s="89">
        <v>1500</v>
      </c>
      <c r="L13" s="50">
        <v>0</v>
      </c>
      <c r="M13" s="88">
        <f t="shared" si="5"/>
        <v>52580</v>
      </c>
      <c r="N13" s="89">
        <f>ROUND((G13*10%),0)</f>
        <v>3728</v>
      </c>
      <c r="O13" s="49">
        <f>N13</f>
        <v>3728</v>
      </c>
      <c r="P13" s="89">
        <f t="shared" si="1"/>
        <v>60036</v>
      </c>
      <c r="Q13" s="122">
        <f t="shared" si="2"/>
        <v>3728</v>
      </c>
      <c r="R13" s="50">
        <v>10</v>
      </c>
      <c r="S13" s="54">
        <f>ROUND((G13*10%),0)</f>
        <v>3728</v>
      </c>
      <c r="T13" s="49">
        <f>O13</f>
        <v>3728</v>
      </c>
      <c r="U13" s="50">
        <v>0</v>
      </c>
      <c r="V13" s="53">
        <v>3200</v>
      </c>
      <c r="W13" s="50">
        <v>0</v>
      </c>
      <c r="X13" s="49">
        <v>200</v>
      </c>
      <c r="Y13" s="50">
        <v>10</v>
      </c>
      <c r="Z13" s="50">
        <v>0</v>
      </c>
      <c r="AA13" s="50">
        <v>0</v>
      </c>
      <c r="AB13" s="50">
        <v>0</v>
      </c>
      <c r="AC13" s="52">
        <f t="shared" si="3"/>
        <v>14594</v>
      </c>
      <c r="AD13" s="54">
        <f t="shared" si="4"/>
        <v>45442</v>
      </c>
      <c r="AE13" s="176"/>
      <c r="AF13" s="176"/>
      <c r="AG13" s="55"/>
    </row>
    <row r="14" spans="1:39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28100</v>
      </c>
      <c r="F14" s="50">
        <v>0</v>
      </c>
      <c r="G14" s="88">
        <f t="shared" si="0"/>
        <v>28100</v>
      </c>
      <c r="H14" s="53">
        <v>0</v>
      </c>
      <c r="I14" s="49">
        <v>1000</v>
      </c>
      <c r="J14" s="88">
        <f>ROUND((G14*40%),0)</f>
        <v>11240</v>
      </c>
      <c r="K14" s="89">
        <v>1500</v>
      </c>
      <c r="L14" s="50">
        <v>0</v>
      </c>
      <c r="M14" s="88">
        <f t="shared" si="5"/>
        <v>41840</v>
      </c>
      <c r="N14" s="89">
        <f>ROUND((G14*55%),0)</f>
        <v>15455</v>
      </c>
      <c r="O14" s="50">
        <v>0</v>
      </c>
      <c r="P14" s="89">
        <f t="shared" si="1"/>
        <v>57295</v>
      </c>
      <c r="Q14" s="122">
        <f t="shared" si="2"/>
        <v>15455</v>
      </c>
      <c r="R14" s="51">
        <v>25</v>
      </c>
      <c r="S14" s="54">
        <f>ROUND((G14*25%),0)</f>
        <v>7025</v>
      </c>
      <c r="T14" s="50">
        <f>O14</f>
        <v>0</v>
      </c>
      <c r="U14" s="49">
        <f>J14</f>
        <v>11240</v>
      </c>
      <c r="V14" s="50">
        <v>3200</v>
      </c>
      <c r="W14" s="53">
        <v>0</v>
      </c>
      <c r="X14" s="49">
        <v>200</v>
      </c>
      <c r="Y14" s="50">
        <v>10</v>
      </c>
      <c r="Z14" s="50">
        <v>0</v>
      </c>
      <c r="AA14" s="50">
        <v>0</v>
      </c>
      <c r="AB14" s="50">
        <v>1150</v>
      </c>
      <c r="AC14" s="52">
        <f t="shared" si="3"/>
        <v>38280</v>
      </c>
      <c r="AD14" s="54">
        <f t="shared" si="4"/>
        <v>19015</v>
      </c>
      <c r="AE14" s="176"/>
      <c r="AF14" s="176"/>
      <c r="AG14" s="55"/>
    </row>
    <row r="15" spans="1:39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49">
        <v>1000</v>
      </c>
      <c r="J15" s="88">
        <f>ROUND((G15*40%),0)</f>
        <v>12336</v>
      </c>
      <c r="K15" s="89">
        <v>1500</v>
      </c>
      <c r="L15" s="50">
        <v>0</v>
      </c>
      <c r="M15" s="88">
        <f t="shared" si="5"/>
        <v>45676</v>
      </c>
      <c r="N15" s="89">
        <f>ROUND((G15*55%),0)</f>
        <v>16962</v>
      </c>
      <c r="O15" s="50">
        <v>0</v>
      </c>
      <c r="P15" s="89">
        <f t="shared" si="1"/>
        <v>62638</v>
      </c>
      <c r="Q15" s="122">
        <f t="shared" si="2"/>
        <v>16962</v>
      </c>
      <c r="R15" s="51">
        <v>25</v>
      </c>
      <c r="S15" s="54">
        <f>ROUND((G15*25%),0)</f>
        <v>7710</v>
      </c>
      <c r="T15" s="50">
        <f>O15</f>
        <v>0</v>
      </c>
      <c r="U15" s="49">
        <f>J15</f>
        <v>12336</v>
      </c>
      <c r="V15" s="50">
        <v>3500</v>
      </c>
      <c r="W15" s="53">
        <v>0</v>
      </c>
      <c r="X15" s="49">
        <v>200</v>
      </c>
      <c r="Y15" s="50">
        <v>10</v>
      </c>
      <c r="Z15" s="50">
        <v>0</v>
      </c>
      <c r="AA15" s="50">
        <v>0</v>
      </c>
      <c r="AB15" s="50">
        <v>1500</v>
      </c>
      <c r="AC15" s="52">
        <f t="shared" si="3"/>
        <v>42218</v>
      </c>
      <c r="AD15" s="54">
        <f t="shared" si="4"/>
        <v>20420</v>
      </c>
      <c r="AE15" s="176"/>
      <c r="AF15" s="176"/>
      <c r="AG15" s="55"/>
    </row>
    <row r="16" spans="1:39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88">
        <f>ROUND((G16*40%),0)</f>
        <v>7412</v>
      </c>
      <c r="K16" s="89">
        <v>1500</v>
      </c>
      <c r="L16" s="50">
        <v>0</v>
      </c>
      <c r="M16" s="88">
        <f t="shared" si="5"/>
        <v>27442</v>
      </c>
      <c r="N16" s="89">
        <f>ROUND((G16*10%),0)</f>
        <v>1853</v>
      </c>
      <c r="O16" s="49">
        <f>N16</f>
        <v>1853</v>
      </c>
      <c r="P16" s="89">
        <f t="shared" si="1"/>
        <v>31148</v>
      </c>
      <c r="Q16" s="122">
        <f t="shared" si="2"/>
        <v>1853</v>
      </c>
      <c r="R16" s="51">
        <v>10</v>
      </c>
      <c r="S16" s="54">
        <f>ROUND((G16*10%),0)</f>
        <v>1853</v>
      </c>
      <c r="T16" s="49">
        <f>O16</f>
        <v>1853</v>
      </c>
      <c r="U16" s="50">
        <v>0</v>
      </c>
      <c r="V16" s="50">
        <v>0</v>
      </c>
      <c r="W16" s="53">
        <v>0</v>
      </c>
      <c r="X16" s="49">
        <f>ROUND((G16*1%),0)</f>
        <v>185</v>
      </c>
      <c r="Y16" s="50">
        <v>10</v>
      </c>
      <c r="Z16" s="50">
        <v>0</v>
      </c>
      <c r="AA16" s="50">
        <v>0</v>
      </c>
      <c r="AB16" s="50">
        <v>0</v>
      </c>
      <c r="AC16" s="52">
        <f t="shared" si="3"/>
        <v>5754</v>
      </c>
      <c r="AD16" s="54">
        <f t="shared" si="4"/>
        <v>25394</v>
      </c>
      <c r="AE16" s="176"/>
      <c r="AF16" s="176"/>
      <c r="AG16" s="55"/>
    </row>
    <row r="17" spans="2:41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49">
        <v>500</v>
      </c>
      <c r="J17" s="88">
        <f>ROUND((G17*40%),0)</f>
        <v>7412</v>
      </c>
      <c r="K17" s="49">
        <v>1500</v>
      </c>
      <c r="L17" s="50">
        <v>0</v>
      </c>
      <c r="M17" s="88">
        <f t="shared" si="5"/>
        <v>27942</v>
      </c>
      <c r="N17" s="89">
        <f>ROUND((G17*55%),0)</f>
        <v>10192</v>
      </c>
      <c r="O17" s="50">
        <v>0</v>
      </c>
      <c r="P17" s="89">
        <f t="shared" si="1"/>
        <v>38134</v>
      </c>
      <c r="Q17" s="49">
        <f t="shared" si="2"/>
        <v>10192</v>
      </c>
      <c r="R17" s="51">
        <v>25</v>
      </c>
      <c r="S17" s="54">
        <f>ROUND((G17*25%),0)</f>
        <v>4633</v>
      </c>
      <c r="T17" s="50">
        <v>0</v>
      </c>
      <c r="U17" s="49">
        <f>J17</f>
        <v>7412</v>
      </c>
      <c r="V17" s="50">
        <v>4000</v>
      </c>
      <c r="W17" s="53">
        <v>0</v>
      </c>
      <c r="X17" s="49">
        <f>ROUND((G17*1%),0)</f>
        <v>185</v>
      </c>
      <c r="Y17" s="50">
        <v>10</v>
      </c>
      <c r="Z17" s="50">
        <v>0</v>
      </c>
      <c r="AA17" s="50">
        <v>0</v>
      </c>
      <c r="AB17" s="50">
        <v>0</v>
      </c>
      <c r="AC17" s="52">
        <f t="shared" si="3"/>
        <v>26432</v>
      </c>
      <c r="AD17" s="49">
        <f t="shared" si="4"/>
        <v>11702</v>
      </c>
      <c r="AE17" s="95"/>
      <c r="AF17" s="95"/>
      <c r="AG17" s="55"/>
    </row>
    <row r="18" spans="2:41" s="46" customFormat="1" ht="19.5" customHeight="1" x14ac:dyDescent="0.25">
      <c r="B18" s="47"/>
      <c r="C18" s="48" t="s">
        <v>13</v>
      </c>
      <c r="D18" s="48"/>
      <c r="E18" s="57">
        <f t="shared" ref="E18:Q18" si="6">SUM(E10:E17)</f>
        <v>280420</v>
      </c>
      <c r="F18" s="58">
        <f t="shared" si="6"/>
        <v>0</v>
      </c>
      <c r="G18" s="57">
        <f t="shared" si="6"/>
        <v>280420</v>
      </c>
      <c r="H18" s="57">
        <f t="shared" si="6"/>
        <v>200</v>
      </c>
      <c r="I18" s="57">
        <f t="shared" si="6"/>
        <v>2500</v>
      </c>
      <c r="J18" s="57">
        <f t="shared" si="6"/>
        <v>104451</v>
      </c>
      <c r="K18" s="57">
        <f t="shared" si="6"/>
        <v>12000</v>
      </c>
      <c r="L18" s="58">
        <f t="shared" si="6"/>
        <v>0</v>
      </c>
      <c r="M18" s="88">
        <f t="shared" si="5"/>
        <v>399571</v>
      </c>
      <c r="N18" s="57">
        <f t="shared" si="6"/>
        <v>112341</v>
      </c>
      <c r="O18" s="57">
        <f t="shared" si="6"/>
        <v>9309</v>
      </c>
      <c r="P18" s="57">
        <f>SUM(P10:P17)</f>
        <v>521221</v>
      </c>
      <c r="Q18" s="57">
        <f t="shared" si="6"/>
        <v>112341</v>
      </c>
      <c r="R18" s="57"/>
      <c r="S18" s="57">
        <f t="shared" ref="S18:AC18" si="7">SUM(S10:S17)</f>
        <v>42228</v>
      </c>
      <c r="T18" s="57">
        <f t="shared" si="7"/>
        <v>9309</v>
      </c>
      <c r="U18" s="57">
        <f t="shared" si="7"/>
        <v>47988</v>
      </c>
      <c r="V18" s="57">
        <f t="shared" si="7"/>
        <v>18235</v>
      </c>
      <c r="W18" s="58">
        <f t="shared" si="7"/>
        <v>0</v>
      </c>
      <c r="X18" s="57">
        <f t="shared" si="7"/>
        <v>1570</v>
      </c>
      <c r="Y18" s="57">
        <f t="shared" si="7"/>
        <v>80</v>
      </c>
      <c r="Z18" s="58">
        <f t="shared" si="7"/>
        <v>6</v>
      </c>
      <c r="AA18" s="57">
        <f t="shared" si="7"/>
        <v>1056</v>
      </c>
      <c r="AB18" s="57">
        <f t="shared" si="7"/>
        <v>3775</v>
      </c>
      <c r="AC18" s="57">
        <f t="shared" si="7"/>
        <v>236588</v>
      </c>
      <c r="AD18" s="57">
        <f t="shared" si="4"/>
        <v>284633</v>
      </c>
      <c r="AE18" s="94"/>
      <c r="AF18" s="94"/>
      <c r="AG18" s="55"/>
    </row>
    <row r="19" spans="2:41" s="46" customFormat="1" ht="19.5" customHeight="1" x14ac:dyDescent="0.3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49">
        <v>1000</v>
      </c>
      <c r="J19" s="49">
        <f>G19*40%</f>
        <v>7184</v>
      </c>
      <c r="K19" s="49">
        <v>1500</v>
      </c>
      <c r="L19" s="49">
        <v>100</v>
      </c>
      <c r="M19" s="88">
        <f>G19+H19+I19+J19+K19+L19</f>
        <v>27744</v>
      </c>
      <c r="N19" s="89">
        <f>ROUND((G19*55%),0)</f>
        <v>9878</v>
      </c>
      <c r="O19" s="50">
        <v>0</v>
      </c>
      <c r="P19" s="49">
        <f>ROUND((M19+N19),0)</f>
        <v>37622</v>
      </c>
      <c r="Q19" s="49">
        <f>N19</f>
        <v>9878</v>
      </c>
      <c r="R19" s="51">
        <v>10</v>
      </c>
      <c r="S19" s="54">
        <f>ROUND((G19*10%),0)</f>
        <v>1796</v>
      </c>
      <c r="T19" s="50">
        <v>0</v>
      </c>
      <c r="U19" s="50">
        <v>0</v>
      </c>
      <c r="V19" s="50">
        <v>3200</v>
      </c>
      <c r="W19" s="56">
        <v>5040</v>
      </c>
      <c r="X19" s="49">
        <f>ROUND((G19*1%),0)</f>
        <v>180</v>
      </c>
      <c r="Y19" s="50">
        <v>10</v>
      </c>
      <c r="Z19" s="50">
        <v>0</v>
      </c>
      <c r="AA19" s="50">
        <v>0</v>
      </c>
      <c r="AB19" s="50">
        <v>0</v>
      </c>
      <c r="AC19" s="52">
        <f>ROUND((SUM(Q19:AB19)-R19),0)</f>
        <v>20104</v>
      </c>
      <c r="AD19" s="49">
        <f t="shared" si="4"/>
        <v>17518</v>
      </c>
      <c r="AE19" s="95"/>
      <c r="AF19" s="95"/>
      <c r="AG19" s="55"/>
      <c r="AH19" s="160" t="s">
        <v>20</v>
      </c>
      <c r="AI19" s="160" t="s">
        <v>93</v>
      </c>
      <c r="AJ19" s="160" t="s">
        <v>112</v>
      </c>
      <c r="AK19" s="160" t="s">
        <v>95</v>
      </c>
      <c r="AL19" s="161"/>
      <c r="AM19" s="165" t="s">
        <v>118</v>
      </c>
    </row>
    <row r="20" spans="2:41" s="46" customFormat="1" ht="19.5" customHeight="1" x14ac:dyDescent="0.3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49">
        <v>1000</v>
      </c>
      <c r="J20" s="49">
        <v>7000</v>
      </c>
      <c r="K20" s="49">
        <v>1500</v>
      </c>
      <c r="L20" s="49">
        <v>100</v>
      </c>
      <c r="M20" s="88">
        <f t="shared" si="5"/>
        <v>26270</v>
      </c>
      <c r="N20" s="89">
        <f>ROUND((G20*55%),0)</f>
        <v>9169</v>
      </c>
      <c r="O20" s="50">
        <v>0</v>
      </c>
      <c r="P20" s="49">
        <f>ROUND((M20+N20),0)</f>
        <v>35439</v>
      </c>
      <c r="Q20" s="49">
        <f>N20</f>
        <v>9169</v>
      </c>
      <c r="R20" s="51">
        <v>10</v>
      </c>
      <c r="S20" s="54">
        <f>ROUND((G20*10%),0)</f>
        <v>1667</v>
      </c>
      <c r="T20" s="50">
        <v>0</v>
      </c>
      <c r="U20" s="49">
        <f>J20</f>
        <v>7000</v>
      </c>
      <c r="V20" s="49">
        <v>1500</v>
      </c>
      <c r="W20" s="53">
        <v>0</v>
      </c>
      <c r="X20" s="49">
        <f>ROUND((G20*1%),0)</f>
        <v>167</v>
      </c>
      <c r="Y20" s="50">
        <v>10</v>
      </c>
      <c r="Z20" s="50">
        <v>0</v>
      </c>
      <c r="AA20" s="50">
        <v>0</v>
      </c>
      <c r="AB20" s="50">
        <v>0</v>
      </c>
      <c r="AC20" s="52">
        <f>ROUND((SUM(Q20:AB20)-R20),0)</f>
        <v>19513</v>
      </c>
      <c r="AD20" s="49">
        <f t="shared" si="4"/>
        <v>15926</v>
      </c>
      <c r="AE20" s="95"/>
      <c r="AF20" s="95"/>
      <c r="AG20" s="55"/>
      <c r="AH20" s="162">
        <f>U24</f>
        <v>54988</v>
      </c>
      <c r="AI20" s="162">
        <f>V24</f>
        <v>22935</v>
      </c>
      <c r="AJ20" s="162">
        <f>AB24</f>
        <v>3775</v>
      </c>
      <c r="AK20" s="163">
        <v>110</v>
      </c>
      <c r="AL20" s="164"/>
      <c r="AM20" s="163">
        <f>AH20+AI20+AJ20+AK20</f>
        <v>81808</v>
      </c>
    </row>
    <row r="21" spans="2:41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49">
        <v>1000</v>
      </c>
      <c r="J21" s="49">
        <f>G21*45%</f>
        <v>4752</v>
      </c>
      <c r="K21" s="49">
        <v>1500</v>
      </c>
      <c r="L21" s="49">
        <v>100</v>
      </c>
      <c r="M21" s="88">
        <f t="shared" si="5"/>
        <v>17912</v>
      </c>
      <c r="N21" s="89">
        <f>ROUND((G21*55%),0)</f>
        <v>5808</v>
      </c>
      <c r="O21" s="50">
        <v>0</v>
      </c>
      <c r="P21" s="49">
        <f>ROUND((M21+N21),0)</f>
        <v>23720</v>
      </c>
      <c r="Q21" s="49">
        <f>N21</f>
        <v>5808</v>
      </c>
      <c r="R21" s="51">
        <v>10</v>
      </c>
      <c r="S21" s="54">
        <f>ROUND((G21*10%),0)</f>
        <v>1056</v>
      </c>
      <c r="T21" s="50">
        <v>0</v>
      </c>
      <c r="U21" s="50">
        <v>0</v>
      </c>
      <c r="V21" s="50">
        <v>0</v>
      </c>
      <c r="W21" s="53">
        <v>0</v>
      </c>
      <c r="X21" s="49">
        <f>ROUND((G21*1%),0)</f>
        <v>106</v>
      </c>
      <c r="Y21" s="50">
        <v>10</v>
      </c>
      <c r="Z21" s="50">
        <v>0</v>
      </c>
      <c r="AA21" s="50">
        <v>0</v>
      </c>
      <c r="AB21" s="50">
        <v>0</v>
      </c>
      <c r="AC21" s="52">
        <f>ROUND((SUM(Q21:AB21)-R21),0)</f>
        <v>6980</v>
      </c>
      <c r="AD21" s="49">
        <f t="shared" si="4"/>
        <v>16740</v>
      </c>
      <c r="AE21" s="95"/>
      <c r="AF21" s="95"/>
      <c r="AG21" s="55"/>
    </row>
    <row r="22" spans="2:41" s="101" customFormat="1" ht="19.5" customHeight="1" x14ac:dyDescent="0.25">
      <c r="B22" s="47"/>
      <c r="C22" s="47" t="s">
        <v>6</v>
      </c>
      <c r="D22" s="48"/>
      <c r="E22" s="57">
        <f t="shared" ref="E22:J22" si="8">SUM(E19:E21)</f>
        <v>45190</v>
      </c>
      <c r="F22" s="58">
        <f t="shared" si="8"/>
        <v>0</v>
      </c>
      <c r="G22" s="57">
        <f t="shared" si="8"/>
        <v>45190</v>
      </c>
      <c r="H22" s="58">
        <f t="shared" si="8"/>
        <v>0</v>
      </c>
      <c r="I22" s="57">
        <f t="shared" si="8"/>
        <v>3000</v>
      </c>
      <c r="J22" s="57">
        <f t="shared" si="8"/>
        <v>18936</v>
      </c>
      <c r="K22" s="57">
        <f t="shared" ref="K22:Q22" si="9">SUM(K19:K21)</f>
        <v>4500</v>
      </c>
      <c r="L22" s="57">
        <f t="shared" si="9"/>
        <v>300</v>
      </c>
      <c r="M22" s="88">
        <f t="shared" si="5"/>
        <v>71926</v>
      </c>
      <c r="N22" s="57">
        <f t="shared" si="9"/>
        <v>24855</v>
      </c>
      <c r="O22" s="58">
        <f t="shared" si="9"/>
        <v>0</v>
      </c>
      <c r="P22" s="57">
        <f t="shared" si="9"/>
        <v>96781</v>
      </c>
      <c r="Q22" s="57">
        <f t="shared" si="9"/>
        <v>24855</v>
      </c>
      <c r="R22" s="58">
        <v>0</v>
      </c>
      <c r="S22" s="57">
        <f t="shared" ref="S22:Z22" si="10">SUM(S19:S21)</f>
        <v>4519</v>
      </c>
      <c r="T22" s="58">
        <f t="shared" si="10"/>
        <v>0</v>
      </c>
      <c r="U22" s="57">
        <f t="shared" si="10"/>
        <v>7000</v>
      </c>
      <c r="V22" s="57">
        <f t="shared" si="10"/>
        <v>4700</v>
      </c>
      <c r="W22" s="57">
        <f t="shared" si="10"/>
        <v>5040</v>
      </c>
      <c r="X22" s="57">
        <f t="shared" si="10"/>
        <v>453</v>
      </c>
      <c r="Y22" s="57">
        <f t="shared" si="10"/>
        <v>30</v>
      </c>
      <c r="Z22" s="58">
        <f t="shared" si="10"/>
        <v>0</v>
      </c>
      <c r="AA22" s="58">
        <v>0</v>
      </c>
      <c r="AB22" s="58">
        <f>SUM(AB19:AB21)</f>
        <v>0</v>
      </c>
      <c r="AC22" s="57">
        <f>SUM(AC19:AC21)</f>
        <v>46597</v>
      </c>
      <c r="AD22" s="57">
        <f>SUM(AD19:AD21)</f>
        <v>50184</v>
      </c>
      <c r="AE22" s="94"/>
      <c r="AF22" s="94"/>
      <c r="AG22" s="100"/>
      <c r="AI22" s="154"/>
      <c r="AJ22" s="154"/>
      <c r="AL22" s="154"/>
    </row>
    <row r="23" spans="2:41" s="46" customFormat="1" ht="19.5" customHeight="1" x14ac:dyDescent="0.25">
      <c r="B23" s="60"/>
      <c r="C23" s="47" t="s">
        <v>13</v>
      </c>
      <c r="D23" s="48"/>
      <c r="E23" s="61">
        <f t="shared" ref="E23:O23" si="11">E18</f>
        <v>280420</v>
      </c>
      <c r="F23" s="62">
        <f t="shared" si="11"/>
        <v>0</v>
      </c>
      <c r="G23" s="61">
        <f t="shared" si="11"/>
        <v>280420</v>
      </c>
      <c r="H23" s="61">
        <f t="shared" si="11"/>
        <v>200</v>
      </c>
      <c r="I23" s="61">
        <f t="shared" si="11"/>
        <v>2500</v>
      </c>
      <c r="J23" s="61">
        <f t="shared" si="11"/>
        <v>104451</v>
      </c>
      <c r="K23" s="61">
        <f t="shared" si="11"/>
        <v>12000</v>
      </c>
      <c r="L23" s="62">
        <f t="shared" si="11"/>
        <v>0</v>
      </c>
      <c r="M23" s="88">
        <f>M18</f>
        <v>399571</v>
      </c>
      <c r="N23" s="61">
        <f>N18</f>
        <v>112341</v>
      </c>
      <c r="O23" s="61">
        <f t="shared" si="11"/>
        <v>9309</v>
      </c>
      <c r="P23" s="49">
        <f>P18</f>
        <v>521221</v>
      </c>
      <c r="Q23" s="61">
        <f>Q18</f>
        <v>112341</v>
      </c>
      <c r="R23" s="62">
        <v>0</v>
      </c>
      <c r="S23" s="61">
        <f t="shared" ref="S23:AD23" si="12">S18</f>
        <v>42228</v>
      </c>
      <c r="T23" s="62">
        <f t="shared" si="12"/>
        <v>9309</v>
      </c>
      <c r="U23" s="61">
        <f t="shared" si="12"/>
        <v>47988</v>
      </c>
      <c r="V23" s="61">
        <f t="shared" si="12"/>
        <v>18235</v>
      </c>
      <c r="W23" s="62">
        <f t="shared" si="12"/>
        <v>0</v>
      </c>
      <c r="X23" s="61">
        <f t="shared" si="12"/>
        <v>1570</v>
      </c>
      <c r="Y23" s="62">
        <f t="shared" si="12"/>
        <v>80</v>
      </c>
      <c r="Z23" s="62">
        <f t="shared" si="12"/>
        <v>6</v>
      </c>
      <c r="AA23" s="62">
        <f>AA18</f>
        <v>1056</v>
      </c>
      <c r="AB23" s="62">
        <f t="shared" si="12"/>
        <v>3775</v>
      </c>
      <c r="AC23" s="62">
        <f t="shared" si="12"/>
        <v>236588</v>
      </c>
      <c r="AD23" s="61">
        <f t="shared" si="12"/>
        <v>284633</v>
      </c>
      <c r="AE23" s="96"/>
      <c r="AF23" s="96"/>
      <c r="AG23" s="55"/>
      <c r="AI23" s="102"/>
      <c r="AJ23" s="102"/>
      <c r="AK23" s="102"/>
      <c r="AL23" s="102"/>
      <c r="AM23" s="102"/>
    </row>
    <row r="24" spans="2:41" s="46" customFormat="1" ht="18" customHeight="1" x14ac:dyDescent="0.25">
      <c r="B24" s="47"/>
      <c r="C24" s="63" t="s">
        <v>14</v>
      </c>
      <c r="D24" s="93"/>
      <c r="E24" s="57">
        <f>E22+E23</f>
        <v>325610</v>
      </c>
      <c r="F24" s="58">
        <f>F22+F23</f>
        <v>0</v>
      </c>
      <c r="G24" s="57">
        <f>G22+G23</f>
        <v>325610</v>
      </c>
      <c r="H24" s="57">
        <f t="shared" ref="H24:AB24" si="13">H22+H23</f>
        <v>200</v>
      </c>
      <c r="I24" s="57">
        <f t="shared" si="13"/>
        <v>5500</v>
      </c>
      <c r="J24" s="57">
        <f t="shared" si="13"/>
        <v>123387</v>
      </c>
      <c r="K24" s="57">
        <f t="shared" si="13"/>
        <v>16500</v>
      </c>
      <c r="L24" s="57">
        <f t="shared" si="13"/>
        <v>300</v>
      </c>
      <c r="M24" s="97">
        <f>M22+M23</f>
        <v>471497</v>
      </c>
      <c r="N24" s="57">
        <f>N22+N23</f>
        <v>137196</v>
      </c>
      <c r="O24" s="57">
        <f t="shared" si="13"/>
        <v>9309</v>
      </c>
      <c r="P24" s="57">
        <f>P22+P23</f>
        <v>618002</v>
      </c>
      <c r="Q24" s="57">
        <f>Q22+Q23</f>
        <v>137196</v>
      </c>
      <c r="R24" s="58">
        <f t="shared" si="13"/>
        <v>0</v>
      </c>
      <c r="S24" s="57">
        <f>S22+S23</f>
        <v>46747</v>
      </c>
      <c r="T24" s="57">
        <f>T22+T23</f>
        <v>9309</v>
      </c>
      <c r="U24" s="57">
        <f>U22+U23</f>
        <v>54988</v>
      </c>
      <c r="V24" s="57">
        <f>V22+V23</f>
        <v>22935</v>
      </c>
      <c r="W24" s="57">
        <f t="shared" si="13"/>
        <v>5040</v>
      </c>
      <c r="X24" s="57">
        <f>X22+X23</f>
        <v>2023</v>
      </c>
      <c r="Y24" s="57">
        <f>Y22+Y23</f>
        <v>110</v>
      </c>
      <c r="Z24" s="58">
        <f t="shared" si="13"/>
        <v>6</v>
      </c>
      <c r="AA24" s="57">
        <f>AA22+AA23</f>
        <v>1056</v>
      </c>
      <c r="AB24" s="57">
        <f t="shared" si="13"/>
        <v>3775</v>
      </c>
      <c r="AC24" s="57">
        <f>AC22+AC23</f>
        <v>283185</v>
      </c>
      <c r="AD24" s="57">
        <f>AD22+AD23</f>
        <v>334817</v>
      </c>
      <c r="AE24" s="94"/>
      <c r="AF24" s="177"/>
      <c r="AG24" s="102"/>
      <c r="AH24" s="102">
        <f>G24+H24+I24+J24+K24+L24+N24+O24</f>
        <v>618002</v>
      </c>
      <c r="AK24" s="123"/>
      <c r="AM24" s="102">
        <f>AM8+AM20</f>
        <v>283185</v>
      </c>
      <c r="AN24" s="102">
        <f>AH24-AM24</f>
        <v>334817</v>
      </c>
      <c r="AO24" s="123"/>
    </row>
    <row r="25" spans="2:41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3000</v>
      </c>
      <c r="J25" s="65">
        <f>SUM(J19:J22)</f>
        <v>37872</v>
      </c>
      <c r="K25" s="65">
        <f>SUM(K22)</f>
        <v>4500</v>
      </c>
      <c r="L25" s="65">
        <f>SUM(L22)</f>
        <v>300</v>
      </c>
      <c r="M25" s="65">
        <f>SUM(M19:M22)</f>
        <v>143852</v>
      </c>
      <c r="N25" s="65">
        <f>SUM(N22)</f>
        <v>24855</v>
      </c>
      <c r="O25" s="65">
        <f>SUM(O22)</f>
        <v>0</v>
      </c>
      <c r="P25" s="65">
        <f>SUM(P19:P22)</f>
        <v>193562</v>
      </c>
      <c r="Q25" s="65">
        <f>SUM(Q22)</f>
        <v>24855</v>
      </c>
      <c r="R25" s="65">
        <f>SUM(R19:R22)</f>
        <v>30</v>
      </c>
      <c r="S25" s="66">
        <f>SUM(S19:S22)</f>
        <v>9038</v>
      </c>
      <c r="T25" s="66">
        <f>SUM(T22)</f>
        <v>0</v>
      </c>
      <c r="U25" s="65">
        <f>SUM(U19:U22)</f>
        <v>14000</v>
      </c>
      <c r="V25" s="65">
        <f t="shared" ref="V25:AB25" si="14">SUM(V22)</f>
        <v>4700</v>
      </c>
      <c r="W25" s="67">
        <f t="shared" si="14"/>
        <v>5040</v>
      </c>
      <c r="X25" s="68">
        <f t="shared" si="14"/>
        <v>453</v>
      </c>
      <c r="Y25" s="67">
        <f t="shared" si="14"/>
        <v>30</v>
      </c>
      <c r="Z25" s="65">
        <f t="shared" si="14"/>
        <v>0</v>
      </c>
      <c r="AA25" s="65"/>
      <c r="AB25" s="65">
        <f t="shared" si="14"/>
        <v>0</v>
      </c>
      <c r="AC25" s="52">
        <f>Q25+S25+T25+U25+V25+W25+X25+Y25+Z25</f>
        <v>58116</v>
      </c>
      <c r="AD25" s="65">
        <f>SUM(AD19:AD22)</f>
        <v>100368</v>
      </c>
      <c r="AE25" s="65"/>
      <c r="AF25" s="65"/>
      <c r="AG25" s="69"/>
    </row>
    <row r="26" spans="2:41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3"/>
      <c r="T26" s="73"/>
      <c r="U26" s="69"/>
      <c r="V26" s="69"/>
      <c r="W26" s="74"/>
      <c r="X26" s="75"/>
      <c r="Y26" s="74"/>
      <c r="Z26" s="69"/>
      <c r="AA26" s="69"/>
      <c r="AB26" s="69"/>
      <c r="AC26" s="69"/>
      <c r="AD26" s="69"/>
      <c r="AE26" s="69"/>
      <c r="AF26" s="69"/>
      <c r="AG26" s="69"/>
    </row>
    <row r="27" spans="2:41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3"/>
      <c r="T27" s="73"/>
      <c r="U27" s="69"/>
      <c r="V27" s="69"/>
      <c r="W27" s="74"/>
      <c r="X27" s="75"/>
      <c r="Y27" s="74"/>
      <c r="Z27" s="69"/>
      <c r="AA27" s="69"/>
      <c r="AB27" s="69"/>
      <c r="AC27" s="69"/>
      <c r="AD27" s="69"/>
      <c r="AE27" s="69"/>
      <c r="AF27" s="69"/>
      <c r="AG27" s="69"/>
    </row>
    <row r="28" spans="2:41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73"/>
      <c r="T28" s="73"/>
      <c r="U28" s="69"/>
      <c r="V28" s="69"/>
      <c r="W28" s="74"/>
      <c r="X28" s="75"/>
      <c r="Y28" s="74"/>
      <c r="Z28" s="69"/>
      <c r="AA28" s="69"/>
      <c r="AB28" s="69"/>
      <c r="AC28" s="69"/>
      <c r="AD28" s="69"/>
      <c r="AE28" s="69"/>
      <c r="AF28" s="69"/>
      <c r="AG28" s="69"/>
    </row>
    <row r="29" spans="2:41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7"/>
      <c r="X29" s="77"/>
      <c r="Y29" s="77"/>
      <c r="Z29" s="76"/>
      <c r="AA29" s="76"/>
      <c r="AB29" s="76"/>
      <c r="AC29" s="76"/>
      <c r="AD29" s="76"/>
      <c r="AE29" s="76"/>
      <c r="AF29" s="76"/>
      <c r="AG29" s="76"/>
    </row>
    <row r="30" spans="2:41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3"/>
      <c r="T30" s="73"/>
      <c r="U30" s="69"/>
      <c r="V30" s="69"/>
      <c r="W30" s="74"/>
      <c r="X30" s="75"/>
      <c r="Y30" s="74"/>
      <c r="Z30" s="69"/>
      <c r="AA30" s="69"/>
      <c r="AB30" s="69"/>
      <c r="AC30" s="69"/>
      <c r="AD30" s="69"/>
      <c r="AE30" s="69"/>
      <c r="AF30" s="69"/>
      <c r="AG30" s="69"/>
    </row>
    <row r="31" spans="2:41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73"/>
      <c r="U31" s="69"/>
      <c r="V31" s="69"/>
      <c r="W31" s="74"/>
      <c r="X31" s="75"/>
      <c r="Y31" s="74"/>
      <c r="Z31" s="69"/>
      <c r="AA31" s="69"/>
      <c r="AB31" s="69"/>
      <c r="AC31" s="69"/>
      <c r="AD31" s="69"/>
      <c r="AE31" s="69"/>
      <c r="AF31" s="69"/>
      <c r="AG31" s="69"/>
    </row>
    <row r="32" spans="2:41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7"/>
      <c r="X32" s="77"/>
      <c r="Y32" s="77"/>
      <c r="Z32" s="76"/>
      <c r="AA32" s="76"/>
      <c r="AB32" s="76"/>
      <c r="AC32" s="76"/>
      <c r="AD32" s="76"/>
      <c r="AE32" s="76"/>
      <c r="AF32" s="76"/>
      <c r="AG32" s="76"/>
    </row>
    <row r="33" spans="1:249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7"/>
      <c r="X33" s="77"/>
      <c r="Y33" s="77"/>
      <c r="Z33" s="76"/>
      <c r="AA33" s="76"/>
      <c r="AB33" s="76"/>
      <c r="AC33" s="76"/>
      <c r="AD33" s="76"/>
      <c r="AE33" s="76"/>
      <c r="AF33" s="76"/>
      <c r="AG33" s="76"/>
    </row>
    <row r="34" spans="1:249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73"/>
      <c r="T34" s="73"/>
      <c r="U34" s="69"/>
      <c r="V34" s="69"/>
      <c r="W34" s="74"/>
      <c r="X34" s="75"/>
      <c r="Y34" s="74"/>
      <c r="Z34" s="69"/>
      <c r="AA34" s="69"/>
      <c r="AB34" s="69"/>
      <c r="AC34" s="69"/>
      <c r="AD34" s="69"/>
      <c r="AE34" s="69"/>
      <c r="AF34" s="69"/>
      <c r="AG34" s="69"/>
    </row>
    <row r="35" spans="1:249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7"/>
      <c r="X35" s="77"/>
      <c r="Y35" s="77"/>
      <c r="Z35" s="76"/>
      <c r="AA35" s="76"/>
      <c r="AB35" s="76"/>
      <c r="AC35" s="76"/>
      <c r="AD35" s="76"/>
      <c r="AE35" s="76"/>
      <c r="AF35" s="76"/>
      <c r="AG35" s="76"/>
    </row>
    <row r="36" spans="1:249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2"/>
      <c r="X36" s="82"/>
      <c r="Y36" s="82"/>
      <c r="Z36" s="79"/>
      <c r="AA36" s="79"/>
      <c r="AB36" s="79"/>
      <c r="AC36" s="79"/>
      <c r="AD36" s="79"/>
      <c r="AE36" s="79"/>
      <c r="AF36" s="79"/>
      <c r="AG36" s="79"/>
    </row>
    <row r="37" spans="1:249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83"/>
      <c r="AB37" s="84"/>
      <c r="AC37" s="84"/>
      <c r="AD37" s="84"/>
      <c r="AE37" s="84"/>
      <c r="AF37" s="84"/>
      <c r="AG37" s="85"/>
      <c r="AM37" s="153"/>
    </row>
    <row r="38" spans="1:249" s="181" customFormat="1" ht="48" customHeight="1" x14ac:dyDescent="0.2">
      <c r="A38" s="628"/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628"/>
      <c r="AB38" s="628"/>
      <c r="AC38" s="628"/>
      <c r="AD38" s="628"/>
      <c r="AE38" s="132"/>
      <c r="AF38" s="132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 t="s">
        <v>81</v>
      </c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 t="s">
        <v>81</v>
      </c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 t="s">
        <v>81</v>
      </c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 t="s">
        <v>81</v>
      </c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 t="s">
        <v>81</v>
      </c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  <c r="IO38" s="137"/>
    </row>
    <row r="39" spans="1:249" ht="17.25" customHeight="1" x14ac:dyDescent="0.25">
      <c r="B39" s="22"/>
      <c r="D39" s="616" t="s">
        <v>122</v>
      </c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616"/>
      <c r="AB39" s="616"/>
      <c r="AC39" s="616"/>
      <c r="AD39" s="616"/>
      <c r="AE39" s="5"/>
      <c r="AF39" s="5"/>
      <c r="AG39" s="22"/>
    </row>
    <row r="40" spans="1:249" ht="13.5" customHeight="1" x14ac:dyDescent="0.2">
      <c r="B40" s="616" t="s">
        <v>124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5"/>
      <c r="AF40" s="5"/>
      <c r="AG40" s="23"/>
      <c r="AH40" s="6"/>
    </row>
    <row r="41" spans="1:249" ht="24.95" customHeight="1" x14ac:dyDescent="0.25">
      <c r="B41" s="22"/>
      <c r="C41" s="135"/>
      <c r="D41" s="14"/>
      <c r="E41" s="22"/>
      <c r="F41" s="22"/>
      <c r="G41" s="22"/>
      <c r="H41" s="22"/>
      <c r="I41" s="5"/>
      <c r="J41" s="5"/>
      <c r="K41" s="5"/>
      <c r="L41" s="5"/>
      <c r="M41" s="5"/>
      <c r="N41" s="5"/>
      <c r="O41" s="5"/>
      <c r="P41" s="179"/>
      <c r="Q41" s="5"/>
      <c r="R41" s="5"/>
      <c r="S41" s="5"/>
      <c r="T41" s="5"/>
      <c r="U41" s="5"/>
      <c r="V41" s="5"/>
      <c r="W41" s="2"/>
      <c r="X41" s="2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L41" s="617"/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  <c r="AX41" s="617"/>
      <c r="AY41" s="617"/>
    </row>
    <row r="42" spans="1:249" ht="16.5" customHeight="1" x14ac:dyDescent="0.25"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26"/>
      <c r="O42" s="5"/>
      <c r="P42" s="5"/>
      <c r="Q42" s="47"/>
      <c r="R42" s="617"/>
      <c r="S42" s="617"/>
      <c r="T42" s="617"/>
      <c r="U42" s="617"/>
      <c r="V42" s="617"/>
      <c r="W42" s="617"/>
      <c r="X42" s="617"/>
      <c r="Y42" s="617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</row>
    <row r="43" spans="1:249" ht="16.5" customHeight="1" x14ac:dyDescent="0.25">
      <c r="B43" s="5"/>
      <c r="E43" s="9"/>
      <c r="F43" s="10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1"/>
      <c r="X43" s="11"/>
      <c r="Z43" s="11"/>
      <c r="AA43" s="11"/>
      <c r="AB43" s="5"/>
      <c r="AC43" s="5"/>
      <c r="AD43" s="5"/>
      <c r="AE43" s="5"/>
      <c r="AF43" s="5"/>
      <c r="AG43" s="5"/>
    </row>
    <row r="44" spans="1:249" ht="16.5" customHeight="1" x14ac:dyDescent="0.25">
      <c r="B44" s="5"/>
      <c r="E44" s="9"/>
      <c r="F44" s="10"/>
      <c r="G44" s="9"/>
      <c r="H44" s="9"/>
      <c r="I44" s="4"/>
      <c r="J44" s="4"/>
      <c r="K44" s="14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12"/>
      <c r="Y44" s="12"/>
      <c r="Z44" s="11"/>
      <c r="AA44" s="11"/>
      <c r="AB44" s="5"/>
      <c r="AC44" s="5"/>
      <c r="AD44" s="5"/>
      <c r="AE44" s="5"/>
      <c r="AF44" s="5"/>
      <c r="AG44" s="5"/>
    </row>
    <row r="45" spans="1:249" ht="16.5" customHeight="1" x14ac:dyDescent="0.25">
      <c r="B45" s="5"/>
      <c r="D45" s="158"/>
      <c r="E45" s="156"/>
      <c r="F45" s="157"/>
      <c r="G45" s="15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1"/>
      <c r="X45" s="11"/>
      <c r="Y45" s="11"/>
      <c r="Z45" s="11"/>
      <c r="AA45" s="11"/>
      <c r="AB45" s="5"/>
      <c r="AC45" s="5"/>
      <c r="AD45" s="5"/>
      <c r="AE45" s="5"/>
      <c r="AF45" s="5"/>
      <c r="AG45" s="5"/>
    </row>
    <row r="46" spans="1:249" ht="24.95" customHeight="1" x14ac:dyDescent="0.25">
      <c r="B46" s="2"/>
      <c r="C46" s="14"/>
      <c r="D46" s="158"/>
      <c r="E46" s="158"/>
      <c r="F46" s="158"/>
      <c r="G46" s="1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Z46" s="12"/>
      <c r="AA46" s="12"/>
      <c r="AB46" s="3"/>
      <c r="AC46" s="2"/>
      <c r="AD46" s="3"/>
      <c r="AE46" s="3"/>
      <c r="AF46" s="3"/>
      <c r="AG46" s="2"/>
    </row>
    <row r="47" spans="1:249" ht="24.95" customHeight="1" x14ac:dyDescent="0.25">
      <c r="B47" s="2"/>
      <c r="C47" s="14"/>
      <c r="D47" s="158"/>
      <c r="E47" s="158"/>
      <c r="F47" s="158"/>
      <c r="G47" s="158"/>
      <c r="H47" s="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12"/>
      <c r="Y47" s="12"/>
      <c r="Z47" s="12"/>
      <c r="AA47" s="12"/>
      <c r="AB47" s="3"/>
      <c r="AC47" s="2"/>
      <c r="AD47" s="3"/>
      <c r="AE47" s="3"/>
      <c r="AF47" s="3"/>
      <c r="AG47" s="2"/>
    </row>
    <row r="48" spans="1:249" ht="24.95" customHeight="1" x14ac:dyDescent="0.25">
      <c r="B48" s="2"/>
      <c r="C48" s="14"/>
      <c r="D48" s="158"/>
      <c r="E48" s="158"/>
      <c r="F48" s="158"/>
      <c r="G48" s="158"/>
      <c r="H48" s="2"/>
      <c r="Y48" s="12"/>
      <c r="Z48" s="12"/>
      <c r="AA48" s="12"/>
      <c r="AB48" s="3"/>
      <c r="AC48" s="2"/>
      <c r="AD48" s="2"/>
      <c r="AE48" s="2"/>
      <c r="AF48" s="2"/>
      <c r="AG48" s="2"/>
    </row>
    <row r="49" spans="2:80" ht="24.95" customHeight="1" x14ac:dyDescent="0.25">
      <c r="B49" s="5"/>
      <c r="C49" s="14"/>
      <c r="D49" s="158"/>
      <c r="E49" s="158"/>
      <c r="F49" s="158"/>
      <c r="G49" s="158"/>
      <c r="H49" s="5"/>
      <c r="W49" s="11"/>
      <c r="X49" s="11"/>
      <c r="Y49" s="11"/>
      <c r="Z49" s="11"/>
      <c r="AA49" s="11"/>
      <c r="AB49" s="5"/>
      <c r="AC49" s="5"/>
      <c r="AD49" s="5"/>
      <c r="AE49" s="5"/>
      <c r="AF49" s="5"/>
      <c r="AG49" s="5"/>
      <c r="BU49" s="166"/>
      <c r="BV49" s="166"/>
      <c r="BW49" s="167"/>
      <c r="BX49" s="166"/>
      <c r="BY49" s="167"/>
      <c r="BZ49" s="2"/>
      <c r="CA49" s="2"/>
      <c r="CB49" s="2"/>
    </row>
    <row r="50" spans="2:80" ht="24.95" customHeight="1" x14ac:dyDescent="0.25">
      <c r="C50" s="14"/>
      <c r="D50" s="158"/>
      <c r="E50" s="158"/>
      <c r="F50" s="158"/>
      <c r="G50" s="158"/>
      <c r="K50" s="134"/>
      <c r="L50" s="158"/>
      <c r="M50" s="156"/>
      <c r="N50" s="159"/>
      <c r="O50" s="159"/>
      <c r="BU50" s="166"/>
      <c r="BV50" s="166"/>
      <c r="BW50" s="167"/>
      <c r="BX50" s="166"/>
      <c r="BY50" s="167"/>
      <c r="BZ50" s="2"/>
      <c r="CA50" s="2"/>
      <c r="CB50" s="2"/>
    </row>
    <row r="51" spans="2:80" ht="24.95" customHeight="1" x14ac:dyDescent="0.25">
      <c r="D51" s="158"/>
      <c r="E51" s="158"/>
      <c r="F51" s="158"/>
      <c r="G51" s="158"/>
      <c r="K51" s="14"/>
      <c r="L51" s="158"/>
      <c r="M51" s="158"/>
      <c r="N51" s="159"/>
      <c r="O51" s="158"/>
      <c r="BU51" s="166"/>
      <c r="BV51" s="166"/>
      <c r="BW51" s="167"/>
      <c r="BX51" s="166"/>
      <c r="BY51" s="167"/>
      <c r="BZ51" s="2"/>
      <c r="CA51" s="2"/>
      <c r="CB51" s="2"/>
    </row>
    <row r="52" spans="2:80" ht="24.95" customHeight="1" x14ac:dyDescent="0.25">
      <c r="D52" s="158"/>
      <c r="E52" s="158"/>
      <c r="F52" s="158"/>
      <c r="G52" s="158"/>
      <c r="K52" s="14"/>
      <c r="L52" s="158"/>
      <c r="M52" s="158"/>
      <c r="N52" s="159"/>
      <c r="O52" s="158"/>
      <c r="BU52" s="166"/>
      <c r="BV52" s="166"/>
      <c r="BW52" s="167"/>
      <c r="BX52" s="166"/>
      <c r="BY52" s="167"/>
      <c r="BZ52" s="2"/>
      <c r="CA52" s="2"/>
      <c r="CB52" s="2"/>
    </row>
    <row r="53" spans="2:80" ht="24.95" customHeight="1" x14ac:dyDescent="0.25">
      <c r="D53" s="158"/>
      <c r="E53" s="158"/>
      <c r="F53" s="158"/>
      <c r="G53" s="158"/>
      <c r="K53" s="14"/>
      <c r="L53" s="158"/>
      <c r="M53" s="158"/>
      <c r="N53" s="159"/>
      <c r="O53" s="158"/>
      <c r="BU53" s="166"/>
      <c r="BV53" s="166"/>
      <c r="BW53" s="167"/>
      <c r="BX53" s="166"/>
      <c r="BY53" s="167"/>
      <c r="BZ53" s="2"/>
      <c r="CA53" s="2"/>
      <c r="CB53" s="2"/>
    </row>
    <row r="54" spans="2:80" ht="24.95" customHeight="1" x14ac:dyDescent="0.25">
      <c r="D54" s="158"/>
      <c r="E54" s="158"/>
      <c r="F54" s="158"/>
      <c r="G54" s="158"/>
      <c r="K54" s="14"/>
      <c r="L54" s="158"/>
      <c r="M54" s="158"/>
      <c r="N54" s="159"/>
      <c r="O54" s="158"/>
      <c r="BU54" s="166"/>
      <c r="BV54" s="166"/>
      <c r="BW54" s="167"/>
      <c r="BX54" s="166"/>
      <c r="BY54" s="167"/>
      <c r="BZ54" s="2"/>
      <c r="CA54" s="2"/>
      <c r="CB54" s="2"/>
    </row>
    <row r="55" spans="2:80" ht="24.95" customHeight="1" x14ac:dyDescent="0.25">
      <c r="D55" s="158"/>
      <c r="E55" s="158"/>
      <c r="F55" s="158"/>
      <c r="G55" s="158"/>
      <c r="K55" s="14"/>
      <c r="L55" s="158"/>
      <c r="M55" s="158"/>
      <c r="N55" s="159"/>
      <c r="O55" s="158"/>
      <c r="BU55" s="166"/>
      <c r="BV55" s="166"/>
      <c r="BW55" s="167"/>
      <c r="BX55" s="166"/>
      <c r="BY55" s="167"/>
      <c r="BZ55" s="2"/>
      <c r="CA55" s="2"/>
      <c r="CB55" s="2"/>
    </row>
    <row r="56" spans="2:80" ht="24.95" customHeight="1" x14ac:dyDescent="0.25">
      <c r="D56" s="158"/>
      <c r="E56" s="158"/>
      <c r="F56" s="158"/>
      <c r="G56" s="158"/>
      <c r="K56" s="134"/>
      <c r="L56" s="158"/>
      <c r="M56" s="158"/>
      <c r="N56" s="159"/>
      <c r="O56" s="158"/>
      <c r="BU56" s="167"/>
      <c r="BV56" s="167"/>
      <c r="BW56" s="167"/>
      <c r="BX56" s="167"/>
      <c r="BY56" s="168"/>
      <c r="BZ56" s="2"/>
      <c r="CA56" s="2"/>
      <c r="CB56" s="2"/>
    </row>
    <row r="57" spans="2:80" ht="24.95" customHeight="1" x14ac:dyDescent="0.25">
      <c r="D57" s="158"/>
      <c r="E57" s="158"/>
      <c r="F57" s="158"/>
      <c r="G57" s="158"/>
      <c r="K57" s="134"/>
      <c r="L57" s="158"/>
      <c r="M57" s="158"/>
      <c r="N57" s="159"/>
      <c r="O57" s="158"/>
      <c r="BW57" s="169"/>
    </row>
    <row r="58" spans="2:80" ht="24.95" customHeight="1" x14ac:dyDescent="0.25">
      <c r="D58" s="158"/>
      <c r="E58" s="158"/>
      <c r="F58" s="158"/>
      <c r="G58" s="158"/>
      <c r="K58" s="134"/>
      <c r="L58" s="158"/>
      <c r="M58" s="158"/>
      <c r="N58" s="159"/>
      <c r="O58" s="158"/>
      <c r="BW58" s="170">
        <f>SUM(BW56:BW57)</f>
        <v>0</v>
      </c>
    </row>
    <row r="59" spans="2:80" ht="24.95" customHeight="1" x14ac:dyDescent="0.25">
      <c r="D59" s="158"/>
      <c r="E59" s="158"/>
      <c r="F59" s="158"/>
      <c r="G59" s="158"/>
      <c r="K59" s="134"/>
      <c r="L59" s="158"/>
      <c r="M59" s="158"/>
      <c r="N59" s="159"/>
      <c r="O59" s="158"/>
    </row>
    <row r="60" spans="2:80" ht="24.95" customHeight="1" x14ac:dyDescent="0.25">
      <c r="D60" s="158"/>
      <c r="E60" s="158"/>
      <c r="F60" s="158"/>
      <c r="G60" s="158"/>
      <c r="K60" s="134"/>
      <c r="L60" s="158"/>
      <c r="M60" s="158"/>
      <c r="N60" s="159"/>
      <c r="O60" s="158"/>
    </row>
    <row r="61" spans="2:80" ht="18.75" customHeight="1" x14ac:dyDescent="0.25">
      <c r="G61" s="158"/>
      <c r="K61" s="134"/>
      <c r="L61" s="158"/>
      <c r="M61" s="158"/>
      <c r="N61" s="159"/>
      <c r="O61" s="158"/>
    </row>
    <row r="62" spans="2:80" ht="24.95" customHeight="1" x14ac:dyDescent="0.25">
      <c r="K62" s="134"/>
      <c r="L62" s="158"/>
      <c r="M62" s="158"/>
      <c r="N62" s="159"/>
      <c r="O62" s="158"/>
    </row>
    <row r="63" spans="2:80" ht="24.95" customHeight="1" x14ac:dyDescent="0.25">
      <c r="K63" s="134"/>
      <c r="L63" s="158"/>
      <c r="M63" s="158"/>
      <c r="N63" s="159"/>
      <c r="O63" s="158"/>
    </row>
    <row r="64" spans="2:80" ht="24.95" customHeight="1" x14ac:dyDescent="0.25">
      <c r="K64" s="134"/>
      <c r="L64" s="158"/>
      <c r="M64" s="158"/>
      <c r="N64" s="159"/>
      <c r="O64" s="158"/>
    </row>
    <row r="65" spans="11:15" ht="24.95" customHeight="1" x14ac:dyDescent="0.25">
      <c r="K65" s="134"/>
      <c r="L65" s="158"/>
      <c r="M65" s="158"/>
      <c r="N65" s="159"/>
      <c r="O65" s="158"/>
    </row>
    <row r="66" spans="11:15" ht="24.95" customHeight="1" x14ac:dyDescent="0.25">
      <c r="K66" s="134"/>
      <c r="L66" s="15"/>
      <c r="N66" s="158"/>
      <c r="O66" s="158"/>
    </row>
  </sheetData>
  <mergeCells count="11">
    <mergeCell ref="B1:AD1"/>
    <mergeCell ref="D39:AD39"/>
    <mergeCell ref="B40:AD40"/>
    <mergeCell ref="Y41:AY41"/>
    <mergeCell ref="C42:M42"/>
    <mergeCell ref="R42:AR42"/>
    <mergeCell ref="B2:AD4"/>
    <mergeCell ref="J6:Q6"/>
    <mergeCell ref="Q8:AB8"/>
    <mergeCell ref="C37:Z37"/>
    <mergeCell ref="A38:AD38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7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J20" sqref="AJ20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42578125" style="134" customWidth="1"/>
    <col min="4" max="4" width="11.28515625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" customWidth="1"/>
    <col min="10" max="10" width="5.140625" customWidth="1"/>
    <col min="11" max="11" width="8.7109375" customWidth="1"/>
    <col min="12" max="12" width="6.28515625" customWidth="1"/>
    <col min="13" max="13" width="5" customWidth="1"/>
    <col min="14" max="15" width="7" customWidth="1"/>
    <col min="16" max="16" width="5.710937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7.42578125" customWidth="1"/>
    <col min="23" max="23" width="5.85546875" customWidth="1"/>
    <col min="24" max="24" width="5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6.85546875" customWidth="1"/>
    <col min="33" max="33" width="10.28515625" customWidth="1"/>
    <col min="34" max="34" width="8.5703125" customWidth="1"/>
    <col min="35" max="35" width="11.5703125" customWidth="1"/>
    <col min="36" max="36" width="12" customWidth="1"/>
    <col min="37" max="37" width="8.140625" customWidth="1"/>
    <col min="38" max="38" width="8.85546875" customWidth="1"/>
    <col min="39" max="39" width="8.5703125" customWidth="1"/>
    <col min="42" max="42" width="12.42578125" customWidth="1"/>
    <col min="74" max="74" width="14.5703125" customWidth="1"/>
    <col min="75" max="75" width="14.85546875" customWidth="1"/>
    <col min="76" max="77" width="12.28515625" customWidth="1"/>
    <col min="78" max="78" width="11.140625" customWidth="1"/>
  </cols>
  <sheetData>
    <row r="1" spans="1:40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71"/>
      <c r="AG1" s="171"/>
      <c r="AH1" s="19"/>
    </row>
    <row r="2" spans="1:40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1"/>
      <c r="AG2" s="21"/>
      <c r="AH2" s="20"/>
    </row>
    <row r="3" spans="1:40" ht="0.75" hidden="1" customHeight="1" x14ac:dyDescent="0.4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1"/>
      <c r="AG3" s="21"/>
      <c r="AH3" s="28"/>
    </row>
    <row r="4" spans="1:40" ht="0.75" customHeight="1" x14ac:dyDescent="0.4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172"/>
      <c r="AG4" s="172"/>
      <c r="AH4" s="28"/>
    </row>
    <row r="5" spans="1:40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35"/>
      <c r="AG5" s="35"/>
      <c r="AH5" s="28"/>
    </row>
    <row r="6" spans="1:40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120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73"/>
      <c r="AG6" s="173"/>
    </row>
    <row r="7" spans="1:40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8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174"/>
      <c r="AG7" s="174"/>
      <c r="AH7" s="28"/>
      <c r="AI7" s="142" t="s">
        <v>53</v>
      </c>
      <c r="AJ7" s="126" t="s">
        <v>67</v>
      </c>
      <c r="AK7" s="126" t="s">
        <v>68</v>
      </c>
      <c r="AL7" s="126" t="s">
        <v>69</v>
      </c>
      <c r="AM7" s="126" t="s">
        <v>71</v>
      </c>
      <c r="AN7" s="152" t="s">
        <v>113</v>
      </c>
    </row>
    <row r="8" spans="1:40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174"/>
      <c r="AG8" s="174"/>
      <c r="AH8" s="2"/>
      <c r="AI8" s="141">
        <f>+AB24</f>
        <v>1056</v>
      </c>
      <c r="AJ8" s="141">
        <f>X22+T10+T11+T12+T13+T14+T15+T16+T17+T19+T20+T21+U12+U13+U16</f>
        <v>61096</v>
      </c>
      <c r="AK8" s="141">
        <f>+Y24+AA24</f>
        <v>2029</v>
      </c>
      <c r="AL8" s="141">
        <f>+O10+O11+O14+O15+O17+O19+O20+O21</f>
        <v>127887</v>
      </c>
      <c r="AM8" s="141">
        <f>+U18</f>
        <v>9309</v>
      </c>
      <c r="AN8" s="141">
        <f>AI8+AJ8+AK8+AL8+AM8</f>
        <v>201377</v>
      </c>
    </row>
    <row r="9" spans="1:40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175"/>
      <c r="AG9" s="175"/>
      <c r="AH9" s="22"/>
      <c r="AM9" s="131"/>
    </row>
    <row r="10" spans="1:40" s="39" customFormat="1" ht="20.100000000000001" customHeight="1" x14ac:dyDescent="0.2">
      <c r="B10" s="128">
        <v>1364</v>
      </c>
      <c r="C10" s="92" t="s">
        <v>78</v>
      </c>
      <c r="D10" s="41" t="s">
        <v>42</v>
      </c>
      <c r="E10" s="178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43">
        <v>0</v>
      </c>
      <c r="K10" s="88">
        <f>ROUND((G10*35%),0)</f>
        <v>20496</v>
      </c>
      <c r="L10" s="89">
        <v>1500</v>
      </c>
      <c r="M10" s="43"/>
      <c r="N10" s="88">
        <f>G10+H10+I10+J10+K10+L10+M10</f>
        <v>80756</v>
      </c>
      <c r="O10" s="89">
        <f>ROUND((G10*55%),0)</f>
        <v>32208</v>
      </c>
      <c r="P10" s="43">
        <v>0</v>
      </c>
      <c r="Q10" s="89">
        <f t="shared" ref="Q10:Q17" si="1">ROUND((N10+O10+P10),0)</f>
        <v>112964</v>
      </c>
      <c r="R10" s="122">
        <f t="shared" ref="R10:R17" si="2">O10</f>
        <v>32208</v>
      </c>
      <c r="S10" s="42">
        <v>10</v>
      </c>
      <c r="T10" s="54">
        <f>ROUND((G10*10%),0)</f>
        <v>5856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ROUND((SUM(R10:AC10)-S10),0)</f>
        <v>49046</v>
      </c>
      <c r="AE10" s="54">
        <f t="shared" ref="AE10:AE21" si="4">Q10-AD10</f>
        <v>63918</v>
      </c>
      <c r="AF10" s="176"/>
      <c r="AG10" s="176"/>
      <c r="AH10" s="45"/>
      <c r="AJ10" s="124"/>
      <c r="AK10" s="124"/>
      <c r="AL10" s="124"/>
      <c r="AM10" s="124"/>
    </row>
    <row r="11" spans="1:40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50">
        <v>0</v>
      </c>
      <c r="K11" s="88">
        <f>ROUND((G11*35%),0)</f>
        <v>17955</v>
      </c>
      <c r="L11" s="89">
        <v>1500</v>
      </c>
      <c r="M11" s="50">
        <v>0</v>
      </c>
      <c r="N11" s="88">
        <f t="shared" ref="N11:N22" si="5">G11+H11+I11+J11+K11+L11+M11</f>
        <v>70755</v>
      </c>
      <c r="O11" s="89">
        <f>ROUND((G11*55%),0)</f>
        <v>28215</v>
      </c>
      <c r="P11" s="50">
        <v>0</v>
      </c>
      <c r="Q11" s="89">
        <f t="shared" si="1"/>
        <v>98970</v>
      </c>
      <c r="R11" s="122">
        <f t="shared" si="2"/>
        <v>28215</v>
      </c>
      <c r="S11" s="50">
        <v>15</v>
      </c>
      <c r="T11" s="54">
        <f>ROUND((G11*15%),0)</f>
        <v>7695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44720</v>
      </c>
      <c r="AE11" s="54">
        <f t="shared" si="4"/>
        <v>54250</v>
      </c>
      <c r="AF11" s="176"/>
      <c r="AG11" s="176"/>
      <c r="AH11" s="55"/>
    </row>
    <row r="12" spans="1:40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50">
        <v>0</v>
      </c>
      <c r="K12" s="88">
        <v>13800</v>
      </c>
      <c r="L12" s="89">
        <v>1500</v>
      </c>
      <c r="M12" s="50">
        <v>0</v>
      </c>
      <c r="N12" s="88">
        <f>G12+H12+I12+J12+K12+L12+M12</f>
        <v>52580</v>
      </c>
      <c r="O12" s="89">
        <f>ROUND((G12*10%),0)</f>
        <v>3728</v>
      </c>
      <c r="P12" s="49">
        <f>O12</f>
        <v>3728</v>
      </c>
      <c r="Q12" s="89">
        <f>ROUND((N12+O12+P12),0)</f>
        <v>60036</v>
      </c>
      <c r="R12" s="122">
        <f>O12</f>
        <v>3728</v>
      </c>
      <c r="S12" s="50">
        <v>10</v>
      </c>
      <c r="T12" s="54">
        <f>ROUND((G12*10%),0)</f>
        <v>3728</v>
      </c>
      <c r="U12" s="50">
        <f>T12</f>
        <v>3728</v>
      </c>
      <c r="V12" s="50">
        <v>0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>ROUND((SUM(R12:AC12)-S12),0)</f>
        <v>15544</v>
      </c>
      <c r="AE12" s="54">
        <f>Q12-AD12</f>
        <v>44492</v>
      </c>
      <c r="AF12" s="176"/>
      <c r="AG12" s="176"/>
      <c r="AH12" s="55"/>
    </row>
    <row r="13" spans="1:40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50">
        <v>0</v>
      </c>
      <c r="K13" s="88">
        <v>13800</v>
      </c>
      <c r="L13" s="89">
        <v>1500</v>
      </c>
      <c r="M13" s="50">
        <v>0</v>
      </c>
      <c r="N13" s="88">
        <f t="shared" si="5"/>
        <v>52580</v>
      </c>
      <c r="O13" s="89">
        <f>ROUND((G13*10%),0)</f>
        <v>3728</v>
      </c>
      <c r="P13" s="49">
        <f>O13</f>
        <v>3728</v>
      </c>
      <c r="Q13" s="89">
        <f t="shared" si="1"/>
        <v>60036</v>
      </c>
      <c r="R13" s="122">
        <f t="shared" si="2"/>
        <v>3728</v>
      </c>
      <c r="S13" s="50">
        <v>10</v>
      </c>
      <c r="T13" s="54">
        <f>ROUND((G13*10%),0)</f>
        <v>3728</v>
      </c>
      <c r="U13" s="49">
        <f>P13</f>
        <v>3728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14594</v>
      </c>
      <c r="AE13" s="54">
        <f t="shared" si="4"/>
        <v>45442</v>
      </c>
      <c r="AF13" s="176"/>
      <c r="AG13" s="176"/>
      <c r="AH13" s="55"/>
    </row>
    <row r="14" spans="1:40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28100</v>
      </c>
      <c r="F14" s="50">
        <v>0</v>
      </c>
      <c r="G14" s="88">
        <f t="shared" si="0"/>
        <v>28100</v>
      </c>
      <c r="H14" s="53">
        <v>0</v>
      </c>
      <c r="I14" s="50">
        <v>0</v>
      </c>
      <c r="J14" s="49">
        <v>1000</v>
      </c>
      <c r="K14" s="88">
        <f>ROUND((G14*40%),0)</f>
        <v>11240</v>
      </c>
      <c r="L14" s="89">
        <v>1500</v>
      </c>
      <c r="M14" s="50">
        <v>0</v>
      </c>
      <c r="N14" s="88">
        <f t="shared" si="5"/>
        <v>41840</v>
      </c>
      <c r="O14" s="89">
        <f>ROUND((G14*55%),0)</f>
        <v>15455</v>
      </c>
      <c r="P14" s="50">
        <v>0</v>
      </c>
      <c r="Q14" s="89">
        <f t="shared" si="1"/>
        <v>57295</v>
      </c>
      <c r="R14" s="122">
        <f t="shared" si="2"/>
        <v>15455</v>
      </c>
      <c r="S14" s="51">
        <v>25</v>
      </c>
      <c r="T14" s="54">
        <f>ROUND((G14*25%),0)</f>
        <v>7025</v>
      </c>
      <c r="U14" s="50">
        <f>P14</f>
        <v>0</v>
      </c>
      <c r="V14" s="49">
        <f>K14</f>
        <v>11240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1150</v>
      </c>
      <c r="AD14" s="52">
        <f t="shared" si="3"/>
        <v>38280</v>
      </c>
      <c r="AE14" s="54">
        <f t="shared" si="4"/>
        <v>19015</v>
      </c>
      <c r="AF14" s="176"/>
      <c r="AG14" s="176"/>
      <c r="AH14" s="55"/>
    </row>
    <row r="15" spans="1:40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50">
        <v>0</v>
      </c>
      <c r="J15" s="49">
        <v>1000</v>
      </c>
      <c r="K15" s="88">
        <f>ROUND((G15*40%),0)</f>
        <v>12336</v>
      </c>
      <c r="L15" s="89">
        <v>1500</v>
      </c>
      <c r="M15" s="50">
        <v>0</v>
      </c>
      <c r="N15" s="88">
        <f t="shared" si="5"/>
        <v>45676</v>
      </c>
      <c r="O15" s="89">
        <f>ROUND((G15*55%),0)</f>
        <v>16962</v>
      </c>
      <c r="P15" s="50">
        <v>0</v>
      </c>
      <c r="Q15" s="89">
        <f t="shared" si="1"/>
        <v>62638</v>
      </c>
      <c r="R15" s="122">
        <f t="shared" si="2"/>
        <v>16962</v>
      </c>
      <c r="S15" s="51">
        <v>25</v>
      </c>
      <c r="T15" s="54">
        <f>ROUND((G15*25%),0)</f>
        <v>7710</v>
      </c>
      <c r="U15" s="50">
        <f>P15</f>
        <v>0</v>
      </c>
      <c r="V15" s="49">
        <f>K15</f>
        <v>12336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1500</v>
      </c>
      <c r="AD15" s="52">
        <f t="shared" si="3"/>
        <v>42218</v>
      </c>
      <c r="AE15" s="54">
        <f t="shared" si="4"/>
        <v>20420</v>
      </c>
      <c r="AF15" s="176"/>
      <c r="AG15" s="176"/>
      <c r="AH15" s="55"/>
    </row>
    <row r="16" spans="1:40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50">
        <v>0</v>
      </c>
      <c r="K16" s="88">
        <f>ROUND((G16*40%),0)</f>
        <v>7412</v>
      </c>
      <c r="L16" s="89">
        <v>1500</v>
      </c>
      <c r="M16" s="50">
        <v>0</v>
      </c>
      <c r="N16" s="88">
        <f t="shared" si="5"/>
        <v>27442</v>
      </c>
      <c r="O16" s="89">
        <f>ROUND((G16*10%),0)</f>
        <v>1853</v>
      </c>
      <c r="P16" s="49">
        <f>O16</f>
        <v>1853</v>
      </c>
      <c r="Q16" s="89">
        <f t="shared" si="1"/>
        <v>31148</v>
      </c>
      <c r="R16" s="122">
        <f t="shared" si="2"/>
        <v>1853</v>
      </c>
      <c r="S16" s="51">
        <v>10</v>
      </c>
      <c r="T16" s="54">
        <f>ROUND((G16*10%),0)</f>
        <v>1853</v>
      </c>
      <c r="U16" s="49">
        <f>P16</f>
        <v>1853</v>
      </c>
      <c r="V16" s="50">
        <v>0</v>
      </c>
      <c r="W16" s="50">
        <v>0</v>
      </c>
      <c r="X16" s="53">
        <v>0</v>
      </c>
      <c r="Y16" s="49">
        <f>ROUND((G16*1%),0)</f>
        <v>185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5754</v>
      </c>
      <c r="AE16" s="54">
        <f t="shared" si="4"/>
        <v>25394</v>
      </c>
      <c r="AF16" s="176"/>
      <c r="AG16" s="176"/>
      <c r="AH16" s="55"/>
    </row>
    <row r="17" spans="2:42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50">
        <v>0</v>
      </c>
      <c r="J17" s="49">
        <v>500</v>
      </c>
      <c r="K17" s="88">
        <f>ROUND((G17*40%),0)</f>
        <v>7412</v>
      </c>
      <c r="L17" s="49">
        <v>1500</v>
      </c>
      <c r="M17" s="50">
        <v>0</v>
      </c>
      <c r="N17" s="88">
        <f t="shared" si="5"/>
        <v>27942</v>
      </c>
      <c r="O17" s="89">
        <f>ROUND((G17*55%),0)</f>
        <v>10192</v>
      </c>
      <c r="P17" s="50">
        <v>0</v>
      </c>
      <c r="Q17" s="89">
        <f t="shared" si="1"/>
        <v>38134</v>
      </c>
      <c r="R17" s="49">
        <f t="shared" si="2"/>
        <v>10192</v>
      </c>
      <c r="S17" s="51">
        <v>25</v>
      </c>
      <c r="T17" s="54">
        <f>ROUND((G17*25%),0)</f>
        <v>4633</v>
      </c>
      <c r="U17" s="50">
        <v>0</v>
      </c>
      <c r="V17" s="49">
        <f>K17</f>
        <v>7412</v>
      </c>
      <c r="W17" s="50">
        <v>4000</v>
      </c>
      <c r="X17" s="53">
        <v>0</v>
      </c>
      <c r="Y17" s="49">
        <f>ROUND((G17*1%),0)</f>
        <v>185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26432</v>
      </c>
      <c r="AE17" s="49">
        <f t="shared" si="4"/>
        <v>11702</v>
      </c>
      <c r="AF17" s="95"/>
      <c r="AG17" s="95"/>
      <c r="AH17" s="55"/>
    </row>
    <row r="18" spans="2:42" s="46" customFormat="1" ht="19.5" customHeight="1" x14ac:dyDescent="0.25">
      <c r="B18" s="47"/>
      <c r="C18" s="48" t="s">
        <v>13</v>
      </c>
      <c r="D18" s="48"/>
      <c r="E18" s="57">
        <f t="shared" ref="E18:R18" si="6">SUM(E10:E17)</f>
        <v>280420</v>
      </c>
      <c r="F18" s="58">
        <f t="shared" si="6"/>
        <v>0</v>
      </c>
      <c r="G18" s="57">
        <f t="shared" si="6"/>
        <v>280420</v>
      </c>
      <c r="H18" s="57">
        <f t="shared" si="6"/>
        <v>200</v>
      </c>
      <c r="I18" s="57">
        <f t="shared" si="6"/>
        <v>0</v>
      </c>
      <c r="J18" s="57">
        <f t="shared" si="6"/>
        <v>2500</v>
      </c>
      <c r="K18" s="57">
        <f t="shared" si="6"/>
        <v>104451</v>
      </c>
      <c r="L18" s="57">
        <f t="shared" si="6"/>
        <v>12000</v>
      </c>
      <c r="M18" s="58">
        <f t="shared" si="6"/>
        <v>0</v>
      </c>
      <c r="N18" s="97">
        <f t="shared" si="5"/>
        <v>399571</v>
      </c>
      <c r="O18" s="57">
        <f t="shared" si="6"/>
        <v>112341</v>
      </c>
      <c r="P18" s="57">
        <f t="shared" si="6"/>
        <v>9309</v>
      </c>
      <c r="Q18" s="57">
        <f>SUM(Q10:Q17)</f>
        <v>521221</v>
      </c>
      <c r="R18" s="57">
        <f t="shared" si="6"/>
        <v>112341</v>
      </c>
      <c r="S18" s="57"/>
      <c r="T18" s="57">
        <f t="shared" ref="T18:AD18" si="7">SUM(T10:T17)</f>
        <v>42228</v>
      </c>
      <c r="U18" s="57">
        <f t="shared" si="7"/>
        <v>9309</v>
      </c>
      <c r="V18" s="57">
        <f t="shared" si="7"/>
        <v>47988</v>
      </c>
      <c r="W18" s="57">
        <f t="shared" si="7"/>
        <v>18235</v>
      </c>
      <c r="X18" s="58">
        <f t="shared" si="7"/>
        <v>0</v>
      </c>
      <c r="Y18" s="57">
        <f t="shared" si="7"/>
        <v>1570</v>
      </c>
      <c r="Z18" s="57">
        <f t="shared" si="7"/>
        <v>80</v>
      </c>
      <c r="AA18" s="58">
        <f t="shared" si="7"/>
        <v>6</v>
      </c>
      <c r="AB18" s="57">
        <f t="shared" si="7"/>
        <v>1056</v>
      </c>
      <c r="AC18" s="57">
        <f t="shared" si="7"/>
        <v>3775</v>
      </c>
      <c r="AD18" s="57">
        <f t="shared" si="7"/>
        <v>236588</v>
      </c>
      <c r="AE18" s="57">
        <f t="shared" si="4"/>
        <v>284633</v>
      </c>
      <c r="AF18" s="94"/>
      <c r="AG18" s="94"/>
      <c r="AH18" s="55"/>
    </row>
    <row r="19" spans="2:42" s="46" customFormat="1" ht="19.5" customHeight="1" x14ac:dyDescent="0.3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50">
        <v>0</v>
      </c>
      <c r="J19" s="49">
        <v>1000</v>
      </c>
      <c r="K19" s="49">
        <f>G19*40%</f>
        <v>7184</v>
      </c>
      <c r="L19" s="49">
        <v>1500</v>
      </c>
      <c r="M19" s="49">
        <v>100</v>
      </c>
      <c r="N19" s="88">
        <f>G19+H19+I19+J19+K19+L19+M19</f>
        <v>27744</v>
      </c>
      <c r="O19" s="89">
        <f>ROUND((G19*55%),0)</f>
        <v>9878</v>
      </c>
      <c r="P19" s="50">
        <v>0</v>
      </c>
      <c r="Q19" s="49">
        <f>ROUND((N19+O19),0)</f>
        <v>37622</v>
      </c>
      <c r="R19" s="49">
        <f>O19</f>
        <v>9878</v>
      </c>
      <c r="S19" s="51">
        <v>10</v>
      </c>
      <c r="T19" s="54">
        <f>ROUND((G19*10%),0)</f>
        <v>1796</v>
      </c>
      <c r="U19" s="50">
        <v>0</v>
      </c>
      <c r="V19" s="50">
        <v>0</v>
      </c>
      <c r="W19" s="50">
        <v>3200</v>
      </c>
      <c r="X19" s="56">
        <v>5040</v>
      </c>
      <c r="Y19" s="49">
        <f>ROUND((G19*1%),0)</f>
        <v>180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ROUND((SUM(R19:AC19)-S19),0)</f>
        <v>20104</v>
      </c>
      <c r="AE19" s="49">
        <f t="shared" si="4"/>
        <v>17518</v>
      </c>
      <c r="AF19" s="95"/>
      <c r="AG19" s="95"/>
      <c r="AH19" s="55"/>
      <c r="AI19" s="160" t="s">
        <v>20</v>
      </c>
      <c r="AJ19" s="160" t="s">
        <v>93</v>
      </c>
      <c r="AK19" s="160" t="s">
        <v>112</v>
      </c>
      <c r="AL19" s="160" t="s">
        <v>95</v>
      </c>
      <c r="AM19" s="161"/>
      <c r="AN19" s="165" t="s">
        <v>118</v>
      </c>
    </row>
    <row r="20" spans="2:42" s="46" customFormat="1" ht="19.5" customHeight="1" x14ac:dyDescent="0.3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50">
        <v>0</v>
      </c>
      <c r="J20" s="49">
        <v>1000</v>
      </c>
      <c r="K20" s="49">
        <v>7000</v>
      </c>
      <c r="L20" s="49">
        <v>1500</v>
      </c>
      <c r="M20" s="49">
        <v>100</v>
      </c>
      <c r="N20" s="88">
        <f t="shared" si="5"/>
        <v>26270</v>
      </c>
      <c r="O20" s="89">
        <f>ROUND((G20*55%),0)</f>
        <v>9169</v>
      </c>
      <c r="P20" s="50">
        <v>0</v>
      </c>
      <c r="Q20" s="49">
        <f>ROUND((N20+O20),0)</f>
        <v>35439</v>
      </c>
      <c r="R20" s="49">
        <f>O20</f>
        <v>9169</v>
      </c>
      <c r="S20" s="51">
        <v>10</v>
      </c>
      <c r="T20" s="54">
        <f>ROUND((G20*10%),0)</f>
        <v>1667</v>
      </c>
      <c r="U20" s="50">
        <v>0</v>
      </c>
      <c r="V20" s="49">
        <f>K20</f>
        <v>7000</v>
      </c>
      <c r="W20" s="49">
        <v>1500</v>
      </c>
      <c r="X20" s="53">
        <v>0</v>
      </c>
      <c r="Y20" s="49">
        <f>ROUND((G20*1%),0)</f>
        <v>167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19513</v>
      </c>
      <c r="AE20" s="49">
        <f t="shared" si="4"/>
        <v>15926</v>
      </c>
      <c r="AF20" s="95"/>
      <c r="AG20" s="95"/>
      <c r="AH20" s="55"/>
      <c r="AI20" s="162">
        <f>V24</f>
        <v>54988</v>
      </c>
      <c r="AJ20" s="162">
        <f>W24</f>
        <v>22935</v>
      </c>
      <c r="AK20" s="162">
        <f>AC24</f>
        <v>3775</v>
      </c>
      <c r="AL20" s="163">
        <v>110</v>
      </c>
      <c r="AM20" s="164"/>
      <c r="AN20" s="163">
        <f>AI20+AJ20+AK20+AL20</f>
        <v>81808</v>
      </c>
    </row>
    <row r="21" spans="2:42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50">
        <v>0</v>
      </c>
      <c r="J21" s="49">
        <v>1000</v>
      </c>
      <c r="K21" s="49">
        <f>G21*45%</f>
        <v>4752</v>
      </c>
      <c r="L21" s="49">
        <v>1500</v>
      </c>
      <c r="M21" s="49">
        <v>100</v>
      </c>
      <c r="N21" s="88">
        <f t="shared" si="5"/>
        <v>17912</v>
      </c>
      <c r="O21" s="89">
        <f>ROUND((G21*55%),0)</f>
        <v>5808</v>
      </c>
      <c r="P21" s="50">
        <v>0</v>
      </c>
      <c r="Q21" s="49">
        <f>ROUND((N21+O21),0)</f>
        <v>23720</v>
      </c>
      <c r="R21" s="49">
        <f>O21</f>
        <v>5808</v>
      </c>
      <c r="S21" s="51">
        <v>10</v>
      </c>
      <c r="T21" s="54">
        <f>ROUND((G21*10%),0)</f>
        <v>1056</v>
      </c>
      <c r="U21" s="50">
        <v>0</v>
      </c>
      <c r="V21" s="50">
        <v>0</v>
      </c>
      <c r="W21" s="50">
        <v>0</v>
      </c>
      <c r="X21" s="53">
        <v>0</v>
      </c>
      <c r="Y21" s="49">
        <f>ROUND((G21*1%),0)</f>
        <v>106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6980</v>
      </c>
      <c r="AE21" s="49">
        <f t="shared" si="4"/>
        <v>16740</v>
      </c>
      <c r="AF21" s="95"/>
      <c r="AG21" s="95"/>
      <c r="AH21" s="55"/>
    </row>
    <row r="22" spans="2:42" s="101" customFormat="1" ht="19.5" customHeight="1" x14ac:dyDescent="0.25">
      <c r="B22" s="47"/>
      <c r="C22" s="47" t="s">
        <v>6</v>
      </c>
      <c r="D22" s="48"/>
      <c r="E22" s="57">
        <f t="shared" ref="E22:K22" si="8">SUM(E19:E21)</f>
        <v>45190</v>
      </c>
      <c r="F22" s="58">
        <f t="shared" si="8"/>
        <v>0</v>
      </c>
      <c r="G22" s="57">
        <f t="shared" si="8"/>
        <v>45190</v>
      </c>
      <c r="H22" s="58">
        <f t="shared" si="8"/>
        <v>0</v>
      </c>
      <c r="I22" s="58">
        <f t="shared" si="8"/>
        <v>0</v>
      </c>
      <c r="J22" s="57">
        <f t="shared" si="8"/>
        <v>3000</v>
      </c>
      <c r="K22" s="57">
        <f t="shared" si="8"/>
        <v>18936</v>
      </c>
      <c r="L22" s="57">
        <f t="shared" ref="L22:R22" si="9">SUM(L19:L21)</f>
        <v>4500</v>
      </c>
      <c r="M22" s="57">
        <f t="shared" si="9"/>
        <v>300</v>
      </c>
      <c r="N22" s="97">
        <f t="shared" si="5"/>
        <v>71926</v>
      </c>
      <c r="O22" s="57">
        <f t="shared" si="9"/>
        <v>24855</v>
      </c>
      <c r="P22" s="58">
        <f t="shared" si="9"/>
        <v>0</v>
      </c>
      <c r="Q22" s="57">
        <f t="shared" si="9"/>
        <v>96781</v>
      </c>
      <c r="R22" s="57">
        <f t="shared" si="9"/>
        <v>24855</v>
      </c>
      <c r="S22" s="58">
        <v>0</v>
      </c>
      <c r="T22" s="57">
        <f t="shared" ref="T22:AA22" si="10">SUM(T19:T21)</f>
        <v>4519</v>
      </c>
      <c r="U22" s="58">
        <f t="shared" si="10"/>
        <v>0</v>
      </c>
      <c r="V22" s="57">
        <f t="shared" si="10"/>
        <v>7000</v>
      </c>
      <c r="W22" s="57">
        <f t="shared" si="10"/>
        <v>4700</v>
      </c>
      <c r="X22" s="57">
        <f t="shared" si="10"/>
        <v>5040</v>
      </c>
      <c r="Y22" s="57">
        <f t="shared" si="10"/>
        <v>453</v>
      </c>
      <c r="Z22" s="57">
        <f t="shared" si="10"/>
        <v>30</v>
      </c>
      <c r="AA22" s="58">
        <f t="shared" si="10"/>
        <v>0</v>
      </c>
      <c r="AB22" s="58">
        <v>0</v>
      </c>
      <c r="AC22" s="58">
        <f>SUM(AC19:AC21)</f>
        <v>0</v>
      </c>
      <c r="AD22" s="57">
        <f>SUM(AD19:AD21)</f>
        <v>46597</v>
      </c>
      <c r="AE22" s="57">
        <f>SUM(AE19:AE21)</f>
        <v>50184</v>
      </c>
      <c r="AF22" s="94"/>
      <c r="AG22" s="94"/>
      <c r="AH22" s="100"/>
      <c r="AJ22" s="154"/>
      <c r="AK22" s="154"/>
      <c r="AM22" s="154"/>
    </row>
    <row r="23" spans="2:42" s="46" customFormat="1" ht="19.5" customHeight="1" x14ac:dyDescent="0.25">
      <c r="B23" s="60"/>
      <c r="C23" s="47" t="s">
        <v>13</v>
      </c>
      <c r="D23" s="48"/>
      <c r="E23" s="61">
        <f t="shared" ref="E23:P23" si="11">E18</f>
        <v>280420</v>
      </c>
      <c r="F23" s="62">
        <f t="shared" si="11"/>
        <v>0</v>
      </c>
      <c r="G23" s="61">
        <f t="shared" si="11"/>
        <v>280420</v>
      </c>
      <c r="H23" s="61">
        <f t="shared" si="11"/>
        <v>200</v>
      </c>
      <c r="I23" s="62">
        <f t="shared" si="11"/>
        <v>0</v>
      </c>
      <c r="J23" s="61">
        <f t="shared" si="11"/>
        <v>2500</v>
      </c>
      <c r="K23" s="61">
        <f t="shared" si="11"/>
        <v>104451</v>
      </c>
      <c r="L23" s="61">
        <f t="shared" si="11"/>
        <v>12000</v>
      </c>
      <c r="M23" s="62">
        <f t="shared" si="11"/>
        <v>0</v>
      </c>
      <c r="N23" s="88">
        <f>N18</f>
        <v>399571</v>
      </c>
      <c r="O23" s="61">
        <f>O18</f>
        <v>112341</v>
      </c>
      <c r="P23" s="61">
        <f t="shared" si="11"/>
        <v>9309</v>
      </c>
      <c r="Q23" s="49">
        <f>Q18</f>
        <v>521221</v>
      </c>
      <c r="R23" s="61">
        <f>R18</f>
        <v>112341</v>
      </c>
      <c r="S23" s="62">
        <v>0</v>
      </c>
      <c r="T23" s="61">
        <f t="shared" ref="T23:AE23" si="12">T18</f>
        <v>42228</v>
      </c>
      <c r="U23" s="62">
        <f t="shared" si="12"/>
        <v>9309</v>
      </c>
      <c r="V23" s="61">
        <f t="shared" si="12"/>
        <v>47988</v>
      </c>
      <c r="W23" s="61">
        <f t="shared" si="12"/>
        <v>18235</v>
      </c>
      <c r="X23" s="62">
        <f t="shared" si="12"/>
        <v>0</v>
      </c>
      <c r="Y23" s="61">
        <f t="shared" si="12"/>
        <v>1570</v>
      </c>
      <c r="Z23" s="62">
        <f t="shared" si="12"/>
        <v>80</v>
      </c>
      <c r="AA23" s="62">
        <f t="shared" si="12"/>
        <v>6</v>
      </c>
      <c r="AB23" s="62">
        <f>AB18</f>
        <v>1056</v>
      </c>
      <c r="AC23" s="62">
        <f t="shared" si="12"/>
        <v>3775</v>
      </c>
      <c r="AD23" s="62">
        <f t="shared" si="12"/>
        <v>236588</v>
      </c>
      <c r="AE23" s="61">
        <f t="shared" si="12"/>
        <v>284633</v>
      </c>
      <c r="AF23" s="96"/>
      <c r="AG23" s="96"/>
      <c r="AH23" s="55"/>
      <c r="AJ23" s="102"/>
      <c r="AK23" s="102"/>
      <c r="AL23" s="102"/>
      <c r="AM23" s="102"/>
      <c r="AN23" s="102"/>
    </row>
    <row r="24" spans="2:42" s="46" customFormat="1" ht="18" customHeight="1" x14ac:dyDescent="0.25">
      <c r="B24" s="47"/>
      <c r="C24" s="63" t="s">
        <v>14</v>
      </c>
      <c r="D24" s="93"/>
      <c r="E24" s="57">
        <f>E22+E23</f>
        <v>325610</v>
      </c>
      <c r="F24" s="58">
        <f>F22+F23</f>
        <v>0</v>
      </c>
      <c r="G24" s="57">
        <f>G22+G23</f>
        <v>325610</v>
      </c>
      <c r="H24" s="57">
        <f t="shared" ref="H24:AC24" si="13">H22+H23</f>
        <v>200</v>
      </c>
      <c r="I24" s="58">
        <f t="shared" si="13"/>
        <v>0</v>
      </c>
      <c r="J24" s="57">
        <f t="shared" si="13"/>
        <v>5500</v>
      </c>
      <c r="K24" s="57">
        <f t="shared" si="13"/>
        <v>123387</v>
      </c>
      <c r="L24" s="57">
        <f t="shared" si="13"/>
        <v>16500</v>
      </c>
      <c r="M24" s="57">
        <f t="shared" si="13"/>
        <v>300</v>
      </c>
      <c r="N24" s="97">
        <f>N22+N23</f>
        <v>471497</v>
      </c>
      <c r="O24" s="57">
        <f>O22+O23</f>
        <v>137196</v>
      </c>
      <c r="P24" s="57">
        <f t="shared" si="13"/>
        <v>9309</v>
      </c>
      <c r="Q24" s="57">
        <f>Q22+Q23</f>
        <v>618002</v>
      </c>
      <c r="R24" s="57">
        <f>R22+R23</f>
        <v>137196</v>
      </c>
      <c r="S24" s="58">
        <f t="shared" si="13"/>
        <v>0</v>
      </c>
      <c r="T24" s="57">
        <f>T22+T23</f>
        <v>46747</v>
      </c>
      <c r="U24" s="57">
        <f>U22+U23</f>
        <v>9309</v>
      </c>
      <c r="V24" s="57">
        <f>V22+V23</f>
        <v>54988</v>
      </c>
      <c r="W24" s="57">
        <f>W22+W23</f>
        <v>22935</v>
      </c>
      <c r="X24" s="57">
        <f t="shared" si="13"/>
        <v>5040</v>
      </c>
      <c r="Y24" s="57">
        <f>Y22+Y23</f>
        <v>2023</v>
      </c>
      <c r="Z24" s="57">
        <f>Z22+Z23</f>
        <v>110</v>
      </c>
      <c r="AA24" s="58">
        <f t="shared" si="13"/>
        <v>6</v>
      </c>
      <c r="AB24" s="57">
        <f>AB22+AB23</f>
        <v>1056</v>
      </c>
      <c r="AC24" s="57">
        <f t="shared" si="13"/>
        <v>3775</v>
      </c>
      <c r="AD24" s="57">
        <f>AD22+AD23</f>
        <v>283185</v>
      </c>
      <c r="AE24" s="57">
        <f>AE22+AE23</f>
        <v>334817</v>
      </c>
      <c r="AF24" s="94"/>
      <c r="AG24" s="177"/>
      <c r="AH24" s="102"/>
      <c r="AI24" s="102">
        <f>G24+H24+J24+K24+L24+M24+O24+P24</f>
        <v>618002</v>
      </c>
      <c r="AL24" s="123"/>
      <c r="AN24" s="102">
        <f>AN8+AN20</f>
        <v>283185</v>
      </c>
      <c r="AO24" s="102">
        <f>AI24-AN24</f>
        <v>334817</v>
      </c>
      <c r="AP24" s="123"/>
    </row>
    <row r="25" spans="2:42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0</v>
      </c>
      <c r="J25" s="65">
        <f>SUM(J22)</f>
        <v>3000</v>
      </c>
      <c r="K25" s="65">
        <f>SUM(K19:K22)</f>
        <v>37872</v>
      </c>
      <c r="L25" s="65">
        <f>SUM(L22)</f>
        <v>4500</v>
      </c>
      <c r="M25" s="65">
        <f>SUM(M22)</f>
        <v>300</v>
      </c>
      <c r="N25" s="65">
        <f>SUM(N19:N22)</f>
        <v>143852</v>
      </c>
      <c r="O25" s="65">
        <f>SUM(O22)</f>
        <v>24855</v>
      </c>
      <c r="P25" s="65">
        <f>SUM(P22)</f>
        <v>0</v>
      </c>
      <c r="Q25" s="65">
        <f>SUM(Q19:Q22)</f>
        <v>193562</v>
      </c>
      <c r="R25" s="65">
        <f>SUM(R22)</f>
        <v>24855</v>
      </c>
      <c r="S25" s="65">
        <f>SUM(S19:S22)</f>
        <v>30</v>
      </c>
      <c r="T25" s="66">
        <f>SUM(T19:T22)</f>
        <v>9038</v>
      </c>
      <c r="U25" s="66">
        <f>SUM(U22)</f>
        <v>0</v>
      </c>
      <c r="V25" s="65">
        <f>SUM(V19:V22)</f>
        <v>14000</v>
      </c>
      <c r="W25" s="65">
        <f t="shared" ref="W25:AC25" si="14">SUM(W22)</f>
        <v>4700</v>
      </c>
      <c r="X25" s="67">
        <f t="shared" si="14"/>
        <v>5040</v>
      </c>
      <c r="Y25" s="68">
        <f t="shared" si="14"/>
        <v>453</v>
      </c>
      <c r="Z25" s="67">
        <f t="shared" si="14"/>
        <v>30</v>
      </c>
      <c r="AA25" s="65">
        <f t="shared" si="14"/>
        <v>0</v>
      </c>
      <c r="AB25" s="65"/>
      <c r="AC25" s="65">
        <f t="shared" si="14"/>
        <v>0</v>
      </c>
      <c r="AD25" s="52">
        <f>R25+T25+U25+V25+W25+X25+Y25+Z25+AA25</f>
        <v>58116</v>
      </c>
      <c r="AE25" s="65">
        <f>SUM(AE19:AE22)</f>
        <v>100368</v>
      </c>
      <c r="AF25" s="65"/>
      <c r="AG25" s="65"/>
      <c r="AH25" s="69"/>
    </row>
    <row r="26" spans="2:42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73"/>
      <c r="U26" s="73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  <c r="AG26" s="69"/>
      <c r="AH26" s="69"/>
    </row>
    <row r="27" spans="2:42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  <c r="AG27" s="69"/>
      <c r="AH27" s="69"/>
    </row>
    <row r="28" spans="2:42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  <c r="AG28" s="69"/>
      <c r="AH28" s="69"/>
    </row>
    <row r="29" spans="2:42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  <c r="AG29" s="76"/>
      <c r="AH29" s="76"/>
    </row>
    <row r="30" spans="2:42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3"/>
      <c r="U30" s="73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  <c r="AG30" s="69"/>
      <c r="AH30" s="69"/>
    </row>
    <row r="31" spans="2:42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  <c r="AG31" s="69"/>
      <c r="AH31" s="69"/>
    </row>
    <row r="32" spans="2:42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  <c r="AG32" s="76"/>
      <c r="AH32" s="76"/>
    </row>
    <row r="33" spans="1:250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  <c r="AG33" s="76"/>
      <c r="AH33" s="76"/>
    </row>
    <row r="34" spans="1:250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3"/>
      <c r="U34" s="73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  <c r="AG34" s="69"/>
      <c r="AH34" s="69"/>
    </row>
    <row r="35" spans="1:250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  <c r="AG35" s="76"/>
      <c r="AH35" s="76"/>
    </row>
    <row r="36" spans="1:250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  <c r="AG36" s="79"/>
      <c r="AH36" s="79"/>
    </row>
    <row r="37" spans="1:250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4"/>
      <c r="AG37" s="84"/>
      <c r="AH37" s="85"/>
      <c r="AN37" s="153"/>
    </row>
    <row r="38" spans="1:250" s="181" customFormat="1" ht="48" customHeight="1" x14ac:dyDescent="0.2">
      <c r="A38" s="628" t="s">
        <v>123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628"/>
      <c r="AB38" s="628"/>
      <c r="AC38" s="628"/>
      <c r="AD38" s="628"/>
      <c r="AE38" s="628"/>
      <c r="AF38" s="132"/>
      <c r="AG38" s="132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 t="s">
        <v>81</v>
      </c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 t="s">
        <v>81</v>
      </c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 t="s">
        <v>81</v>
      </c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/>
      <c r="GE38" s="137" t="s">
        <v>81</v>
      </c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 t="s">
        <v>81</v>
      </c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  <c r="IO38" s="137"/>
      <c r="IP38" s="137"/>
    </row>
    <row r="39" spans="1:250" s="70" customFormat="1" ht="26.25" customHeight="1" x14ac:dyDescent="0.2">
      <c r="A39" s="70" t="s">
        <v>12</v>
      </c>
      <c r="B39" s="86"/>
      <c r="C39" s="133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87"/>
      <c r="AD39" s="87"/>
      <c r="AE39" s="87"/>
      <c r="AF39" s="87"/>
      <c r="AG39" s="87"/>
      <c r="AH39" s="87"/>
    </row>
    <row r="40" spans="1:250" ht="17.25" customHeight="1" x14ac:dyDescent="0.25">
      <c r="B40" s="22"/>
      <c r="D40" s="616" t="s">
        <v>122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5"/>
      <c r="AG40" s="5"/>
      <c r="AH40" s="22"/>
    </row>
    <row r="41" spans="1:250" ht="13.5" customHeight="1" x14ac:dyDescent="0.2">
      <c r="B41" s="616" t="s">
        <v>124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5"/>
      <c r="AG41" s="5"/>
      <c r="AH41" s="23"/>
      <c r="AI41" s="6"/>
    </row>
    <row r="42" spans="1:250" ht="24.95" customHeight="1" x14ac:dyDescent="0.25">
      <c r="B42" s="22"/>
      <c r="C42" s="135"/>
      <c r="D42" s="14"/>
      <c r="E42" s="22"/>
      <c r="F42" s="22"/>
      <c r="G42" s="22"/>
      <c r="H42" s="22"/>
      <c r="I42" s="34"/>
      <c r="J42" s="5"/>
      <c r="K42" s="5"/>
      <c r="L42" s="5"/>
      <c r="M42" s="5"/>
      <c r="N42" s="5"/>
      <c r="O42" s="5"/>
      <c r="P42" s="5"/>
      <c r="Q42" s="179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  <c r="AY42" s="617"/>
      <c r="AZ42" s="617"/>
    </row>
    <row r="43" spans="1:250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26"/>
      <c r="P43" s="5"/>
      <c r="Q43" s="5"/>
      <c r="R43" s="4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  <c r="AR43" s="617"/>
      <c r="AS43" s="617"/>
    </row>
    <row r="44" spans="1:250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  <c r="AG44" s="5"/>
      <c r="AH44" s="5"/>
    </row>
    <row r="45" spans="1:250" ht="16.5" customHeight="1" x14ac:dyDescent="0.25">
      <c r="B45" s="5"/>
      <c r="E45" s="9"/>
      <c r="F45" s="10"/>
      <c r="G45" s="9"/>
      <c r="H45" s="9"/>
      <c r="I45" s="5"/>
      <c r="J45" s="4"/>
      <c r="K45" s="4"/>
      <c r="L45" s="14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  <c r="AG45" s="5"/>
      <c r="AH45" s="5"/>
    </row>
    <row r="46" spans="1:250" ht="16.5" customHeight="1" x14ac:dyDescent="0.25">
      <c r="B46" s="5"/>
      <c r="D46" s="158"/>
      <c r="E46" s="156"/>
      <c r="F46" s="157"/>
      <c r="G46" s="159"/>
      <c r="H46" s="9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  <c r="AG46" s="5"/>
      <c r="AH46" s="5"/>
    </row>
    <row r="47" spans="1:250" ht="24.95" customHeight="1" x14ac:dyDescent="0.25">
      <c r="B47" s="2"/>
      <c r="C47" s="14"/>
      <c r="D47" s="158"/>
      <c r="E47" s="158"/>
      <c r="F47" s="158"/>
      <c r="G47" s="15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3"/>
      <c r="AG47" s="3"/>
      <c r="AH47" s="2"/>
    </row>
    <row r="48" spans="1:250" ht="24.95" customHeight="1" x14ac:dyDescent="0.25">
      <c r="B48" s="2"/>
      <c r="C48" s="14"/>
      <c r="D48" s="158"/>
      <c r="E48" s="158"/>
      <c r="F48" s="158"/>
      <c r="G48" s="158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3"/>
      <c r="AG48" s="3"/>
      <c r="AH48" s="2"/>
    </row>
    <row r="49" spans="2:81" ht="24.95" customHeight="1" x14ac:dyDescent="0.25">
      <c r="B49" s="2"/>
      <c r="C49" s="14"/>
      <c r="D49" s="158"/>
      <c r="E49" s="158"/>
      <c r="F49" s="158"/>
      <c r="G49" s="158"/>
      <c r="H49" s="2"/>
      <c r="I49" s="5"/>
      <c r="Z49" s="12"/>
      <c r="AA49" s="12"/>
      <c r="AB49" s="12"/>
      <c r="AC49" s="3"/>
      <c r="AD49" s="2"/>
      <c r="AE49" s="2"/>
      <c r="AF49" s="2"/>
      <c r="AG49" s="2"/>
      <c r="AH49" s="2"/>
    </row>
    <row r="50" spans="2:81" ht="24.95" customHeight="1" x14ac:dyDescent="0.25">
      <c r="B50" s="5"/>
      <c r="C50" s="14"/>
      <c r="D50" s="158"/>
      <c r="E50" s="158"/>
      <c r="F50" s="158"/>
      <c r="G50" s="158"/>
      <c r="H50" s="5"/>
      <c r="X50" s="11"/>
      <c r="Y50" s="11"/>
      <c r="Z50" s="11"/>
      <c r="AA50" s="11"/>
      <c r="AB50" s="11"/>
      <c r="AC50" s="5"/>
      <c r="AD50" s="5"/>
      <c r="AE50" s="5"/>
      <c r="AF50" s="5"/>
      <c r="AG50" s="5"/>
      <c r="AH50" s="5"/>
      <c r="BV50" s="166"/>
      <c r="BW50" s="166"/>
      <c r="BX50" s="167"/>
      <c r="BY50" s="166"/>
      <c r="BZ50" s="167"/>
      <c r="CA50" s="2"/>
      <c r="CB50" s="2"/>
      <c r="CC50" s="2"/>
    </row>
    <row r="51" spans="2:81" ht="24.95" customHeight="1" x14ac:dyDescent="0.25">
      <c r="C51" s="14"/>
      <c r="D51" s="158"/>
      <c r="E51" s="158"/>
      <c r="F51" s="158"/>
      <c r="G51" s="158"/>
      <c r="L51" s="134"/>
      <c r="M51" s="158"/>
      <c r="N51" s="156"/>
      <c r="O51" s="159"/>
      <c r="P51" s="159"/>
      <c r="BV51" s="166"/>
      <c r="BW51" s="166"/>
      <c r="BX51" s="167"/>
      <c r="BY51" s="166"/>
      <c r="BZ51" s="167"/>
      <c r="CA51" s="2"/>
      <c r="CB51" s="2"/>
      <c r="CC51" s="2"/>
    </row>
    <row r="52" spans="2:81" ht="24.95" customHeight="1" x14ac:dyDescent="0.25">
      <c r="D52" s="158"/>
      <c r="E52" s="158"/>
      <c r="F52" s="158"/>
      <c r="G52" s="158"/>
      <c r="L52" s="14"/>
      <c r="M52" s="158"/>
      <c r="N52" s="158"/>
      <c r="O52" s="159"/>
      <c r="P52" s="158"/>
      <c r="BV52" s="166"/>
      <c r="BW52" s="166"/>
      <c r="BX52" s="167"/>
      <c r="BY52" s="166"/>
      <c r="BZ52" s="167"/>
      <c r="CA52" s="2"/>
      <c r="CB52" s="2"/>
      <c r="CC52" s="2"/>
    </row>
    <row r="53" spans="2:81" ht="24.95" customHeight="1" x14ac:dyDescent="0.25">
      <c r="D53" s="158"/>
      <c r="E53" s="158"/>
      <c r="F53" s="158"/>
      <c r="G53" s="158"/>
      <c r="L53" s="14"/>
      <c r="M53" s="158"/>
      <c r="N53" s="158"/>
      <c r="O53" s="159"/>
      <c r="P53" s="158"/>
      <c r="BV53" s="166"/>
      <c r="BW53" s="166"/>
      <c r="BX53" s="167"/>
      <c r="BY53" s="166"/>
      <c r="BZ53" s="167"/>
      <c r="CA53" s="2"/>
      <c r="CB53" s="2"/>
      <c r="CC53" s="2"/>
    </row>
    <row r="54" spans="2:81" ht="24.95" customHeight="1" x14ac:dyDescent="0.25">
      <c r="D54" s="158"/>
      <c r="E54" s="158"/>
      <c r="F54" s="158"/>
      <c r="G54" s="158"/>
      <c r="L54" s="14"/>
      <c r="M54" s="158"/>
      <c r="N54" s="158"/>
      <c r="O54" s="159"/>
      <c r="P54" s="158"/>
      <c r="BV54" s="166"/>
      <c r="BW54" s="166"/>
      <c r="BX54" s="167"/>
      <c r="BY54" s="166"/>
      <c r="BZ54" s="167"/>
      <c r="CA54" s="2"/>
      <c r="CB54" s="2"/>
      <c r="CC54" s="2"/>
    </row>
    <row r="55" spans="2:81" ht="24.95" customHeight="1" x14ac:dyDescent="0.25">
      <c r="D55" s="158"/>
      <c r="E55" s="158"/>
      <c r="F55" s="158"/>
      <c r="G55" s="158"/>
      <c r="L55" s="14"/>
      <c r="M55" s="158"/>
      <c r="N55" s="158"/>
      <c r="O55" s="159"/>
      <c r="P55" s="158"/>
      <c r="BV55" s="166"/>
      <c r="BW55" s="166"/>
      <c r="BX55" s="167"/>
      <c r="BY55" s="166"/>
      <c r="BZ55" s="167"/>
      <c r="CA55" s="2"/>
      <c r="CB55" s="2"/>
      <c r="CC55" s="2"/>
    </row>
    <row r="56" spans="2:81" ht="24.95" customHeight="1" x14ac:dyDescent="0.25">
      <c r="D56" s="158"/>
      <c r="E56" s="158"/>
      <c r="F56" s="158"/>
      <c r="G56" s="158"/>
      <c r="L56" s="14"/>
      <c r="M56" s="158"/>
      <c r="N56" s="158"/>
      <c r="O56" s="159"/>
      <c r="P56" s="158"/>
      <c r="BV56" s="166"/>
      <c r="BW56" s="166"/>
      <c r="BX56" s="167"/>
      <c r="BY56" s="166"/>
      <c r="BZ56" s="167"/>
      <c r="CA56" s="2"/>
      <c r="CB56" s="2"/>
      <c r="CC56" s="2"/>
    </row>
    <row r="57" spans="2:81" ht="24.95" customHeight="1" x14ac:dyDescent="0.25">
      <c r="D57" s="158"/>
      <c r="E57" s="158"/>
      <c r="F57" s="158"/>
      <c r="G57" s="158"/>
      <c r="L57" s="134"/>
      <c r="M57" s="158"/>
      <c r="N57" s="158"/>
      <c r="O57" s="159"/>
      <c r="P57" s="158"/>
      <c r="BV57" s="167"/>
      <c r="BW57" s="167"/>
      <c r="BX57" s="167"/>
      <c r="BY57" s="167"/>
      <c r="BZ57" s="168"/>
      <c r="CA57" s="2"/>
      <c r="CB57" s="2"/>
      <c r="CC57" s="2"/>
    </row>
    <row r="58" spans="2:81" ht="24.95" customHeight="1" x14ac:dyDescent="0.25">
      <c r="D58" s="158"/>
      <c r="E58" s="158"/>
      <c r="F58" s="158"/>
      <c r="G58" s="158"/>
      <c r="L58" s="134"/>
      <c r="M58" s="158"/>
      <c r="N58" s="158"/>
      <c r="O58" s="159"/>
      <c r="P58" s="158"/>
      <c r="BX58" s="169"/>
    </row>
    <row r="59" spans="2:81" ht="24.95" customHeight="1" x14ac:dyDescent="0.25">
      <c r="D59" s="158"/>
      <c r="E59" s="158"/>
      <c r="F59" s="158"/>
      <c r="G59" s="158"/>
      <c r="L59" s="134"/>
      <c r="M59" s="158"/>
      <c r="N59" s="158"/>
      <c r="O59" s="159"/>
      <c r="P59" s="158"/>
      <c r="BX59" s="170">
        <f>SUM(BX57:BX58)</f>
        <v>0</v>
      </c>
    </row>
    <row r="60" spans="2:81" ht="24.95" customHeight="1" x14ac:dyDescent="0.25">
      <c r="D60" s="158"/>
      <c r="E60" s="158"/>
      <c r="F60" s="158"/>
      <c r="G60" s="158"/>
      <c r="L60" s="134"/>
      <c r="M60" s="158"/>
      <c r="N60" s="158"/>
      <c r="O60" s="159"/>
      <c r="P60" s="158"/>
    </row>
    <row r="61" spans="2:81" ht="24.95" customHeight="1" x14ac:dyDescent="0.25">
      <c r="D61" s="158"/>
      <c r="E61" s="158"/>
      <c r="F61" s="158"/>
      <c r="G61" s="158"/>
      <c r="L61" s="134"/>
      <c r="M61" s="158"/>
      <c r="N61" s="158"/>
      <c r="O61" s="159"/>
      <c r="P61" s="158"/>
    </row>
    <row r="62" spans="2:81" ht="18.75" customHeight="1" x14ac:dyDescent="0.25">
      <c r="G62" s="158"/>
      <c r="L62" s="134"/>
      <c r="M62" s="158"/>
      <c r="N62" s="158"/>
      <c r="O62" s="159"/>
      <c r="P62" s="158"/>
    </row>
    <row r="63" spans="2:81" ht="24.95" customHeight="1" x14ac:dyDescent="0.25">
      <c r="L63" s="134"/>
      <c r="M63" s="158"/>
      <c r="N63" s="158"/>
      <c r="O63" s="159"/>
      <c r="P63" s="158"/>
    </row>
    <row r="64" spans="2:81" ht="24.95" customHeight="1" x14ac:dyDescent="0.25">
      <c r="L64" s="134"/>
      <c r="M64" s="158"/>
      <c r="N64" s="158"/>
      <c r="O64" s="159"/>
      <c r="P64" s="158"/>
    </row>
    <row r="65" spans="12:16" ht="24.95" customHeight="1" x14ac:dyDescent="0.25">
      <c r="L65" s="134"/>
      <c r="M65" s="158"/>
      <c r="N65" s="158"/>
      <c r="O65" s="159"/>
      <c r="P65" s="158"/>
    </row>
    <row r="66" spans="12:16" ht="24.95" customHeight="1" x14ac:dyDescent="0.25">
      <c r="L66" s="134"/>
      <c r="M66" s="158"/>
      <c r="N66" s="158"/>
      <c r="O66" s="159"/>
      <c r="P66" s="158"/>
    </row>
    <row r="67" spans="12:16" ht="24.95" customHeight="1" x14ac:dyDescent="0.25">
      <c r="L67" s="134"/>
      <c r="M67" s="15"/>
      <c r="O67" s="158"/>
      <c r="P67" s="158"/>
    </row>
  </sheetData>
  <mergeCells count="11">
    <mergeCell ref="A38:AE38"/>
    <mergeCell ref="B1:AE1"/>
    <mergeCell ref="C43:N43"/>
    <mergeCell ref="C37:AA37"/>
    <mergeCell ref="R8:AC8"/>
    <mergeCell ref="K6:R6"/>
    <mergeCell ref="B2:AE4"/>
    <mergeCell ref="D40:AE40"/>
    <mergeCell ref="B41:AE41"/>
    <mergeCell ref="Z42:AZ42"/>
    <mergeCell ref="S43:AS43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7"/>
  <sheetViews>
    <sheetView zoomScale="90" zoomScaleNormal="90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T17" sqref="T17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6.85546875" customWidth="1"/>
    <col min="7" max="7" width="6.5703125" customWidth="1"/>
    <col min="8" max="8" width="4.7109375" customWidth="1"/>
    <col min="9" max="9" width="5" customWidth="1"/>
    <col min="10" max="10" width="5.140625" customWidth="1"/>
    <col min="11" max="11" width="6.7109375" customWidth="1"/>
    <col min="12" max="12" width="6.28515625" customWidth="1"/>
    <col min="13" max="13" width="5" customWidth="1"/>
    <col min="14" max="15" width="7" customWidth="1"/>
    <col min="16" max="16" width="5.710937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5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8.5703125" customWidth="1"/>
    <col min="33" max="33" width="11.5703125" customWidth="1"/>
    <col min="34" max="34" width="12" customWidth="1"/>
    <col min="35" max="35" width="8.140625" customWidth="1"/>
    <col min="36" max="36" width="8.85546875" customWidth="1"/>
    <col min="37" max="37" width="8.5703125" customWidth="1"/>
    <col min="40" max="40" width="12.42578125" customWidth="1"/>
    <col min="72" max="72" width="14.5703125" customWidth="1"/>
    <col min="73" max="73" width="14.85546875" customWidth="1"/>
    <col min="74" max="75" width="12.28515625" customWidth="1"/>
    <col min="76" max="76" width="11.140625" customWidth="1"/>
  </cols>
  <sheetData>
    <row r="1" spans="1:38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38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38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</row>
    <row r="4" spans="1:38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</row>
    <row r="5" spans="1:38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</row>
    <row r="6" spans="1:38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119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8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42" t="s">
        <v>53</v>
      </c>
      <c r="AH7" s="126" t="s">
        <v>67</v>
      </c>
      <c r="AI7" s="126" t="s">
        <v>68</v>
      </c>
      <c r="AJ7" s="126" t="s">
        <v>69</v>
      </c>
      <c r="AK7" s="126" t="s">
        <v>71</v>
      </c>
      <c r="AL7" s="152" t="s">
        <v>113</v>
      </c>
    </row>
    <row r="8" spans="1:38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41">
        <f>+AB24</f>
        <v>1056</v>
      </c>
      <c r="AH8" s="141">
        <f>X22+T10+T11+T12+T13+T14+T15+T16+T17+T19+T20+T21+U12+U13+U16</f>
        <v>58480</v>
      </c>
      <c r="AI8" s="141">
        <f>+Y24+AA24</f>
        <v>1989</v>
      </c>
      <c r="AJ8" s="141">
        <f>+O10+O11+O14+O15+O17+O19+O20+O21</f>
        <v>122053</v>
      </c>
      <c r="AK8" s="141">
        <f>+U18</f>
        <v>8864</v>
      </c>
      <c r="AL8" s="141">
        <f>AG8+AH8+AI8+AJ8+AK8</f>
        <v>192442</v>
      </c>
    </row>
    <row r="9" spans="1:38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K9" s="131"/>
    </row>
    <row r="10" spans="1:38" s="39" customFormat="1" ht="20.100000000000001" customHeight="1" x14ac:dyDescent="0.2">
      <c r="B10" s="128">
        <v>1364</v>
      </c>
      <c r="C10" s="92" t="s">
        <v>76</v>
      </c>
      <c r="D10" s="41" t="s">
        <v>42</v>
      </c>
      <c r="E10" s="90">
        <v>56030</v>
      </c>
      <c r="F10" s="42">
        <v>0</v>
      </c>
      <c r="G10" s="88">
        <f t="shared" ref="G10:G17" si="0">E10+F10</f>
        <v>56030</v>
      </c>
      <c r="H10" s="43">
        <v>200</v>
      </c>
      <c r="I10" s="43">
        <v>0</v>
      </c>
      <c r="J10" s="43">
        <v>0</v>
      </c>
      <c r="K10" s="88">
        <f>ROUND((G10*35%),0)</f>
        <v>19611</v>
      </c>
      <c r="L10" s="89">
        <v>1500</v>
      </c>
      <c r="M10" s="43"/>
      <c r="N10" s="88">
        <f>G10+H10+I10+J10+K10+L10+M10</f>
        <v>77341</v>
      </c>
      <c r="O10" s="89">
        <f>ROUND((G10*55%),0)</f>
        <v>30817</v>
      </c>
      <c r="P10" s="43">
        <v>0</v>
      </c>
      <c r="Q10" s="89">
        <f t="shared" ref="Q10:Q17" si="1">ROUND((N10+O10+P10),0)</f>
        <v>108158</v>
      </c>
      <c r="R10" s="122">
        <f t="shared" ref="R10:R17" si="2">O10</f>
        <v>30817</v>
      </c>
      <c r="S10" s="42">
        <v>10</v>
      </c>
      <c r="T10" s="54">
        <f>ROUND((G10*10%),0)</f>
        <v>5603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ROUND((SUM(R10:AC10)-S10),0)</f>
        <v>47402</v>
      </c>
      <c r="AE10" s="54">
        <f t="shared" ref="AE10:AE21" si="4">Q10-AD10</f>
        <v>60756</v>
      </c>
      <c r="AF10" s="45"/>
      <c r="AH10" s="124"/>
      <c r="AI10" s="124"/>
      <c r="AJ10" s="124"/>
      <c r="AK10" s="124"/>
    </row>
    <row r="11" spans="1:38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2" si="5">G11+H11+I11+J11+K11+L11+M11</f>
        <v>67772</v>
      </c>
      <c r="O11" s="89">
        <f>ROUND((G11*55%),0)</f>
        <v>27000</v>
      </c>
      <c r="P11" s="50">
        <v>0</v>
      </c>
      <c r="Q11" s="89">
        <f t="shared" si="1"/>
        <v>94772</v>
      </c>
      <c r="R11" s="122">
        <f t="shared" si="2"/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43174</v>
      </c>
      <c r="AE11" s="54">
        <f t="shared" si="4"/>
        <v>51598</v>
      </c>
      <c r="AF11" s="55"/>
    </row>
    <row r="12" spans="1:38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35500</v>
      </c>
      <c r="F12" s="50">
        <v>0</v>
      </c>
      <c r="G12" s="88">
        <f>E12+F12</f>
        <v>35500</v>
      </c>
      <c r="H12" s="53">
        <v>0</v>
      </c>
      <c r="I12" s="50">
        <v>0</v>
      </c>
      <c r="J12" s="50">
        <v>0</v>
      </c>
      <c r="K12" s="88">
        <f t="shared" ref="K12:K17" si="6">ROUND((G12*40%),0)</f>
        <v>14200</v>
      </c>
      <c r="L12" s="89">
        <v>1500</v>
      </c>
      <c r="M12" s="50">
        <v>0</v>
      </c>
      <c r="N12" s="88">
        <f>G12+H12+I12+J12+K12+L12+M12</f>
        <v>51200</v>
      </c>
      <c r="O12" s="89">
        <f>ROUND((G12*10%),0)</f>
        <v>3550</v>
      </c>
      <c r="P12" s="49">
        <f>O12</f>
        <v>3550</v>
      </c>
      <c r="Q12" s="89">
        <f>ROUND((N12+O12+P12),0)</f>
        <v>58300</v>
      </c>
      <c r="R12" s="122">
        <f>O12</f>
        <v>3550</v>
      </c>
      <c r="S12" s="50">
        <v>10</v>
      </c>
      <c r="T12" s="54">
        <f>ROUND((G12*10%),0)</f>
        <v>3550</v>
      </c>
      <c r="U12" s="50">
        <f>T12</f>
        <v>3550</v>
      </c>
      <c r="V12" s="50">
        <v>0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>ROUND((SUM(R12:AC12)-S12),0)</f>
        <v>15010</v>
      </c>
      <c r="AE12" s="54">
        <f>Q12-AD12</f>
        <v>43290</v>
      </c>
      <c r="AF12" s="55"/>
    </row>
    <row r="13" spans="1:38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35500</v>
      </c>
      <c r="F13" s="50">
        <v>0</v>
      </c>
      <c r="G13" s="88">
        <f t="shared" si="0"/>
        <v>35500</v>
      </c>
      <c r="H13" s="53">
        <v>0</v>
      </c>
      <c r="I13" s="50">
        <v>0</v>
      </c>
      <c r="J13" s="50">
        <v>0</v>
      </c>
      <c r="K13" s="88">
        <f t="shared" si="6"/>
        <v>14200</v>
      </c>
      <c r="L13" s="89">
        <v>1500</v>
      </c>
      <c r="M13" s="50">
        <v>0</v>
      </c>
      <c r="N13" s="88">
        <f t="shared" si="5"/>
        <v>51200</v>
      </c>
      <c r="O13" s="89">
        <f>ROUND((G13*10%),0)</f>
        <v>3550</v>
      </c>
      <c r="P13" s="49">
        <f>O13</f>
        <v>3550</v>
      </c>
      <c r="Q13" s="89">
        <f t="shared" si="1"/>
        <v>58300</v>
      </c>
      <c r="R13" s="122">
        <f t="shared" si="2"/>
        <v>3550</v>
      </c>
      <c r="S13" s="50">
        <v>10</v>
      </c>
      <c r="T13" s="54">
        <f>ROUND((G13*10%),0)</f>
        <v>3550</v>
      </c>
      <c r="U13" s="49">
        <f>P13</f>
        <v>3550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14060</v>
      </c>
      <c r="AE13" s="54">
        <f t="shared" si="4"/>
        <v>44240</v>
      </c>
      <c r="AF13" s="55"/>
    </row>
    <row r="14" spans="1:38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5"/>
        <v>39964</v>
      </c>
      <c r="O14" s="89">
        <f>ROUND((G14*55%),0)</f>
        <v>14718</v>
      </c>
      <c r="P14" s="50">
        <v>0</v>
      </c>
      <c r="Q14" s="89">
        <f t="shared" si="1"/>
        <v>54682</v>
      </c>
      <c r="R14" s="122">
        <f t="shared" si="2"/>
        <v>14718</v>
      </c>
      <c r="S14" s="51">
        <v>25</v>
      </c>
      <c r="T14" s="54">
        <f>ROUND((G14*25%),0)</f>
        <v>6690</v>
      </c>
      <c r="U14" s="50">
        <f>P14</f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3"/>
        <v>36655</v>
      </c>
      <c r="AE14" s="54">
        <f t="shared" si="4"/>
        <v>18027</v>
      </c>
      <c r="AF14" s="55"/>
    </row>
    <row r="15" spans="1:38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5"/>
        <v>43618</v>
      </c>
      <c r="O15" s="89">
        <f>ROUND((G15*55%),0)</f>
        <v>16154</v>
      </c>
      <c r="P15" s="50">
        <v>0</v>
      </c>
      <c r="Q15" s="89">
        <f t="shared" si="1"/>
        <v>59772</v>
      </c>
      <c r="R15" s="122">
        <f t="shared" si="2"/>
        <v>16154</v>
      </c>
      <c r="S15" s="51">
        <v>25</v>
      </c>
      <c r="T15" s="54">
        <f>ROUND((G15*25%),0)</f>
        <v>7343</v>
      </c>
      <c r="U15" s="50">
        <f>P15</f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3"/>
        <v>40088</v>
      </c>
      <c r="AE15" s="54">
        <f t="shared" si="4"/>
        <v>19684</v>
      </c>
      <c r="AF15" s="55"/>
    </row>
    <row r="16" spans="1:38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17640</v>
      </c>
      <c r="F16" s="50">
        <v>0</v>
      </c>
      <c r="G16" s="88">
        <f t="shared" si="0"/>
        <v>17640</v>
      </c>
      <c r="H16" s="53">
        <v>0</v>
      </c>
      <c r="I16" s="50">
        <v>0</v>
      </c>
      <c r="J16" s="50">
        <v>0</v>
      </c>
      <c r="K16" s="88">
        <f t="shared" si="6"/>
        <v>7056</v>
      </c>
      <c r="L16" s="89">
        <v>1500</v>
      </c>
      <c r="M16" s="50">
        <v>0</v>
      </c>
      <c r="N16" s="88">
        <f t="shared" si="5"/>
        <v>26196</v>
      </c>
      <c r="O16" s="89">
        <f>ROUND((G16*10%),0)</f>
        <v>1764</v>
      </c>
      <c r="P16" s="49">
        <f>O16</f>
        <v>1764</v>
      </c>
      <c r="Q16" s="89">
        <f t="shared" si="1"/>
        <v>29724</v>
      </c>
      <c r="R16" s="122">
        <f t="shared" si="2"/>
        <v>1764</v>
      </c>
      <c r="S16" s="51">
        <v>10</v>
      </c>
      <c r="T16" s="54">
        <f>ROUND((G16*10%),0)</f>
        <v>1764</v>
      </c>
      <c r="U16" s="49">
        <f>P16</f>
        <v>1764</v>
      </c>
      <c r="V16" s="50">
        <v>0</v>
      </c>
      <c r="W16" s="50">
        <v>0</v>
      </c>
      <c r="X16" s="53">
        <v>0</v>
      </c>
      <c r="Y16" s="49">
        <f>ROUND((G16*1%),0)</f>
        <v>176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5478</v>
      </c>
      <c r="AE16" s="54">
        <f t="shared" si="4"/>
        <v>24246</v>
      </c>
      <c r="AF16" s="55"/>
    </row>
    <row r="17" spans="2:40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17640</v>
      </c>
      <c r="F17" s="50">
        <v>0</v>
      </c>
      <c r="G17" s="49">
        <f t="shared" si="0"/>
        <v>17640</v>
      </c>
      <c r="H17" s="50">
        <v>0</v>
      </c>
      <c r="I17" s="50">
        <v>0</v>
      </c>
      <c r="J17" s="49">
        <v>500</v>
      </c>
      <c r="K17" s="88">
        <f t="shared" si="6"/>
        <v>7056</v>
      </c>
      <c r="L17" s="49">
        <v>1500</v>
      </c>
      <c r="M17" s="50">
        <v>0</v>
      </c>
      <c r="N17" s="88">
        <f t="shared" si="5"/>
        <v>26696</v>
      </c>
      <c r="O17" s="89">
        <f>ROUND((G17*55%),0)</f>
        <v>9702</v>
      </c>
      <c r="P17" s="50">
        <v>0</v>
      </c>
      <c r="Q17" s="89">
        <f t="shared" si="1"/>
        <v>36398</v>
      </c>
      <c r="R17" s="49">
        <f t="shared" si="2"/>
        <v>9702</v>
      </c>
      <c r="S17" s="51">
        <v>25</v>
      </c>
      <c r="T17" s="54">
        <f>ROUND((G17*25%),0)</f>
        <v>4410</v>
      </c>
      <c r="U17" s="50">
        <v>0</v>
      </c>
      <c r="V17" s="49">
        <f>K17</f>
        <v>7056</v>
      </c>
      <c r="W17" s="50">
        <v>4000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25354</v>
      </c>
      <c r="AE17" s="49">
        <f t="shared" si="4"/>
        <v>11044</v>
      </c>
      <c r="AF17" s="55"/>
    </row>
    <row r="18" spans="2:40" s="46" customFormat="1" ht="19.5" customHeight="1" x14ac:dyDescent="0.25">
      <c r="B18" s="47"/>
      <c r="C18" s="48" t="s">
        <v>13</v>
      </c>
      <c r="D18" s="48"/>
      <c r="E18" s="57">
        <f t="shared" ref="E18:R18" si="7">SUM(E10:E17)</f>
        <v>267530</v>
      </c>
      <c r="F18" s="58">
        <f t="shared" si="7"/>
        <v>0</v>
      </c>
      <c r="G18" s="57">
        <f t="shared" si="7"/>
        <v>267530</v>
      </c>
      <c r="H18" s="57">
        <f t="shared" si="7"/>
        <v>200</v>
      </c>
      <c r="I18" s="57">
        <f t="shared" si="7"/>
        <v>0</v>
      </c>
      <c r="J18" s="57">
        <f t="shared" si="7"/>
        <v>2500</v>
      </c>
      <c r="K18" s="57">
        <f t="shared" si="7"/>
        <v>101757</v>
      </c>
      <c r="L18" s="57">
        <f t="shared" si="7"/>
        <v>12000</v>
      </c>
      <c r="M18" s="58">
        <f t="shared" si="7"/>
        <v>0</v>
      </c>
      <c r="N18" s="97">
        <f t="shared" si="5"/>
        <v>383987</v>
      </c>
      <c r="O18" s="57">
        <f t="shared" si="7"/>
        <v>107255</v>
      </c>
      <c r="P18" s="57">
        <f t="shared" si="7"/>
        <v>8864</v>
      </c>
      <c r="Q18" s="57">
        <f>SUM(Q10:Q17)</f>
        <v>500106</v>
      </c>
      <c r="R18" s="57">
        <f t="shared" si="7"/>
        <v>107255</v>
      </c>
      <c r="S18" s="57"/>
      <c r="T18" s="57">
        <f t="shared" ref="T18:AD18" si="8">SUM(T10:T17)</f>
        <v>40274</v>
      </c>
      <c r="U18" s="57">
        <f t="shared" si="8"/>
        <v>8864</v>
      </c>
      <c r="V18" s="57">
        <f t="shared" si="8"/>
        <v>46508</v>
      </c>
      <c r="W18" s="57">
        <f t="shared" si="8"/>
        <v>18235</v>
      </c>
      <c r="X18" s="58">
        <f t="shared" si="8"/>
        <v>0</v>
      </c>
      <c r="Y18" s="57">
        <f t="shared" si="8"/>
        <v>1552</v>
      </c>
      <c r="Z18" s="57">
        <f t="shared" si="8"/>
        <v>80</v>
      </c>
      <c r="AA18" s="58">
        <f t="shared" si="8"/>
        <v>6</v>
      </c>
      <c r="AB18" s="57">
        <f t="shared" si="8"/>
        <v>1056</v>
      </c>
      <c r="AC18" s="57">
        <f t="shared" si="8"/>
        <v>3391</v>
      </c>
      <c r="AD18" s="57">
        <f t="shared" si="8"/>
        <v>227221</v>
      </c>
      <c r="AE18" s="57">
        <f t="shared" si="4"/>
        <v>272885</v>
      </c>
      <c r="AF18" s="55"/>
    </row>
    <row r="19" spans="2:40" s="46" customFormat="1" ht="19.5" customHeight="1" x14ac:dyDescent="0.3">
      <c r="B19" s="47">
        <v>200</v>
      </c>
      <c r="C19" s="48" t="s">
        <v>90</v>
      </c>
      <c r="D19" s="47" t="s">
        <v>75</v>
      </c>
      <c r="E19" s="49">
        <v>17100</v>
      </c>
      <c r="F19" s="50">
        <v>0</v>
      </c>
      <c r="G19" s="49">
        <f>E19+F19</f>
        <v>17100</v>
      </c>
      <c r="H19" s="50">
        <v>0</v>
      </c>
      <c r="I19" s="50">
        <v>0</v>
      </c>
      <c r="J19" s="49">
        <v>1000</v>
      </c>
      <c r="K19" s="49">
        <v>7000</v>
      </c>
      <c r="L19" s="49">
        <v>1500</v>
      </c>
      <c r="M19" s="49">
        <v>100</v>
      </c>
      <c r="N19" s="88">
        <f>G19+H19+I19+J19+K19+L19+M19</f>
        <v>26700</v>
      </c>
      <c r="O19" s="89">
        <f>ROUND((G19*55%),0)</f>
        <v>9405</v>
      </c>
      <c r="P19" s="50">
        <v>0</v>
      </c>
      <c r="Q19" s="49">
        <f>ROUND((N19+O19),0)</f>
        <v>36105</v>
      </c>
      <c r="R19" s="49">
        <f>O19</f>
        <v>9405</v>
      </c>
      <c r="S19" s="51">
        <v>10</v>
      </c>
      <c r="T19" s="54">
        <f>ROUND((G19*10%),0)</f>
        <v>1710</v>
      </c>
      <c r="U19" s="50">
        <v>0</v>
      </c>
      <c r="V19" s="50">
        <v>0</v>
      </c>
      <c r="W19" s="50">
        <v>3200</v>
      </c>
      <c r="X19" s="56">
        <v>5040</v>
      </c>
      <c r="Y19" s="49">
        <f>ROUND((G19*1%),0)</f>
        <v>171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ROUND((SUM(R19:AC19)-S19),0)</f>
        <v>19536</v>
      </c>
      <c r="AE19" s="49">
        <f t="shared" si="4"/>
        <v>16569</v>
      </c>
      <c r="AF19" s="55"/>
      <c r="AG19" s="160" t="s">
        <v>20</v>
      </c>
      <c r="AH19" s="160" t="s">
        <v>93</v>
      </c>
      <c r="AI19" s="160" t="s">
        <v>112</v>
      </c>
      <c r="AJ19" s="160" t="s">
        <v>95</v>
      </c>
      <c r="AK19" s="161"/>
      <c r="AL19" s="165" t="s">
        <v>118</v>
      </c>
    </row>
    <row r="20" spans="2:40" s="46" customFormat="1" ht="19.5" customHeight="1" x14ac:dyDescent="0.3">
      <c r="B20" s="47">
        <v>808</v>
      </c>
      <c r="C20" s="48" t="s">
        <v>62</v>
      </c>
      <c r="D20" s="47" t="s">
        <v>59</v>
      </c>
      <c r="E20" s="49">
        <v>15870</v>
      </c>
      <c r="F20" s="50">
        <v>0</v>
      </c>
      <c r="G20" s="49">
        <f>E20+F20</f>
        <v>15870</v>
      </c>
      <c r="H20" s="50">
        <v>0</v>
      </c>
      <c r="I20" s="50">
        <v>0</v>
      </c>
      <c r="J20" s="49">
        <v>1000</v>
      </c>
      <c r="K20" s="49">
        <f>ROUND((G20*45%),0)</f>
        <v>7142</v>
      </c>
      <c r="L20" s="49">
        <v>1500</v>
      </c>
      <c r="M20" s="49">
        <v>100</v>
      </c>
      <c r="N20" s="88">
        <f t="shared" si="5"/>
        <v>25612</v>
      </c>
      <c r="O20" s="89">
        <f>ROUND((G20*55%),0)</f>
        <v>8729</v>
      </c>
      <c r="P20" s="50">
        <v>0</v>
      </c>
      <c r="Q20" s="49">
        <f>ROUND((N20+O20),0)</f>
        <v>34341</v>
      </c>
      <c r="R20" s="49">
        <f>O20</f>
        <v>8729</v>
      </c>
      <c r="S20" s="51">
        <v>10</v>
      </c>
      <c r="T20" s="54">
        <f>ROUND((G20*10%),0)</f>
        <v>1587</v>
      </c>
      <c r="U20" s="50">
        <v>0</v>
      </c>
      <c r="V20" s="49">
        <f>K20</f>
        <v>7142</v>
      </c>
      <c r="W20" s="49">
        <v>1500</v>
      </c>
      <c r="X20" s="53">
        <v>0</v>
      </c>
      <c r="Y20" s="49">
        <f>ROUND((G20*1%),0)</f>
        <v>159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19127</v>
      </c>
      <c r="AE20" s="49">
        <f t="shared" si="4"/>
        <v>15214</v>
      </c>
      <c r="AF20" s="55"/>
      <c r="AG20" s="162">
        <f>V24</f>
        <v>53650</v>
      </c>
      <c r="AH20" s="162">
        <f>W24</f>
        <v>22935</v>
      </c>
      <c r="AI20" s="162">
        <f>AC24</f>
        <v>3391</v>
      </c>
      <c r="AJ20" s="163">
        <v>110</v>
      </c>
      <c r="AK20" s="164"/>
      <c r="AL20" s="163">
        <f>AG20+AH20+AI20+AJ20</f>
        <v>80086</v>
      </c>
    </row>
    <row r="21" spans="2:40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10050</v>
      </c>
      <c r="F21" s="50">
        <v>0</v>
      </c>
      <c r="G21" s="49">
        <f>E21+F21</f>
        <v>10050</v>
      </c>
      <c r="H21" s="50">
        <v>0</v>
      </c>
      <c r="I21" s="50">
        <v>0</v>
      </c>
      <c r="J21" s="49">
        <v>1000</v>
      </c>
      <c r="K21" s="49">
        <f>ROUND((G21*45%),0)</f>
        <v>4523</v>
      </c>
      <c r="L21" s="49">
        <v>1500</v>
      </c>
      <c r="M21" s="49">
        <v>100</v>
      </c>
      <c r="N21" s="88">
        <f t="shared" si="5"/>
        <v>17173</v>
      </c>
      <c r="O21" s="89">
        <f>ROUND((G21*55%),0)</f>
        <v>5528</v>
      </c>
      <c r="P21" s="50">
        <v>0</v>
      </c>
      <c r="Q21" s="49">
        <f>ROUND((N21+O21),0)</f>
        <v>22701</v>
      </c>
      <c r="R21" s="49">
        <f>O21</f>
        <v>5528</v>
      </c>
      <c r="S21" s="51">
        <v>10</v>
      </c>
      <c r="T21" s="54">
        <f>ROUND((G21*10%),0)</f>
        <v>1005</v>
      </c>
      <c r="U21" s="50">
        <v>0</v>
      </c>
      <c r="V21" s="50">
        <v>0</v>
      </c>
      <c r="W21" s="50">
        <v>0</v>
      </c>
      <c r="X21" s="53">
        <v>0</v>
      </c>
      <c r="Y21" s="49">
        <f>ROUND((G21*1%),0)</f>
        <v>101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6644</v>
      </c>
      <c r="AE21" s="49">
        <f t="shared" si="4"/>
        <v>16057</v>
      </c>
      <c r="AF21" s="55"/>
    </row>
    <row r="22" spans="2:40" s="101" customFormat="1" ht="19.5" customHeight="1" x14ac:dyDescent="0.25">
      <c r="B22" s="47"/>
      <c r="C22" s="47" t="s">
        <v>6</v>
      </c>
      <c r="D22" s="48"/>
      <c r="E22" s="57">
        <f t="shared" ref="E22:K22" si="9">SUM(E19:E21)</f>
        <v>43020</v>
      </c>
      <c r="F22" s="58">
        <f t="shared" si="9"/>
        <v>0</v>
      </c>
      <c r="G22" s="57">
        <f t="shared" si="9"/>
        <v>43020</v>
      </c>
      <c r="H22" s="58">
        <f t="shared" si="9"/>
        <v>0</v>
      </c>
      <c r="I22" s="58">
        <f t="shared" si="9"/>
        <v>0</v>
      </c>
      <c r="J22" s="57">
        <f t="shared" si="9"/>
        <v>3000</v>
      </c>
      <c r="K22" s="57">
        <f t="shared" si="9"/>
        <v>18665</v>
      </c>
      <c r="L22" s="57">
        <f t="shared" ref="L22:R22" si="10">SUM(L19:L21)</f>
        <v>4500</v>
      </c>
      <c r="M22" s="57">
        <f t="shared" si="10"/>
        <v>300</v>
      </c>
      <c r="N22" s="97">
        <f t="shared" si="5"/>
        <v>69485</v>
      </c>
      <c r="O22" s="57">
        <f t="shared" si="10"/>
        <v>23662</v>
      </c>
      <c r="P22" s="58">
        <f t="shared" si="10"/>
        <v>0</v>
      </c>
      <c r="Q22" s="57">
        <f t="shared" si="10"/>
        <v>93147</v>
      </c>
      <c r="R22" s="57">
        <f t="shared" si="10"/>
        <v>23662</v>
      </c>
      <c r="S22" s="58">
        <v>0</v>
      </c>
      <c r="T22" s="57">
        <f t="shared" ref="T22:AA22" si="11">SUM(T19:T21)</f>
        <v>4302</v>
      </c>
      <c r="U22" s="58">
        <f t="shared" si="11"/>
        <v>0</v>
      </c>
      <c r="V22" s="57">
        <f t="shared" si="11"/>
        <v>7142</v>
      </c>
      <c r="W22" s="57">
        <f t="shared" si="11"/>
        <v>4700</v>
      </c>
      <c r="X22" s="57">
        <f t="shared" si="11"/>
        <v>5040</v>
      </c>
      <c r="Y22" s="57">
        <f t="shared" si="11"/>
        <v>431</v>
      </c>
      <c r="Z22" s="57">
        <f t="shared" si="11"/>
        <v>30</v>
      </c>
      <c r="AA22" s="58">
        <f t="shared" si="11"/>
        <v>0</v>
      </c>
      <c r="AB22" s="58">
        <v>0</v>
      </c>
      <c r="AC22" s="58">
        <f>SUM(AC19:AC21)</f>
        <v>0</v>
      </c>
      <c r="AD22" s="57">
        <f>SUM(AD19:AD21)</f>
        <v>45307</v>
      </c>
      <c r="AE22" s="57">
        <f>SUM(AE19:AE21)</f>
        <v>47840</v>
      </c>
      <c r="AF22" s="100"/>
      <c r="AH22" s="154"/>
      <c r="AI22" s="154"/>
      <c r="AK22" s="154"/>
    </row>
    <row r="23" spans="2:40" s="46" customFormat="1" ht="19.5" customHeight="1" x14ac:dyDescent="0.25">
      <c r="B23" s="60"/>
      <c r="C23" s="47" t="s">
        <v>13</v>
      </c>
      <c r="D23" s="48"/>
      <c r="E23" s="61">
        <f t="shared" ref="E23:P23" si="12">E18</f>
        <v>267530</v>
      </c>
      <c r="F23" s="62">
        <f t="shared" si="12"/>
        <v>0</v>
      </c>
      <c r="G23" s="61">
        <f t="shared" si="12"/>
        <v>267530</v>
      </c>
      <c r="H23" s="61">
        <f t="shared" si="12"/>
        <v>200</v>
      </c>
      <c r="I23" s="62">
        <f t="shared" si="12"/>
        <v>0</v>
      </c>
      <c r="J23" s="61">
        <f t="shared" si="12"/>
        <v>2500</v>
      </c>
      <c r="K23" s="61">
        <f t="shared" si="12"/>
        <v>101757</v>
      </c>
      <c r="L23" s="61">
        <f t="shared" si="12"/>
        <v>12000</v>
      </c>
      <c r="M23" s="62">
        <f t="shared" si="12"/>
        <v>0</v>
      </c>
      <c r="N23" s="88">
        <f>N18</f>
        <v>383987</v>
      </c>
      <c r="O23" s="61">
        <f>O18</f>
        <v>107255</v>
      </c>
      <c r="P23" s="61">
        <f t="shared" si="12"/>
        <v>8864</v>
      </c>
      <c r="Q23" s="49">
        <f>Q18</f>
        <v>500106</v>
      </c>
      <c r="R23" s="61">
        <f>R18</f>
        <v>107255</v>
      </c>
      <c r="S23" s="62">
        <v>0</v>
      </c>
      <c r="T23" s="61">
        <f t="shared" ref="T23:AE23" si="13">T18</f>
        <v>40274</v>
      </c>
      <c r="U23" s="62">
        <f t="shared" si="13"/>
        <v>8864</v>
      </c>
      <c r="V23" s="61">
        <f t="shared" si="13"/>
        <v>46508</v>
      </c>
      <c r="W23" s="61">
        <f t="shared" si="13"/>
        <v>18235</v>
      </c>
      <c r="X23" s="62">
        <f t="shared" si="13"/>
        <v>0</v>
      </c>
      <c r="Y23" s="61">
        <f t="shared" si="13"/>
        <v>1552</v>
      </c>
      <c r="Z23" s="62">
        <f t="shared" si="13"/>
        <v>80</v>
      </c>
      <c r="AA23" s="62">
        <f t="shared" si="13"/>
        <v>6</v>
      </c>
      <c r="AB23" s="62">
        <f>AB18</f>
        <v>1056</v>
      </c>
      <c r="AC23" s="62">
        <f t="shared" si="13"/>
        <v>3391</v>
      </c>
      <c r="AD23" s="62">
        <f t="shared" si="13"/>
        <v>227221</v>
      </c>
      <c r="AE23" s="61">
        <f t="shared" si="13"/>
        <v>272885</v>
      </c>
      <c r="AF23" s="55"/>
      <c r="AH23" s="102"/>
      <c r="AI23" s="102"/>
      <c r="AJ23" s="102"/>
      <c r="AK23" s="102"/>
      <c r="AL23" s="102"/>
    </row>
    <row r="24" spans="2:40" s="46" customFormat="1" ht="18" customHeight="1" x14ac:dyDescent="0.25">
      <c r="B24" s="47"/>
      <c r="C24" s="63" t="s">
        <v>14</v>
      </c>
      <c r="D24" s="93"/>
      <c r="E24" s="57">
        <f>E22+E23</f>
        <v>310550</v>
      </c>
      <c r="F24" s="58">
        <f>F22+F23</f>
        <v>0</v>
      </c>
      <c r="G24" s="57">
        <f>G22+G23</f>
        <v>310550</v>
      </c>
      <c r="H24" s="57">
        <f t="shared" ref="H24:AC24" si="14">H22+H23</f>
        <v>200</v>
      </c>
      <c r="I24" s="58">
        <f t="shared" si="14"/>
        <v>0</v>
      </c>
      <c r="J24" s="57">
        <f t="shared" si="14"/>
        <v>5500</v>
      </c>
      <c r="K24" s="57">
        <f t="shared" si="14"/>
        <v>120422</v>
      </c>
      <c r="L24" s="57">
        <f t="shared" si="14"/>
        <v>16500</v>
      </c>
      <c r="M24" s="57">
        <f t="shared" si="14"/>
        <v>300</v>
      </c>
      <c r="N24" s="97">
        <f>N22+N23</f>
        <v>453472</v>
      </c>
      <c r="O24" s="57">
        <f>O22+O23</f>
        <v>130917</v>
      </c>
      <c r="P24" s="57">
        <f t="shared" si="14"/>
        <v>8864</v>
      </c>
      <c r="Q24" s="57">
        <f>Q22+Q23</f>
        <v>593253</v>
      </c>
      <c r="R24" s="57">
        <f>R22+R23</f>
        <v>130917</v>
      </c>
      <c r="S24" s="58">
        <f t="shared" si="14"/>
        <v>0</v>
      </c>
      <c r="T24" s="57">
        <f>T22+T23</f>
        <v>44576</v>
      </c>
      <c r="U24" s="57">
        <f>U22+U23</f>
        <v>8864</v>
      </c>
      <c r="V24" s="57">
        <f>V22+V23</f>
        <v>53650</v>
      </c>
      <c r="W24" s="57">
        <f>W22+W23</f>
        <v>22935</v>
      </c>
      <c r="X24" s="57">
        <f t="shared" si="14"/>
        <v>5040</v>
      </c>
      <c r="Y24" s="57">
        <f>Y22+Y23</f>
        <v>1983</v>
      </c>
      <c r="Z24" s="57">
        <f>Z22+Z23</f>
        <v>110</v>
      </c>
      <c r="AA24" s="58">
        <f t="shared" si="14"/>
        <v>6</v>
      </c>
      <c r="AB24" s="57">
        <f>AB22+AB23</f>
        <v>1056</v>
      </c>
      <c r="AC24" s="57">
        <f t="shared" si="14"/>
        <v>3391</v>
      </c>
      <c r="AD24" s="57">
        <f>AD22+AD23</f>
        <v>272528</v>
      </c>
      <c r="AE24" s="57">
        <f>AE22+AE23</f>
        <v>320725</v>
      </c>
      <c r="AF24" s="55"/>
      <c r="AG24" s="102">
        <f>G24+H24+J24+K24+L24+M24+O24+P24</f>
        <v>593253</v>
      </c>
      <c r="AJ24" s="123"/>
      <c r="AL24" s="102">
        <f>AL8+AL20</f>
        <v>272528</v>
      </c>
      <c r="AM24" s="102">
        <f>AG24-AL24</f>
        <v>320725</v>
      </c>
      <c r="AN24" s="123"/>
    </row>
    <row r="25" spans="2:40" s="70" customFormat="1" ht="18.75" hidden="1" customHeight="1" x14ac:dyDescent="0.2">
      <c r="B25" s="44"/>
      <c r="C25" s="92"/>
      <c r="D25" s="64"/>
      <c r="E25" s="65">
        <f>SUM(E22)</f>
        <v>43020</v>
      </c>
      <c r="F25" s="65">
        <f>SUM(F22)</f>
        <v>0</v>
      </c>
      <c r="G25" s="65">
        <f>SUM(G22)</f>
        <v>43020</v>
      </c>
      <c r="H25" s="65"/>
      <c r="I25" s="65">
        <f>SUM(I22)</f>
        <v>0</v>
      </c>
      <c r="J25" s="65">
        <f>SUM(J22)</f>
        <v>3000</v>
      </c>
      <c r="K25" s="65">
        <f>SUM(K19:K22)</f>
        <v>37330</v>
      </c>
      <c r="L25" s="65">
        <f>SUM(L22)</f>
        <v>4500</v>
      </c>
      <c r="M25" s="65">
        <f>SUM(M22)</f>
        <v>300</v>
      </c>
      <c r="N25" s="65">
        <f>SUM(N19:N22)</f>
        <v>138970</v>
      </c>
      <c r="O25" s="65">
        <f>SUM(O22)</f>
        <v>23662</v>
      </c>
      <c r="P25" s="65">
        <f>SUM(P22)</f>
        <v>0</v>
      </c>
      <c r="Q25" s="65">
        <f>SUM(Q19:Q22)</f>
        <v>186294</v>
      </c>
      <c r="R25" s="65">
        <f>SUM(R22)</f>
        <v>23662</v>
      </c>
      <c r="S25" s="65">
        <f>SUM(S19:S22)</f>
        <v>30</v>
      </c>
      <c r="T25" s="66">
        <f>SUM(T19:T22)</f>
        <v>8604</v>
      </c>
      <c r="U25" s="66">
        <f>SUM(U22)</f>
        <v>0</v>
      </c>
      <c r="V25" s="65">
        <f>SUM(V19:V22)</f>
        <v>14284</v>
      </c>
      <c r="W25" s="65">
        <f t="shared" ref="W25:AC25" si="15">SUM(W22)</f>
        <v>4700</v>
      </c>
      <c r="X25" s="67">
        <f t="shared" si="15"/>
        <v>5040</v>
      </c>
      <c r="Y25" s="68">
        <f t="shared" si="15"/>
        <v>431</v>
      </c>
      <c r="Z25" s="67">
        <f t="shared" si="15"/>
        <v>30</v>
      </c>
      <c r="AA25" s="65">
        <f t="shared" si="15"/>
        <v>0</v>
      </c>
      <c r="AB25" s="65"/>
      <c r="AC25" s="65">
        <f t="shared" si="15"/>
        <v>0</v>
      </c>
      <c r="AD25" s="52">
        <f>R25+T25+U25+V25+W25+X25+Y25+Z25+AA25</f>
        <v>56751</v>
      </c>
      <c r="AE25" s="65">
        <f>SUM(AE19:AE22)</f>
        <v>95680</v>
      </c>
      <c r="AF25" s="69"/>
    </row>
    <row r="26" spans="2:40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73"/>
      <c r="U26" s="73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</row>
    <row r="27" spans="2:40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40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40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</row>
    <row r="30" spans="2:40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3"/>
      <c r="U30" s="73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</row>
    <row r="31" spans="2:40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40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</row>
    <row r="33" spans="1:248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48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3"/>
      <c r="U34" s="73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</row>
    <row r="35" spans="1:248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</row>
    <row r="36" spans="1:248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</row>
    <row r="37" spans="1:248" s="70" customFormat="1" ht="24" customHeight="1" x14ac:dyDescent="0.2">
      <c r="B37" s="83" t="s">
        <v>15</v>
      </c>
      <c r="C37" s="626" t="s">
        <v>117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5"/>
      <c r="AL37" s="153"/>
    </row>
    <row r="38" spans="1:248" s="70" customFormat="1" ht="24" customHeight="1" x14ac:dyDescent="0.2">
      <c r="A38" s="617"/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  <c r="AI38" s="617"/>
      <c r="AJ38" s="617"/>
      <c r="AK38" s="617"/>
      <c r="AL38" s="617"/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7"/>
      <c r="BA38" s="617"/>
      <c r="BB38" s="617"/>
      <c r="BC38" s="617"/>
      <c r="BD38" s="617"/>
      <c r="BE38" s="617"/>
      <c r="BF38" s="617"/>
      <c r="BG38" s="617"/>
      <c r="BH38" s="617"/>
      <c r="BI38" s="617"/>
      <c r="BJ38" s="617"/>
      <c r="BK38" s="617"/>
      <c r="BL38" s="617"/>
      <c r="BM38" s="617"/>
      <c r="BN38" s="617"/>
      <c r="BO38" s="617"/>
      <c r="BP38" s="617"/>
      <c r="BQ38" s="617"/>
      <c r="BR38" s="617"/>
      <c r="BS38" s="617"/>
      <c r="BT38" s="617"/>
      <c r="BU38" s="617"/>
      <c r="BV38" s="617"/>
      <c r="BW38" s="617"/>
      <c r="BX38" s="617"/>
      <c r="BY38" s="617"/>
      <c r="BZ38" s="617"/>
      <c r="CA38" s="617"/>
      <c r="CB38" s="617"/>
      <c r="CC38" s="617"/>
      <c r="CD38" s="617"/>
      <c r="CE38" s="617"/>
      <c r="CF38" s="617"/>
      <c r="CG38" s="617"/>
      <c r="CH38" s="617"/>
      <c r="CI38" s="617"/>
      <c r="CJ38" s="617"/>
      <c r="CK38" s="617" t="s">
        <v>81</v>
      </c>
      <c r="CL38" s="617"/>
      <c r="CM38" s="617"/>
      <c r="CN38" s="617"/>
      <c r="CO38" s="617"/>
      <c r="CP38" s="617"/>
      <c r="CQ38" s="617"/>
      <c r="CR38" s="617"/>
      <c r="CS38" s="617"/>
      <c r="CT38" s="617"/>
      <c r="CU38" s="617"/>
      <c r="CV38" s="617"/>
      <c r="CW38" s="617"/>
      <c r="CX38" s="617"/>
      <c r="CY38" s="617"/>
      <c r="CZ38" s="617"/>
      <c r="DA38" s="617"/>
      <c r="DB38" s="617"/>
      <c r="DC38" s="617"/>
      <c r="DD38" s="617"/>
      <c r="DE38" s="617"/>
      <c r="DF38" s="617"/>
      <c r="DG38" s="617"/>
      <c r="DH38" s="617"/>
      <c r="DI38" s="617"/>
      <c r="DJ38" s="617"/>
      <c r="DK38" s="617"/>
      <c r="DL38" s="617"/>
      <c r="DM38" s="617"/>
      <c r="DN38" s="617"/>
      <c r="DO38" s="617"/>
      <c r="DP38" s="617"/>
      <c r="DQ38" s="617" t="s">
        <v>81</v>
      </c>
      <c r="DR38" s="617"/>
      <c r="DS38" s="617"/>
      <c r="DT38" s="617"/>
      <c r="DU38" s="617"/>
      <c r="DV38" s="617"/>
      <c r="DW38" s="617"/>
      <c r="DX38" s="617"/>
      <c r="DY38" s="617"/>
      <c r="DZ38" s="617"/>
      <c r="EA38" s="617"/>
      <c r="EB38" s="617"/>
      <c r="EC38" s="617"/>
      <c r="ED38" s="617"/>
      <c r="EE38" s="617"/>
      <c r="EF38" s="617"/>
      <c r="EG38" s="617"/>
      <c r="EH38" s="617"/>
      <c r="EI38" s="617"/>
      <c r="EJ38" s="617"/>
      <c r="EK38" s="617"/>
      <c r="EL38" s="617"/>
      <c r="EM38" s="617"/>
      <c r="EN38" s="617"/>
      <c r="EO38" s="617"/>
      <c r="EP38" s="617"/>
      <c r="EQ38" s="617"/>
      <c r="ER38" s="617"/>
      <c r="ES38" s="617"/>
      <c r="ET38" s="617"/>
      <c r="EU38" s="617"/>
      <c r="EV38" s="617"/>
      <c r="EW38" s="617" t="s">
        <v>81</v>
      </c>
      <c r="EX38" s="617"/>
      <c r="EY38" s="617"/>
      <c r="EZ38" s="617"/>
      <c r="FA38" s="617"/>
      <c r="FB38" s="617"/>
      <c r="FC38" s="617"/>
      <c r="FD38" s="617"/>
      <c r="FE38" s="617"/>
      <c r="FF38" s="617"/>
      <c r="FG38" s="617"/>
      <c r="FH38" s="617"/>
      <c r="FI38" s="617"/>
      <c r="FJ38" s="617"/>
      <c r="FK38" s="617"/>
      <c r="FL38" s="617"/>
      <c r="FM38" s="617"/>
      <c r="FN38" s="617"/>
      <c r="FO38" s="617"/>
      <c r="FP38" s="617"/>
      <c r="FQ38" s="617"/>
      <c r="FR38" s="617"/>
      <c r="FS38" s="617"/>
      <c r="FT38" s="617"/>
      <c r="FU38" s="617"/>
      <c r="FV38" s="617"/>
      <c r="FW38" s="617"/>
      <c r="FX38" s="617"/>
      <c r="FY38" s="617"/>
      <c r="FZ38" s="617"/>
      <c r="GA38" s="617"/>
      <c r="GB38" s="617"/>
      <c r="GC38" s="617" t="s">
        <v>81</v>
      </c>
      <c r="GD38" s="617"/>
      <c r="GE38" s="617"/>
      <c r="GF38" s="617"/>
      <c r="GG38" s="617"/>
      <c r="GH38" s="617"/>
      <c r="GI38" s="617"/>
      <c r="GJ38" s="617"/>
      <c r="GK38" s="617"/>
      <c r="GL38" s="617"/>
      <c r="GM38" s="617"/>
      <c r="GN38" s="617"/>
      <c r="GO38" s="617"/>
      <c r="GP38" s="617"/>
      <c r="GQ38" s="617"/>
      <c r="GR38" s="617"/>
      <c r="GS38" s="617"/>
      <c r="GT38" s="617"/>
      <c r="GU38" s="617"/>
      <c r="GV38" s="617"/>
      <c r="GW38" s="617"/>
      <c r="GX38" s="617"/>
      <c r="GY38" s="617"/>
      <c r="GZ38" s="617"/>
      <c r="HA38" s="617"/>
      <c r="HB38" s="617"/>
      <c r="HC38" s="617"/>
      <c r="HD38" s="617"/>
      <c r="HE38" s="617"/>
      <c r="HF38" s="617"/>
      <c r="HG38" s="617"/>
      <c r="HH38" s="617"/>
      <c r="HI38" s="617" t="s">
        <v>81</v>
      </c>
      <c r="HJ38" s="617"/>
      <c r="HK38" s="617"/>
      <c r="HL38" s="617"/>
      <c r="HM38" s="617"/>
      <c r="HN38" s="617"/>
      <c r="HO38" s="617"/>
      <c r="HP38" s="617"/>
      <c r="HQ38" s="617"/>
      <c r="HR38" s="617"/>
      <c r="HS38" s="617"/>
      <c r="HT38" s="617"/>
      <c r="HU38" s="617"/>
      <c r="HV38" s="617"/>
      <c r="HW38" s="617"/>
      <c r="HX38" s="617"/>
      <c r="HY38" s="617"/>
      <c r="HZ38" s="617"/>
      <c r="IA38" s="617"/>
      <c r="IB38" s="617"/>
      <c r="IC38" s="617"/>
      <c r="ID38" s="617"/>
      <c r="IE38" s="617"/>
      <c r="IF38" s="617"/>
      <c r="IG38" s="617"/>
      <c r="IH38" s="617"/>
      <c r="II38" s="617"/>
      <c r="IJ38" s="617"/>
      <c r="IK38" s="617"/>
      <c r="IL38" s="617"/>
      <c r="IM38" s="617"/>
      <c r="IN38" s="617"/>
    </row>
    <row r="39" spans="1:248" s="70" customFormat="1" ht="26.25" customHeight="1" x14ac:dyDescent="0.2">
      <c r="B39" s="86"/>
      <c r="C39" s="133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87"/>
      <c r="AD39" s="87"/>
      <c r="AE39" s="87"/>
      <c r="AF39" s="87"/>
    </row>
    <row r="40" spans="1:248" ht="17.25" customHeight="1" x14ac:dyDescent="0.25">
      <c r="B40" s="22"/>
      <c r="D40" s="616" t="s">
        <v>80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22"/>
    </row>
    <row r="41" spans="1:248" ht="13.5" customHeight="1" x14ac:dyDescent="0.2">
      <c r="B41" s="616" t="s">
        <v>86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3"/>
      <c r="AG41" s="6"/>
    </row>
    <row r="42" spans="1:248" ht="24.95" customHeight="1" x14ac:dyDescent="0.25">
      <c r="B42" s="22"/>
      <c r="C42" s="135"/>
      <c r="D42" s="14"/>
      <c r="E42" s="22"/>
      <c r="F42" s="22"/>
      <c r="G42" s="22"/>
      <c r="H42" s="22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</row>
    <row r="43" spans="1:248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26"/>
      <c r="P43" s="5"/>
      <c r="Q43" s="5"/>
      <c r="R43" s="4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</row>
    <row r="44" spans="1:248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</row>
    <row r="45" spans="1:248" ht="16.5" customHeight="1" x14ac:dyDescent="0.25">
      <c r="B45" s="5"/>
      <c r="E45" s="9"/>
      <c r="F45" s="10"/>
      <c r="G45" s="9"/>
      <c r="H45" s="9"/>
      <c r="I45" s="5"/>
      <c r="J45" s="4"/>
      <c r="K45" s="4"/>
      <c r="L45" s="14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</row>
    <row r="46" spans="1:248" ht="16.5" customHeight="1" x14ac:dyDescent="0.25">
      <c r="B46" s="5"/>
      <c r="D46" s="158"/>
      <c r="E46" s="156"/>
      <c r="F46" s="157"/>
      <c r="G46" s="159"/>
      <c r="H46" s="9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</row>
    <row r="47" spans="1:248" ht="24.95" customHeight="1" x14ac:dyDescent="0.25">
      <c r="B47" s="2"/>
      <c r="C47" s="14"/>
      <c r="D47" s="158"/>
      <c r="E47" s="158"/>
      <c r="F47" s="158"/>
      <c r="G47" s="15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2"/>
    </row>
    <row r="48" spans="1:248" ht="24.95" customHeight="1" x14ac:dyDescent="0.25">
      <c r="B48" s="2"/>
      <c r="C48" s="14"/>
      <c r="D48" s="158"/>
      <c r="E48" s="158"/>
      <c r="F48" s="158"/>
      <c r="G48" s="158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2"/>
    </row>
    <row r="49" spans="2:79" ht="24.95" customHeight="1" x14ac:dyDescent="0.25">
      <c r="B49" s="2"/>
      <c r="C49" s="14"/>
      <c r="D49" s="158"/>
      <c r="E49" s="158"/>
      <c r="F49" s="158"/>
      <c r="G49" s="158"/>
      <c r="H49" s="2"/>
      <c r="I49" s="5"/>
      <c r="Z49" s="12"/>
      <c r="AA49" s="12"/>
      <c r="AB49" s="12"/>
      <c r="AC49" s="3"/>
      <c r="AD49" s="2"/>
      <c r="AE49" s="2"/>
      <c r="AF49" s="2"/>
    </row>
    <row r="50" spans="2:79" ht="24.95" customHeight="1" x14ac:dyDescent="0.25">
      <c r="B50" s="5"/>
      <c r="C50" s="14"/>
      <c r="D50" s="158"/>
      <c r="E50" s="158"/>
      <c r="F50" s="158"/>
      <c r="G50" s="158"/>
      <c r="H50" s="5"/>
      <c r="X50" s="11"/>
      <c r="Y50" s="11"/>
      <c r="Z50" s="11"/>
      <c r="AA50" s="11"/>
      <c r="AB50" s="11"/>
      <c r="AC50" s="5"/>
      <c r="AD50" s="5"/>
      <c r="AE50" s="5"/>
      <c r="AF50" s="5"/>
      <c r="BT50" s="166"/>
      <c r="BU50" s="166"/>
      <c r="BV50" s="167"/>
      <c r="BW50" s="166"/>
      <c r="BX50" s="167"/>
      <c r="BY50" s="2"/>
      <c r="BZ50" s="2"/>
      <c r="CA50" s="2"/>
    </row>
    <row r="51" spans="2:79" ht="24.95" customHeight="1" x14ac:dyDescent="0.25">
      <c r="C51" s="14"/>
      <c r="D51" s="158"/>
      <c r="E51" s="158"/>
      <c r="F51" s="158"/>
      <c r="G51" s="158"/>
      <c r="L51" s="134"/>
      <c r="M51" s="158"/>
      <c r="N51" s="156"/>
      <c r="O51" s="159"/>
      <c r="P51" s="159"/>
      <c r="BT51" s="166"/>
      <c r="BU51" s="166"/>
      <c r="BV51" s="167"/>
      <c r="BW51" s="166"/>
      <c r="BX51" s="167"/>
      <c r="BY51" s="2"/>
      <c r="BZ51" s="2"/>
      <c r="CA51" s="2"/>
    </row>
    <row r="52" spans="2:79" ht="24.95" customHeight="1" x14ac:dyDescent="0.25">
      <c r="D52" s="158"/>
      <c r="E52" s="158"/>
      <c r="F52" s="158"/>
      <c r="G52" s="158"/>
      <c r="L52" s="14"/>
      <c r="M52" s="158"/>
      <c r="N52" s="158"/>
      <c r="O52" s="159"/>
      <c r="P52" s="158"/>
      <c r="BT52" s="166"/>
      <c r="BU52" s="166"/>
      <c r="BV52" s="167"/>
      <c r="BW52" s="166"/>
      <c r="BX52" s="167"/>
      <c r="BY52" s="2"/>
      <c r="BZ52" s="2"/>
      <c r="CA52" s="2"/>
    </row>
    <row r="53" spans="2:79" ht="24.95" customHeight="1" x14ac:dyDescent="0.25">
      <c r="D53" s="158"/>
      <c r="E53" s="158"/>
      <c r="F53" s="158"/>
      <c r="G53" s="158"/>
      <c r="L53" s="14"/>
      <c r="M53" s="158"/>
      <c r="N53" s="158"/>
      <c r="O53" s="159"/>
      <c r="P53" s="158"/>
      <c r="BT53" s="166"/>
      <c r="BU53" s="166"/>
      <c r="BV53" s="167"/>
      <c r="BW53" s="166"/>
      <c r="BX53" s="167"/>
      <c r="BY53" s="2"/>
      <c r="BZ53" s="2"/>
      <c r="CA53" s="2"/>
    </row>
    <row r="54" spans="2:79" ht="24.95" customHeight="1" x14ac:dyDescent="0.25">
      <c r="D54" s="158"/>
      <c r="E54" s="158"/>
      <c r="F54" s="158"/>
      <c r="G54" s="158"/>
      <c r="L54" s="14"/>
      <c r="M54" s="158"/>
      <c r="N54" s="158"/>
      <c r="O54" s="159"/>
      <c r="P54" s="158"/>
      <c r="BT54" s="166"/>
      <c r="BU54" s="166"/>
      <c r="BV54" s="167"/>
      <c r="BW54" s="166"/>
      <c r="BX54" s="167"/>
      <c r="BY54" s="2"/>
      <c r="BZ54" s="2"/>
      <c r="CA54" s="2"/>
    </row>
    <row r="55" spans="2:79" ht="24.95" customHeight="1" x14ac:dyDescent="0.25">
      <c r="D55" s="158"/>
      <c r="E55" s="158"/>
      <c r="F55" s="158"/>
      <c r="G55" s="158"/>
      <c r="L55" s="14"/>
      <c r="M55" s="158"/>
      <c r="N55" s="158"/>
      <c r="O55" s="159"/>
      <c r="P55" s="158"/>
      <c r="BT55" s="166"/>
      <c r="BU55" s="166"/>
      <c r="BV55" s="167"/>
      <c r="BW55" s="166"/>
      <c r="BX55" s="167"/>
      <c r="BY55" s="2"/>
      <c r="BZ55" s="2"/>
      <c r="CA55" s="2"/>
    </row>
    <row r="56" spans="2:79" ht="24.95" customHeight="1" x14ac:dyDescent="0.25">
      <c r="D56" s="158"/>
      <c r="E56" s="158"/>
      <c r="F56" s="158"/>
      <c r="G56" s="158"/>
      <c r="L56" s="14"/>
      <c r="M56" s="158"/>
      <c r="N56" s="158"/>
      <c r="O56" s="159"/>
      <c r="P56" s="158"/>
      <c r="BT56" s="166"/>
      <c r="BU56" s="166"/>
      <c r="BV56" s="167"/>
      <c r="BW56" s="166"/>
      <c r="BX56" s="167"/>
      <c r="BY56" s="2"/>
      <c r="BZ56" s="2"/>
      <c r="CA56" s="2"/>
    </row>
    <row r="57" spans="2:79" ht="24.95" customHeight="1" x14ac:dyDescent="0.25">
      <c r="D57" s="158"/>
      <c r="E57" s="158"/>
      <c r="F57" s="158"/>
      <c r="G57" s="158"/>
      <c r="L57" s="134"/>
      <c r="M57" s="158"/>
      <c r="N57" s="158"/>
      <c r="O57" s="159"/>
      <c r="P57" s="158"/>
      <c r="BT57" s="167"/>
      <c r="BU57" s="167"/>
      <c r="BV57" s="167"/>
      <c r="BW57" s="167"/>
      <c r="BX57" s="168"/>
      <c r="BY57" s="2"/>
      <c r="BZ57" s="2"/>
      <c r="CA57" s="2"/>
    </row>
    <row r="58" spans="2:79" ht="24.95" customHeight="1" x14ac:dyDescent="0.25">
      <c r="D58" s="158"/>
      <c r="E58" s="158"/>
      <c r="F58" s="158"/>
      <c r="G58" s="158"/>
      <c r="L58" s="134"/>
      <c r="M58" s="158"/>
      <c r="N58" s="158"/>
      <c r="O58" s="159"/>
      <c r="P58" s="158"/>
      <c r="BV58" s="169"/>
    </row>
    <row r="59" spans="2:79" ht="24.95" customHeight="1" x14ac:dyDescent="0.25">
      <c r="D59" s="158"/>
      <c r="E59" s="158"/>
      <c r="F59" s="158"/>
      <c r="G59" s="158"/>
      <c r="L59" s="134"/>
      <c r="M59" s="158"/>
      <c r="N59" s="158"/>
      <c r="O59" s="159"/>
      <c r="P59" s="158"/>
      <c r="BV59" s="170">
        <f>SUM(BV57:BV58)</f>
        <v>0</v>
      </c>
    </row>
    <row r="60" spans="2:79" ht="24.95" customHeight="1" x14ac:dyDescent="0.25">
      <c r="D60" s="158"/>
      <c r="E60" s="158"/>
      <c r="F60" s="158"/>
      <c r="G60" s="158"/>
      <c r="L60" s="134"/>
      <c r="M60" s="158"/>
      <c r="N60" s="158"/>
      <c r="O60" s="159"/>
      <c r="P60" s="158"/>
    </row>
    <row r="61" spans="2:79" ht="24.95" customHeight="1" x14ac:dyDescent="0.25">
      <c r="D61" s="158"/>
      <c r="E61" s="158"/>
      <c r="F61" s="158"/>
      <c r="G61" s="158"/>
      <c r="L61" s="134"/>
      <c r="M61" s="158"/>
      <c r="N61" s="158"/>
      <c r="O61" s="159"/>
      <c r="P61" s="158"/>
    </row>
    <row r="62" spans="2:79" ht="18.75" customHeight="1" x14ac:dyDescent="0.25">
      <c r="G62" s="158"/>
      <c r="L62" s="134"/>
      <c r="M62" s="158"/>
      <c r="N62" s="158"/>
      <c r="O62" s="159"/>
      <c r="P62" s="158"/>
    </row>
    <row r="63" spans="2:79" ht="24.95" customHeight="1" x14ac:dyDescent="0.25">
      <c r="L63" s="134"/>
      <c r="M63" s="158"/>
      <c r="N63" s="158"/>
      <c r="O63" s="159"/>
      <c r="P63" s="158"/>
    </row>
    <row r="64" spans="2:79" ht="24.95" customHeight="1" x14ac:dyDescent="0.25">
      <c r="L64" s="134"/>
      <c r="M64" s="158"/>
      <c r="N64" s="158"/>
      <c r="O64" s="159"/>
      <c r="P64" s="158"/>
    </row>
    <row r="65" spans="12:16" ht="24.95" customHeight="1" x14ac:dyDescent="0.25">
      <c r="L65" s="134"/>
      <c r="M65" s="158"/>
      <c r="N65" s="158"/>
      <c r="O65" s="159"/>
      <c r="P65" s="158"/>
    </row>
    <row r="66" spans="12:16" ht="24.95" customHeight="1" x14ac:dyDescent="0.25">
      <c r="L66" s="134"/>
      <c r="M66" s="158"/>
      <c r="N66" s="158"/>
      <c r="O66" s="159"/>
      <c r="P66" s="158"/>
    </row>
    <row r="67" spans="12:16" ht="24.95" customHeight="1" x14ac:dyDescent="0.25">
      <c r="L67" s="134"/>
      <c r="M67" s="15"/>
      <c r="O67" s="158"/>
      <c r="P67" s="158"/>
    </row>
  </sheetData>
  <mergeCells count="18">
    <mergeCell ref="HI38:IN38"/>
    <mergeCell ref="D40:AE40"/>
    <mergeCell ref="B41:AE41"/>
    <mergeCell ref="Z42:AX42"/>
    <mergeCell ref="C43:N43"/>
    <mergeCell ref="S43:AQ43"/>
    <mergeCell ref="AF38:BD38"/>
    <mergeCell ref="BE38:CJ38"/>
    <mergeCell ref="CK38:DP38"/>
    <mergeCell ref="DQ38:EV38"/>
    <mergeCell ref="EW38:GB38"/>
    <mergeCell ref="GC38:HH38"/>
    <mergeCell ref="A38:AE38"/>
    <mergeCell ref="B1:AE1"/>
    <mergeCell ref="B2:AE4"/>
    <mergeCell ref="K6:R6"/>
    <mergeCell ref="R8:AC8"/>
    <mergeCell ref="C37:AA37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7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12" sqref="K12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6.85546875" customWidth="1"/>
    <col min="7" max="7" width="6.5703125" customWidth="1"/>
    <col min="8" max="8" width="4.7109375" customWidth="1"/>
    <col min="9" max="9" width="5" customWidth="1"/>
    <col min="10" max="10" width="5.140625" customWidth="1"/>
    <col min="11" max="11" width="6.7109375" customWidth="1"/>
    <col min="12" max="12" width="6.28515625" customWidth="1"/>
    <col min="13" max="13" width="5" customWidth="1"/>
    <col min="14" max="15" width="7" customWidth="1"/>
    <col min="16" max="16" width="5.710937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5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8.5703125" customWidth="1"/>
    <col min="33" max="33" width="11.5703125" customWidth="1"/>
    <col min="34" max="34" width="12" customWidth="1"/>
    <col min="35" max="35" width="8.140625" customWidth="1"/>
    <col min="36" max="36" width="8.85546875" customWidth="1"/>
    <col min="37" max="37" width="8.5703125" customWidth="1"/>
    <col min="40" max="40" width="12.42578125" customWidth="1"/>
    <col min="72" max="72" width="14.5703125" customWidth="1"/>
    <col min="73" max="73" width="14.85546875" customWidth="1"/>
    <col min="74" max="75" width="12.28515625" customWidth="1"/>
    <col min="76" max="76" width="11.140625" customWidth="1"/>
  </cols>
  <sheetData>
    <row r="1" spans="1:38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38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38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</row>
    <row r="4" spans="1:38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</row>
    <row r="5" spans="1:38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</row>
    <row r="6" spans="1:38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116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8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42" t="s">
        <v>53</v>
      </c>
      <c r="AH7" s="126" t="s">
        <v>67</v>
      </c>
      <c r="AI7" s="126" t="s">
        <v>68</v>
      </c>
      <c r="AJ7" s="126" t="s">
        <v>69</v>
      </c>
      <c r="AK7" s="126" t="s">
        <v>71</v>
      </c>
      <c r="AL7" s="152" t="s">
        <v>113</v>
      </c>
    </row>
    <row r="8" spans="1:38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41">
        <f>+AB24</f>
        <v>1056</v>
      </c>
      <c r="AH8" s="141">
        <f>X22+T10+T11+T12+T13+T14+T15+T16+T17+T19+T20+T21+U12+U13+U16</f>
        <v>58480</v>
      </c>
      <c r="AI8" s="141">
        <f>+Y24+AA24</f>
        <v>1989</v>
      </c>
      <c r="AJ8" s="141">
        <f>+O10+O11+O14+O15+O17+O19+O20+O21</f>
        <v>122053</v>
      </c>
      <c r="AK8" s="141">
        <f>+U18</f>
        <v>8864</v>
      </c>
      <c r="AL8" s="141">
        <f>AG8+AH8+AI8+AJ8+AK8</f>
        <v>192442</v>
      </c>
    </row>
    <row r="9" spans="1:38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K9" s="131"/>
    </row>
    <row r="10" spans="1:38" s="39" customFormat="1" ht="20.100000000000001" customHeight="1" x14ac:dyDescent="0.2">
      <c r="B10" s="128">
        <v>1364</v>
      </c>
      <c r="C10" s="92" t="s">
        <v>76</v>
      </c>
      <c r="D10" s="41" t="s">
        <v>42</v>
      </c>
      <c r="E10" s="90">
        <v>56030</v>
      </c>
      <c r="F10" s="42">
        <v>0</v>
      </c>
      <c r="G10" s="88">
        <f t="shared" ref="G10:G17" si="0">E10+F10</f>
        <v>56030</v>
      </c>
      <c r="H10" s="43">
        <v>200</v>
      </c>
      <c r="I10" s="43">
        <v>0</v>
      </c>
      <c r="J10" s="43">
        <v>0</v>
      </c>
      <c r="K10" s="88">
        <f>ROUND((G10*35%),0)</f>
        <v>19611</v>
      </c>
      <c r="L10" s="89">
        <v>1500</v>
      </c>
      <c r="M10" s="43"/>
      <c r="N10" s="88">
        <f>G10+H10+I10+J10+K10+L10+M10</f>
        <v>77341</v>
      </c>
      <c r="O10" s="89">
        <f>ROUND((G10*55%),0)</f>
        <v>30817</v>
      </c>
      <c r="P10" s="43">
        <v>0</v>
      </c>
      <c r="Q10" s="89">
        <f t="shared" ref="Q10:Q17" si="1">ROUND((N10+O10+P10),0)</f>
        <v>108158</v>
      </c>
      <c r="R10" s="122">
        <f t="shared" ref="R10:R17" si="2">O10</f>
        <v>30817</v>
      </c>
      <c r="S10" s="42">
        <v>10</v>
      </c>
      <c r="T10" s="54">
        <f>ROUND((G10*10%),0)</f>
        <v>5603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ROUND((SUM(R10:AC10)-S10),0)</f>
        <v>47402</v>
      </c>
      <c r="AE10" s="54">
        <f t="shared" ref="AE10:AE21" si="4">Q10-AD10</f>
        <v>60756</v>
      </c>
      <c r="AF10" s="45"/>
      <c r="AH10" s="124"/>
      <c r="AI10" s="124"/>
      <c r="AJ10" s="124"/>
      <c r="AK10" s="124"/>
    </row>
    <row r="11" spans="1:38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2" si="5">G11+H11+I11+J11+K11+L11+M11</f>
        <v>67772</v>
      </c>
      <c r="O11" s="89">
        <f>ROUND((G11*55%),0)</f>
        <v>27000</v>
      </c>
      <c r="P11" s="50">
        <v>0</v>
      </c>
      <c r="Q11" s="89">
        <f t="shared" si="1"/>
        <v>94772</v>
      </c>
      <c r="R11" s="122">
        <f t="shared" si="2"/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43174</v>
      </c>
      <c r="AE11" s="54">
        <f t="shared" si="4"/>
        <v>51598</v>
      </c>
      <c r="AF11" s="55"/>
    </row>
    <row r="12" spans="1:38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35500</v>
      </c>
      <c r="F12" s="50">
        <v>0</v>
      </c>
      <c r="G12" s="88">
        <f>E12+F12</f>
        <v>35500</v>
      </c>
      <c r="H12" s="53">
        <v>0</v>
      </c>
      <c r="I12" s="50">
        <v>0</v>
      </c>
      <c r="J12" s="50">
        <v>0</v>
      </c>
      <c r="K12" s="88">
        <f t="shared" ref="K12:K17" si="6">ROUND((G12*40%),0)</f>
        <v>14200</v>
      </c>
      <c r="L12" s="89">
        <v>1500</v>
      </c>
      <c r="M12" s="50">
        <v>0</v>
      </c>
      <c r="N12" s="88">
        <f>G12+H12+I12+J12+K12+L12+M12</f>
        <v>51200</v>
      </c>
      <c r="O12" s="89">
        <f>ROUND((G12*10%),0)</f>
        <v>3550</v>
      </c>
      <c r="P12" s="49">
        <f>O12</f>
        <v>3550</v>
      </c>
      <c r="Q12" s="89">
        <f>ROUND((N12+O12+P12),0)</f>
        <v>58300</v>
      </c>
      <c r="R12" s="122">
        <f>O12</f>
        <v>3550</v>
      </c>
      <c r="S12" s="50">
        <v>10</v>
      </c>
      <c r="T12" s="54">
        <f>ROUND((G12*10%),0)</f>
        <v>3550</v>
      </c>
      <c r="U12" s="50">
        <f>T12</f>
        <v>3550</v>
      </c>
      <c r="V12" s="50">
        <v>0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>ROUND((SUM(R12:AC12)-S12),0)</f>
        <v>15010</v>
      </c>
      <c r="AE12" s="54">
        <f>Q12-AD12</f>
        <v>43290</v>
      </c>
      <c r="AF12" s="55"/>
    </row>
    <row r="13" spans="1:38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35500</v>
      </c>
      <c r="F13" s="50">
        <v>0</v>
      </c>
      <c r="G13" s="88">
        <f t="shared" si="0"/>
        <v>35500</v>
      </c>
      <c r="H13" s="53">
        <v>0</v>
      </c>
      <c r="I13" s="50">
        <v>0</v>
      </c>
      <c r="J13" s="50">
        <v>0</v>
      </c>
      <c r="K13" s="88">
        <f t="shared" si="6"/>
        <v>14200</v>
      </c>
      <c r="L13" s="89">
        <v>1500</v>
      </c>
      <c r="M13" s="50">
        <v>0</v>
      </c>
      <c r="N13" s="88">
        <f t="shared" si="5"/>
        <v>51200</v>
      </c>
      <c r="O13" s="89">
        <f>ROUND((G13*10%),0)</f>
        <v>3550</v>
      </c>
      <c r="P13" s="49">
        <f>O13</f>
        <v>3550</v>
      </c>
      <c r="Q13" s="89">
        <f t="shared" si="1"/>
        <v>58300</v>
      </c>
      <c r="R13" s="122">
        <f t="shared" si="2"/>
        <v>3550</v>
      </c>
      <c r="S13" s="50">
        <v>10</v>
      </c>
      <c r="T13" s="54">
        <f>ROUND((G13*10%),0)</f>
        <v>3550</v>
      </c>
      <c r="U13" s="49">
        <f>P13</f>
        <v>3550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14060</v>
      </c>
      <c r="AE13" s="54">
        <f t="shared" si="4"/>
        <v>44240</v>
      </c>
      <c r="AF13" s="55"/>
    </row>
    <row r="14" spans="1:38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5"/>
        <v>39964</v>
      </c>
      <c r="O14" s="89">
        <f>ROUND((G14*55%),0)</f>
        <v>14718</v>
      </c>
      <c r="P14" s="50">
        <v>0</v>
      </c>
      <c r="Q14" s="89">
        <f t="shared" si="1"/>
        <v>54682</v>
      </c>
      <c r="R14" s="122">
        <f t="shared" si="2"/>
        <v>14718</v>
      </c>
      <c r="S14" s="51">
        <v>25</v>
      </c>
      <c r="T14" s="54">
        <f>ROUND((G14*25%),0)</f>
        <v>6690</v>
      </c>
      <c r="U14" s="50">
        <f>P14</f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3"/>
        <v>36655</v>
      </c>
      <c r="AE14" s="54">
        <f t="shared" si="4"/>
        <v>18027</v>
      </c>
      <c r="AF14" s="55"/>
    </row>
    <row r="15" spans="1:38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5"/>
        <v>43618</v>
      </c>
      <c r="O15" s="89">
        <f>ROUND((G15*55%),0)</f>
        <v>16154</v>
      </c>
      <c r="P15" s="50">
        <v>0</v>
      </c>
      <c r="Q15" s="89">
        <f t="shared" si="1"/>
        <v>59772</v>
      </c>
      <c r="R15" s="122">
        <f t="shared" si="2"/>
        <v>16154</v>
      </c>
      <c r="S15" s="51">
        <v>25</v>
      </c>
      <c r="T15" s="54">
        <f>ROUND((G15*25%),0)</f>
        <v>7343</v>
      </c>
      <c r="U15" s="50">
        <f>P15</f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3"/>
        <v>40088</v>
      </c>
      <c r="AE15" s="54">
        <f t="shared" si="4"/>
        <v>19684</v>
      </c>
      <c r="AF15" s="55"/>
    </row>
    <row r="16" spans="1:38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17640</v>
      </c>
      <c r="F16" s="50">
        <v>0</v>
      </c>
      <c r="G16" s="88">
        <f t="shared" si="0"/>
        <v>17640</v>
      </c>
      <c r="H16" s="53">
        <v>0</v>
      </c>
      <c r="I16" s="50">
        <v>0</v>
      </c>
      <c r="J16" s="50">
        <v>0</v>
      </c>
      <c r="K16" s="88">
        <f t="shared" si="6"/>
        <v>7056</v>
      </c>
      <c r="L16" s="89">
        <v>1500</v>
      </c>
      <c r="M16" s="50">
        <v>0</v>
      </c>
      <c r="N16" s="88">
        <f t="shared" si="5"/>
        <v>26196</v>
      </c>
      <c r="O16" s="89">
        <f>ROUND((G16*10%),0)</f>
        <v>1764</v>
      </c>
      <c r="P16" s="49">
        <f>O16</f>
        <v>1764</v>
      </c>
      <c r="Q16" s="89">
        <f t="shared" si="1"/>
        <v>29724</v>
      </c>
      <c r="R16" s="122">
        <f t="shared" si="2"/>
        <v>1764</v>
      </c>
      <c r="S16" s="51">
        <v>10</v>
      </c>
      <c r="T16" s="54">
        <f>ROUND((G16*10%),0)</f>
        <v>1764</v>
      </c>
      <c r="U16" s="49">
        <f>P16</f>
        <v>1764</v>
      </c>
      <c r="V16" s="50">
        <v>0</v>
      </c>
      <c r="W16" s="50">
        <v>0</v>
      </c>
      <c r="X16" s="53">
        <v>0</v>
      </c>
      <c r="Y16" s="49">
        <f>ROUND((G16*1%),0)</f>
        <v>176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5478</v>
      </c>
      <c r="AE16" s="54">
        <f t="shared" si="4"/>
        <v>24246</v>
      </c>
      <c r="AF16" s="55"/>
    </row>
    <row r="17" spans="2:40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17640</v>
      </c>
      <c r="F17" s="50">
        <v>0</v>
      </c>
      <c r="G17" s="49">
        <f t="shared" si="0"/>
        <v>17640</v>
      </c>
      <c r="H17" s="50">
        <v>0</v>
      </c>
      <c r="I17" s="50">
        <v>0</v>
      </c>
      <c r="J17" s="49">
        <v>500</v>
      </c>
      <c r="K17" s="88">
        <f t="shared" si="6"/>
        <v>7056</v>
      </c>
      <c r="L17" s="49">
        <v>1500</v>
      </c>
      <c r="M17" s="50">
        <v>0</v>
      </c>
      <c r="N17" s="88">
        <f t="shared" si="5"/>
        <v>26696</v>
      </c>
      <c r="O17" s="89">
        <f>ROUND((G17*55%),0)</f>
        <v>9702</v>
      </c>
      <c r="P17" s="50">
        <v>0</v>
      </c>
      <c r="Q17" s="89">
        <f t="shared" si="1"/>
        <v>36398</v>
      </c>
      <c r="R17" s="49">
        <f t="shared" si="2"/>
        <v>9702</v>
      </c>
      <c r="S17" s="51">
        <v>25</v>
      </c>
      <c r="T17" s="54">
        <f>ROUND((G17*25%),0)</f>
        <v>4410</v>
      </c>
      <c r="U17" s="50">
        <v>0</v>
      </c>
      <c r="V17" s="49">
        <f>K17</f>
        <v>7056</v>
      </c>
      <c r="W17" s="50">
        <v>4000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25354</v>
      </c>
      <c r="AE17" s="49">
        <f t="shared" si="4"/>
        <v>11044</v>
      </c>
      <c r="AF17" s="55"/>
    </row>
    <row r="18" spans="2:40" s="46" customFormat="1" ht="19.5" customHeight="1" x14ac:dyDescent="0.25">
      <c r="B18" s="47"/>
      <c r="C18" s="48" t="s">
        <v>13</v>
      </c>
      <c r="D18" s="48"/>
      <c r="E18" s="57">
        <f t="shared" ref="E18:R18" si="7">SUM(E10:E17)</f>
        <v>267530</v>
      </c>
      <c r="F18" s="58">
        <f t="shared" si="7"/>
        <v>0</v>
      </c>
      <c r="G18" s="57">
        <f t="shared" si="7"/>
        <v>267530</v>
      </c>
      <c r="H18" s="57">
        <f t="shared" si="7"/>
        <v>200</v>
      </c>
      <c r="I18" s="57">
        <f t="shared" si="7"/>
        <v>0</v>
      </c>
      <c r="J18" s="57">
        <f t="shared" si="7"/>
        <v>2500</v>
      </c>
      <c r="K18" s="57">
        <f t="shared" si="7"/>
        <v>101757</v>
      </c>
      <c r="L18" s="57">
        <f t="shared" si="7"/>
        <v>12000</v>
      </c>
      <c r="M18" s="58">
        <f t="shared" si="7"/>
        <v>0</v>
      </c>
      <c r="N18" s="97">
        <f t="shared" si="5"/>
        <v>383987</v>
      </c>
      <c r="O18" s="57">
        <f t="shared" si="7"/>
        <v>107255</v>
      </c>
      <c r="P18" s="57">
        <f t="shared" si="7"/>
        <v>8864</v>
      </c>
      <c r="Q18" s="57">
        <f>SUM(Q10:Q17)</f>
        <v>500106</v>
      </c>
      <c r="R18" s="57">
        <f t="shared" si="7"/>
        <v>107255</v>
      </c>
      <c r="S18" s="57"/>
      <c r="T18" s="57">
        <f t="shared" ref="T18:AD18" si="8">SUM(T10:T17)</f>
        <v>40274</v>
      </c>
      <c r="U18" s="57">
        <f t="shared" si="8"/>
        <v>8864</v>
      </c>
      <c r="V18" s="57">
        <f t="shared" si="8"/>
        <v>46508</v>
      </c>
      <c r="W18" s="57">
        <f t="shared" si="8"/>
        <v>18235</v>
      </c>
      <c r="X18" s="58">
        <f t="shared" si="8"/>
        <v>0</v>
      </c>
      <c r="Y18" s="57">
        <f t="shared" si="8"/>
        <v>1552</v>
      </c>
      <c r="Z18" s="57">
        <f t="shared" si="8"/>
        <v>80</v>
      </c>
      <c r="AA18" s="58">
        <f t="shared" si="8"/>
        <v>6</v>
      </c>
      <c r="AB18" s="57">
        <f t="shared" si="8"/>
        <v>1056</v>
      </c>
      <c r="AC18" s="57">
        <f t="shared" si="8"/>
        <v>3391</v>
      </c>
      <c r="AD18" s="57">
        <f t="shared" si="8"/>
        <v>227221</v>
      </c>
      <c r="AE18" s="57">
        <f t="shared" si="4"/>
        <v>272885</v>
      </c>
      <c r="AF18" s="55"/>
    </row>
    <row r="19" spans="2:40" s="46" customFormat="1" ht="19.5" customHeight="1" x14ac:dyDescent="0.3">
      <c r="B19" s="47">
        <v>200</v>
      </c>
      <c r="C19" s="48" t="s">
        <v>90</v>
      </c>
      <c r="D19" s="47" t="s">
        <v>75</v>
      </c>
      <c r="E19" s="49">
        <v>17100</v>
      </c>
      <c r="F19" s="50">
        <v>0</v>
      </c>
      <c r="G19" s="49">
        <f>E19+F19</f>
        <v>17100</v>
      </c>
      <c r="H19" s="50">
        <v>0</v>
      </c>
      <c r="I19" s="50">
        <v>0</v>
      </c>
      <c r="J19" s="49">
        <v>1000</v>
      </c>
      <c r="K19" s="49">
        <v>7000</v>
      </c>
      <c r="L19" s="49">
        <v>1500</v>
      </c>
      <c r="M19" s="49">
        <v>100</v>
      </c>
      <c r="N19" s="88">
        <f>G19+H19+I19+J19+K19+L19+M19</f>
        <v>26700</v>
      </c>
      <c r="O19" s="89">
        <f>ROUND((G19*55%),0)</f>
        <v>9405</v>
      </c>
      <c r="P19" s="50">
        <v>0</v>
      </c>
      <c r="Q19" s="49">
        <f>ROUND((N19+O19),0)</f>
        <v>36105</v>
      </c>
      <c r="R19" s="49">
        <f>O19</f>
        <v>9405</v>
      </c>
      <c r="S19" s="51">
        <v>10</v>
      </c>
      <c r="T19" s="54">
        <f>ROUND((G19*10%),0)</f>
        <v>1710</v>
      </c>
      <c r="U19" s="50">
        <v>0</v>
      </c>
      <c r="V19" s="50">
        <v>0</v>
      </c>
      <c r="W19" s="50">
        <v>3200</v>
      </c>
      <c r="X19" s="56">
        <v>5040</v>
      </c>
      <c r="Y19" s="49">
        <f>ROUND((G19*1%),0)</f>
        <v>171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ROUND((SUM(R19:AC19)-S19),0)</f>
        <v>19536</v>
      </c>
      <c r="AE19" s="49">
        <f t="shared" si="4"/>
        <v>16569</v>
      </c>
      <c r="AF19" s="55"/>
      <c r="AG19" s="160" t="s">
        <v>20</v>
      </c>
      <c r="AH19" s="160" t="s">
        <v>93</v>
      </c>
      <c r="AI19" s="160" t="s">
        <v>112</v>
      </c>
      <c r="AJ19" s="160" t="s">
        <v>95</v>
      </c>
      <c r="AK19" s="161"/>
      <c r="AL19" s="165" t="s">
        <v>118</v>
      </c>
    </row>
    <row r="20" spans="2:40" s="46" customFormat="1" ht="19.5" customHeight="1" x14ac:dyDescent="0.3">
      <c r="B20" s="47">
        <v>808</v>
      </c>
      <c r="C20" s="48" t="s">
        <v>62</v>
      </c>
      <c r="D20" s="47" t="s">
        <v>59</v>
      </c>
      <c r="E20" s="49">
        <v>15870</v>
      </c>
      <c r="F20" s="50">
        <v>0</v>
      </c>
      <c r="G20" s="49">
        <f>E20+F20</f>
        <v>15870</v>
      </c>
      <c r="H20" s="50">
        <v>0</v>
      </c>
      <c r="I20" s="50">
        <v>0</v>
      </c>
      <c r="J20" s="49">
        <v>1000</v>
      </c>
      <c r="K20" s="49">
        <f>ROUND((G20*45%),0)</f>
        <v>7142</v>
      </c>
      <c r="L20" s="49">
        <v>1500</v>
      </c>
      <c r="M20" s="49">
        <v>100</v>
      </c>
      <c r="N20" s="88">
        <f t="shared" si="5"/>
        <v>25612</v>
      </c>
      <c r="O20" s="89">
        <f>ROUND((G20*55%),0)</f>
        <v>8729</v>
      </c>
      <c r="P20" s="50">
        <v>0</v>
      </c>
      <c r="Q20" s="49">
        <f>ROUND((N20+O20),0)</f>
        <v>34341</v>
      </c>
      <c r="R20" s="49">
        <f>O20</f>
        <v>8729</v>
      </c>
      <c r="S20" s="51">
        <v>10</v>
      </c>
      <c r="T20" s="54">
        <f>ROUND((G20*10%),0)</f>
        <v>1587</v>
      </c>
      <c r="U20" s="50">
        <v>0</v>
      </c>
      <c r="V20" s="49">
        <f>K20</f>
        <v>7142</v>
      </c>
      <c r="W20" s="49">
        <v>1500</v>
      </c>
      <c r="X20" s="53">
        <v>0</v>
      </c>
      <c r="Y20" s="49">
        <f>ROUND((G20*1%),0)</f>
        <v>159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19127</v>
      </c>
      <c r="AE20" s="49">
        <f t="shared" si="4"/>
        <v>15214</v>
      </c>
      <c r="AF20" s="55"/>
      <c r="AG20" s="162">
        <f>V24</f>
        <v>53650</v>
      </c>
      <c r="AH20" s="162">
        <f>W24</f>
        <v>22935</v>
      </c>
      <c r="AI20" s="162">
        <f>AC24</f>
        <v>3391</v>
      </c>
      <c r="AJ20" s="163">
        <v>110</v>
      </c>
      <c r="AK20" s="164"/>
      <c r="AL20" s="163">
        <f>AG20+AH20+AI20+AJ20</f>
        <v>80086</v>
      </c>
    </row>
    <row r="21" spans="2:40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10050</v>
      </c>
      <c r="F21" s="50">
        <v>0</v>
      </c>
      <c r="G21" s="49">
        <f>E21+F21</f>
        <v>10050</v>
      </c>
      <c r="H21" s="50">
        <v>0</v>
      </c>
      <c r="I21" s="50">
        <v>0</v>
      </c>
      <c r="J21" s="49">
        <v>1000</v>
      </c>
      <c r="K21" s="49">
        <f>ROUND((G21*45%),0)</f>
        <v>4523</v>
      </c>
      <c r="L21" s="49">
        <v>1500</v>
      </c>
      <c r="M21" s="49">
        <v>100</v>
      </c>
      <c r="N21" s="88">
        <f t="shared" si="5"/>
        <v>17173</v>
      </c>
      <c r="O21" s="89">
        <f>ROUND((G21*55%),0)</f>
        <v>5528</v>
      </c>
      <c r="P21" s="50">
        <v>0</v>
      </c>
      <c r="Q21" s="49">
        <f>ROUND((N21+O21),0)</f>
        <v>22701</v>
      </c>
      <c r="R21" s="49">
        <f>O21</f>
        <v>5528</v>
      </c>
      <c r="S21" s="51">
        <v>10</v>
      </c>
      <c r="T21" s="54">
        <f>ROUND((G21*10%),0)</f>
        <v>1005</v>
      </c>
      <c r="U21" s="50">
        <v>0</v>
      </c>
      <c r="V21" s="50">
        <v>0</v>
      </c>
      <c r="W21" s="50">
        <v>0</v>
      </c>
      <c r="X21" s="53">
        <v>0</v>
      </c>
      <c r="Y21" s="49">
        <f>ROUND((G21*1%),0)</f>
        <v>101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6644</v>
      </c>
      <c r="AE21" s="49">
        <f t="shared" si="4"/>
        <v>16057</v>
      </c>
      <c r="AF21" s="55"/>
    </row>
    <row r="22" spans="2:40" s="101" customFormat="1" ht="19.5" customHeight="1" x14ac:dyDescent="0.25">
      <c r="B22" s="47"/>
      <c r="C22" s="47" t="s">
        <v>6</v>
      </c>
      <c r="D22" s="48"/>
      <c r="E22" s="57">
        <f t="shared" ref="E22:K22" si="9">SUM(E19:E21)</f>
        <v>43020</v>
      </c>
      <c r="F22" s="58">
        <f t="shared" si="9"/>
        <v>0</v>
      </c>
      <c r="G22" s="57">
        <f t="shared" si="9"/>
        <v>43020</v>
      </c>
      <c r="H22" s="58">
        <f t="shared" si="9"/>
        <v>0</v>
      </c>
      <c r="I22" s="58">
        <f t="shared" si="9"/>
        <v>0</v>
      </c>
      <c r="J22" s="57">
        <f t="shared" si="9"/>
        <v>3000</v>
      </c>
      <c r="K22" s="57">
        <f t="shared" si="9"/>
        <v>18665</v>
      </c>
      <c r="L22" s="57">
        <f t="shared" ref="L22:R22" si="10">SUM(L19:L21)</f>
        <v>4500</v>
      </c>
      <c r="M22" s="57">
        <f t="shared" si="10"/>
        <v>300</v>
      </c>
      <c r="N22" s="97">
        <f t="shared" si="5"/>
        <v>69485</v>
      </c>
      <c r="O22" s="57">
        <f t="shared" si="10"/>
        <v>23662</v>
      </c>
      <c r="P22" s="58">
        <f t="shared" si="10"/>
        <v>0</v>
      </c>
      <c r="Q22" s="57">
        <f t="shared" si="10"/>
        <v>93147</v>
      </c>
      <c r="R22" s="57">
        <f t="shared" si="10"/>
        <v>23662</v>
      </c>
      <c r="S22" s="58">
        <v>0</v>
      </c>
      <c r="T22" s="57">
        <f t="shared" ref="T22:AA22" si="11">SUM(T19:T21)</f>
        <v>4302</v>
      </c>
      <c r="U22" s="58">
        <f t="shared" si="11"/>
        <v>0</v>
      </c>
      <c r="V22" s="57">
        <f t="shared" si="11"/>
        <v>7142</v>
      </c>
      <c r="W22" s="57">
        <f t="shared" si="11"/>
        <v>4700</v>
      </c>
      <c r="X22" s="57">
        <f t="shared" si="11"/>
        <v>5040</v>
      </c>
      <c r="Y22" s="57">
        <f t="shared" si="11"/>
        <v>431</v>
      </c>
      <c r="Z22" s="57">
        <f t="shared" si="11"/>
        <v>30</v>
      </c>
      <c r="AA22" s="58">
        <f t="shared" si="11"/>
        <v>0</v>
      </c>
      <c r="AB22" s="58">
        <v>0</v>
      </c>
      <c r="AC22" s="58">
        <f>SUM(AC19:AC21)</f>
        <v>0</v>
      </c>
      <c r="AD22" s="57">
        <f>SUM(AD19:AD21)</f>
        <v>45307</v>
      </c>
      <c r="AE22" s="57">
        <f>SUM(AE19:AE21)</f>
        <v>47840</v>
      </c>
      <c r="AF22" s="100"/>
      <c r="AH22" s="154"/>
      <c r="AI22" s="154"/>
      <c r="AK22" s="154"/>
    </row>
    <row r="23" spans="2:40" s="46" customFormat="1" ht="19.5" customHeight="1" x14ac:dyDescent="0.25">
      <c r="B23" s="60"/>
      <c r="C23" s="47" t="s">
        <v>13</v>
      </c>
      <c r="D23" s="48"/>
      <c r="E23" s="61">
        <f t="shared" ref="E23:P23" si="12">E18</f>
        <v>267530</v>
      </c>
      <c r="F23" s="62">
        <f t="shared" si="12"/>
        <v>0</v>
      </c>
      <c r="G23" s="61">
        <f t="shared" si="12"/>
        <v>267530</v>
      </c>
      <c r="H23" s="61">
        <f t="shared" si="12"/>
        <v>200</v>
      </c>
      <c r="I23" s="62">
        <f t="shared" si="12"/>
        <v>0</v>
      </c>
      <c r="J23" s="61">
        <f t="shared" si="12"/>
        <v>2500</v>
      </c>
      <c r="K23" s="61">
        <f t="shared" si="12"/>
        <v>101757</v>
      </c>
      <c r="L23" s="61">
        <f t="shared" si="12"/>
        <v>12000</v>
      </c>
      <c r="M23" s="62">
        <f t="shared" si="12"/>
        <v>0</v>
      </c>
      <c r="N23" s="88">
        <f>N18</f>
        <v>383987</v>
      </c>
      <c r="O23" s="61">
        <f>O18</f>
        <v>107255</v>
      </c>
      <c r="P23" s="61">
        <f t="shared" si="12"/>
        <v>8864</v>
      </c>
      <c r="Q23" s="49">
        <f>Q18</f>
        <v>500106</v>
      </c>
      <c r="R23" s="61">
        <f>R18</f>
        <v>107255</v>
      </c>
      <c r="S23" s="62">
        <v>0</v>
      </c>
      <c r="T23" s="61">
        <f t="shared" ref="T23:AE23" si="13">T18</f>
        <v>40274</v>
      </c>
      <c r="U23" s="62">
        <f t="shared" si="13"/>
        <v>8864</v>
      </c>
      <c r="V23" s="61">
        <f t="shared" si="13"/>
        <v>46508</v>
      </c>
      <c r="W23" s="61">
        <f t="shared" si="13"/>
        <v>18235</v>
      </c>
      <c r="X23" s="62">
        <f t="shared" si="13"/>
        <v>0</v>
      </c>
      <c r="Y23" s="61">
        <f t="shared" si="13"/>
        <v>1552</v>
      </c>
      <c r="Z23" s="62">
        <f t="shared" si="13"/>
        <v>80</v>
      </c>
      <c r="AA23" s="62">
        <f t="shared" si="13"/>
        <v>6</v>
      </c>
      <c r="AB23" s="62">
        <f>AB18</f>
        <v>1056</v>
      </c>
      <c r="AC23" s="62">
        <f t="shared" si="13"/>
        <v>3391</v>
      </c>
      <c r="AD23" s="62">
        <f t="shared" si="13"/>
        <v>227221</v>
      </c>
      <c r="AE23" s="61">
        <f t="shared" si="13"/>
        <v>272885</v>
      </c>
      <c r="AF23" s="55"/>
      <c r="AH23" s="102"/>
      <c r="AI23" s="102"/>
      <c r="AJ23" s="102"/>
      <c r="AK23" s="102"/>
      <c r="AL23" s="102"/>
    </row>
    <row r="24" spans="2:40" s="46" customFormat="1" ht="18" customHeight="1" x14ac:dyDescent="0.25">
      <c r="B24" s="47"/>
      <c r="C24" s="63" t="s">
        <v>14</v>
      </c>
      <c r="D24" s="93"/>
      <c r="E24" s="57">
        <f>E22+E23</f>
        <v>310550</v>
      </c>
      <c r="F24" s="58">
        <f>F22+F23</f>
        <v>0</v>
      </c>
      <c r="G24" s="57">
        <f>G22+G23</f>
        <v>310550</v>
      </c>
      <c r="H24" s="57">
        <f t="shared" ref="H24:AC24" si="14">H22+H23</f>
        <v>200</v>
      </c>
      <c r="I24" s="58">
        <f t="shared" si="14"/>
        <v>0</v>
      </c>
      <c r="J24" s="57">
        <f t="shared" si="14"/>
        <v>5500</v>
      </c>
      <c r="K24" s="57">
        <f t="shared" si="14"/>
        <v>120422</v>
      </c>
      <c r="L24" s="57">
        <f t="shared" si="14"/>
        <v>16500</v>
      </c>
      <c r="M24" s="57">
        <f t="shared" si="14"/>
        <v>300</v>
      </c>
      <c r="N24" s="97">
        <f>N22+N23</f>
        <v>453472</v>
      </c>
      <c r="O24" s="57">
        <f>O22+O23</f>
        <v>130917</v>
      </c>
      <c r="P24" s="57">
        <f t="shared" si="14"/>
        <v>8864</v>
      </c>
      <c r="Q24" s="57">
        <f>Q22+Q23</f>
        <v>593253</v>
      </c>
      <c r="R24" s="57">
        <f>R22+R23</f>
        <v>130917</v>
      </c>
      <c r="S24" s="58">
        <f t="shared" si="14"/>
        <v>0</v>
      </c>
      <c r="T24" s="57">
        <f>T22+T23</f>
        <v>44576</v>
      </c>
      <c r="U24" s="57">
        <f>U22+U23</f>
        <v>8864</v>
      </c>
      <c r="V24" s="57">
        <f>V22+V23</f>
        <v>53650</v>
      </c>
      <c r="W24" s="57">
        <f>W22+W23</f>
        <v>22935</v>
      </c>
      <c r="X24" s="57">
        <f t="shared" si="14"/>
        <v>5040</v>
      </c>
      <c r="Y24" s="57">
        <f>Y22+Y23</f>
        <v>1983</v>
      </c>
      <c r="Z24" s="57">
        <f>Z22+Z23</f>
        <v>110</v>
      </c>
      <c r="AA24" s="58">
        <f t="shared" si="14"/>
        <v>6</v>
      </c>
      <c r="AB24" s="57">
        <f>AB22+AB23</f>
        <v>1056</v>
      </c>
      <c r="AC24" s="57">
        <f t="shared" si="14"/>
        <v>3391</v>
      </c>
      <c r="AD24" s="57">
        <f>AD22+AD23</f>
        <v>272528</v>
      </c>
      <c r="AE24" s="57">
        <f>AE22+AE23</f>
        <v>320725</v>
      </c>
      <c r="AF24" s="55"/>
      <c r="AG24" s="102">
        <f>G24+H24+J24+K24+L24+M24+O24+P24</f>
        <v>593253</v>
      </c>
      <c r="AJ24" s="123"/>
      <c r="AL24" s="102">
        <f>AL8+AL20</f>
        <v>272528</v>
      </c>
      <c r="AM24" s="102">
        <f>AG24-AL24</f>
        <v>320725</v>
      </c>
      <c r="AN24" s="123"/>
    </row>
    <row r="25" spans="2:40" s="70" customFormat="1" ht="18.75" hidden="1" customHeight="1" x14ac:dyDescent="0.2">
      <c r="B25" s="44"/>
      <c r="C25" s="92"/>
      <c r="D25" s="64"/>
      <c r="E25" s="65">
        <f>SUM(E22)</f>
        <v>43020</v>
      </c>
      <c r="F25" s="65">
        <f>SUM(F22)</f>
        <v>0</v>
      </c>
      <c r="G25" s="65">
        <f>SUM(G22)</f>
        <v>43020</v>
      </c>
      <c r="H25" s="65"/>
      <c r="I25" s="65">
        <f>SUM(I22)</f>
        <v>0</v>
      </c>
      <c r="J25" s="65">
        <f>SUM(J22)</f>
        <v>3000</v>
      </c>
      <c r="K25" s="65">
        <f>SUM(K19:K22)</f>
        <v>37330</v>
      </c>
      <c r="L25" s="65">
        <f>SUM(L22)</f>
        <v>4500</v>
      </c>
      <c r="M25" s="65">
        <f>SUM(M22)</f>
        <v>300</v>
      </c>
      <c r="N25" s="65">
        <f>SUM(N19:N22)</f>
        <v>138970</v>
      </c>
      <c r="O25" s="65">
        <f>SUM(O22)</f>
        <v>23662</v>
      </c>
      <c r="P25" s="65">
        <f>SUM(P22)</f>
        <v>0</v>
      </c>
      <c r="Q25" s="65">
        <f>SUM(Q19:Q22)</f>
        <v>186294</v>
      </c>
      <c r="R25" s="65">
        <f>SUM(R22)</f>
        <v>23662</v>
      </c>
      <c r="S25" s="65">
        <f>SUM(S19:S22)</f>
        <v>30</v>
      </c>
      <c r="T25" s="66">
        <f>SUM(T19:T22)</f>
        <v>8604</v>
      </c>
      <c r="U25" s="66">
        <f>SUM(U22)</f>
        <v>0</v>
      </c>
      <c r="V25" s="65">
        <f>SUM(V19:V22)</f>
        <v>14284</v>
      </c>
      <c r="W25" s="65">
        <f t="shared" ref="W25:AC25" si="15">SUM(W22)</f>
        <v>4700</v>
      </c>
      <c r="X25" s="67">
        <f t="shared" si="15"/>
        <v>5040</v>
      </c>
      <c r="Y25" s="68">
        <f t="shared" si="15"/>
        <v>431</v>
      </c>
      <c r="Z25" s="67">
        <f t="shared" si="15"/>
        <v>30</v>
      </c>
      <c r="AA25" s="65">
        <f t="shared" si="15"/>
        <v>0</v>
      </c>
      <c r="AB25" s="65"/>
      <c r="AC25" s="65">
        <f t="shared" si="15"/>
        <v>0</v>
      </c>
      <c r="AD25" s="52">
        <f>R25+T25+U25+V25+W25+X25+Y25+Z25+AA25</f>
        <v>56751</v>
      </c>
      <c r="AE25" s="65">
        <f>SUM(AE19:AE22)</f>
        <v>95680</v>
      </c>
      <c r="AF25" s="69"/>
    </row>
    <row r="26" spans="2:40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73"/>
      <c r="U26" s="73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</row>
    <row r="27" spans="2:40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40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40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</row>
    <row r="30" spans="2:40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3"/>
      <c r="U30" s="73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</row>
    <row r="31" spans="2:40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40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</row>
    <row r="33" spans="1:248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48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3"/>
      <c r="U34" s="73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</row>
    <row r="35" spans="1:248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</row>
    <row r="36" spans="1:248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</row>
    <row r="37" spans="1:248" s="70" customFormat="1" ht="24" customHeight="1" x14ac:dyDescent="0.2">
      <c r="B37" s="83" t="s">
        <v>15</v>
      </c>
      <c r="C37" s="626" t="s">
        <v>117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5"/>
      <c r="AL37" s="153"/>
    </row>
    <row r="38" spans="1:248" s="70" customFormat="1" ht="24" customHeight="1" x14ac:dyDescent="0.2">
      <c r="A38" s="617"/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  <c r="AI38" s="617"/>
      <c r="AJ38" s="617"/>
      <c r="AK38" s="617"/>
      <c r="AL38" s="617"/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7"/>
      <c r="BA38" s="617"/>
      <c r="BB38" s="617"/>
      <c r="BC38" s="617"/>
      <c r="BD38" s="617"/>
      <c r="BE38" s="617"/>
      <c r="BF38" s="617"/>
      <c r="BG38" s="617"/>
      <c r="BH38" s="617"/>
      <c r="BI38" s="617"/>
      <c r="BJ38" s="617"/>
      <c r="BK38" s="617"/>
      <c r="BL38" s="617"/>
      <c r="BM38" s="617"/>
      <c r="BN38" s="617"/>
      <c r="BO38" s="617"/>
      <c r="BP38" s="617"/>
      <c r="BQ38" s="617"/>
      <c r="BR38" s="617"/>
      <c r="BS38" s="617"/>
      <c r="BT38" s="617"/>
      <c r="BU38" s="617"/>
      <c r="BV38" s="617"/>
      <c r="BW38" s="617"/>
      <c r="BX38" s="617"/>
      <c r="BY38" s="617"/>
      <c r="BZ38" s="617"/>
      <c r="CA38" s="617"/>
      <c r="CB38" s="617"/>
      <c r="CC38" s="617"/>
      <c r="CD38" s="617"/>
      <c r="CE38" s="617"/>
      <c r="CF38" s="617"/>
      <c r="CG38" s="617"/>
      <c r="CH38" s="617"/>
      <c r="CI38" s="617"/>
      <c r="CJ38" s="617"/>
      <c r="CK38" s="617" t="s">
        <v>81</v>
      </c>
      <c r="CL38" s="617"/>
      <c r="CM38" s="617"/>
      <c r="CN38" s="617"/>
      <c r="CO38" s="617"/>
      <c r="CP38" s="617"/>
      <c r="CQ38" s="617"/>
      <c r="CR38" s="617"/>
      <c r="CS38" s="617"/>
      <c r="CT38" s="617"/>
      <c r="CU38" s="617"/>
      <c r="CV38" s="617"/>
      <c r="CW38" s="617"/>
      <c r="CX38" s="617"/>
      <c r="CY38" s="617"/>
      <c r="CZ38" s="617"/>
      <c r="DA38" s="617"/>
      <c r="DB38" s="617"/>
      <c r="DC38" s="617"/>
      <c r="DD38" s="617"/>
      <c r="DE38" s="617"/>
      <c r="DF38" s="617"/>
      <c r="DG38" s="617"/>
      <c r="DH38" s="617"/>
      <c r="DI38" s="617"/>
      <c r="DJ38" s="617"/>
      <c r="DK38" s="617"/>
      <c r="DL38" s="617"/>
      <c r="DM38" s="617"/>
      <c r="DN38" s="617"/>
      <c r="DO38" s="617"/>
      <c r="DP38" s="617"/>
      <c r="DQ38" s="617" t="s">
        <v>81</v>
      </c>
      <c r="DR38" s="617"/>
      <c r="DS38" s="617"/>
      <c r="DT38" s="617"/>
      <c r="DU38" s="617"/>
      <c r="DV38" s="617"/>
      <c r="DW38" s="617"/>
      <c r="DX38" s="617"/>
      <c r="DY38" s="617"/>
      <c r="DZ38" s="617"/>
      <c r="EA38" s="617"/>
      <c r="EB38" s="617"/>
      <c r="EC38" s="617"/>
      <c r="ED38" s="617"/>
      <c r="EE38" s="617"/>
      <c r="EF38" s="617"/>
      <c r="EG38" s="617"/>
      <c r="EH38" s="617"/>
      <c r="EI38" s="617"/>
      <c r="EJ38" s="617"/>
      <c r="EK38" s="617"/>
      <c r="EL38" s="617"/>
      <c r="EM38" s="617"/>
      <c r="EN38" s="617"/>
      <c r="EO38" s="617"/>
      <c r="EP38" s="617"/>
      <c r="EQ38" s="617"/>
      <c r="ER38" s="617"/>
      <c r="ES38" s="617"/>
      <c r="ET38" s="617"/>
      <c r="EU38" s="617"/>
      <c r="EV38" s="617"/>
      <c r="EW38" s="617" t="s">
        <v>81</v>
      </c>
      <c r="EX38" s="617"/>
      <c r="EY38" s="617"/>
      <c r="EZ38" s="617"/>
      <c r="FA38" s="617"/>
      <c r="FB38" s="617"/>
      <c r="FC38" s="617"/>
      <c r="FD38" s="617"/>
      <c r="FE38" s="617"/>
      <c r="FF38" s="617"/>
      <c r="FG38" s="617"/>
      <c r="FH38" s="617"/>
      <c r="FI38" s="617"/>
      <c r="FJ38" s="617"/>
      <c r="FK38" s="617"/>
      <c r="FL38" s="617"/>
      <c r="FM38" s="617"/>
      <c r="FN38" s="617"/>
      <c r="FO38" s="617"/>
      <c r="FP38" s="617"/>
      <c r="FQ38" s="617"/>
      <c r="FR38" s="617"/>
      <c r="FS38" s="617"/>
      <c r="FT38" s="617"/>
      <c r="FU38" s="617"/>
      <c r="FV38" s="617"/>
      <c r="FW38" s="617"/>
      <c r="FX38" s="617"/>
      <c r="FY38" s="617"/>
      <c r="FZ38" s="617"/>
      <c r="GA38" s="617"/>
      <c r="GB38" s="617"/>
      <c r="GC38" s="617" t="s">
        <v>81</v>
      </c>
      <c r="GD38" s="617"/>
      <c r="GE38" s="617"/>
      <c r="GF38" s="617"/>
      <c r="GG38" s="617"/>
      <c r="GH38" s="617"/>
      <c r="GI38" s="617"/>
      <c r="GJ38" s="617"/>
      <c r="GK38" s="617"/>
      <c r="GL38" s="617"/>
      <c r="GM38" s="617"/>
      <c r="GN38" s="617"/>
      <c r="GO38" s="617"/>
      <c r="GP38" s="617"/>
      <c r="GQ38" s="617"/>
      <c r="GR38" s="617"/>
      <c r="GS38" s="617"/>
      <c r="GT38" s="617"/>
      <c r="GU38" s="617"/>
      <c r="GV38" s="617"/>
      <c r="GW38" s="617"/>
      <c r="GX38" s="617"/>
      <c r="GY38" s="617"/>
      <c r="GZ38" s="617"/>
      <c r="HA38" s="617"/>
      <c r="HB38" s="617"/>
      <c r="HC38" s="617"/>
      <c r="HD38" s="617"/>
      <c r="HE38" s="617"/>
      <c r="HF38" s="617"/>
      <c r="HG38" s="617"/>
      <c r="HH38" s="617"/>
      <c r="HI38" s="617" t="s">
        <v>81</v>
      </c>
      <c r="HJ38" s="617"/>
      <c r="HK38" s="617"/>
      <c r="HL38" s="617"/>
      <c r="HM38" s="617"/>
      <c r="HN38" s="617"/>
      <c r="HO38" s="617"/>
      <c r="HP38" s="617"/>
      <c r="HQ38" s="617"/>
      <c r="HR38" s="617"/>
      <c r="HS38" s="617"/>
      <c r="HT38" s="617"/>
      <c r="HU38" s="617"/>
      <c r="HV38" s="617"/>
      <c r="HW38" s="617"/>
      <c r="HX38" s="617"/>
      <c r="HY38" s="617"/>
      <c r="HZ38" s="617"/>
      <c r="IA38" s="617"/>
      <c r="IB38" s="617"/>
      <c r="IC38" s="617"/>
      <c r="ID38" s="617"/>
      <c r="IE38" s="617"/>
      <c r="IF38" s="617"/>
      <c r="IG38" s="617"/>
      <c r="IH38" s="617"/>
      <c r="II38" s="617"/>
      <c r="IJ38" s="617"/>
      <c r="IK38" s="617"/>
      <c r="IL38" s="617"/>
      <c r="IM38" s="617"/>
      <c r="IN38" s="617"/>
    </row>
    <row r="39" spans="1:248" s="70" customFormat="1" ht="26.25" customHeight="1" x14ac:dyDescent="0.2">
      <c r="B39" s="86"/>
      <c r="C39" s="133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87"/>
      <c r="AD39" s="87"/>
      <c r="AE39" s="87"/>
      <c r="AF39" s="87"/>
    </row>
    <row r="40" spans="1:248" ht="17.25" customHeight="1" x14ac:dyDescent="0.25">
      <c r="B40" s="22"/>
      <c r="D40" s="616" t="s">
        <v>80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22"/>
    </row>
    <row r="41" spans="1:248" ht="13.5" customHeight="1" x14ac:dyDescent="0.2">
      <c r="B41" s="616" t="s">
        <v>86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3"/>
      <c r="AG41" s="6"/>
    </row>
    <row r="42" spans="1:248" ht="24.95" customHeight="1" x14ac:dyDescent="0.25">
      <c r="B42" s="22"/>
      <c r="C42" s="135"/>
      <c r="D42" s="14"/>
      <c r="E42" s="22"/>
      <c r="F42" s="22"/>
      <c r="G42" s="22"/>
      <c r="H42" s="22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</row>
    <row r="43" spans="1:248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26"/>
      <c r="P43" s="5"/>
      <c r="Q43" s="5"/>
      <c r="R43" s="4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</row>
    <row r="44" spans="1:248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</row>
    <row r="45" spans="1:248" ht="16.5" customHeight="1" x14ac:dyDescent="0.25">
      <c r="B45" s="5"/>
      <c r="E45" s="9"/>
      <c r="F45" s="10"/>
      <c r="G45" s="9"/>
      <c r="H45" s="9"/>
      <c r="I45" s="5"/>
      <c r="J45" s="4"/>
      <c r="K45" s="4"/>
      <c r="L45" s="14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</row>
    <row r="46" spans="1:248" ht="16.5" customHeight="1" x14ac:dyDescent="0.25">
      <c r="B46" s="5"/>
      <c r="D46" s="158"/>
      <c r="E46" s="156"/>
      <c r="F46" s="157"/>
      <c r="G46" s="159"/>
      <c r="H46" s="9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</row>
    <row r="47" spans="1:248" ht="24.95" customHeight="1" x14ac:dyDescent="0.25">
      <c r="B47" s="2"/>
      <c r="C47" s="14"/>
      <c r="D47" s="158"/>
      <c r="E47" s="158"/>
      <c r="F47" s="158"/>
      <c r="G47" s="15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2"/>
    </row>
    <row r="48" spans="1:248" ht="24.95" customHeight="1" x14ac:dyDescent="0.25">
      <c r="B48" s="2"/>
      <c r="C48" s="14"/>
      <c r="D48" s="158"/>
      <c r="E48" s="158"/>
      <c r="F48" s="158"/>
      <c r="G48" s="158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2"/>
    </row>
    <row r="49" spans="2:79" ht="24.95" customHeight="1" x14ac:dyDescent="0.25">
      <c r="B49" s="2"/>
      <c r="C49" s="14"/>
      <c r="D49" s="158"/>
      <c r="E49" s="158"/>
      <c r="F49" s="158"/>
      <c r="G49" s="158"/>
      <c r="H49" s="2"/>
      <c r="I49" s="5"/>
      <c r="Z49" s="12"/>
      <c r="AA49" s="12"/>
      <c r="AB49" s="12"/>
      <c r="AC49" s="3"/>
      <c r="AD49" s="2"/>
      <c r="AE49" s="2"/>
      <c r="AF49" s="2"/>
    </row>
    <row r="50" spans="2:79" ht="24.95" customHeight="1" x14ac:dyDescent="0.25">
      <c r="B50" s="5"/>
      <c r="C50" s="14"/>
      <c r="D50" s="158"/>
      <c r="E50" s="158"/>
      <c r="F50" s="158"/>
      <c r="G50" s="158"/>
      <c r="H50" s="5"/>
      <c r="X50" s="11"/>
      <c r="Y50" s="11"/>
      <c r="Z50" s="11"/>
      <c r="AA50" s="11"/>
      <c r="AB50" s="11"/>
      <c r="AC50" s="5"/>
      <c r="AD50" s="5"/>
      <c r="AE50" s="5"/>
      <c r="AF50" s="5"/>
      <c r="BT50" s="166"/>
      <c r="BU50" s="166"/>
      <c r="BV50" s="167"/>
      <c r="BW50" s="166"/>
      <c r="BX50" s="167"/>
      <c r="BY50" s="2"/>
      <c r="BZ50" s="2"/>
      <c r="CA50" s="2"/>
    </row>
    <row r="51" spans="2:79" ht="24.95" customHeight="1" x14ac:dyDescent="0.25">
      <c r="C51" s="14"/>
      <c r="D51" s="158"/>
      <c r="E51" s="158"/>
      <c r="F51" s="158"/>
      <c r="G51" s="158"/>
      <c r="L51" s="134"/>
      <c r="M51" s="158"/>
      <c r="N51" s="156"/>
      <c r="O51" s="159"/>
      <c r="P51" s="159"/>
      <c r="BT51" s="166"/>
      <c r="BU51" s="166"/>
      <c r="BV51" s="167"/>
      <c r="BW51" s="166"/>
      <c r="BX51" s="167"/>
      <c r="BY51" s="2"/>
      <c r="BZ51" s="2"/>
      <c r="CA51" s="2"/>
    </row>
    <row r="52" spans="2:79" ht="24.95" customHeight="1" x14ac:dyDescent="0.25">
      <c r="D52" s="158"/>
      <c r="E52" s="158"/>
      <c r="F52" s="158"/>
      <c r="G52" s="158"/>
      <c r="L52" s="14"/>
      <c r="M52" s="158"/>
      <c r="N52" s="158"/>
      <c r="O52" s="159"/>
      <c r="P52" s="158"/>
      <c r="BT52" s="166"/>
      <c r="BU52" s="166"/>
      <c r="BV52" s="167"/>
      <c r="BW52" s="166"/>
      <c r="BX52" s="167"/>
      <c r="BY52" s="2"/>
      <c r="BZ52" s="2"/>
      <c r="CA52" s="2"/>
    </row>
    <row r="53" spans="2:79" ht="24.95" customHeight="1" x14ac:dyDescent="0.25">
      <c r="D53" s="158"/>
      <c r="E53" s="158"/>
      <c r="F53" s="158"/>
      <c r="G53" s="158"/>
      <c r="L53" s="14"/>
      <c r="M53" s="158"/>
      <c r="N53" s="158"/>
      <c r="O53" s="159"/>
      <c r="P53" s="158"/>
      <c r="BT53" s="166"/>
      <c r="BU53" s="166"/>
      <c r="BV53" s="167"/>
      <c r="BW53" s="166"/>
      <c r="BX53" s="167"/>
      <c r="BY53" s="2"/>
      <c r="BZ53" s="2"/>
      <c r="CA53" s="2"/>
    </row>
    <row r="54" spans="2:79" ht="24.95" customHeight="1" x14ac:dyDescent="0.25">
      <c r="D54" s="158"/>
      <c r="E54" s="158"/>
      <c r="F54" s="158"/>
      <c r="G54" s="158"/>
      <c r="L54" s="14"/>
      <c r="M54" s="158"/>
      <c r="N54" s="158"/>
      <c r="O54" s="159"/>
      <c r="P54" s="158"/>
      <c r="BT54" s="166"/>
      <c r="BU54" s="166"/>
      <c r="BV54" s="167"/>
      <c r="BW54" s="166"/>
      <c r="BX54" s="167"/>
      <c r="BY54" s="2"/>
      <c r="BZ54" s="2"/>
      <c r="CA54" s="2"/>
    </row>
    <row r="55" spans="2:79" ht="24.95" customHeight="1" x14ac:dyDescent="0.25">
      <c r="D55" s="158"/>
      <c r="E55" s="158"/>
      <c r="F55" s="158"/>
      <c r="G55" s="158"/>
      <c r="L55" s="14"/>
      <c r="M55" s="158"/>
      <c r="N55" s="158"/>
      <c r="O55" s="159"/>
      <c r="P55" s="158"/>
      <c r="BT55" s="166"/>
      <c r="BU55" s="166"/>
      <c r="BV55" s="167"/>
      <c r="BW55" s="166"/>
      <c r="BX55" s="167"/>
      <c r="BY55" s="2"/>
      <c r="BZ55" s="2"/>
      <c r="CA55" s="2"/>
    </row>
    <row r="56" spans="2:79" ht="24.95" customHeight="1" x14ac:dyDescent="0.25">
      <c r="D56" s="158"/>
      <c r="E56" s="158"/>
      <c r="F56" s="158"/>
      <c r="G56" s="158"/>
      <c r="L56" s="14"/>
      <c r="M56" s="158"/>
      <c r="N56" s="158"/>
      <c r="O56" s="159"/>
      <c r="P56" s="158"/>
      <c r="BT56" s="166"/>
      <c r="BU56" s="166"/>
      <c r="BV56" s="167"/>
      <c r="BW56" s="166"/>
      <c r="BX56" s="167"/>
      <c r="BY56" s="2"/>
      <c r="BZ56" s="2"/>
      <c r="CA56" s="2"/>
    </row>
    <row r="57" spans="2:79" ht="24.95" customHeight="1" x14ac:dyDescent="0.25">
      <c r="D57" s="158"/>
      <c r="E57" s="158"/>
      <c r="F57" s="158"/>
      <c r="G57" s="158"/>
      <c r="L57" s="134"/>
      <c r="M57" s="158"/>
      <c r="N57" s="158"/>
      <c r="O57" s="159"/>
      <c r="P57" s="158"/>
      <c r="BT57" s="167"/>
      <c r="BU57" s="167"/>
      <c r="BV57" s="167"/>
      <c r="BW57" s="167"/>
      <c r="BX57" s="168"/>
      <c r="BY57" s="2"/>
      <c r="BZ57" s="2"/>
      <c r="CA57" s="2"/>
    </row>
    <row r="58" spans="2:79" ht="24.95" customHeight="1" x14ac:dyDescent="0.25">
      <c r="D58" s="158"/>
      <c r="E58" s="158"/>
      <c r="F58" s="158"/>
      <c r="G58" s="158"/>
      <c r="L58" s="134"/>
      <c r="M58" s="158"/>
      <c r="N58" s="158"/>
      <c r="O58" s="159"/>
      <c r="P58" s="158"/>
      <c r="BV58" s="169"/>
    </row>
    <row r="59" spans="2:79" ht="24.95" customHeight="1" x14ac:dyDescent="0.25">
      <c r="D59" s="158"/>
      <c r="E59" s="158"/>
      <c r="F59" s="158"/>
      <c r="G59" s="158"/>
      <c r="L59" s="134"/>
      <c r="M59" s="158"/>
      <c r="N59" s="158"/>
      <c r="O59" s="159"/>
      <c r="P59" s="158"/>
      <c r="BV59" s="170">
        <f>SUM(BV57:BV58)</f>
        <v>0</v>
      </c>
    </row>
    <row r="60" spans="2:79" ht="24.95" customHeight="1" x14ac:dyDescent="0.25">
      <c r="D60" s="158"/>
      <c r="E60" s="158"/>
      <c r="F60" s="158"/>
      <c r="G60" s="158"/>
      <c r="L60" s="134"/>
      <c r="M60" s="158"/>
      <c r="N60" s="158"/>
      <c r="O60" s="159"/>
      <c r="P60" s="158"/>
    </row>
    <row r="61" spans="2:79" ht="24.95" customHeight="1" x14ac:dyDescent="0.25">
      <c r="D61" s="158"/>
      <c r="E61" s="158"/>
      <c r="F61" s="158"/>
      <c r="G61" s="158"/>
      <c r="L61" s="134"/>
      <c r="M61" s="158"/>
      <c r="N61" s="158"/>
      <c r="O61" s="159"/>
      <c r="P61" s="158"/>
    </row>
    <row r="62" spans="2:79" ht="18.75" customHeight="1" x14ac:dyDescent="0.25">
      <c r="G62" s="158"/>
      <c r="L62" s="134"/>
      <c r="M62" s="158"/>
      <c r="N62" s="158"/>
      <c r="O62" s="159"/>
      <c r="P62" s="158"/>
    </row>
    <row r="63" spans="2:79" ht="24.95" customHeight="1" x14ac:dyDescent="0.25">
      <c r="L63" s="134"/>
      <c r="M63" s="158"/>
      <c r="N63" s="158"/>
      <c r="O63" s="159"/>
      <c r="P63" s="158"/>
    </row>
    <row r="64" spans="2:79" ht="24.95" customHeight="1" x14ac:dyDescent="0.25">
      <c r="L64" s="134"/>
      <c r="M64" s="158"/>
      <c r="N64" s="158"/>
      <c r="O64" s="159"/>
      <c r="P64" s="158"/>
    </row>
    <row r="65" spans="12:16" ht="24.95" customHeight="1" x14ac:dyDescent="0.25">
      <c r="L65" s="134"/>
      <c r="M65" s="158"/>
      <c r="N65" s="158"/>
      <c r="O65" s="159"/>
      <c r="P65" s="158"/>
    </row>
    <row r="66" spans="12:16" ht="24.95" customHeight="1" x14ac:dyDescent="0.25">
      <c r="L66" s="134"/>
      <c r="M66" s="158"/>
      <c r="N66" s="158"/>
      <c r="O66" s="159"/>
      <c r="P66" s="158"/>
    </row>
    <row r="67" spans="12:16" ht="24.95" customHeight="1" x14ac:dyDescent="0.25">
      <c r="L67" s="134"/>
      <c r="M67" s="15"/>
      <c r="O67" s="158"/>
      <c r="P67" s="158"/>
    </row>
  </sheetData>
  <mergeCells count="18">
    <mergeCell ref="B1:AE1"/>
    <mergeCell ref="B2:AE4"/>
    <mergeCell ref="K6:R6"/>
    <mergeCell ref="R8:AC8"/>
    <mergeCell ref="C37:AA37"/>
    <mergeCell ref="HI38:IN38"/>
    <mergeCell ref="D40:AE40"/>
    <mergeCell ref="B41:AE41"/>
    <mergeCell ref="Z42:AX42"/>
    <mergeCell ref="C43:N43"/>
    <mergeCell ref="S43:AQ43"/>
    <mergeCell ref="AF38:BD38"/>
    <mergeCell ref="BE38:CJ38"/>
    <mergeCell ref="CK38:DP38"/>
    <mergeCell ref="DQ38:EV38"/>
    <mergeCell ref="EW38:GB38"/>
    <mergeCell ref="GC38:HH38"/>
    <mergeCell ref="A38:AE38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7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N24" sqref="AN24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6.85546875" customWidth="1"/>
    <col min="7" max="7" width="6.5703125" customWidth="1"/>
    <col min="8" max="8" width="4.7109375" customWidth="1"/>
    <col min="9" max="9" width="5" customWidth="1"/>
    <col min="10" max="10" width="5.140625" customWidth="1"/>
    <col min="11" max="11" width="6.7109375" customWidth="1"/>
    <col min="12" max="12" width="6.28515625" customWidth="1"/>
    <col min="13" max="13" width="5" customWidth="1"/>
    <col min="14" max="15" width="7" customWidth="1"/>
    <col min="16" max="16" width="5.710937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5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8.5703125" customWidth="1"/>
    <col min="33" max="33" width="11.5703125" customWidth="1"/>
    <col min="34" max="34" width="12" customWidth="1"/>
    <col min="35" max="35" width="8.140625" customWidth="1"/>
    <col min="36" max="36" width="8.85546875" customWidth="1"/>
    <col min="37" max="37" width="8.5703125" customWidth="1"/>
    <col min="40" max="40" width="12.42578125" customWidth="1"/>
  </cols>
  <sheetData>
    <row r="1" spans="1:38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38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38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</row>
    <row r="4" spans="1:38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</row>
    <row r="5" spans="1:38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</row>
    <row r="6" spans="1:38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111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8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42" t="s">
        <v>53</v>
      </c>
      <c r="AH7" s="126" t="s">
        <v>67</v>
      </c>
      <c r="AI7" s="126" t="s">
        <v>68</v>
      </c>
      <c r="AJ7" s="126" t="s">
        <v>69</v>
      </c>
      <c r="AK7" s="126" t="s">
        <v>71</v>
      </c>
      <c r="AL7" s="152" t="s">
        <v>113</v>
      </c>
    </row>
    <row r="8" spans="1:38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41">
        <f>+AB24</f>
        <v>1056</v>
      </c>
      <c r="AH8" s="141">
        <f>X22+T10+T11+T12+T13+T14+T15+T16+T17+T19+T20+T21+U12+U13+U16</f>
        <v>61318</v>
      </c>
      <c r="AI8" s="141">
        <f>+Y24+AA24</f>
        <v>1989</v>
      </c>
      <c r="AJ8" s="141">
        <f>+O10+O11+O14+O15+O17+O19+O20+O21</f>
        <v>137662</v>
      </c>
      <c r="AK8" s="141">
        <f>+U18</f>
        <v>8864</v>
      </c>
      <c r="AL8" s="141">
        <f>AG8+AH8+AI8+AJ8+AK8</f>
        <v>210889</v>
      </c>
    </row>
    <row r="9" spans="1:38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K9" s="131"/>
    </row>
    <row r="10" spans="1:38" s="39" customFormat="1" ht="20.100000000000001" customHeight="1" x14ac:dyDescent="0.2">
      <c r="B10" s="128">
        <v>1364</v>
      </c>
      <c r="C10" s="92" t="s">
        <v>76</v>
      </c>
      <c r="D10" s="41" t="s">
        <v>42</v>
      </c>
      <c r="E10" s="90">
        <v>56030</v>
      </c>
      <c r="F10" s="42">
        <v>28380</v>
      </c>
      <c r="G10" s="88">
        <f t="shared" ref="G10:G17" si="0">E10+F10</f>
        <v>84410</v>
      </c>
      <c r="H10" s="43">
        <v>200</v>
      </c>
      <c r="I10" s="43">
        <v>0</v>
      </c>
      <c r="J10" s="43">
        <v>0</v>
      </c>
      <c r="K10" s="88">
        <f>ROUND((G10*35%),0)</f>
        <v>29544</v>
      </c>
      <c r="L10" s="89">
        <v>1500</v>
      </c>
      <c r="M10" s="43"/>
      <c r="N10" s="88">
        <f>G10+H10+I10+J10+K10+L10+M10</f>
        <v>115654</v>
      </c>
      <c r="O10" s="89">
        <f>ROUND((G10*55%),0)</f>
        <v>46426</v>
      </c>
      <c r="P10" s="43">
        <v>0</v>
      </c>
      <c r="Q10" s="89">
        <f t="shared" ref="Q10:Q17" si="1">ROUND((N10+O10+P10),0)</f>
        <v>162080</v>
      </c>
      <c r="R10" s="122">
        <f t="shared" ref="R10:R17" si="2">O10</f>
        <v>46426</v>
      </c>
      <c r="S10" s="42">
        <v>10</v>
      </c>
      <c r="T10" s="54">
        <f>ROUND((G10*10%),0)</f>
        <v>8441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ROUND((SUM(R10:AC10)-S10),0)</f>
        <v>65849</v>
      </c>
      <c r="AE10" s="54">
        <f t="shared" ref="AE10:AE21" si="4">Q10-AD10</f>
        <v>96231</v>
      </c>
      <c r="AF10" s="45"/>
      <c r="AH10" s="124"/>
      <c r="AI10" s="124"/>
      <c r="AJ10" s="124"/>
      <c r="AK10" s="124"/>
    </row>
    <row r="11" spans="1:38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2" si="5">G11+H11+I11+J11+K11+L11+M11</f>
        <v>67772</v>
      </c>
      <c r="O11" s="89">
        <f>ROUND((G11*55%),0)</f>
        <v>27000</v>
      </c>
      <c r="P11" s="50">
        <v>0</v>
      </c>
      <c r="Q11" s="89">
        <f t="shared" si="1"/>
        <v>94772</v>
      </c>
      <c r="R11" s="122">
        <f t="shared" si="2"/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43174</v>
      </c>
      <c r="AE11" s="54">
        <f t="shared" si="4"/>
        <v>51598</v>
      </c>
      <c r="AF11" s="55"/>
    </row>
    <row r="12" spans="1:38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35500</v>
      </c>
      <c r="F12" s="50">
        <v>0</v>
      </c>
      <c r="G12" s="88">
        <f>E12+F12</f>
        <v>35500</v>
      </c>
      <c r="H12" s="53">
        <v>0</v>
      </c>
      <c r="I12" s="50">
        <v>0</v>
      </c>
      <c r="J12" s="50">
        <v>0</v>
      </c>
      <c r="K12" s="88">
        <f t="shared" ref="K12:K17" si="6">ROUND((G12*40%),0)</f>
        <v>14200</v>
      </c>
      <c r="L12" s="89">
        <v>1500</v>
      </c>
      <c r="M12" s="50">
        <v>0</v>
      </c>
      <c r="N12" s="88">
        <f>G12+H12+I12+J12+K12+L12+M12</f>
        <v>51200</v>
      </c>
      <c r="O12" s="89">
        <f>ROUND((G12*10%),0)</f>
        <v>3550</v>
      </c>
      <c r="P12" s="49">
        <f>O12</f>
        <v>3550</v>
      </c>
      <c r="Q12" s="89">
        <f>ROUND((N12+O12+P12),0)</f>
        <v>58300</v>
      </c>
      <c r="R12" s="122">
        <f>O12</f>
        <v>3550</v>
      </c>
      <c r="S12" s="50">
        <v>10</v>
      </c>
      <c r="T12" s="54">
        <f>ROUND((G12*10%),0)</f>
        <v>3550</v>
      </c>
      <c r="U12" s="50">
        <f>T12</f>
        <v>3550</v>
      </c>
      <c r="V12" s="50">
        <v>0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>ROUND((SUM(R12:AC12)-S12),0)</f>
        <v>15010</v>
      </c>
      <c r="AE12" s="54">
        <f>Q12-AD12</f>
        <v>43290</v>
      </c>
      <c r="AF12" s="55"/>
    </row>
    <row r="13" spans="1:38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35500</v>
      </c>
      <c r="F13" s="50">
        <v>0</v>
      </c>
      <c r="G13" s="88">
        <f t="shared" si="0"/>
        <v>35500</v>
      </c>
      <c r="H13" s="53">
        <v>0</v>
      </c>
      <c r="I13" s="50">
        <v>0</v>
      </c>
      <c r="J13" s="50">
        <v>0</v>
      </c>
      <c r="K13" s="88">
        <f t="shared" si="6"/>
        <v>14200</v>
      </c>
      <c r="L13" s="89">
        <v>1500</v>
      </c>
      <c r="M13" s="50">
        <v>0</v>
      </c>
      <c r="N13" s="88">
        <f t="shared" si="5"/>
        <v>51200</v>
      </c>
      <c r="O13" s="89">
        <f>ROUND((G13*10%),0)</f>
        <v>3550</v>
      </c>
      <c r="P13" s="49">
        <f>O13</f>
        <v>3550</v>
      </c>
      <c r="Q13" s="89">
        <f t="shared" si="1"/>
        <v>58300</v>
      </c>
      <c r="R13" s="122">
        <f t="shared" si="2"/>
        <v>3550</v>
      </c>
      <c r="S13" s="50">
        <v>10</v>
      </c>
      <c r="T13" s="54">
        <f>ROUND((G13*10%),0)</f>
        <v>3550</v>
      </c>
      <c r="U13" s="49">
        <f>P13</f>
        <v>3550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14060</v>
      </c>
      <c r="AE13" s="54">
        <f t="shared" si="4"/>
        <v>44240</v>
      </c>
      <c r="AF13" s="55"/>
    </row>
    <row r="14" spans="1:38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5"/>
        <v>39964</v>
      </c>
      <c r="O14" s="89">
        <f>ROUND((G14*55%),0)</f>
        <v>14718</v>
      </c>
      <c r="P14" s="50">
        <v>0</v>
      </c>
      <c r="Q14" s="89">
        <f t="shared" si="1"/>
        <v>54682</v>
      </c>
      <c r="R14" s="122">
        <f t="shared" si="2"/>
        <v>14718</v>
      </c>
      <c r="S14" s="51">
        <v>25</v>
      </c>
      <c r="T14" s="54">
        <f>ROUND((G14*25%),0)</f>
        <v>6690</v>
      </c>
      <c r="U14" s="50">
        <f>P14</f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3"/>
        <v>36655</v>
      </c>
      <c r="AE14" s="54">
        <f t="shared" si="4"/>
        <v>18027</v>
      </c>
      <c r="AF14" s="55"/>
    </row>
    <row r="15" spans="1:38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5"/>
        <v>43618</v>
      </c>
      <c r="O15" s="89">
        <f>ROUND((G15*55%),0)</f>
        <v>16154</v>
      </c>
      <c r="P15" s="50">
        <v>0</v>
      </c>
      <c r="Q15" s="89">
        <f t="shared" si="1"/>
        <v>59772</v>
      </c>
      <c r="R15" s="122">
        <f t="shared" si="2"/>
        <v>16154</v>
      </c>
      <c r="S15" s="51">
        <v>25</v>
      </c>
      <c r="T15" s="54">
        <f>ROUND((G15*25%),0)</f>
        <v>7343</v>
      </c>
      <c r="U15" s="50">
        <f>P15</f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3"/>
        <v>40088</v>
      </c>
      <c r="AE15" s="54">
        <f t="shared" si="4"/>
        <v>19684</v>
      </c>
      <c r="AF15" s="55"/>
    </row>
    <row r="16" spans="1:38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17640</v>
      </c>
      <c r="F16" s="50">
        <v>0</v>
      </c>
      <c r="G16" s="88">
        <f t="shared" si="0"/>
        <v>17640</v>
      </c>
      <c r="H16" s="53">
        <v>0</v>
      </c>
      <c r="I16" s="50">
        <v>0</v>
      </c>
      <c r="J16" s="50">
        <v>0</v>
      </c>
      <c r="K16" s="88">
        <f t="shared" si="6"/>
        <v>7056</v>
      </c>
      <c r="L16" s="89">
        <v>1500</v>
      </c>
      <c r="M16" s="50">
        <v>0</v>
      </c>
      <c r="N16" s="88">
        <f t="shared" si="5"/>
        <v>26196</v>
      </c>
      <c r="O16" s="89">
        <f>ROUND((G16*10%),0)</f>
        <v>1764</v>
      </c>
      <c r="P16" s="49">
        <f>O16</f>
        <v>1764</v>
      </c>
      <c r="Q16" s="89">
        <f t="shared" si="1"/>
        <v>29724</v>
      </c>
      <c r="R16" s="122">
        <f t="shared" si="2"/>
        <v>1764</v>
      </c>
      <c r="S16" s="51">
        <v>10</v>
      </c>
      <c r="T16" s="54">
        <f>ROUND((G16*10%),0)</f>
        <v>1764</v>
      </c>
      <c r="U16" s="49">
        <f>P16</f>
        <v>1764</v>
      </c>
      <c r="V16" s="50">
        <v>0</v>
      </c>
      <c r="W16" s="50">
        <v>0</v>
      </c>
      <c r="X16" s="53">
        <v>0</v>
      </c>
      <c r="Y16" s="49">
        <f>ROUND((G16*1%),0)</f>
        <v>176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5478</v>
      </c>
      <c r="AE16" s="54">
        <f t="shared" si="4"/>
        <v>24246</v>
      </c>
      <c r="AF16" s="55"/>
    </row>
    <row r="17" spans="2:40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17640</v>
      </c>
      <c r="F17" s="50">
        <v>0</v>
      </c>
      <c r="G17" s="49">
        <f t="shared" si="0"/>
        <v>17640</v>
      </c>
      <c r="H17" s="50">
        <v>0</v>
      </c>
      <c r="I17" s="50">
        <v>0</v>
      </c>
      <c r="J17" s="49">
        <v>500</v>
      </c>
      <c r="K17" s="88">
        <f t="shared" si="6"/>
        <v>7056</v>
      </c>
      <c r="L17" s="49">
        <v>1500</v>
      </c>
      <c r="M17" s="50">
        <v>0</v>
      </c>
      <c r="N17" s="88">
        <f t="shared" si="5"/>
        <v>26696</v>
      </c>
      <c r="O17" s="89">
        <f>ROUND((G17*55%),0)</f>
        <v>9702</v>
      </c>
      <c r="P17" s="50">
        <v>0</v>
      </c>
      <c r="Q17" s="89">
        <f t="shared" si="1"/>
        <v>36398</v>
      </c>
      <c r="R17" s="49">
        <f t="shared" si="2"/>
        <v>9702</v>
      </c>
      <c r="S17" s="51">
        <v>25</v>
      </c>
      <c r="T17" s="54">
        <f>ROUND((G17*25%),0)</f>
        <v>4410</v>
      </c>
      <c r="U17" s="50">
        <v>0</v>
      </c>
      <c r="V17" s="49">
        <f>K17</f>
        <v>7056</v>
      </c>
      <c r="W17" s="50">
        <v>4000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25354</v>
      </c>
      <c r="AE17" s="49">
        <f t="shared" si="4"/>
        <v>11044</v>
      </c>
      <c r="AF17" s="55"/>
    </row>
    <row r="18" spans="2:40" s="46" customFormat="1" ht="19.5" customHeight="1" x14ac:dyDescent="0.25">
      <c r="B18" s="47"/>
      <c r="C18" s="48" t="s">
        <v>13</v>
      </c>
      <c r="D18" s="48"/>
      <c r="E18" s="57">
        <f t="shared" ref="E18:R18" si="7">SUM(E10:E17)</f>
        <v>267530</v>
      </c>
      <c r="F18" s="58">
        <f t="shared" si="7"/>
        <v>28380</v>
      </c>
      <c r="G18" s="57">
        <f t="shared" si="7"/>
        <v>295910</v>
      </c>
      <c r="H18" s="57">
        <f t="shared" si="7"/>
        <v>200</v>
      </c>
      <c r="I18" s="57">
        <f t="shared" si="7"/>
        <v>0</v>
      </c>
      <c r="J18" s="57">
        <f t="shared" si="7"/>
        <v>2500</v>
      </c>
      <c r="K18" s="57">
        <f t="shared" si="7"/>
        <v>111690</v>
      </c>
      <c r="L18" s="57">
        <f t="shared" si="7"/>
        <v>12000</v>
      </c>
      <c r="M18" s="58">
        <f t="shared" si="7"/>
        <v>0</v>
      </c>
      <c r="N18" s="97">
        <f t="shared" si="5"/>
        <v>422300</v>
      </c>
      <c r="O18" s="57">
        <f t="shared" si="7"/>
        <v>122864</v>
      </c>
      <c r="P18" s="57">
        <f t="shared" si="7"/>
        <v>8864</v>
      </c>
      <c r="Q18" s="57">
        <f>SUM(Q10:Q17)</f>
        <v>554028</v>
      </c>
      <c r="R18" s="57">
        <f t="shared" si="7"/>
        <v>122864</v>
      </c>
      <c r="S18" s="57"/>
      <c r="T18" s="57">
        <f t="shared" ref="T18:AD18" si="8">SUM(T10:T17)</f>
        <v>43112</v>
      </c>
      <c r="U18" s="57">
        <f t="shared" si="8"/>
        <v>8864</v>
      </c>
      <c r="V18" s="57">
        <f t="shared" si="8"/>
        <v>46508</v>
      </c>
      <c r="W18" s="57">
        <f t="shared" si="8"/>
        <v>18235</v>
      </c>
      <c r="X18" s="58">
        <f t="shared" si="8"/>
        <v>0</v>
      </c>
      <c r="Y18" s="57">
        <f t="shared" si="8"/>
        <v>1552</v>
      </c>
      <c r="Z18" s="57">
        <f t="shared" si="8"/>
        <v>80</v>
      </c>
      <c r="AA18" s="58">
        <f t="shared" si="8"/>
        <v>6</v>
      </c>
      <c r="AB18" s="57">
        <f t="shared" si="8"/>
        <v>1056</v>
      </c>
      <c r="AC18" s="57">
        <f t="shared" si="8"/>
        <v>3391</v>
      </c>
      <c r="AD18" s="57">
        <f t="shared" si="8"/>
        <v>245668</v>
      </c>
      <c r="AE18" s="57">
        <f t="shared" si="4"/>
        <v>308360</v>
      </c>
      <c r="AF18" s="55"/>
    </row>
    <row r="19" spans="2:40" s="46" customFormat="1" ht="19.5" customHeight="1" x14ac:dyDescent="0.3">
      <c r="B19" s="47">
        <v>200</v>
      </c>
      <c r="C19" s="48" t="s">
        <v>90</v>
      </c>
      <c r="D19" s="47" t="s">
        <v>75</v>
      </c>
      <c r="E19" s="49">
        <v>17100</v>
      </c>
      <c r="F19" s="50">
        <v>0</v>
      </c>
      <c r="G19" s="49">
        <f>E19+F19</f>
        <v>17100</v>
      </c>
      <c r="H19" s="50">
        <v>0</v>
      </c>
      <c r="I19" s="50">
        <v>0</v>
      </c>
      <c r="J19" s="49">
        <v>1000</v>
      </c>
      <c r="K19" s="49">
        <v>7000</v>
      </c>
      <c r="L19" s="49">
        <v>1500</v>
      </c>
      <c r="M19" s="49">
        <v>100</v>
      </c>
      <c r="N19" s="88">
        <f>G19+H19+I19+J19+K19+L19+M19</f>
        <v>26700</v>
      </c>
      <c r="O19" s="89">
        <f>ROUND((G19*55%),0)</f>
        <v>9405</v>
      </c>
      <c r="P19" s="50">
        <v>0</v>
      </c>
      <c r="Q19" s="49">
        <f>ROUND((N19+O19),0)</f>
        <v>36105</v>
      </c>
      <c r="R19" s="49">
        <f>O19</f>
        <v>9405</v>
      </c>
      <c r="S19" s="51">
        <v>10</v>
      </c>
      <c r="T19" s="54">
        <f>ROUND((G19*10%),0)</f>
        <v>1710</v>
      </c>
      <c r="U19" s="50">
        <v>0</v>
      </c>
      <c r="V19" s="50">
        <v>0</v>
      </c>
      <c r="W19" s="50">
        <v>3200</v>
      </c>
      <c r="X19" s="56">
        <v>5040</v>
      </c>
      <c r="Y19" s="49">
        <f>ROUND((G19*1%),0)</f>
        <v>171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ROUND((SUM(R19:AC19)-S19),0)</f>
        <v>19536</v>
      </c>
      <c r="AE19" s="49">
        <f t="shared" si="4"/>
        <v>16569</v>
      </c>
      <c r="AF19" s="55"/>
      <c r="AG19" s="160" t="s">
        <v>20</v>
      </c>
      <c r="AH19" s="160" t="s">
        <v>93</v>
      </c>
      <c r="AI19" s="160" t="s">
        <v>112</v>
      </c>
      <c r="AJ19" s="160" t="s">
        <v>95</v>
      </c>
      <c r="AK19" s="161"/>
      <c r="AL19" s="161"/>
    </row>
    <row r="20" spans="2:40" s="46" customFormat="1" ht="19.5" customHeight="1" x14ac:dyDescent="0.3">
      <c r="B20" s="47">
        <v>808</v>
      </c>
      <c r="C20" s="48" t="s">
        <v>62</v>
      </c>
      <c r="D20" s="47" t="s">
        <v>59</v>
      </c>
      <c r="E20" s="49">
        <v>15870</v>
      </c>
      <c r="F20" s="50">
        <v>0</v>
      </c>
      <c r="G20" s="49">
        <f>E20+F20</f>
        <v>15870</v>
      </c>
      <c r="H20" s="50">
        <v>0</v>
      </c>
      <c r="I20" s="50">
        <v>0</v>
      </c>
      <c r="J20" s="49">
        <v>1000</v>
      </c>
      <c r="K20" s="49">
        <f>ROUND((G20*45%),0)</f>
        <v>7142</v>
      </c>
      <c r="L20" s="49">
        <v>1500</v>
      </c>
      <c r="M20" s="49">
        <v>100</v>
      </c>
      <c r="N20" s="88">
        <f t="shared" si="5"/>
        <v>25612</v>
      </c>
      <c r="O20" s="89">
        <f>ROUND((G20*55%),0)</f>
        <v>8729</v>
      </c>
      <c r="P20" s="50">
        <v>0</v>
      </c>
      <c r="Q20" s="49">
        <f>ROUND((N20+O20),0)</f>
        <v>34341</v>
      </c>
      <c r="R20" s="49">
        <f>O20</f>
        <v>8729</v>
      </c>
      <c r="S20" s="51">
        <v>10</v>
      </c>
      <c r="T20" s="54">
        <f>ROUND((G20*10%),0)</f>
        <v>1587</v>
      </c>
      <c r="U20" s="50">
        <v>0</v>
      </c>
      <c r="V20" s="49">
        <f>K20</f>
        <v>7142</v>
      </c>
      <c r="W20" s="49">
        <v>1500</v>
      </c>
      <c r="X20" s="53">
        <v>0</v>
      </c>
      <c r="Y20" s="49">
        <f>ROUND((G20*1%),0)</f>
        <v>159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19127</v>
      </c>
      <c r="AE20" s="49">
        <f t="shared" si="4"/>
        <v>15214</v>
      </c>
      <c r="AF20" s="55"/>
      <c r="AG20" s="162">
        <f>V24</f>
        <v>53650</v>
      </c>
      <c r="AH20" s="162">
        <f>W24</f>
        <v>22935</v>
      </c>
      <c r="AI20" s="162">
        <f>AC24</f>
        <v>3391</v>
      </c>
      <c r="AJ20" s="163">
        <v>110</v>
      </c>
      <c r="AK20" s="164"/>
      <c r="AL20" s="163">
        <f>AG20+AH20+AI20+AJ20</f>
        <v>80086</v>
      </c>
    </row>
    <row r="21" spans="2:40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10050</v>
      </c>
      <c r="F21" s="50">
        <v>0</v>
      </c>
      <c r="G21" s="49">
        <f>E21+F21</f>
        <v>10050</v>
      </c>
      <c r="H21" s="50">
        <v>0</v>
      </c>
      <c r="I21" s="50">
        <v>0</v>
      </c>
      <c r="J21" s="49">
        <v>1000</v>
      </c>
      <c r="K21" s="49">
        <f>ROUND((G21*45%),0)</f>
        <v>4523</v>
      </c>
      <c r="L21" s="49">
        <v>1500</v>
      </c>
      <c r="M21" s="49">
        <v>100</v>
      </c>
      <c r="N21" s="88">
        <f t="shared" si="5"/>
        <v>17173</v>
      </c>
      <c r="O21" s="89">
        <f>ROUND((G21*55%),0)</f>
        <v>5528</v>
      </c>
      <c r="P21" s="50">
        <v>0</v>
      </c>
      <c r="Q21" s="49">
        <f>ROUND((N21+O21),0)</f>
        <v>22701</v>
      </c>
      <c r="R21" s="49">
        <f>O21</f>
        <v>5528</v>
      </c>
      <c r="S21" s="51">
        <v>10</v>
      </c>
      <c r="T21" s="54">
        <f>ROUND((G21*10%),0)</f>
        <v>1005</v>
      </c>
      <c r="U21" s="50">
        <v>0</v>
      </c>
      <c r="V21" s="50">
        <v>0</v>
      </c>
      <c r="W21" s="50">
        <v>0</v>
      </c>
      <c r="X21" s="53">
        <v>0</v>
      </c>
      <c r="Y21" s="49">
        <f>ROUND((G21*1%),0)</f>
        <v>101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6644</v>
      </c>
      <c r="AE21" s="49">
        <f t="shared" si="4"/>
        <v>16057</v>
      </c>
      <c r="AF21" s="55"/>
    </row>
    <row r="22" spans="2:40" s="101" customFormat="1" ht="19.5" customHeight="1" x14ac:dyDescent="0.25">
      <c r="B22" s="47"/>
      <c r="C22" s="47" t="s">
        <v>6</v>
      </c>
      <c r="D22" s="48"/>
      <c r="E22" s="57">
        <f t="shared" ref="E22:K22" si="9">SUM(E19:E21)</f>
        <v>43020</v>
      </c>
      <c r="F22" s="58">
        <f t="shared" si="9"/>
        <v>0</v>
      </c>
      <c r="G22" s="57">
        <f t="shared" si="9"/>
        <v>43020</v>
      </c>
      <c r="H22" s="58">
        <f t="shared" si="9"/>
        <v>0</v>
      </c>
      <c r="I22" s="58">
        <f t="shared" si="9"/>
        <v>0</v>
      </c>
      <c r="J22" s="57">
        <f t="shared" si="9"/>
        <v>3000</v>
      </c>
      <c r="K22" s="57">
        <f t="shared" si="9"/>
        <v>18665</v>
      </c>
      <c r="L22" s="57">
        <f t="shared" ref="L22:R22" si="10">SUM(L19:L21)</f>
        <v>4500</v>
      </c>
      <c r="M22" s="57">
        <f t="shared" si="10"/>
        <v>300</v>
      </c>
      <c r="N22" s="97">
        <f t="shared" si="5"/>
        <v>69485</v>
      </c>
      <c r="O22" s="57">
        <f t="shared" si="10"/>
        <v>23662</v>
      </c>
      <c r="P22" s="58">
        <f t="shared" si="10"/>
        <v>0</v>
      </c>
      <c r="Q22" s="57">
        <f t="shared" si="10"/>
        <v>93147</v>
      </c>
      <c r="R22" s="57">
        <f t="shared" si="10"/>
        <v>23662</v>
      </c>
      <c r="S22" s="58">
        <v>0</v>
      </c>
      <c r="T22" s="57">
        <f t="shared" ref="T22:AA22" si="11">SUM(T19:T21)</f>
        <v>4302</v>
      </c>
      <c r="U22" s="58">
        <f t="shared" si="11"/>
        <v>0</v>
      </c>
      <c r="V22" s="57">
        <f t="shared" si="11"/>
        <v>7142</v>
      </c>
      <c r="W22" s="57">
        <f t="shared" si="11"/>
        <v>4700</v>
      </c>
      <c r="X22" s="57">
        <f t="shared" si="11"/>
        <v>5040</v>
      </c>
      <c r="Y22" s="57">
        <f t="shared" si="11"/>
        <v>431</v>
      </c>
      <c r="Z22" s="57">
        <f t="shared" si="11"/>
        <v>30</v>
      </c>
      <c r="AA22" s="58">
        <f t="shared" si="11"/>
        <v>0</v>
      </c>
      <c r="AB22" s="58">
        <v>0</v>
      </c>
      <c r="AC22" s="58">
        <f>SUM(AC19:AC21)</f>
        <v>0</v>
      </c>
      <c r="AD22" s="57">
        <f>SUM(AD19:AD21)</f>
        <v>45307</v>
      </c>
      <c r="AE22" s="57">
        <f>SUM(AE19:AE21)</f>
        <v>47840</v>
      </c>
      <c r="AF22" s="100"/>
      <c r="AH22" s="154"/>
      <c r="AI22" s="154"/>
      <c r="AK22" s="154"/>
    </row>
    <row r="23" spans="2:40" s="46" customFormat="1" ht="19.5" customHeight="1" x14ac:dyDescent="0.25">
      <c r="B23" s="60"/>
      <c r="C23" s="47" t="s">
        <v>13</v>
      </c>
      <c r="D23" s="48"/>
      <c r="E23" s="61">
        <f t="shared" ref="E23:P23" si="12">E18</f>
        <v>267530</v>
      </c>
      <c r="F23" s="62">
        <f t="shared" si="12"/>
        <v>28380</v>
      </c>
      <c r="G23" s="61">
        <f t="shared" si="12"/>
        <v>295910</v>
      </c>
      <c r="H23" s="61">
        <f t="shared" si="12"/>
        <v>200</v>
      </c>
      <c r="I23" s="62">
        <f t="shared" si="12"/>
        <v>0</v>
      </c>
      <c r="J23" s="61">
        <f t="shared" si="12"/>
        <v>2500</v>
      </c>
      <c r="K23" s="61">
        <f t="shared" si="12"/>
        <v>111690</v>
      </c>
      <c r="L23" s="61">
        <f t="shared" si="12"/>
        <v>12000</v>
      </c>
      <c r="M23" s="62">
        <f t="shared" si="12"/>
        <v>0</v>
      </c>
      <c r="N23" s="88">
        <f>N18</f>
        <v>422300</v>
      </c>
      <c r="O23" s="61">
        <f>O18</f>
        <v>122864</v>
      </c>
      <c r="P23" s="61">
        <f t="shared" si="12"/>
        <v>8864</v>
      </c>
      <c r="Q23" s="49">
        <f>Q18</f>
        <v>554028</v>
      </c>
      <c r="R23" s="61">
        <f>R18</f>
        <v>122864</v>
      </c>
      <c r="S23" s="62">
        <v>0</v>
      </c>
      <c r="T23" s="61">
        <f t="shared" ref="T23:AE23" si="13">T18</f>
        <v>43112</v>
      </c>
      <c r="U23" s="62">
        <f t="shared" si="13"/>
        <v>8864</v>
      </c>
      <c r="V23" s="61">
        <f t="shared" si="13"/>
        <v>46508</v>
      </c>
      <c r="W23" s="61">
        <f t="shared" si="13"/>
        <v>18235</v>
      </c>
      <c r="X23" s="62">
        <f t="shared" si="13"/>
        <v>0</v>
      </c>
      <c r="Y23" s="61">
        <f t="shared" si="13"/>
        <v>1552</v>
      </c>
      <c r="Z23" s="62">
        <f t="shared" si="13"/>
        <v>80</v>
      </c>
      <c r="AA23" s="62">
        <f t="shared" si="13"/>
        <v>6</v>
      </c>
      <c r="AB23" s="62">
        <f>AB18</f>
        <v>1056</v>
      </c>
      <c r="AC23" s="62">
        <f t="shared" si="13"/>
        <v>3391</v>
      </c>
      <c r="AD23" s="62">
        <f t="shared" si="13"/>
        <v>245668</v>
      </c>
      <c r="AE23" s="61">
        <f t="shared" si="13"/>
        <v>308360</v>
      </c>
      <c r="AF23" s="55"/>
      <c r="AH23" s="102"/>
      <c r="AI23" s="102"/>
      <c r="AJ23" s="102"/>
      <c r="AK23" s="102"/>
      <c r="AL23" s="102"/>
    </row>
    <row r="24" spans="2:40" s="46" customFormat="1" ht="18" customHeight="1" x14ac:dyDescent="0.25">
      <c r="B24" s="47"/>
      <c r="C24" s="63" t="s">
        <v>14</v>
      </c>
      <c r="D24" s="93"/>
      <c r="E24" s="57">
        <f>E22+E23</f>
        <v>310550</v>
      </c>
      <c r="F24" s="58">
        <f>F22+F23</f>
        <v>28380</v>
      </c>
      <c r="G24" s="57">
        <f>G22+G23</f>
        <v>338930</v>
      </c>
      <c r="H24" s="57">
        <f t="shared" ref="H24:AC24" si="14">H22+H23</f>
        <v>200</v>
      </c>
      <c r="I24" s="58">
        <f t="shared" si="14"/>
        <v>0</v>
      </c>
      <c r="J24" s="57">
        <f t="shared" si="14"/>
        <v>5500</v>
      </c>
      <c r="K24" s="57">
        <f t="shared" si="14"/>
        <v>130355</v>
      </c>
      <c r="L24" s="57">
        <f t="shared" si="14"/>
        <v>16500</v>
      </c>
      <c r="M24" s="57">
        <f t="shared" si="14"/>
        <v>300</v>
      </c>
      <c r="N24" s="97">
        <f>N22+N23</f>
        <v>491785</v>
      </c>
      <c r="O24" s="57">
        <f>O22+O23</f>
        <v>146526</v>
      </c>
      <c r="P24" s="57">
        <f t="shared" si="14"/>
        <v>8864</v>
      </c>
      <c r="Q24" s="57">
        <f>Q22+Q23</f>
        <v>647175</v>
      </c>
      <c r="R24" s="57">
        <f>R22+R23</f>
        <v>146526</v>
      </c>
      <c r="S24" s="58">
        <f t="shared" si="14"/>
        <v>0</v>
      </c>
      <c r="T24" s="57">
        <f>T22+T23</f>
        <v>47414</v>
      </c>
      <c r="U24" s="57">
        <f>U22+U23</f>
        <v>8864</v>
      </c>
      <c r="V24" s="57">
        <f>V22+V23</f>
        <v>53650</v>
      </c>
      <c r="W24" s="57">
        <f>W22+W23</f>
        <v>22935</v>
      </c>
      <c r="X24" s="57">
        <f t="shared" si="14"/>
        <v>5040</v>
      </c>
      <c r="Y24" s="57">
        <f>Y22+Y23</f>
        <v>1983</v>
      </c>
      <c r="Z24" s="57">
        <f>Z22+Z23</f>
        <v>110</v>
      </c>
      <c r="AA24" s="58">
        <f t="shared" si="14"/>
        <v>6</v>
      </c>
      <c r="AB24" s="57">
        <f>AB22+AB23</f>
        <v>1056</v>
      </c>
      <c r="AC24" s="57">
        <f t="shared" si="14"/>
        <v>3391</v>
      </c>
      <c r="AD24" s="57">
        <f>AD22+AD23</f>
        <v>290975</v>
      </c>
      <c r="AE24" s="57">
        <f>AE22+AE23</f>
        <v>356200</v>
      </c>
      <c r="AF24" s="55"/>
      <c r="AG24" s="102">
        <f>G24+H24+J24+K24+L24+M24+O24+P24</f>
        <v>647175</v>
      </c>
      <c r="AJ24" s="123"/>
      <c r="AL24" s="102">
        <f>AL8+AL20</f>
        <v>290975</v>
      </c>
      <c r="AM24" s="102">
        <f>AG24-AL24</f>
        <v>356200</v>
      </c>
      <c r="AN24" s="123"/>
    </row>
    <row r="25" spans="2:40" s="70" customFormat="1" ht="18.75" hidden="1" customHeight="1" x14ac:dyDescent="0.2">
      <c r="B25" s="44"/>
      <c r="C25" s="92"/>
      <c r="D25" s="64"/>
      <c r="E25" s="65">
        <f>SUM(E22)</f>
        <v>43020</v>
      </c>
      <c r="F25" s="65">
        <f>SUM(F22)</f>
        <v>0</v>
      </c>
      <c r="G25" s="65">
        <f>SUM(G22)</f>
        <v>43020</v>
      </c>
      <c r="H25" s="65"/>
      <c r="I25" s="65">
        <f>SUM(I22)</f>
        <v>0</v>
      </c>
      <c r="J25" s="65">
        <f>SUM(J22)</f>
        <v>3000</v>
      </c>
      <c r="K25" s="65">
        <f>SUM(K19:K22)</f>
        <v>37330</v>
      </c>
      <c r="L25" s="65">
        <f>SUM(L22)</f>
        <v>4500</v>
      </c>
      <c r="M25" s="65">
        <f>SUM(M22)</f>
        <v>300</v>
      </c>
      <c r="N25" s="65">
        <f>SUM(N19:N22)</f>
        <v>138970</v>
      </c>
      <c r="O25" s="65">
        <f>SUM(O22)</f>
        <v>23662</v>
      </c>
      <c r="P25" s="65">
        <f>SUM(P22)</f>
        <v>0</v>
      </c>
      <c r="Q25" s="65">
        <f>SUM(Q19:Q22)</f>
        <v>186294</v>
      </c>
      <c r="R25" s="65">
        <f>SUM(R22)</f>
        <v>23662</v>
      </c>
      <c r="S25" s="65">
        <f>SUM(S19:S22)</f>
        <v>30</v>
      </c>
      <c r="T25" s="66">
        <f>SUM(T19:T22)</f>
        <v>8604</v>
      </c>
      <c r="U25" s="66">
        <f>SUM(U22)</f>
        <v>0</v>
      </c>
      <c r="V25" s="65">
        <f>SUM(V19:V22)</f>
        <v>14284</v>
      </c>
      <c r="W25" s="65">
        <f t="shared" ref="W25:AC25" si="15">SUM(W22)</f>
        <v>4700</v>
      </c>
      <c r="X25" s="67">
        <f t="shared" si="15"/>
        <v>5040</v>
      </c>
      <c r="Y25" s="68">
        <f t="shared" si="15"/>
        <v>431</v>
      </c>
      <c r="Z25" s="67">
        <f t="shared" si="15"/>
        <v>30</v>
      </c>
      <c r="AA25" s="65">
        <f t="shared" si="15"/>
        <v>0</v>
      </c>
      <c r="AB25" s="65"/>
      <c r="AC25" s="65">
        <f t="shared" si="15"/>
        <v>0</v>
      </c>
      <c r="AD25" s="52">
        <f>R25+T25+U25+V25+W25+X25+Y25+Z25+AA25</f>
        <v>56751</v>
      </c>
      <c r="AE25" s="65">
        <f>SUM(AE19:AE22)</f>
        <v>95680</v>
      </c>
      <c r="AF25" s="69"/>
    </row>
    <row r="26" spans="2:40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73"/>
      <c r="U26" s="73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</row>
    <row r="27" spans="2:40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40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40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</row>
    <row r="30" spans="2:40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3"/>
      <c r="U30" s="73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</row>
    <row r="31" spans="2:40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40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</row>
    <row r="33" spans="1:248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48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3"/>
      <c r="U34" s="73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</row>
    <row r="35" spans="1:248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</row>
    <row r="36" spans="1:248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</row>
    <row r="37" spans="1:248" s="70" customFormat="1" ht="24" customHeight="1" x14ac:dyDescent="0.2">
      <c r="B37" s="83" t="s">
        <v>15</v>
      </c>
      <c r="C37" s="626" t="s">
        <v>114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5"/>
      <c r="AL37" s="153"/>
    </row>
    <row r="38" spans="1:248" s="70" customFormat="1" ht="24" customHeight="1" x14ac:dyDescent="0.2">
      <c r="A38" s="617" t="s">
        <v>115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  <c r="AI38" s="617"/>
      <c r="AJ38" s="617"/>
      <c r="AK38" s="617"/>
      <c r="AL38" s="617"/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7"/>
      <c r="BA38" s="617"/>
      <c r="BB38" s="617"/>
      <c r="BC38" s="617"/>
      <c r="BD38" s="617"/>
      <c r="BE38" s="617"/>
      <c r="BF38" s="617"/>
      <c r="BG38" s="617"/>
      <c r="BH38" s="617"/>
      <c r="BI38" s="617"/>
      <c r="BJ38" s="617"/>
      <c r="BK38" s="617"/>
      <c r="BL38" s="617"/>
      <c r="BM38" s="617"/>
      <c r="BN38" s="617"/>
      <c r="BO38" s="617"/>
      <c r="BP38" s="617"/>
      <c r="BQ38" s="617"/>
      <c r="BR38" s="617"/>
      <c r="BS38" s="617"/>
      <c r="BT38" s="617"/>
      <c r="BU38" s="617"/>
      <c r="BV38" s="617"/>
      <c r="BW38" s="617"/>
      <c r="BX38" s="617"/>
      <c r="BY38" s="617"/>
      <c r="BZ38" s="617"/>
      <c r="CA38" s="617"/>
      <c r="CB38" s="617"/>
      <c r="CC38" s="617"/>
      <c r="CD38" s="617"/>
      <c r="CE38" s="617"/>
      <c r="CF38" s="617"/>
      <c r="CG38" s="617"/>
      <c r="CH38" s="617"/>
      <c r="CI38" s="617"/>
      <c r="CJ38" s="617"/>
      <c r="CK38" s="617" t="s">
        <v>81</v>
      </c>
      <c r="CL38" s="617"/>
      <c r="CM38" s="617"/>
      <c r="CN38" s="617"/>
      <c r="CO38" s="617"/>
      <c r="CP38" s="617"/>
      <c r="CQ38" s="617"/>
      <c r="CR38" s="617"/>
      <c r="CS38" s="617"/>
      <c r="CT38" s="617"/>
      <c r="CU38" s="617"/>
      <c r="CV38" s="617"/>
      <c r="CW38" s="617"/>
      <c r="CX38" s="617"/>
      <c r="CY38" s="617"/>
      <c r="CZ38" s="617"/>
      <c r="DA38" s="617"/>
      <c r="DB38" s="617"/>
      <c r="DC38" s="617"/>
      <c r="DD38" s="617"/>
      <c r="DE38" s="617"/>
      <c r="DF38" s="617"/>
      <c r="DG38" s="617"/>
      <c r="DH38" s="617"/>
      <c r="DI38" s="617"/>
      <c r="DJ38" s="617"/>
      <c r="DK38" s="617"/>
      <c r="DL38" s="617"/>
      <c r="DM38" s="617"/>
      <c r="DN38" s="617"/>
      <c r="DO38" s="617"/>
      <c r="DP38" s="617"/>
      <c r="DQ38" s="617" t="s">
        <v>81</v>
      </c>
      <c r="DR38" s="617"/>
      <c r="DS38" s="617"/>
      <c r="DT38" s="617"/>
      <c r="DU38" s="617"/>
      <c r="DV38" s="617"/>
      <c r="DW38" s="617"/>
      <c r="DX38" s="617"/>
      <c r="DY38" s="617"/>
      <c r="DZ38" s="617"/>
      <c r="EA38" s="617"/>
      <c r="EB38" s="617"/>
      <c r="EC38" s="617"/>
      <c r="ED38" s="617"/>
      <c r="EE38" s="617"/>
      <c r="EF38" s="617"/>
      <c r="EG38" s="617"/>
      <c r="EH38" s="617"/>
      <c r="EI38" s="617"/>
      <c r="EJ38" s="617"/>
      <c r="EK38" s="617"/>
      <c r="EL38" s="617"/>
      <c r="EM38" s="617"/>
      <c r="EN38" s="617"/>
      <c r="EO38" s="617"/>
      <c r="EP38" s="617"/>
      <c r="EQ38" s="617"/>
      <c r="ER38" s="617"/>
      <c r="ES38" s="617"/>
      <c r="ET38" s="617"/>
      <c r="EU38" s="617"/>
      <c r="EV38" s="617"/>
      <c r="EW38" s="617" t="s">
        <v>81</v>
      </c>
      <c r="EX38" s="617"/>
      <c r="EY38" s="617"/>
      <c r="EZ38" s="617"/>
      <c r="FA38" s="617"/>
      <c r="FB38" s="617"/>
      <c r="FC38" s="617"/>
      <c r="FD38" s="617"/>
      <c r="FE38" s="617"/>
      <c r="FF38" s="617"/>
      <c r="FG38" s="617"/>
      <c r="FH38" s="617"/>
      <c r="FI38" s="617"/>
      <c r="FJ38" s="617"/>
      <c r="FK38" s="617"/>
      <c r="FL38" s="617"/>
      <c r="FM38" s="617"/>
      <c r="FN38" s="617"/>
      <c r="FO38" s="617"/>
      <c r="FP38" s="617"/>
      <c r="FQ38" s="617"/>
      <c r="FR38" s="617"/>
      <c r="FS38" s="617"/>
      <c r="FT38" s="617"/>
      <c r="FU38" s="617"/>
      <c r="FV38" s="617"/>
      <c r="FW38" s="617"/>
      <c r="FX38" s="617"/>
      <c r="FY38" s="617"/>
      <c r="FZ38" s="617"/>
      <c r="GA38" s="617"/>
      <c r="GB38" s="617"/>
      <c r="GC38" s="617" t="s">
        <v>81</v>
      </c>
      <c r="GD38" s="617"/>
      <c r="GE38" s="617"/>
      <c r="GF38" s="617"/>
      <c r="GG38" s="617"/>
      <c r="GH38" s="617"/>
      <c r="GI38" s="617"/>
      <c r="GJ38" s="617"/>
      <c r="GK38" s="617"/>
      <c r="GL38" s="617"/>
      <c r="GM38" s="617"/>
      <c r="GN38" s="617"/>
      <c r="GO38" s="617"/>
      <c r="GP38" s="617"/>
      <c r="GQ38" s="617"/>
      <c r="GR38" s="617"/>
      <c r="GS38" s="617"/>
      <c r="GT38" s="617"/>
      <c r="GU38" s="617"/>
      <c r="GV38" s="617"/>
      <c r="GW38" s="617"/>
      <c r="GX38" s="617"/>
      <c r="GY38" s="617"/>
      <c r="GZ38" s="617"/>
      <c r="HA38" s="617"/>
      <c r="HB38" s="617"/>
      <c r="HC38" s="617"/>
      <c r="HD38" s="617"/>
      <c r="HE38" s="617"/>
      <c r="HF38" s="617"/>
      <c r="HG38" s="617"/>
      <c r="HH38" s="617"/>
      <c r="HI38" s="617" t="s">
        <v>81</v>
      </c>
      <c r="HJ38" s="617"/>
      <c r="HK38" s="617"/>
      <c r="HL38" s="617"/>
      <c r="HM38" s="617"/>
      <c r="HN38" s="617"/>
      <c r="HO38" s="617"/>
      <c r="HP38" s="617"/>
      <c r="HQ38" s="617"/>
      <c r="HR38" s="617"/>
      <c r="HS38" s="617"/>
      <c r="HT38" s="617"/>
      <c r="HU38" s="617"/>
      <c r="HV38" s="617"/>
      <c r="HW38" s="617"/>
      <c r="HX38" s="617"/>
      <c r="HY38" s="617"/>
      <c r="HZ38" s="617"/>
      <c r="IA38" s="617"/>
      <c r="IB38" s="617"/>
      <c r="IC38" s="617"/>
      <c r="ID38" s="617"/>
      <c r="IE38" s="617"/>
      <c r="IF38" s="617"/>
      <c r="IG38" s="617"/>
      <c r="IH38" s="617"/>
      <c r="II38" s="617"/>
      <c r="IJ38" s="617"/>
      <c r="IK38" s="617"/>
      <c r="IL38" s="617"/>
      <c r="IM38" s="617"/>
      <c r="IN38" s="617"/>
    </row>
    <row r="39" spans="1:248" s="70" customFormat="1" ht="26.25" customHeight="1" x14ac:dyDescent="0.2">
      <c r="B39" s="86"/>
      <c r="C39" s="133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87"/>
      <c r="AD39" s="87"/>
      <c r="AE39" s="87"/>
      <c r="AF39" s="87"/>
    </row>
    <row r="40" spans="1:248" ht="17.25" customHeight="1" x14ac:dyDescent="0.25">
      <c r="B40" s="22"/>
      <c r="D40" s="616" t="s">
        <v>80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22"/>
    </row>
    <row r="41" spans="1:248" ht="13.5" customHeight="1" x14ac:dyDescent="0.2">
      <c r="B41" s="616" t="s">
        <v>86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3"/>
      <c r="AG41" s="6"/>
    </row>
    <row r="42" spans="1:248" ht="24.95" customHeight="1" x14ac:dyDescent="0.25">
      <c r="B42" s="22"/>
      <c r="C42" s="135"/>
      <c r="D42" s="14"/>
      <c r="E42" s="22"/>
      <c r="F42" s="22"/>
      <c r="G42" s="22"/>
      <c r="H42" s="22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</row>
    <row r="43" spans="1:248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26"/>
      <c r="P43" s="5"/>
      <c r="Q43" s="5"/>
      <c r="R43" s="4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</row>
    <row r="44" spans="1:248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</row>
    <row r="45" spans="1:248" ht="16.5" customHeight="1" x14ac:dyDescent="0.25">
      <c r="B45" s="5"/>
      <c r="E45" s="9"/>
      <c r="F45" s="10"/>
      <c r="G45" s="9"/>
      <c r="H45" s="9"/>
      <c r="I45" s="5"/>
      <c r="J45" s="4"/>
      <c r="K45" s="4"/>
      <c r="L45" s="14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</row>
    <row r="46" spans="1:248" ht="16.5" customHeight="1" x14ac:dyDescent="0.25">
      <c r="B46" s="5"/>
      <c r="D46" s="158"/>
      <c r="E46" s="156"/>
      <c r="F46" s="157"/>
      <c r="G46" s="159"/>
      <c r="H46" s="9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</row>
    <row r="47" spans="1:248" ht="24.95" customHeight="1" x14ac:dyDescent="0.25">
      <c r="B47" s="2"/>
      <c r="C47" s="14"/>
      <c r="D47" s="158"/>
      <c r="E47" s="158"/>
      <c r="F47" s="158"/>
      <c r="G47" s="15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2"/>
    </row>
    <row r="48" spans="1:248" ht="24.95" customHeight="1" x14ac:dyDescent="0.25">
      <c r="B48" s="2"/>
      <c r="C48" s="14"/>
      <c r="D48" s="158"/>
      <c r="E48" s="158"/>
      <c r="F48" s="158"/>
      <c r="G48" s="158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2"/>
    </row>
    <row r="49" spans="2:32" ht="24.95" customHeight="1" x14ac:dyDescent="0.25">
      <c r="B49" s="2"/>
      <c r="C49" s="14"/>
      <c r="D49" s="158"/>
      <c r="E49" s="158"/>
      <c r="F49" s="158"/>
      <c r="G49" s="158"/>
      <c r="H49" s="2"/>
      <c r="I49" s="5"/>
      <c r="Z49" s="12"/>
      <c r="AA49" s="12"/>
      <c r="AB49" s="12"/>
      <c r="AC49" s="3"/>
      <c r="AD49" s="2"/>
      <c r="AE49" s="2"/>
      <c r="AF49" s="2"/>
    </row>
    <row r="50" spans="2:32" ht="24.95" customHeight="1" x14ac:dyDescent="0.25">
      <c r="B50" s="5"/>
      <c r="C50" s="14"/>
      <c r="D50" s="158"/>
      <c r="E50" s="158"/>
      <c r="F50" s="158"/>
      <c r="G50" s="158"/>
      <c r="H50" s="5"/>
      <c r="X50" s="11"/>
      <c r="Y50" s="11"/>
      <c r="Z50" s="11"/>
      <c r="AA50" s="11"/>
      <c r="AB50" s="11"/>
      <c r="AC50" s="5"/>
      <c r="AD50" s="5"/>
      <c r="AE50" s="5"/>
      <c r="AF50" s="5"/>
    </row>
    <row r="51" spans="2:32" ht="24.95" customHeight="1" x14ac:dyDescent="0.25">
      <c r="C51" s="14"/>
      <c r="D51" s="158"/>
      <c r="E51" s="158"/>
      <c r="F51" s="158"/>
      <c r="G51" s="158"/>
      <c r="L51" s="134"/>
      <c r="M51" s="158"/>
      <c r="N51" s="156"/>
      <c r="O51" s="159"/>
      <c r="P51" s="159"/>
    </row>
    <row r="52" spans="2:32" ht="24.95" customHeight="1" x14ac:dyDescent="0.25">
      <c r="D52" s="158"/>
      <c r="E52" s="158"/>
      <c r="F52" s="158"/>
      <c r="G52" s="158"/>
      <c r="L52" s="14"/>
      <c r="M52" s="158"/>
      <c r="N52" s="158"/>
      <c r="O52" s="159"/>
      <c r="P52" s="158"/>
    </row>
    <row r="53" spans="2:32" ht="24.95" customHeight="1" x14ac:dyDescent="0.25">
      <c r="D53" s="158"/>
      <c r="E53" s="158"/>
      <c r="F53" s="158"/>
      <c r="G53" s="158"/>
      <c r="L53" s="14"/>
      <c r="M53" s="158"/>
      <c r="N53" s="158"/>
      <c r="O53" s="159"/>
      <c r="P53" s="158"/>
    </row>
    <row r="54" spans="2:32" ht="24.95" customHeight="1" x14ac:dyDescent="0.25">
      <c r="D54" s="158"/>
      <c r="E54" s="158"/>
      <c r="F54" s="158"/>
      <c r="G54" s="158"/>
      <c r="L54" s="14"/>
      <c r="M54" s="158"/>
      <c r="N54" s="158"/>
      <c r="O54" s="159"/>
      <c r="P54" s="158"/>
    </row>
    <row r="55" spans="2:32" ht="24.95" customHeight="1" x14ac:dyDescent="0.25">
      <c r="D55" s="158"/>
      <c r="E55" s="158"/>
      <c r="F55" s="158"/>
      <c r="G55" s="158"/>
      <c r="L55" s="14"/>
      <c r="M55" s="158"/>
      <c r="N55" s="158"/>
      <c r="O55" s="159"/>
      <c r="P55" s="158"/>
    </row>
    <row r="56" spans="2:32" ht="24.95" customHeight="1" x14ac:dyDescent="0.25">
      <c r="D56" s="158"/>
      <c r="E56" s="158"/>
      <c r="F56" s="158"/>
      <c r="G56" s="158"/>
      <c r="L56" s="14"/>
      <c r="M56" s="158"/>
      <c r="N56" s="158"/>
      <c r="O56" s="159"/>
      <c r="P56" s="158"/>
    </row>
    <row r="57" spans="2:32" ht="24.95" customHeight="1" x14ac:dyDescent="0.25">
      <c r="D57" s="158"/>
      <c r="E57" s="158"/>
      <c r="F57" s="158"/>
      <c r="G57" s="158"/>
      <c r="L57" s="134"/>
      <c r="M57" s="158"/>
      <c r="N57" s="158"/>
      <c r="O57" s="159"/>
      <c r="P57" s="158"/>
    </row>
    <row r="58" spans="2:32" ht="24.95" customHeight="1" x14ac:dyDescent="0.25">
      <c r="D58" s="158"/>
      <c r="E58" s="158"/>
      <c r="F58" s="158"/>
      <c r="G58" s="158"/>
      <c r="L58" s="134"/>
      <c r="M58" s="158"/>
      <c r="N58" s="158"/>
      <c r="O58" s="159"/>
      <c r="P58" s="158"/>
    </row>
    <row r="59" spans="2:32" ht="24.95" customHeight="1" x14ac:dyDescent="0.25">
      <c r="D59" s="158"/>
      <c r="E59" s="158"/>
      <c r="F59" s="158"/>
      <c r="G59" s="158"/>
      <c r="L59" s="134"/>
      <c r="M59" s="158"/>
      <c r="N59" s="158"/>
      <c r="O59" s="159"/>
      <c r="P59" s="158"/>
    </row>
    <row r="60" spans="2:32" ht="24.95" customHeight="1" x14ac:dyDescent="0.25">
      <c r="D60" s="158"/>
      <c r="E60" s="158"/>
      <c r="F60" s="158"/>
      <c r="G60" s="158"/>
      <c r="L60" s="134"/>
      <c r="M60" s="158"/>
      <c r="N60" s="158"/>
      <c r="O60" s="159"/>
      <c r="P60" s="158"/>
    </row>
    <row r="61" spans="2:32" ht="24.95" customHeight="1" x14ac:dyDescent="0.25">
      <c r="D61" s="158"/>
      <c r="E61" s="158"/>
      <c r="F61" s="158"/>
      <c r="G61" s="158"/>
      <c r="L61" s="134"/>
      <c r="M61" s="158"/>
      <c r="N61" s="158"/>
      <c r="O61" s="159"/>
      <c r="P61" s="158"/>
    </row>
    <row r="62" spans="2:32" ht="18.75" customHeight="1" x14ac:dyDescent="0.25">
      <c r="G62" s="158"/>
      <c r="L62" s="134"/>
      <c r="M62" s="158"/>
      <c r="N62" s="158"/>
      <c r="O62" s="159"/>
      <c r="P62" s="158"/>
    </row>
    <row r="63" spans="2:32" ht="24.95" customHeight="1" x14ac:dyDescent="0.25">
      <c r="L63" s="134"/>
      <c r="M63" s="158"/>
      <c r="N63" s="158"/>
      <c r="O63" s="159"/>
      <c r="P63" s="158"/>
    </row>
    <row r="64" spans="2:32" ht="24.95" customHeight="1" x14ac:dyDescent="0.25">
      <c r="L64" s="134"/>
      <c r="M64" s="158"/>
      <c r="N64" s="158"/>
      <c r="O64" s="159"/>
      <c r="P64" s="158"/>
    </row>
    <row r="65" spans="12:16" ht="24.95" customHeight="1" x14ac:dyDescent="0.25">
      <c r="L65" s="134"/>
      <c r="M65" s="158"/>
      <c r="N65" s="158"/>
      <c r="O65" s="159"/>
      <c r="P65" s="158"/>
    </row>
    <row r="66" spans="12:16" ht="24.95" customHeight="1" x14ac:dyDescent="0.25">
      <c r="L66" s="134"/>
      <c r="M66" s="158"/>
      <c r="N66" s="158"/>
      <c r="O66" s="159"/>
      <c r="P66" s="158"/>
    </row>
    <row r="67" spans="12:16" ht="24.95" customHeight="1" x14ac:dyDescent="0.25">
      <c r="L67" s="134"/>
      <c r="M67" s="15"/>
      <c r="O67" s="158"/>
      <c r="P67" s="158"/>
    </row>
  </sheetData>
  <mergeCells count="18">
    <mergeCell ref="HI38:IN38"/>
    <mergeCell ref="D40:AE40"/>
    <mergeCell ref="B41:AE41"/>
    <mergeCell ref="Z42:AX42"/>
    <mergeCell ref="C43:N43"/>
    <mergeCell ref="S43:AQ43"/>
    <mergeCell ref="AF38:BD38"/>
    <mergeCell ref="BE38:CJ38"/>
    <mergeCell ref="CK38:DP38"/>
    <mergeCell ref="DQ38:EV38"/>
    <mergeCell ref="EW38:GB38"/>
    <mergeCell ref="GC38:HH38"/>
    <mergeCell ref="A38:AE38"/>
    <mergeCell ref="B1:AE1"/>
    <mergeCell ref="B2:AE4"/>
    <mergeCell ref="K6:R6"/>
    <mergeCell ref="R8:AC8"/>
    <mergeCell ref="C37:AA37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opLeftCell="A10" workbookViewId="0">
      <selection activeCell="J7" sqref="J7"/>
    </sheetView>
  </sheetViews>
  <sheetFormatPr defaultRowHeight="12.75" x14ac:dyDescent="0.2"/>
  <cols>
    <col min="1" max="1" width="4.140625" customWidth="1"/>
    <col min="2" max="2" width="6.85546875" customWidth="1"/>
    <col min="3" max="3" width="24.85546875" customWidth="1"/>
    <col min="4" max="4" width="12.42578125" customWidth="1"/>
    <col min="5" max="5" width="11.42578125" customWidth="1"/>
    <col min="6" max="6" width="10.28515625" bestFit="1" customWidth="1"/>
    <col min="7" max="7" width="8.140625" customWidth="1"/>
    <col min="8" max="8" width="13" customWidth="1"/>
    <col min="10" max="10" width="10.85546875" customWidth="1"/>
    <col min="12" max="12" width="12.85546875" bestFit="1" customWidth="1"/>
  </cols>
  <sheetData>
    <row r="2" spans="1:8" ht="20.25" x14ac:dyDescent="0.3">
      <c r="B2" s="629" t="s">
        <v>57</v>
      </c>
      <c r="C2" s="629"/>
      <c r="D2" s="629"/>
      <c r="E2" s="629"/>
      <c r="F2" s="629"/>
      <c r="G2" s="629"/>
      <c r="H2" s="629"/>
    </row>
    <row r="3" spans="1:8" ht="20.25" x14ac:dyDescent="0.3">
      <c r="B3" s="630" t="s">
        <v>96</v>
      </c>
      <c r="C3" s="630"/>
      <c r="D3" s="630"/>
      <c r="E3" s="630"/>
      <c r="F3" s="630"/>
      <c r="G3" s="630"/>
      <c r="H3" s="630"/>
    </row>
    <row r="5" spans="1:8" ht="45.75" customHeight="1" x14ac:dyDescent="0.2">
      <c r="B5" s="631" t="s">
        <v>109</v>
      </c>
      <c r="C5" s="631"/>
      <c r="D5" s="631"/>
      <c r="E5" s="631"/>
      <c r="F5" s="631"/>
      <c r="G5" s="631"/>
      <c r="H5" s="631"/>
    </row>
    <row r="7" spans="1:8" ht="63.75" customHeight="1" x14ac:dyDescent="0.2">
      <c r="B7" s="29" t="s">
        <v>0</v>
      </c>
      <c r="C7" s="13" t="s">
        <v>27</v>
      </c>
      <c r="D7" s="30" t="s">
        <v>21</v>
      </c>
      <c r="E7" s="31" t="s">
        <v>22</v>
      </c>
      <c r="F7" s="107" t="s">
        <v>103</v>
      </c>
      <c r="G7" s="107" t="s">
        <v>55</v>
      </c>
      <c r="H7" s="145" t="s">
        <v>56</v>
      </c>
    </row>
    <row r="8" spans="1:8" ht="15.75" x14ac:dyDescent="0.2">
      <c r="B8" s="29"/>
      <c r="C8" s="13"/>
      <c r="D8" s="30"/>
      <c r="E8" s="31"/>
      <c r="F8" s="7"/>
      <c r="G8" s="7"/>
      <c r="H8" s="7"/>
    </row>
    <row r="9" spans="1:8" ht="15.75" x14ac:dyDescent="0.25">
      <c r="B9" s="27">
        <v>1</v>
      </c>
      <c r="C9" s="25">
        <v>2</v>
      </c>
      <c r="D9" s="27">
        <v>3</v>
      </c>
      <c r="E9" s="25">
        <v>4</v>
      </c>
      <c r="F9" s="25">
        <v>5</v>
      </c>
      <c r="G9" s="27">
        <v>6</v>
      </c>
      <c r="H9" s="25">
        <v>7</v>
      </c>
    </row>
    <row r="10" spans="1:8" ht="15.75" x14ac:dyDescent="0.2">
      <c r="A10">
        <v>1</v>
      </c>
      <c r="B10" s="40">
        <v>1364</v>
      </c>
      <c r="C10" s="92" t="s">
        <v>102</v>
      </c>
      <c r="D10" s="41" t="s">
        <v>98</v>
      </c>
      <c r="E10" s="147">
        <v>51300</v>
      </c>
      <c r="F10" s="148">
        <f t="shared" ref="F10:F17" si="0">ROUND((E10*20%),0)</f>
        <v>10260</v>
      </c>
      <c r="G10" s="148">
        <v>10</v>
      </c>
      <c r="H10" s="148">
        <f t="shared" ref="H10:H17" si="1">F10-G10</f>
        <v>10250</v>
      </c>
    </row>
    <row r="11" spans="1:8" ht="15.75" x14ac:dyDescent="0.2">
      <c r="A11">
        <v>2</v>
      </c>
      <c r="B11" s="47">
        <v>26</v>
      </c>
      <c r="C11" s="48" t="s">
        <v>17</v>
      </c>
      <c r="D11" s="47" t="s">
        <v>19</v>
      </c>
      <c r="E11" s="149">
        <v>49090</v>
      </c>
      <c r="F11" s="148">
        <f t="shared" si="0"/>
        <v>9818</v>
      </c>
      <c r="G11" s="148">
        <v>10</v>
      </c>
      <c r="H11" s="148">
        <f t="shared" si="1"/>
        <v>9808</v>
      </c>
    </row>
    <row r="12" spans="1:8" ht="15.75" x14ac:dyDescent="0.2">
      <c r="A12">
        <v>3</v>
      </c>
      <c r="B12" s="47">
        <v>820</v>
      </c>
      <c r="C12" s="48" t="s">
        <v>97</v>
      </c>
      <c r="D12" s="47" t="s">
        <v>5</v>
      </c>
      <c r="E12" s="149">
        <v>35500</v>
      </c>
      <c r="F12" s="148">
        <f t="shared" si="0"/>
        <v>7100</v>
      </c>
      <c r="G12" s="148">
        <v>10</v>
      </c>
      <c r="H12" s="148">
        <f t="shared" si="1"/>
        <v>7090</v>
      </c>
    </row>
    <row r="13" spans="1:8" ht="16.5" x14ac:dyDescent="0.2">
      <c r="A13">
        <v>4</v>
      </c>
      <c r="B13" s="47">
        <v>1051</v>
      </c>
      <c r="C13" s="139" t="s">
        <v>65</v>
      </c>
      <c r="D13" s="47" t="s">
        <v>5</v>
      </c>
      <c r="E13" s="149">
        <v>35500</v>
      </c>
      <c r="F13" s="148">
        <f t="shared" si="0"/>
        <v>7100</v>
      </c>
      <c r="G13" s="148">
        <v>10</v>
      </c>
      <c r="H13" s="148">
        <f t="shared" si="1"/>
        <v>7090</v>
      </c>
    </row>
    <row r="14" spans="1:8" ht="16.5" x14ac:dyDescent="0.2">
      <c r="A14">
        <v>5</v>
      </c>
      <c r="B14" s="47">
        <v>497</v>
      </c>
      <c r="C14" s="139" t="s">
        <v>58</v>
      </c>
      <c r="D14" s="47" t="s">
        <v>3</v>
      </c>
      <c r="E14" s="149">
        <v>26760</v>
      </c>
      <c r="F14" s="148">
        <f t="shared" si="0"/>
        <v>5352</v>
      </c>
      <c r="G14" s="148">
        <v>10</v>
      </c>
      <c r="H14" s="148">
        <f t="shared" si="1"/>
        <v>5342</v>
      </c>
    </row>
    <row r="15" spans="1:8" ht="15.75" x14ac:dyDescent="0.2">
      <c r="A15">
        <v>6</v>
      </c>
      <c r="B15" s="47">
        <v>70</v>
      </c>
      <c r="C15" s="48" t="s">
        <v>63</v>
      </c>
      <c r="D15" s="47" t="s">
        <v>5</v>
      </c>
      <c r="E15" s="149">
        <v>29370</v>
      </c>
      <c r="F15" s="148">
        <f t="shared" si="0"/>
        <v>5874</v>
      </c>
      <c r="G15" s="148">
        <v>10</v>
      </c>
      <c r="H15" s="148">
        <f t="shared" si="1"/>
        <v>5864</v>
      </c>
    </row>
    <row r="16" spans="1:8" ht="15.75" x14ac:dyDescent="0.2">
      <c r="A16">
        <v>7</v>
      </c>
      <c r="B16" s="47">
        <v>1118</v>
      </c>
      <c r="C16" s="48" t="s">
        <v>46</v>
      </c>
      <c r="D16" s="47" t="s">
        <v>4</v>
      </c>
      <c r="E16" s="149">
        <v>17640</v>
      </c>
      <c r="F16" s="148">
        <f t="shared" si="0"/>
        <v>3528</v>
      </c>
      <c r="G16" s="148">
        <v>10</v>
      </c>
      <c r="H16" s="148">
        <f t="shared" si="1"/>
        <v>3518</v>
      </c>
    </row>
    <row r="17" spans="1:8" ht="15.75" x14ac:dyDescent="0.2">
      <c r="A17">
        <v>8</v>
      </c>
      <c r="B17" s="47">
        <v>581</v>
      </c>
      <c r="C17" s="48" t="s">
        <v>18</v>
      </c>
      <c r="D17" s="59" t="s">
        <v>5</v>
      </c>
      <c r="E17" s="149">
        <v>17640</v>
      </c>
      <c r="F17" s="148">
        <f t="shared" si="0"/>
        <v>3528</v>
      </c>
      <c r="G17" s="148">
        <v>10</v>
      </c>
      <c r="H17" s="148">
        <f t="shared" si="1"/>
        <v>3518</v>
      </c>
    </row>
    <row r="18" spans="1:8" ht="15.75" x14ac:dyDescent="0.2">
      <c r="B18" s="47"/>
      <c r="C18" s="48" t="s">
        <v>13</v>
      </c>
      <c r="D18" s="48"/>
      <c r="E18" s="150">
        <f>SUM(E10:E17)</f>
        <v>262800</v>
      </c>
      <c r="F18" s="150">
        <f>SUM(F10:F17)</f>
        <v>52560</v>
      </c>
      <c r="G18" s="150">
        <f>SUM(G10:G17)</f>
        <v>80</v>
      </c>
      <c r="H18" s="150">
        <f>SUM(H10:H17)</f>
        <v>52480</v>
      </c>
    </row>
    <row r="19" spans="1:8" ht="15.75" x14ac:dyDescent="0.2">
      <c r="A19">
        <v>9</v>
      </c>
      <c r="B19" s="47">
        <v>200</v>
      </c>
      <c r="C19" s="48" t="s">
        <v>90</v>
      </c>
      <c r="D19" s="47" t="s">
        <v>75</v>
      </c>
      <c r="E19" s="149">
        <v>17100</v>
      </c>
      <c r="F19" s="148">
        <f>ROUND((E19*20%),0)</f>
        <v>3420</v>
      </c>
      <c r="G19" s="148">
        <v>10</v>
      </c>
      <c r="H19" s="148">
        <f>F19-G19</f>
        <v>3410</v>
      </c>
    </row>
    <row r="20" spans="1:8" ht="15.75" x14ac:dyDescent="0.2">
      <c r="A20">
        <v>10</v>
      </c>
      <c r="B20" s="47">
        <v>808</v>
      </c>
      <c r="C20" s="48" t="s">
        <v>62</v>
      </c>
      <c r="D20" s="47" t="s">
        <v>59</v>
      </c>
      <c r="E20" s="149">
        <v>15870</v>
      </c>
      <c r="F20" s="148">
        <f>ROUND((E20*20%),0)</f>
        <v>3174</v>
      </c>
      <c r="G20" s="148">
        <v>10</v>
      </c>
      <c r="H20" s="148">
        <f>F20-G20</f>
        <v>3164</v>
      </c>
    </row>
    <row r="21" spans="1:8" ht="15.75" x14ac:dyDescent="0.2">
      <c r="A21">
        <v>11</v>
      </c>
      <c r="B21" s="47">
        <v>495</v>
      </c>
      <c r="C21" s="48" t="s">
        <v>32</v>
      </c>
      <c r="D21" s="47" t="s">
        <v>45</v>
      </c>
      <c r="E21" s="149">
        <v>10050</v>
      </c>
      <c r="F21" s="148">
        <f>ROUND((E21*20%),0)</f>
        <v>2010</v>
      </c>
      <c r="G21" s="148">
        <v>10</v>
      </c>
      <c r="H21" s="148">
        <f>F21-G21</f>
        <v>2000</v>
      </c>
    </row>
    <row r="22" spans="1:8" ht="15.75" x14ac:dyDescent="0.2">
      <c r="B22" s="47"/>
      <c r="C22" s="47" t="s">
        <v>6</v>
      </c>
      <c r="D22" s="48"/>
      <c r="E22" s="150">
        <f>SUM(E19:E21)</f>
        <v>43020</v>
      </c>
      <c r="F22" s="150">
        <f>SUM(F19:F21)</f>
        <v>8604</v>
      </c>
      <c r="G22" s="150">
        <f>SUM(G19:G21)</f>
        <v>30</v>
      </c>
      <c r="H22" s="150">
        <f>SUM(H19:H21)</f>
        <v>8574</v>
      </c>
    </row>
    <row r="23" spans="1:8" ht="15.75" x14ac:dyDescent="0.25">
      <c r="B23" s="60"/>
      <c r="C23" s="47" t="s">
        <v>13</v>
      </c>
      <c r="D23" s="48"/>
      <c r="E23" s="151">
        <f>E18</f>
        <v>262800</v>
      </c>
      <c r="F23" s="151">
        <f>F18</f>
        <v>52560</v>
      </c>
      <c r="G23" s="151">
        <f>G18</f>
        <v>80</v>
      </c>
      <c r="H23" s="151">
        <f>H18</f>
        <v>52480</v>
      </c>
    </row>
    <row r="24" spans="1:8" ht="15.75" x14ac:dyDescent="0.2">
      <c r="B24" s="47"/>
      <c r="C24" s="63" t="s">
        <v>14</v>
      </c>
      <c r="D24" s="93"/>
      <c r="E24" s="150">
        <f>E22+E23</f>
        <v>305820</v>
      </c>
      <c r="F24" s="150">
        <f>F22+F23</f>
        <v>61164</v>
      </c>
      <c r="G24" s="150">
        <f>G22+G23</f>
        <v>110</v>
      </c>
      <c r="H24" s="150">
        <f>H22+H23</f>
        <v>61054</v>
      </c>
    </row>
    <row r="26" spans="1:8" x14ac:dyDescent="0.2">
      <c r="C26" s="106" t="s">
        <v>99</v>
      </c>
    </row>
    <row r="30" spans="1:8" x14ac:dyDescent="0.2">
      <c r="B30" s="105" t="s">
        <v>72</v>
      </c>
      <c r="D30" s="105" t="s">
        <v>110</v>
      </c>
      <c r="F30" s="105" t="s">
        <v>100</v>
      </c>
    </row>
    <row r="31" spans="1:8" x14ac:dyDescent="0.2">
      <c r="B31" s="105" t="s">
        <v>33</v>
      </c>
      <c r="D31" s="105" t="s">
        <v>43</v>
      </c>
      <c r="F31" s="632" t="s">
        <v>101</v>
      </c>
      <c r="G31" s="632"/>
      <c r="H31" s="632"/>
    </row>
    <row r="34" spans="11:12" x14ac:dyDescent="0.2">
      <c r="L34" t="s">
        <v>34</v>
      </c>
    </row>
    <row r="35" spans="11:12" x14ac:dyDescent="0.2">
      <c r="K35" t="s">
        <v>4</v>
      </c>
      <c r="L35" s="146">
        <v>853608</v>
      </c>
    </row>
    <row r="36" spans="11:12" x14ac:dyDescent="0.2">
      <c r="K36" t="s">
        <v>104</v>
      </c>
      <c r="L36" s="146">
        <v>129060</v>
      </c>
    </row>
    <row r="37" spans="11:12" x14ac:dyDescent="0.2">
      <c r="K37" t="s">
        <v>105</v>
      </c>
      <c r="L37" s="146">
        <v>600</v>
      </c>
    </row>
    <row r="38" spans="11:12" x14ac:dyDescent="0.2">
      <c r="K38" t="s">
        <v>106</v>
      </c>
      <c r="L38" s="146">
        <v>382382</v>
      </c>
    </row>
    <row r="39" spans="11:12" x14ac:dyDescent="0.2">
      <c r="K39" t="s">
        <v>107</v>
      </c>
      <c r="L39" s="146">
        <v>17500</v>
      </c>
    </row>
    <row r="40" spans="11:12" x14ac:dyDescent="0.2">
      <c r="K40" t="s">
        <v>108</v>
      </c>
      <c r="L40" s="146">
        <v>900</v>
      </c>
    </row>
    <row r="41" spans="11:12" x14ac:dyDescent="0.2">
      <c r="K41" t="s">
        <v>34</v>
      </c>
      <c r="L41" s="146">
        <v>52500</v>
      </c>
    </row>
    <row r="42" spans="11:12" x14ac:dyDescent="0.2">
      <c r="L42" s="146">
        <f>SUM(L35:L41)</f>
        <v>1436550</v>
      </c>
    </row>
  </sheetData>
  <mergeCells count="4">
    <mergeCell ref="B2:H2"/>
    <mergeCell ref="B3:H3"/>
    <mergeCell ref="B5:H5"/>
    <mergeCell ref="F31:H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50"/>
  <sheetViews>
    <sheetView zoomScale="90" zoomScaleNormal="90" workbookViewId="0">
      <pane xSplit="1" ySplit="8" topLeftCell="O9" activePane="bottomRight" state="frozen"/>
      <selection pane="topRight" activeCell="B1" sqref="B1"/>
      <selection pane="bottomLeft" activeCell="A9" sqref="A9"/>
      <selection pane="bottomRight" activeCell="O15" sqref="O15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5.28515625" customWidth="1"/>
    <col min="7" max="7" width="7.85546875" customWidth="1"/>
    <col min="8" max="8" width="4.7109375" customWidth="1"/>
    <col min="9" max="9" width="5" customWidth="1"/>
    <col min="10" max="10" width="4.85546875" customWidth="1"/>
    <col min="11" max="11" width="6.7109375" customWidth="1"/>
    <col min="12" max="12" width="6.28515625" customWidth="1"/>
    <col min="13" max="13" width="4.85546875" customWidth="1"/>
    <col min="14" max="14" width="7" customWidth="1"/>
    <col min="15" max="15" width="8.28515625" customWidth="1"/>
    <col min="16" max="16" width="6.14062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6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8.5703125" customWidth="1"/>
    <col min="33" max="33" width="10.42578125" customWidth="1"/>
    <col min="34" max="34" width="12.28515625" customWidth="1"/>
  </cols>
  <sheetData>
    <row r="1" spans="1:38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38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38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</row>
    <row r="4" spans="1:38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</row>
    <row r="5" spans="1:38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</row>
    <row r="6" spans="1:38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92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8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42" t="s">
        <v>53</v>
      </c>
      <c r="AH7" s="126" t="s">
        <v>67</v>
      </c>
      <c r="AI7" s="126" t="s">
        <v>68</v>
      </c>
      <c r="AJ7" s="126" t="s">
        <v>69</v>
      </c>
      <c r="AK7" s="126" t="s">
        <v>71</v>
      </c>
    </row>
    <row r="8" spans="1:38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41">
        <f>+AB24</f>
        <v>1056</v>
      </c>
      <c r="AH8" s="141">
        <f>X22+T10+T11+T12+T13+T14+T15+T16+T17+T19+T20+T21+U12+U13+U16</f>
        <v>58007</v>
      </c>
      <c r="AI8" s="141">
        <f>+Y24+AA24</f>
        <v>1989</v>
      </c>
      <c r="AJ8" s="141">
        <f>+O10+O11+O14+O15+O17+O19+O20+O21</f>
        <v>119451</v>
      </c>
      <c r="AK8" s="141">
        <f>+U18</f>
        <v>8864</v>
      </c>
      <c r="AL8" s="141">
        <f>AG8+AH8+AI8+AJ8+AK8</f>
        <v>189367</v>
      </c>
    </row>
    <row r="9" spans="1:38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K9" s="131"/>
    </row>
    <row r="10" spans="1:38" s="39" customFormat="1" ht="20.100000000000001" customHeight="1" x14ac:dyDescent="0.2">
      <c r="B10" s="128">
        <v>1364</v>
      </c>
      <c r="C10" s="92" t="s">
        <v>78</v>
      </c>
      <c r="D10" s="41" t="s">
        <v>42</v>
      </c>
      <c r="E10" s="90">
        <v>51300</v>
      </c>
      <c r="F10" s="42">
        <v>0</v>
      </c>
      <c r="G10" s="88">
        <f t="shared" ref="G10:G17" si="0">E10+F10</f>
        <v>51300</v>
      </c>
      <c r="H10" s="43">
        <v>200</v>
      </c>
      <c r="I10" s="43">
        <v>0</v>
      </c>
      <c r="J10" s="43">
        <v>0</v>
      </c>
      <c r="K10" s="88">
        <f>ROUND((G10*35%),0)</f>
        <v>17955</v>
      </c>
      <c r="L10" s="89">
        <v>1500</v>
      </c>
      <c r="M10" s="43"/>
      <c r="N10" s="88">
        <f>G10+H10+I10+J10+K10+L10+M10</f>
        <v>70955</v>
      </c>
      <c r="O10" s="89">
        <f>ROUND((G10*55%),0)</f>
        <v>28215</v>
      </c>
      <c r="P10" s="43">
        <v>0</v>
      </c>
      <c r="Q10" s="89">
        <f t="shared" ref="Q10:Q17" si="1">ROUND((N10+O10+P10),0)</f>
        <v>99170</v>
      </c>
      <c r="R10" s="122">
        <f t="shared" ref="R10:R17" si="2">O10</f>
        <v>28215</v>
      </c>
      <c r="S10" s="42">
        <v>10</v>
      </c>
      <c r="T10" s="54">
        <f>ROUND((G10*10%),0)</f>
        <v>5130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 t="shared" ref="AD10:AD17" si="3">ROUND((SUM(R10:AC10)-S10),0)</f>
        <v>44327</v>
      </c>
      <c r="AE10" s="54">
        <f t="shared" ref="AE10:AE21" si="4">Q10-AD10</f>
        <v>54843</v>
      </c>
      <c r="AF10" s="45"/>
      <c r="AH10" s="124"/>
      <c r="AI10" s="124"/>
      <c r="AJ10" s="124"/>
      <c r="AK10" s="124"/>
    </row>
    <row r="11" spans="1:38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2" si="5">G11+H11+I11+J11+K11+L11+M11</f>
        <v>67772</v>
      </c>
      <c r="O11" s="89">
        <f>ROUND((G11*55%),0)</f>
        <v>27000</v>
      </c>
      <c r="P11" s="50">
        <v>0</v>
      </c>
      <c r="Q11" s="89">
        <f t="shared" si="1"/>
        <v>94772</v>
      </c>
      <c r="R11" s="122">
        <f t="shared" si="2"/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si="3"/>
        <v>43174</v>
      </c>
      <c r="AE11" s="54">
        <f t="shared" si="4"/>
        <v>51598</v>
      </c>
      <c r="AF11" s="55"/>
    </row>
    <row r="12" spans="1:38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35500</v>
      </c>
      <c r="F12" s="50">
        <v>0</v>
      </c>
      <c r="G12" s="88">
        <f>E12+F12</f>
        <v>35500</v>
      </c>
      <c r="H12" s="53">
        <v>0</v>
      </c>
      <c r="I12" s="50">
        <v>0</v>
      </c>
      <c r="J12" s="50">
        <v>0</v>
      </c>
      <c r="K12" s="88">
        <f t="shared" ref="K12:K17" si="6">ROUND((G12*40%),0)</f>
        <v>14200</v>
      </c>
      <c r="L12" s="89">
        <v>1500</v>
      </c>
      <c r="M12" s="50">
        <v>0</v>
      </c>
      <c r="N12" s="88">
        <f>G12+H12+I12+J12+K12+L12+M12</f>
        <v>51200</v>
      </c>
      <c r="O12" s="89">
        <f>ROUND((G12*10%),0)</f>
        <v>3550</v>
      </c>
      <c r="P12" s="49">
        <f>O12</f>
        <v>3550</v>
      </c>
      <c r="Q12" s="89">
        <f>ROUND((N12+O12+P12),0)</f>
        <v>58300</v>
      </c>
      <c r="R12" s="122">
        <f>O12</f>
        <v>3550</v>
      </c>
      <c r="S12" s="50">
        <v>10</v>
      </c>
      <c r="T12" s="54">
        <f>ROUND((G12*10%),0)</f>
        <v>3550</v>
      </c>
      <c r="U12" s="50">
        <f>T12</f>
        <v>3550</v>
      </c>
      <c r="V12" s="50">
        <v>0</v>
      </c>
      <c r="W12" s="53">
        <v>3025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1125</v>
      </c>
      <c r="AD12" s="52">
        <f>ROUND((SUM(R12:AC12)-S12),0)</f>
        <v>15010</v>
      </c>
      <c r="AE12" s="54">
        <f>Q12-AD12</f>
        <v>43290</v>
      </c>
      <c r="AF12" s="55"/>
    </row>
    <row r="13" spans="1:38" s="46" customFormat="1" ht="15.75" customHeight="1" x14ac:dyDescent="0.25">
      <c r="B13" s="47">
        <v>1051</v>
      </c>
      <c r="C13" s="139" t="s">
        <v>65</v>
      </c>
      <c r="D13" s="47" t="s">
        <v>19</v>
      </c>
      <c r="E13" s="49">
        <v>35500</v>
      </c>
      <c r="F13" s="50">
        <v>0</v>
      </c>
      <c r="G13" s="88">
        <f t="shared" si="0"/>
        <v>35500</v>
      </c>
      <c r="H13" s="53">
        <v>0</v>
      </c>
      <c r="I13" s="50">
        <v>0</v>
      </c>
      <c r="J13" s="50">
        <v>0</v>
      </c>
      <c r="K13" s="88">
        <f t="shared" si="6"/>
        <v>14200</v>
      </c>
      <c r="L13" s="89">
        <v>1500</v>
      </c>
      <c r="M13" s="50">
        <v>0</v>
      </c>
      <c r="N13" s="88">
        <f t="shared" si="5"/>
        <v>51200</v>
      </c>
      <c r="O13" s="89">
        <f>ROUND((G13*10%),0)</f>
        <v>3550</v>
      </c>
      <c r="P13" s="49">
        <f>ROUND((G13*10%),0)</f>
        <v>3550</v>
      </c>
      <c r="Q13" s="89">
        <f t="shared" si="1"/>
        <v>58300</v>
      </c>
      <c r="R13" s="122">
        <f t="shared" si="2"/>
        <v>3550</v>
      </c>
      <c r="S13" s="50">
        <v>10</v>
      </c>
      <c r="T13" s="54">
        <f>ROUND((G13*10%),0)</f>
        <v>3550</v>
      </c>
      <c r="U13" s="49">
        <f>P13</f>
        <v>3550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0</v>
      </c>
      <c r="AD13" s="52">
        <f t="shared" si="3"/>
        <v>14060</v>
      </c>
      <c r="AE13" s="54">
        <f t="shared" si="4"/>
        <v>44240</v>
      </c>
      <c r="AF13" s="55"/>
    </row>
    <row r="14" spans="1:38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5"/>
        <v>39964</v>
      </c>
      <c r="O14" s="89">
        <f>ROUND((G14*55%),0)</f>
        <v>14718</v>
      </c>
      <c r="P14" s="50">
        <v>0</v>
      </c>
      <c r="Q14" s="89">
        <f t="shared" si="1"/>
        <v>54682</v>
      </c>
      <c r="R14" s="122">
        <f t="shared" si="2"/>
        <v>14718</v>
      </c>
      <c r="S14" s="51">
        <v>25</v>
      </c>
      <c r="T14" s="54">
        <f>ROUND((G14*25%),0)</f>
        <v>6690</v>
      </c>
      <c r="U14" s="50">
        <f>P14</f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3"/>
        <v>36655</v>
      </c>
      <c r="AE14" s="54">
        <f t="shared" si="4"/>
        <v>18027</v>
      </c>
      <c r="AF14" s="55"/>
    </row>
    <row r="15" spans="1:38" s="46" customFormat="1" ht="16.5" customHeight="1" x14ac:dyDescent="0.25">
      <c r="B15" s="47">
        <v>70</v>
      </c>
      <c r="C15" s="48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5"/>
        <v>43618</v>
      </c>
      <c r="O15" s="89">
        <f>ROUND((G15*55%),0)</f>
        <v>16154</v>
      </c>
      <c r="P15" s="50">
        <v>0</v>
      </c>
      <c r="Q15" s="89">
        <f t="shared" si="1"/>
        <v>59772</v>
      </c>
      <c r="R15" s="122">
        <f t="shared" si="2"/>
        <v>16154</v>
      </c>
      <c r="S15" s="51">
        <v>25</v>
      </c>
      <c r="T15" s="54">
        <f>ROUND((G15*25%),0)</f>
        <v>7343</v>
      </c>
      <c r="U15" s="50">
        <f>P15</f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3"/>
        <v>40088</v>
      </c>
      <c r="AE15" s="54">
        <f t="shared" si="4"/>
        <v>19684</v>
      </c>
      <c r="AF15" s="55"/>
    </row>
    <row r="16" spans="1:38" s="46" customFormat="1" ht="16.5" customHeight="1" x14ac:dyDescent="0.25">
      <c r="B16" s="47">
        <v>1118</v>
      </c>
      <c r="C16" s="48" t="s">
        <v>46</v>
      </c>
      <c r="D16" s="47" t="s">
        <v>4</v>
      </c>
      <c r="E16" s="49">
        <v>17640</v>
      </c>
      <c r="F16" s="50">
        <v>0</v>
      </c>
      <c r="G16" s="88">
        <f t="shared" si="0"/>
        <v>17640</v>
      </c>
      <c r="H16" s="53">
        <v>0</v>
      </c>
      <c r="I16" s="50">
        <v>0</v>
      </c>
      <c r="J16" s="50">
        <v>0</v>
      </c>
      <c r="K16" s="88">
        <f t="shared" si="6"/>
        <v>7056</v>
      </c>
      <c r="L16" s="89">
        <v>1500</v>
      </c>
      <c r="M16" s="50">
        <v>0</v>
      </c>
      <c r="N16" s="88">
        <f t="shared" si="5"/>
        <v>26196</v>
      </c>
      <c r="O16" s="89">
        <f>ROUND((G16*10%),0)</f>
        <v>1764</v>
      </c>
      <c r="P16" s="49">
        <f>ROUND((G16*10%),0)</f>
        <v>1764</v>
      </c>
      <c r="Q16" s="89">
        <f t="shared" si="1"/>
        <v>29724</v>
      </c>
      <c r="R16" s="122">
        <f t="shared" si="2"/>
        <v>1764</v>
      </c>
      <c r="S16" s="51">
        <v>10</v>
      </c>
      <c r="T16" s="54">
        <f>ROUND((G16*10%),0)</f>
        <v>1764</v>
      </c>
      <c r="U16" s="49">
        <f>P16</f>
        <v>1764</v>
      </c>
      <c r="V16" s="50">
        <v>0</v>
      </c>
      <c r="W16" s="50">
        <v>0</v>
      </c>
      <c r="X16" s="53">
        <v>0</v>
      </c>
      <c r="Y16" s="49">
        <f>ROUND((G16*1%),0)</f>
        <v>176</v>
      </c>
      <c r="Z16" s="50">
        <v>10</v>
      </c>
      <c r="AA16" s="50">
        <v>0</v>
      </c>
      <c r="AB16" s="50">
        <v>0</v>
      </c>
      <c r="AC16" s="50">
        <v>0</v>
      </c>
      <c r="AD16" s="52">
        <f t="shared" si="3"/>
        <v>5478</v>
      </c>
      <c r="AE16" s="54">
        <f t="shared" si="4"/>
        <v>24246</v>
      </c>
      <c r="AF16" s="55"/>
    </row>
    <row r="17" spans="2:39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17640</v>
      </c>
      <c r="F17" s="50">
        <v>0</v>
      </c>
      <c r="G17" s="49">
        <f t="shared" si="0"/>
        <v>17640</v>
      </c>
      <c r="H17" s="50">
        <v>0</v>
      </c>
      <c r="I17" s="50">
        <v>0</v>
      </c>
      <c r="J17" s="49">
        <v>500</v>
      </c>
      <c r="K17" s="88">
        <f t="shared" si="6"/>
        <v>7056</v>
      </c>
      <c r="L17" s="49">
        <v>1500</v>
      </c>
      <c r="M17" s="50">
        <v>0</v>
      </c>
      <c r="N17" s="88">
        <f t="shared" si="5"/>
        <v>26696</v>
      </c>
      <c r="O17" s="89">
        <f>ROUND((G17*55%),0)</f>
        <v>9702</v>
      </c>
      <c r="P17" s="50">
        <v>0</v>
      </c>
      <c r="Q17" s="89">
        <f t="shared" si="1"/>
        <v>36398</v>
      </c>
      <c r="R17" s="49">
        <f t="shared" si="2"/>
        <v>9702</v>
      </c>
      <c r="S17" s="51">
        <v>25</v>
      </c>
      <c r="T17" s="54">
        <f>ROUND((G17*25%),0)</f>
        <v>4410</v>
      </c>
      <c r="U17" s="50">
        <v>0</v>
      </c>
      <c r="V17" s="49">
        <f>K17</f>
        <v>7056</v>
      </c>
      <c r="W17" s="50">
        <v>4000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 t="shared" si="3"/>
        <v>25354</v>
      </c>
      <c r="AE17" s="49">
        <f t="shared" si="4"/>
        <v>11044</v>
      </c>
      <c r="AF17" s="55"/>
    </row>
    <row r="18" spans="2:39" s="46" customFormat="1" ht="19.5" customHeight="1" x14ac:dyDescent="0.25">
      <c r="B18" s="47"/>
      <c r="C18" s="48" t="s">
        <v>13</v>
      </c>
      <c r="D18" s="48"/>
      <c r="E18" s="57">
        <f t="shared" ref="E18:R18" si="7">SUM(E10:E17)</f>
        <v>262800</v>
      </c>
      <c r="F18" s="58">
        <f t="shared" si="7"/>
        <v>0</v>
      </c>
      <c r="G18" s="57">
        <f t="shared" si="7"/>
        <v>262800</v>
      </c>
      <c r="H18" s="57">
        <f t="shared" si="7"/>
        <v>200</v>
      </c>
      <c r="I18" s="57">
        <f t="shared" si="7"/>
        <v>0</v>
      </c>
      <c r="J18" s="57">
        <f t="shared" si="7"/>
        <v>2500</v>
      </c>
      <c r="K18" s="57">
        <f t="shared" si="7"/>
        <v>100101</v>
      </c>
      <c r="L18" s="57">
        <f t="shared" si="7"/>
        <v>12000</v>
      </c>
      <c r="M18" s="58">
        <f t="shared" si="7"/>
        <v>0</v>
      </c>
      <c r="N18" s="97">
        <f t="shared" si="5"/>
        <v>377601</v>
      </c>
      <c r="O18" s="57">
        <f t="shared" si="7"/>
        <v>104653</v>
      </c>
      <c r="P18" s="57">
        <f t="shared" si="7"/>
        <v>8864</v>
      </c>
      <c r="Q18" s="57">
        <f>SUM(Q10:Q17)</f>
        <v>491118</v>
      </c>
      <c r="R18" s="57">
        <f t="shared" si="7"/>
        <v>104653</v>
      </c>
      <c r="S18" s="57"/>
      <c r="T18" s="57">
        <f t="shared" ref="T18:AD18" si="8">SUM(T10:T17)</f>
        <v>39801</v>
      </c>
      <c r="U18" s="57">
        <f t="shared" si="8"/>
        <v>8864</v>
      </c>
      <c r="V18" s="57">
        <f t="shared" si="8"/>
        <v>46508</v>
      </c>
      <c r="W18" s="57">
        <f t="shared" si="8"/>
        <v>18235</v>
      </c>
      <c r="X18" s="58">
        <f t="shared" si="8"/>
        <v>0</v>
      </c>
      <c r="Y18" s="57">
        <f t="shared" si="8"/>
        <v>1552</v>
      </c>
      <c r="Z18" s="57">
        <f t="shared" si="8"/>
        <v>80</v>
      </c>
      <c r="AA18" s="58">
        <f t="shared" si="8"/>
        <v>6</v>
      </c>
      <c r="AB18" s="57">
        <f t="shared" si="8"/>
        <v>1056</v>
      </c>
      <c r="AC18" s="57">
        <f t="shared" si="8"/>
        <v>3391</v>
      </c>
      <c r="AD18" s="57">
        <f t="shared" si="8"/>
        <v>224146</v>
      </c>
      <c r="AE18" s="57">
        <f t="shared" si="4"/>
        <v>266972</v>
      </c>
      <c r="AF18" s="55"/>
    </row>
    <row r="19" spans="2:39" s="46" customFormat="1" ht="19.5" customHeight="1" x14ac:dyDescent="0.25">
      <c r="B19" s="47">
        <v>200</v>
      </c>
      <c r="C19" s="48" t="s">
        <v>90</v>
      </c>
      <c r="D19" s="47" t="s">
        <v>75</v>
      </c>
      <c r="E19" s="49">
        <v>17100</v>
      </c>
      <c r="F19" s="50">
        <v>0</v>
      </c>
      <c r="G19" s="49">
        <f>E19+F19</f>
        <v>17100</v>
      </c>
      <c r="H19" s="50">
        <v>0</v>
      </c>
      <c r="I19" s="50">
        <v>0</v>
      </c>
      <c r="J19" s="49">
        <v>1000</v>
      </c>
      <c r="K19" s="49">
        <v>7000</v>
      </c>
      <c r="L19" s="49">
        <v>1500</v>
      </c>
      <c r="M19" s="49">
        <v>100</v>
      </c>
      <c r="N19" s="88">
        <f>G19+H19+I19+J19+K19+L19+M19</f>
        <v>26700</v>
      </c>
      <c r="O19" s="89">
        <f>ROUND((G19*55%),0)</f>
        <v>9405</v>
      </c>
      <c r="P19" s="50">
        <v>0</v>
      </c>
      <c r="Q19" s="49">
        <f>ROUND((N19+O19),0)</f>
        <v>36105</v>
      </c>
      <c r="R19" s="49">
        <f>O19</f>
        <v>9405</v>
      </c>
      <c r="S19" s="51">
        <v>10</v>
      </c>
      <c r="T19" s="54">
        <f>ROUND((G19*10%),0)</f>
        <v>1710</v>
      </c>
      <c r="U19" s="50">
        <v>0</v>
      </c>
      <c r="V19" s="50">
        <v>0</v>
      </c>
      <c r="W19" s="50">
        <v>3200</v>
      </c>
      <c r="X19" s="56">
        <v>5040</v>
      </c>
      <c r="Y19" s="49">
        <f>ROUND((G19*1%),0)</f>
        <v>171</v>
      </c>
      <c r="Z19" s="50">
        <v>10</v>
      </c>
      <c r="AA19" s="50">
        <v>0</v>
      </c>
      <c r="AB19" s="50">
        <v>0</v>
      </c>
      <c r="AC19" s="50">
        <v>0</v>
      </c>
      <c r="AD19" s="52">
        <f>ROUND((SUM(R19:AC19)-S19),0)</f>
        <v>19536</v>
      </c>
      <c r="AE19" s="49">
        <f t="shared" si="4"/>
        <v>16569</v>
      </c>
      <c r="AF19" s="55"/>
      <c r="AG19" s="143" t="s">
        <v>20</v>
      </c>
      <c r="AH19" s="143" t="s">
        <v>93</v>
      </c>
      <c r="AI19" s="143" t="s">
        <v>94</v>
      </c>
      <c r="AJ19" s="143" t="s">
        <v>95</v>
      </c>
    </row>
    <row r="20" spans="2:39" s="46" customFormat="1" ht="19.5" customHeight="1" x14ac:dyDescent="0.25">
      <c r="B20" s="47">
        <v>808</v>
      </c>
      <c r="C20" s="48" t="s">
        <v>62</v>
      </c>
      <c r="D20" s="47" t="s">
        <v>59</v>
      </c>
      <c r="E20" s="49">
        <v>15870</v>
      </c>
      <c r="F20" s="50">
        <v>0</v>
      </c>
      <c r="G20" s="49">
        <f>E20+F20</f>
        <v>15870</v>
      </c>
      <c r="H20" s="50">
        <v>0</v>
      </c>
      <c r="I20" s="50">
        <v>0</v>
      </c>
      <c r="J20" s="49">
        <v>1000</v>
      </c>
      <c r="K20" s="49">
        <f>ROUND((G20*45%),0)</f>
        <v>7142</v>
      </c>
      <c r="L20" s="49">
        <v>1500</v>
      </c>
      <c r="M20" s="49">
        <v>100</v>
      </c>
      <c r="N20" s="88">
        <f t="shared" si="5"/>
        <v>25612</v>
      </c>
      <c r="O20" s="89">
        <f>ROUND((G20*55%),0)</f>
        <v>8729</v>
      </c>
      <c r="P20" s="50">
        <v>0</v>
      </c>
      <c r="Q20" s="49">
        <f>ROUND((N20+O20),0)</f>
        <v>34341</v>
      </c>
      <c r="R20" s="49">
        <f>O20</f>
        <v>8729</v>
      </c>
      <c r="S20" s="51">
        <v>10</v>
      </c>
      <c r="T20" s="54">
        <f>ROUND((G20*10%),0)</f>
        <v>1587</v>
      </c>
      <c r="U20" s="50">
        <v>0</v>
      </c>
      <c r="V20" s="49">
        <f>K20</f>
        <v>7142</v>
      </c>
      <c r="W20" s="49">
        <v>1500</v>
      </c>
      <c r="X20" s="53">
        <v>0</v>
      </c>
      <c r="Y20" s="49">
        <f>ROUND((G20*1%),0)</f>
        <v>159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19127</v>
      </c>
      <c r="AE20" s="49">
        <f t="shared" si="4"/>
        <v>15214</v>
      </c>
      <c r="AF20" s="55"/>
      <c r="AG20" s="144">
        <f>V24</f>
        <v>53650</v>
      </c>
      <c r="AH20" s="144">
        <f>W24</f>
        <v>22935</v>
      </c>
      <c r="AI20" s="144">
        <f>AC24</f>
        <v>3391</v>
      </c>
      <c r="AJ20" s="100">
        <v>110</v>
      </c>
      <c r="AK20" s="101"/>
      <c r="AL20" s="100">
        <f>AG20+AH20+AI20+AJ20</f>
        <v>80086</v>
      </c>
    </row>
    <row r="21" spans="2:39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10050</v>
      </c>
      <c r="F21" s="50">
        <v>0</v>
      </c>
      <c r="G21" s="49">
        <f>E21+F21</f>
        <v>10050</v>
      </c>
      <c r="H21" s="50">
        <v>0</v>
      </c>
      <c r="I21" s="50">
        <v>0</v>
      </c>
      <c r="J21" s="49">
        <v>1000</v>
      </c>
      <c r="K21" s="49">
        <f>ROUND((G21*45%),0)</f>
        <v>4523</v>
      </c>
      <c r="L21" s="49">
        <v>1500</v>
      </c>
      <c r="M21" s="49">
        <v>100</v>
      </c>
      <c r="N21" s="88">
        <f t="shared" si="5"/>
        <v>17173</v>
      </c>
      <c r="O21" s="89">
        <f>ROUND((G21*55%),0)</f>
        <v>5528</v>
      </c>
      <c r="P21" s="50">
        <v>0</v>
      </c>
      <c r="Q21" s="49">
        <f>ROUND((N21+O21),0)</f>
        <v>22701</v>
      </c>
      <c r="R21" s="49">
        <f>O21</f>
        <v>5528</v>
      </c>
      <c r="S21" s="51">
        <v>10</v>
      </c>
      <c r="T21" s="54">
        <f>ROUND((G21*10%),0)</f>
        <v>1005</v>
      </c>
      <c r="U21" s="50">
        <v>0</v>
      </c>
      <c r="V21" s="50">
        <v>0</v>
      </c>
      <c r="W21" s="50">
        <v>0</v>
      </c>
      <c r="X21" s="53">
        <v>0</v>
      </c>
      <c r="Y21" s="49">
        <f>ROUND((G21*1%),0)</f>
        <v>101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6644</v>
      </c>
      <c r="AE21" s="49">
        <f t="shared" si="4"/>
        <v>16057</v>
      </c>
      <c r="AF21" s="55"/>
    </row>
    <row r="22" spans="2:39" s="101" customFormat="1" ht="19.5" customHeight="1" x14ac:dyDescent="0.25">
      <c r="B22" s="47"/>
      <c r="C22" s="47" t="s">
        <v>6</v>
      </c>
      <c r="D22" s="48"/>
      <c r="E22" s="57">
        <f t="shared" ref="E22:K22" si="9">SUM(E19:E21)</f>
        <v>43020</v>
      </c>
      <c r="F22" s="58">
        <f t="shared" si="9"/>
        <v>0</v>
      </c>
      <c r="G22" s="57">
        <f t="shared" si="9"/>
        <v>43020</v>
      </c>
      <c r="H22" s="58">
        <f t="shared" si="9"/>
        <v>0</v>
      </c>
      <c r="I22" s="58">
        <f t="shared" si="9"/>
        <v>0</v>
      </c>
      <c r="J22" s="57">
        <f t="shared" si="9"/>
        <v>3000</v>
      </c>
      <c r="K22" s="57">
        <f t="shared" si="9"/>
        <v>18665</v>
      </c>
      <c r="L22" s="57">
        <f t="shared" ref="L22:R22" si="10">SUM(L19:L21)</f>
        <v>4500</v>
      </c>
      <c r="M22" s="57">
        <f t="shared" si="10"/>
        <v>300</v>
      </c>
      <c r="N22" s="97">
        <f t="shared" si="5"/>
        <v>69485</v>
      </c>
      <c r="O22" s="57">
        <f t="shared" si="10"/>
        <v>23662</v>
      </c>
      <c r="P22" s="58">
        <f t="shared" si="10"/>
        <v>0</v>
      </c>
      <c r="Q22" s="57">
        <f t="shared" si="10"/>
        <v>93147</v>
      </c>
      <c r="R22" s="57">
        <f t="shared" si="10"/>
        <v>23662</v>
      </c>
      <c r="S22" s="58">
        <v>0</v>
      </c>
      <c r="T22" s="57">
        <f t="shared" ref="T22:AA22" si="11">SUM(T19:T21)</f>
        <v>4302</v>
      </c>
      <c r="U22" s="58">
        <f t="shared" si="11"/>
        <v>0</v>
      </c>
      <c r="V22" s="57">
        <f t="shared" si="11"/>
        <v>7142</v>
      </c>
      <c r="W22" s="57">
        <f t="shared" si="11"/>
        <v>4700</v>
      </c>
      <c r="X22" s="57">
        <f t="shared" si="11"/>
        <v>5040</v>
      </c>
      <c r="Y22" s="57">
        <f t="shared" si="11"/>
        <v>431</v>
      </c>
      <c r="Z22" s="57">
        <f t="shared" si="11"/>
        <v>30</v>
      </c>
      <c r="AA22" s="58">
        <f t="shared" si="11"/>
        <v>0</v>
      </c>
      <c r="AB22" s="58">
        <v>0</v>
      </c>
      <c r="AC22" s="58">
        <f>SUM(AC19:AC21)</f>
        <v>0</v>
      </c>
      <c r="AD22" s="57">
        <f>SUM(AD19:AD21)</f>
        <v>45307</v>
      </c>
      <c r="AE22" s="57">
        <f>SUM(AE19:AE21)</f>
        <v>47840</v>
      </c>
      <c r="AF22" s="100"/>
    </row>
    <row r="23" spans="2:39" s="46" customFormat="1" ht="19.5" customHeight="1" x14ac:dyDescent="0.25">
      <c r="B23" s="60"/>
      <c r="C23" s="47" t="s">
        <v>13</v>
      </c>
      <c r="D23" s="48"/>
      <c r="E23" s="61">
        <f t="shared" ref="E23:P23" si="12">E18</f>
        <v>262800</v>
      </c>
      <c r="F23" s="62">
        <f t="shared" si="12"/>
        <v>0</v>
      </c>
      <c r="G23" s="61">
        <f t="shared" si="12"/>
        <v>262800</v>
      </c>
      <c r="H23" s="61">
        <f t="shared" si="12"/>
        <v>200</v>
      </c>
      <c r="I23" s="62">
        <f t="shared" si="12"/>
        <v>0</v>
      </c>
      <c r="J23" s="61">
        <f t="shared" si="12"/>
        <v>2500</v>
      </c>
      <c r="K23" s="61">
        <f t="shared" si="12"/>
        <v>100101</v>
      </c>
      <c r="L23" s="61">
        <f t="shared" si="12"/>
        <v>12000</v>
      </c>
      <c r="M23" s="62">
        <f t="shared" si="12"/>
        <v>0</v>
      </c>
      <c r="N23" s="88">
        <f>N18</f>
        <v>377601</v>
      </c>
      <c r="O23" s="61">
        <f>O18</f>
        <v>104653</v>
      </c>
      <c r="P23" s="61">
        <f t="shared" si="12"/>
        <v>8864</v>
      </c>
      <c r="Q23" s="49">
        <f>Q18</f>
        <v>491118</v>
      </c>
      <c r="R23" s="61">
        <f>R18</f>
        <v>104653</v>
      </c>
      <c r="S23" s="62">
        <v>0</v>
      </c>
      <c r="T23" s="61">
        <f t="shared" ref="T23:AE23" si="13">T18</f>
        <v>39801</v>
      </c>
      <c r="U23" s="62">
        <f t="shared" si="13"/>
        <v>8864</v>
      </c>
      <c r="V23" s="61">
        <f t="shared" si="13"/>
        <v>46508</v>
      </c>
      <c r="W23" s="61">
        <f t="shared" si="13"/>
        <v>18235</v>
      </c>
      <c r="X23" s="62">
        <f t="shared" si="13"/>
        <v>0</v>
      </c>
      <c r="Y23" s="61">
        <f t="shared" si="13"/>
        <v>1552</v>
      </c>
      <c r="Z23" s="62">
        <f t="shared" si="13"/>
        <v>80</v>
      </c>
      <c r="AA23" s="62">
        <f t="shared" si="13"/>
        <v>6</v>
      </c>
      <c r="AB23" s="62">
        <f>AB18</f>
        <v>1056</v>
      </c>
      <c r="AC23" s="62">
        <f t="shared" si="13"/>
        <v>3391</v>
      </c>
      <c r="AD23" s="62">
        <f t="shared" si="13"/>
        <v>224146</v>
      </c>
      <c r="AE23" s="61">
        <f t="shared" si="13"/>
        <v>266972</v>
      </c>
      <c r="AF23" s="55"/>
    </row>
    <row r="24" spans="2:39" s="46" customFormat="1" ht="18" customHeight="1" x14ac:dyDescent="0.25">
      <c r="B24" s="47"/>
      <c r="C24" s="63" t="s">
        <v>14</v>
      </c>
      <c r="D24" s="93"/>
      <c r="E24" s="57">
        <f>E22+E23</f>
        <v>305820</v>
      </c>
      <c r="F24" s="58">
        <f>F22+F23</f>
        <v>0</v>
      </c>
      <c r="G24" s="57">
        <f>G22+G23</f>
        <v>305820</v>
      </c>
      <c r="H24" s="57">
        <f t="shared" ref="H24:AC24" si="14">H22+H23</f>
        <v>200</v>
      </c>
      <c r="I24" s="58">
        <f t="shared" si="14"/>
        <v>0</v>
      </c>
      <c r="J24" s="57">
        <f t="shared" si="14"/>
        <v>5500</v>
      </c>
      <c r="K24" s="57">
        <f t="shared" si="14"/>
        <v>118766</v>
      </c>
      <c r="L24" s="57">
        <f t="shared" si="14"/>
        <v>16500</v>
      </c>
      <c r="M24" s="57">
        <f t="shared" si="14"/>
        <v>300</v>
      </c>
      <c r="N24" s="97">
        <f>N22+N23</f>
        <v>447086</v>
      </c>
      <c r="O24" s="57">
        <f>O22+O23</f>
        <v>128315</v>
      </c>
      <c r="P24" s="57">
        <f t="shared" si="14"/>
        <v>8864</v>
      </c>
      <c r="Q24" s="57">
        <f>Q22+Q23</f>
        <v>584265</v>
      </c>
      <c r="R24" s="57">
        <f>R22+R23</f>
        <v>128315</v>
      </c>
      <c r="S24" s="58">
        <f t="shared" si="14"/>
        <v>0</v>
      </c>
      <c r="T24" s="57">
        <f>T22+T23</f>
        <v>44103</v>
      </c>
      <c r="U24" s="57">
        <f>U22+U23</f>
        <v>8864</v>
      </c>
      <c r="V24" s="57">
        <f>V22+V23</f>
        <v>53650</v>
      </c>
      <c r="W24" s="57">
        <f>W22+W23</f>
        <v>22935</v>
      </c>
      <c r="X24" s="57">
        <f t="shared" si="14"/>
        <v>5040</v>
      </c>
      <c r="Y24" s="57">
        <f>Y22+Y23</f>
        <v>1983</v>
      </c>
      <c r="Z24" s="57">
        <f>Z22+Z23</f>
        <v>110</v>
      </c>
      <c r="AA24" s="58">
        <f t="shared" si="14"/>
        <v>6</v>
      </c>
      <c r="AB24" s="57">
        <f>AB22+AB23</f>
        <v>1056</v>
      </c>
      <c r="AC24" s="57">
        <f t="shared" si="14"/>
        <v>3391</v>
      </c>
      <c r="AD24" s="57">
        <f>AD22+AD23</f>
        <v>269453</v>
      </c>
      <c r="AE24" s="57">
        <f>AE22+AE23</f>
        <v>314812</v>
      </c>
      <c r="AF24" s="55"/>
      <c r="AG24" s="102">
        <f>G24+H24+J24+K24+L24+M24+O24+P24</f>
        <v>584265</v>
      </c>
      <c r="AL24" s="102">
        <f>AL8+AL20</f>
        <v>269453</v>
      </c>
      <c r="AM24" s="102">
        <f>AG24-AL24</f>
        <v>314812</v>
      </c>
    </row>
    <row r="25" spans="2:39" s="70" customFormat="1" ht="18.75" hidden="1" customHeight="1" x14ac:dyDescent="0.2">
      <c r="B25" s="44"/>
      <c r="C25" s="92"/>
      <c r="D25" s="64"/>
      <c r="E25" s="65">
        <f>SUM(E22)</f>
        <v>43020</v>
      </c>
      <c r="F25" s="65">
        <f>SUM(F22)</f>
        <v>0</v>
      </c>
      <c r="G25" s="65">
        <f>SUM(G22)</f>
        <v>43020</v>
      </c>
      <c r="H25" s="65"/>
      <c r="I25" s="65">
        <f>SUM(I22)</f>
        <v>0</v>
      </c>
      <c r="J25" s="65">
        <f>SUM(J22)</f>
        <v>3000</v>
      </c>
      <c r="K25" s="65">
        <f>SUM(K19:K22)</f>
        <v>37330</v>
      </c>
      <c r="L25" s="65">
        <f>SUM(L22)</f>
        <v>4500</v>
      </c>
      <c r="M25" s="65">
        <f>SUM(M22)</f>
        <v>300</v>
      </c>
      <c r="N25" s="65">
        <f>SUM(N19:N22)</f>
        <v>138970</v>
      </c>
      <c r="O25" s="65">
        <f>SUM(O22)</f>
        <v>23662</v>
      </c>
      <c r="P25" s="65">
        <f>SUM(P22)</f>
        <v>0</v>
      </c>
      <c r="Q25" s="65">
        <f>SUM(Q19:Q22)</f>
        <v>186294</v>
      </c>
      <c r="R25" s="65">
        <f>SUM(R22)</f>
        <v>23662</v>
      </c>
      <c r="S25" s="65">
        <f>SUM(S19:S22)</f>
        <v>30</v>
      </c>
      <c r="T25" s="66">
        <f>SUM(T19:T22)</f>
        <v>8604</v>
      </c>
      <c r="U25" s="66">
        <f>SUM(U22)</f>
        <v>0</v>
      </c>
      <c r="V25" s="65">
        <f>SUM(V19:V22)</f>
        <v>14284</v>
      </c>
      <c r="W25" s="65">
        <f t="shared" ref="W25:AC25" si="15">SUM(W22)</f>
        <v>4700</v>
      </c>
      <c r="X25" s="67">
        <f t="shared" si="15"/>
        <v>5040</v>
      </c>
      <c r="Y25" s="68">
        <f t="shared" si="15"/>
        <v>431</v>
      </c>
      <c r="Z25" s="67">
        <f t="shared" si="15"/>
        <v>30</v>
      </c>
      <c r="AA25" s="65">
        <f t="shared" si="15"/>
        <v>0</v>
      </c>
      <c r="AB25" s="65"/>
      <c r="AC25" s="65">
        <f t="shared" si="15"/>
        <v>0</v>
      </c>
      <c r="AD25" s="52">
        <f>R25+T25+U25+V25+W25+X25+Y25+Z25+AA25</f>
        <v>56751</v>
      </c>
      <c r="AE25" s="65">
        <f>SUM(AE19:AE22)</f>
        <v>95680</v>
      </c>
      <c r="AF25" s="69"/>
    </row>
    <row r="26" spans="2:39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73"/>
      <c r="U26" s="73"/>
      <c r="V26" s="69"/>
      <c r="W26" s="69"/>
      <c r="X26" s="74"/>
      <c r="Y26" s="75"/>
      <c r="Z26" s="74"/>
      <c r="AA26" s="69"/>
      <c r="AB26" s="69"/>
      <c r="AC26" s="69"/>
      <c r="AD26" s="69"/>
      <c r="AE26" s="69"/>
      <c r="AF26" s="69"/>
    </row>
    <row r="27" spans="2:39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39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39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6"/>
      <c r="AB29" s="76"/>
      <c r="AC29" s="76"/>
      <c r="AD29" s="76"/>
      <c r="AE29" s="76"/>
      <c r="AF29" s="76"/>
    </row>
    <row r="30" spans="2:39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3"/>
      <c r="U30" s="73"/>
      <c r="V30" s="69"/>
      <c r="W30" s="69"/>
      <c r="X30" s="74"/>
      <c r="Y30" s="75"/>
      <c r="Z30" s="74"/>
      <c r="AA30" s="69"/>
      <c r="AB30" s="69"/>
      <c r="AC30" s="69"/>
      <c r="AD30" s="69"/>
      <c r="AE30" s="69"/>
      <c r="AF30" s="69"/>
    </row>
    <row r="31" spans="2:39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39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6"/>
      <c r="AB32" s="76"/>
      <c r="AC32" s="76"/>
      <c r="AD32" s="76"/>
      <c r="AE32" s="76"/>
      <c r="AF32" s="76"/>
    </row>
    <row r="33" spans="1:248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48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3"/>
      <c r="U34" s="73"/>
      <c r="V34" s="69"/>
      <c r="W34" s="69"/>
      <c r="X34" s="74"/>
      <c r="Y34" s="75"/>
      <c r="Z34" s="74"/>
      <c r="AA34" s="69"/>
      <c r="AB34" s="69"/>
      <c r="AC34" s="69"/>
      <c r="AD34" s="69"/>
      <c r="AE34" s="69"/>
      <c r="AF34" s="69"/>
    </row>
    <row r="35" spans="1:248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7"/>
      <c r="Y35" s="77"/>
      <c r="Z35" s="77"/>
      <c r="AA35" s="76"/>
      <c r="AB35" s="76"/>
      <c r="AC35" s="76"/>
      <c r="AD35" s="76"/>
      <c r="AE35" s="76"/>
      <c r="AF35" s="76"/>
    </row>
    <row r="36" spans="1:248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82"/>
      <c r="Y36" s="82"/>
      <c r="Z36" s="82"/>
      <c r="AA36" s="79"/>
      <c r="AB36" s="79"/>
      <c r="AC36" s="79"/>
      <c r="AD36" s="79"/>
      <c r="AE36" s="79"/>
      <c r="AF36" s="79"/>
    </row>
    <row r="37" spans="1:248" s="70" customFormat="1" ht="24" customHeight="1" x14ac:dyDescent="0.2">
      <c r="B37" s="83" t="s">
        <v>15</v>
      </c>
      <c r="C37" s="626" t="s">
        <v>91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83"/>
      <c r="AC37" s="84"/>
      <c r="AD37" s="84"/>
      <c r="AE37" s="84"/>
      <c r="AF37" s="85"/>
    </row>
    <row r="38" spans="1:248" s="70" customFormat="1" ht="24" customHeight="1" x14ac:dyDescent="0.2">
      <c r="A38" s="617"/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  <c r="AI38" s="617"/>
      <c r="AJ38" s="617"/>
      <c r="AK38" s="617"/>
      <c r="AL38" s="617"/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7"/>
      <c r="BA38" s="617"/>
      <c r="BB38" s="617"/>
      <c r="BC38" s="617"/>
      <c r="BD38" s="617"/>
      <c r="BE38" s="617" t="s">
        <v>81</v>
      </c>
      <c r="BF38" s="617"/>
      <c r="BG38" s="617"/>
      <c r="BH38" s="617"/>
      <c r="BI38" s="617"/>
      <c r="BJ38" s="617"/>
      <c r="BK38" s="617"/>
      <c r="BL38" s="617"/>
      <c r="BM38" s="617"/>
      <c r="BN38" s="617"/>
      <c r="BO38" s="617"/>
      <c r="BP38" s="617"/>
      <c r="BQ38" s="617"/>
      <c r="BR38" s="617"/>
      <c r="BS38" s="617"/>
      <c r="BT38" s="617"/>
      <c r="BU38" s="617"/>
      <c r="BV38" s="617"/>
      <c r="BW38" s="617"/>
      <c r="BX38" s="617"/>
      <c r="BY38" s="617"/>
      <c r="BZ38" s="617"/>
      <c r="CA38" s="617"/>
      <c r="CB38" s="617"/>
      <c r="CC38" s="617"/>
      <c r="CD38" s="617"/>
      <c r="CE38" s="617"/>
      <c r="CF38" s="617"/>
      <c r="CG38" s="617"/>
      <c r="CH38" s="617"/>
      <c r="CI38" s="617"/>
      <c r="CJ38" s="617"/>
      <c r="CK38" s="617" t="s">
        <v>81</v>
      </c>
      <c r="CL38" s="617"/>
      <c r="CM38" s="617"/>
      <c r="CN38" s="617"/>
      <c r="CO38" s="617"/>
      <c r="CP38" s="617"/>
      <c r="CQ38" s="617"/>
      <c r="CR38" s="617"/>
      <c r="CS38" s="617"/>
      <c r="CT38" s="617"/>
      <c r="CU38" s="617"/>
      <c r="CV38" s="617"/>
      <c r="CW38" s="617"/>
      <c r="CX38" s="617"/>
      <c r="CY38" s="617"/>
      <c r="CZ38" s="617"/>
      <c r="DA38" s="617"/>
      <c r="DB38" s="617"/>
      <c r="DC38" s="617"/>
      <c r="DD38" s="617"/>
      <c r="DE38" s="617"/>
      <c r="DF38" s="617"/>
      <c r="DG38" s="617"/>
      <c r="DH38" s="617"/>
      <c r="DI38" s="617"/>
      <c r="DJ38" s="617"/>
      <c r="DK38" s="617"/>
      <c r="DL38" s="617"/>
      <c r="DM38" s="617"/>
      <c r="DN38" s="617"/>
      <c r="DO38" s="617"/>
      <c r="DP38" s="617"/>
      <c r="DQ38" s="617" t="s">
        <v>81</v>
      </c>
      <c r="DR38" s="617"/>
      <c r="DS38" s="617"/>
      <c r="DT38" s="617"/>
      <c r="DU38" s="617"/>
      <c r="DV38" s="617"/>
      <c r="DW38" s="617"/>
      <c r="DX38" s="617"/>
      <c r="DY38" s="617"/>
      <c r="DZ38" s="617"/>
      <c r="EA38" s="617"/>
      <c r="EB38" s="617"/>
      <c r="EC38" s="617"/>
      <c r="ED38" s="617"/>
      <c r="EE38" s="617"/>
      <c r="EF38" s="617"/>
      <c r="EG38" s="617"/>
      <c r="EH38" s="617"/>
      <c r="EI38" s="617"/>
      <c r="EJ38" s="617"/>
      <c r="EK38" s="617"/>
      <c r="EL38" s="617"/>
      <c r="EM38" s="617"/>
      <c r="EN38" s="617"/>
      <c r="EO38" s="617"/>
      <c r="EP38" s="617"/>
      <c r="EQ38" s="617"/>
      <c r="ER38" s="617"/>
      <c r="ES38" s="617"/>
      <c r="ET38" s="617"/>
      <c r="EU38" s="617"/>
      <c r="EV38" s="617"/>
      <c r="EW38" s="617" t="s">
        <v>81</v>
      </c>
      <c r="EX38" s="617"/>
      <c r="EY38" s="617"/>
      <c r="EZ38" s="617"/>
      <c r="FA38" s="617"/>
      <c r="FB38" s="617"/>
      <c r="FC38" s="617"/>
      <c r="FD38" s="617"/>
      <c r="FE38" s="617"/>
      <c r="FF38" s="617"/>
      <c r="FG38" s="617"/>
      <c r="FH38" s="617"/>
      <c r="FI38" s="617"/>
      <c r="FJ38" s="617"/>
      <c r="FK38" s="617"/>
      <c r="FL38" s="617"/>
      <c r="FM38" s="617"/>
      <c r="FN38" s="617"/>
      <c r="FO38" s="617"/>
      <c r="FP38" s="617"/>
      <c r="FQ38" s="617"/>
      <c r="FR38" s="617"/>
      <c r="FS38" s="617"/>
      <c r="FT38" s="617"/>
      <c r="FU38" s="617"/>
      <c r="FV38" s="617"/>
      <c r="FW38" s="617"/>
      <c r="FX38" s="617"/>
      <c r="FY38" s="617"/>
      <c r="FZ38" s="617"/>
      <c r="GA38" s="617"/>
      <c r="GB38" s="617"/>
      <c r="GC38" s="617" t="s">
        <v>81</v>
      </c>
      <c r="GD38" s="617"/>
      <c r="GE38" s="617"/>
      <c r="GF38" s="617"/>
      <c r="GG38" s="617"/>
      <c r="GH38" s="617"/>
      <c r="GI38" s="617"/>
      <c r="GJ38" s="617"/>
      <c r="GK38" s="617"/>
      <c r="GL38" s="617"/>
      <c r="GM38" s="617"/>
      <c r="GN38" s="617"/>
      <c r="GO38" s="617"/>
      <c r="GP38" s="617"/>
      <c r="GQ38" s="617"/>
      <c r="GR38" s="617"/>
      <c r="GS38" s="617"/>
      <c r="GT38" s="617"/>
      <c r="GU38" s="617"/>
      <c r="GV38" s="617"/>
      <c r="GW38" s="617"/>
      <c r="GX38" s="617"/>
      <c r="GY38" s="617"/>
      <c r="GZ38" s="617"/>
      <c r="HA38" s="617"/>
      <c r="HB38" s="617"/>
      <c r="HC38" s="617"/>
      <c r="HD38" s="617"/>
      <c r="HE38" s="617"/>
      <c r="HF38" s="617"/>
      <c r="HG38" s="617"/>
      <c r="HH38" s="617"/>
      <c r="HI38" s="617" t="s">
        <v>81</v>
      </c>
      <c r="HJ38" s="617"/>
      <c r="HK38" s="617"/>
      <c r="HL38" s="617"/>
      <c r="HM38" s="617"/>
      <c r="HN38" s="617"/>
      <c r="HO38" s="617"/>
      <c r="HP38" s="617"/>
      <c r="HQ38" s="617"/>
      <c r="HR38" s="617"/>
      <c r="HS38" s="617"/>
      <c r="HT38" s="617"/>
      <c r="HU38" s="617"/>
      <c r="HV38" s="617"/>
      <c r="HW38" s="617"/>
      <c r="HX38" s="617"/>
      <c r="HY38" s="617"/>
      <c r="HZ38" s="617"/>
      <c r="IA38" s="617"/>
      <c r="IB38" s="617"/>
      <c r="IC38" s="617"/>
      <c r="ID38" s="617"/>
      <c r="IE38" s="617"/>
      <c r="IF38" s="617"/>
      <c r="IG38" s="617"/>
      <c r="IH38" s="617"/>
      <c r="II38" s="617"/>
      <c r="IJ38" s="617"/>
      <c r="IK38" s="617"/>
      <c r="IL38" s="617"/>
      <c r="IM38" s="617"/>
      <c r="IN38" s="617"/>
    </row>
    <row r="39" spans="1:248" s="70" customFormat="1" ht="26.25" customHeight="1" x14ac:dyDescent="0.2">
      <c r="B39" s="86"/>
      <c r="C39" s="133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87"/>
      <c r="AD39" s="87"/>
      <c r="AE39" s="87"/>
      <c r="AF39" s="87"/>
    </row>
    <row r="40" spans="1:248" ht="17.25" customHeight="1" x14ac:dyDescent="0.25">
      <c r="B40" s="22"/>
      <c r="D40" s="616" t="s">
        <v>80</v>
      </c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22"/>
    </row>
    <row r="41" spans="1:248" ht="13.5" customHeight="1" x14ac:dyDescent="0.2">
      <c r="B41" s="616" t="s">
        <v>86</v>
      </c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3"/>
      <c r="AG41" s="6"/>
    </row>
    <row r="42" spans="1:248" ht="24.95" customHeight="1" x14ac:dyDescent="0.25">
      <c r="B42" s="22"/>
      <c r="C42" s="135"/>
      <c r="D42" s="14"/>
      <c r="E42" s="22"/>
      <c r="F42" s="22"/>
      <c r="G42" s="22"/>
      <c r="H42" s="22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2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</row>
    <row r="43" spans="1:248" ht="16.5" customHeight="1" x14ac:dyDescent="0.25"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26"/>
      <c r="P43" s="5"/>
      <c r="Q43" s="5"/>
      <c r="R43" s="4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</row>
    <row r="44" spans="1:248" ht="16.5" customHeight="1" x14ac:dyDescent="0.25">
      <c r="B44" s="5"/>
      <c r="E44" s="9"/>
      <c r="F44" s="10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  <c r="Y44" s="11"/>
      <c r="AA44" s="11"/>
      <c r="AB44" s="11"/>
      <c r="AC44" s="5"/>
      <c r="AD44" s="5"/>
      <c r="AE44" s="5"/>
      <c r="AF44" s="5"/>
    </row>
    <row r="45" spans="1:248" ht="16.5" customHeight="1" x14ac:dyDescent="0.25">
      <c r="B45" s="5"/>
      <c r="E45" s="9"/>
      <c r="F45" s="10"/>
      <c r="G45" s="9"/>
      <c r="H45" s="9"/>
      <c r="I45" s="5"/>
      <c r="J45" s="4"/>
      <c r="K45" s="4"/>
      <c r="L45" s="14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  <c r="Z45" s="12"/>
      <c r="AA45" s="11"/>
      <c r="AB45" s="11"/>
      <c r="AC45" s="5"/>
      <c r="AD45" s="5"/>
      <c r="AE45" s="5"/>
      <c r="AF45" s="5"/>
    </row>
    <row r="46" spans="1:248" ht="16.5" customHeight="1" x14ac:dyDescent="0.25">
      <c r="B46" s="5"/>
      <c r="E46" s="9"/>
      <c r="F46" s="10"/>
      <c r="G46" s="9"/>
      <c r="H46" s="9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1"/>
      <c r="Y46" s="11"/>
      <c r="Z46" s="11"/>
      <c r="AA46" s="11"/>
      <c r="AB46" s="11"/>
      <c r="AC46" s="5"/>
      <c r="AD46" s="5"/>
      <c r="AE46" s="5"/>
      <c r="AF46" s="5"/>
    </row>
    <row r="47" spans="1:248" ht="24.95" customHeight="1" x14ac:dyDescent="0.25">
      <c r="B47" s="2"/>
      <c r="C47" s="13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AA47" s="12"/>
      <c r="AB47" s="12"/>
      <c r="AC47" s="3"/>
      <c r="AD47" s="2"/>
      <c r="AE47" s="3"/>
      <c r="AF47" s="2"/>
    </row>
    <row r="48" spans="1:248" ht="24.95" customHeight="1" x14ac:dyDescent="0.25">
      <c r="B48" s="2"/>
      <c r="C48" s="135"/>
      <c r="E48" s="2"/>
      <c r="F48" s="2"/>
      <c r="G48" s="2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2"/>
      <c r="Z48" s="12"/>
      <c r="AA48" s="12"/>
      <c r="AB48" s="12"/>
      <c r="AC48" s="3"/>
      <c r="AD48" s="2"/>
      <c r="AE48" s="3"/>
      <c r="AF48" s="2"/>
    </row>
    <row r="49" spans="2:32" ht="24.95" customHeight="1" x14ac:dyDescent="0.25">
      <c r="B49" s="2"/>
      <c r="C49" s="135"/>
      <c r="E49" s="2"/>
      <c r="F49" s="2"/>
      <c r="G49" s="2"/>
      <c r="H49" s="2"/>
      <c r="I49" s="5"/>
      <c r="Z49" s="12"/>
      <c r="AA49" s="12"/>
      <c r="AB49" s="12"/>
      <c r="AC49" s="3"/>
      <c r="AD49" s="2"/>
      <c r="AE49" s="2"/>
      <c r="AF49" s="2"/>
    </row>
    <row r="50" spans="2:32" ht="24.95" customHeight="1" x14ac:dyDescent="0.25">
      <c r="B50" s="5"/>
      <c r="E50" s="5"/>
      <c r="F50" s="5"/>
      <c r="G50" s="5"/>
      <c r="H50" s="5"/>
      <c r="X50" s="11"/>
      <c r="Y50" s="11"/>
      <c r="Z50" s="11"/>
      <c r="AA50" s="11"/>
      <c r="AB50" s="11"/>
      <c r="AC50" s="5"/>
      <c r="AD50" s="5"/>
      <c r="AE50" s="5"/>
      <c r="AF50" s="5"/>
    </row>
  </sheetData>
  <mergeCells count="18">
    <mergeCell ref="B1:AE1"/>
    <mergeCell ref="B2:AE4"/>
    <mergeCell ref="K6:R6"/>
    <mergeCell ref="R8:AC8"/>
    <mergeCell ref="C37:AA37"/>
    <mergeCell ref="HI38:IN38"/>
    <mergeCell ref="D40:AE40"/>
    <mergeCell ref="B41:AE41"/>
    <mergeCell ref="Z42:AX42"/>
    <mergeCell ref="C43:N43"/>
    <mergeCell ref="S43:AQ43"/>
    <mergeCell ref="AF38:BD38"/>
    <mergeCell ref="BE38:CJ38"/>
    <mergeCell ref="CK38:DP38"/>
    <mergeCell ref="DQ38:EV38"/>
    <mergeCell ref="EW38:GB38"/>
    <mergeCell ref="GC38:HH38"/>
    <mergeCell ref="A38:AE38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3" sqref="B13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5.28515625" customWidth="1"/>
    <col min="7" max="7" width="7.85546875" customWidth="1"/>
    <col min="8" max="8" width="4.7109375" customWidth="1"/>
    <col min="9" max="9" width="5" customWidth="1"/>
    <col min="10" max="10" width="4.85546875" customWidth="1"/>
    <col min="11" max="11" width="6.7109375" customWidth="1"/>
    <col min="12" max="12" width="6.28515625" customWidth="1"/>
    <col min="13" max="13" width="4.85546875" customWidth="1"/>
    <col min="14" max="14" width="7" customWidth="1"/>
    <col min="15" max="15" width="8.28515625" customWidth="1"/>
    <col min="16" max="16" width="6.14062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6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9.85546875" customWidth="1"/>
  </cols>
  <sheetData>
    <row r="1" spans="1:40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40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40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  <c r="AG3" s="16"/>
    </row>
    <row r="4" spans="1:40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  <c r="AG4" s="16"/>
    </row>
    <row r="5" spans="1:40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  <c r="AG5" s="16"/>
    </row>
    <row r="6" spans="1:40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87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40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7"/>
      <c r="AH7" s="1" t="s">
        <v>53</v>
      </c>
      <c r="AI7" s="126" t="s">
        <v>67</v>
      </c>
      <c r="AJ7" s="126" t="s">
        <v>66</v>
      </c>
      <c r="AK7" s="126" t="s">
        <v>68</v>
      </c>
      <c r="AL7" s="126" t="s">
        <v>69</v>
      </c>
      <c r="AM7" s="126" t="s">
        <v>70</v>
      </c>
      <c r="AN7" s="126" t="s">
        <v>71</v>
      </c>
    </row>
    <row r="8" spans="1:40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7"/>
      <c r="AH8" s="141">
        <f>+AB25</f>
        <v>1056</v>
      </c>
      <c r="AI8" s="141">
        <f>+X23+T10+T11+T12+T13+T14+T15+T17+T18+T20+T21+T22+U24</f>
        <v>57657</v>
      </c>
      <c r="AJ8" s="141">
        <f>+T16</f>
        <v>3401</v>
      </c>
      <c r="AK8" s="141">
        <f>+Y25+AA25</f>
        <v>2189</v>
      </c>
      <c r="AL8" s="141">
        <f>+O10+O11+O14+O15+O18+O20+O21+O22</f>
        <v>119451</v>
      </c>
      <c r="AM8" s="141">
        <f>+R16</f>
        <v>18706</v>
      </c>
      <c r="AN8" s="141">
        <f>+U19</f>
        <v>8689</v>
      </c>
    </row>
    <row r="9" spans="1:40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24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N9" s="131">
        <f>AH8+AI8+AJ8+AK8+AL8+AM8+AN8</f>
        <v>211149</v>
      </c>
    </row>
    <row r="10" spans="1:40" s="39" customFormat="1" ht="20.100000000000001" customHeight="1" x14ac:dyDescent="0.2">
      <c r="B10" s="128">
        <v>1364</v>
      </c>
      <c r="C10" s="92" t="s">
        <v>78</v>
      </c>
      <c r="D10" s="41" t="s">
        <v>42</v>
      </c>
      <c r="E10" s="90">
        <v>51300</v>
      </c>
      <c r="F10" s="42">
        <v>0</v>
      </c>
      <c r="G10" s="88">
        <f t="shared" ref="G10:G18" si="0">E10+F10</f>
        <v>51300</v>
      </c>
      <c r="H10" s="43">
        <v>200</v>
      </c>
      <c r="I10" s="43">
        <v>0</v>
      </c>
      <c r="J10" s="43">
        <v>0</v>
      </c>
      <c r="K10" s="88">
        <f>ROUND((G10*35%),0)</f>
        <v>17955</v>
      </c>
      <c r="L10" s="89">
        <v>1500</v>
      </c>
      <c r="M10" s="43"/>
      <c r="N10" s="88">
        <f>G10+H10+I10+J10+K10+L10+M10</f>
        <v>70955</v>
      </c>
      <c r="O10" s="89">
        <f>ROUND((G10*55%),0)</f>
        <v>28215</v>
      </c>
      <c r="P10" s="43">
        <v>0</v>
      </c>
      <c r="Q10" s="89">
        <f>ROUND((N10+O10+P10),0)</f>
        <v>99170</v>
      </c>
      <c r="R10" s="122">
        <f>O10</f>
        <v>28215</v>
      </c>
      <c r="S10" s="42">
        <v>10</v>
      </c>
      <c r="T10" s="54">
        <f>ROUND((G10*10%),0)</f>
        <v>5130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>ROUND((SUM(R10:AC10)-S10),0)</f>
        <v>44327</v>
      </c>
      <c r="AE10" s="54">
        <f t="shared" ref="AE10:AE16" si="1">Q10-AD10</f>
        <v>54843</v>
      </c>
      <c r="AF10" s="45"/>
      <c r="AI10" s="124"/>
      <c r="AJ10" s="124"/>
      <c r="AK10" s="124"/>
      <c r="AL10" s="124"/>
      <c r="AM10" s="124"/>
      <c r="AN10" s="124"/>
    </row>
    <row r="11" spans="1:40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3" si="2">G11+H11+I11+J11+K11+L11+M11</f>
        <v>67772</v>
      </c>
      <c r="O11" s="89">
        <f>ROUND((G11*55%),0)</f>
        <v>27000</v>
      </c>
      <c r="P11" s="50">
        <v>0</v>
      </c>
      <c r="Q11" s="89">
        <f t="shared" ref="Q11:Q16" si="3">ROUND((N11+O11+P11),0)</f>
        <v>94772</v>
      </c>
      <c r="R11" s="122">
        <f t="shared" ref="R11:R16" si="4">O11</f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ref="AD11:AD16" si="5">ROUND((SUM(R11:AC11)-S11),0)</f>
        <v>43174</v>
      </c>
      <c r="AE11" s="54">
        <f t="shared" si="1"/>
        <v>51598</v>
      </c>
      <c r="AF11" s="55"/>
    </row>
    <row r="12" spans="1:40" s="46" customFormat="1" ht="15.75" customHeight="1" x14ac:dyDescent="0.25">
      <c r="B12" s="47">
        <v>1051</v>
      </c>
      <c r="C12" s="139" t="s">
        <v>65</v>
      </c>
      <c r="D12" s="47" t="s">
        <v>19</v>
      </c>
      <c r="E12" s="49">
        <v>35500</v>
      </c>
      <c r="F12" s="50">
        <v>0</v>
      </c>
      <c r="G12" s="88">
        <f t="shared" si="0"/>
        <v>35500</v>
      </c>
      <c r="H12" s="53">
        <v>0</v>
      </c>
      <c r="I12" s="50">
        <v>0</v>
      </c>
      <c r="J12" s="50">
        <v>0</v>
      </c>
      <c r="K12" s="88">
        <f t="shared" ref="K12:K18" si="6">ROUND((G12*40%),0)</f>
        <v>14200</v>
      </c>
      <c r="L12" s="89">
        <v>1500</v>
      </c>
      <c r="M12" s="50">
        <v>0</v>
      </c>
      <c r="N12" s="88">
        <f t="shared" si="2"/>
        <v>51200</v>
      </c>
      <c r="O12" s="89">
        <f>ROUND((G12*10%),0)</f>
        <v>3550</v>
      </c>
      <c r="P12" s="49">
        <f>ROUND((G12*10%),0)</f>
        <v>3550</v>
      </c>
      <c r="Q12" s="89">
        <f t="shared" si="3"/>
        <v>58300</v>
      </c>
      <c r="R12" s="122">
        <f>O12</f>
        <v>3550</v>
      </c>
      <c r="S12" s="50">
        <v>10</v>
      </c>
      <c r="T12" s="54">
        <f>ROUND((G12*10%),0)</f>
        <v>3550</v>
      </c>
      <c r="U12" s="49">
        <f t="shared" ref="U12:U17" si="7">P12</f>
        <v>3550</v>
      </c>
      <c r="V12" s="50">
        <v>0</v>
      </c>
      <c r="W12" s="53">
        <v>3200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0</v>
      </c>
      <c r="AD12" s="52">
        <f t="shared" si="5"/>
        <v>14060</v>
      </c>
      <c r="AE12" s="54">
        <f t="shared" si="1"/>
        <v>44240</v>
      </c>
      <c r="AF12" s="55"/>
    </row>
    <row r="13" spans="1:40" s="46" customFormat="1" ht="15.75" customHeight="1" x14ac:dyDescent="0.25">
      <c r="B13" s="47">
        <v>894</v>
      </c>
      <c r="C13" s="48" t="s">
        <v>37</v>
      </c>
      <c r="D13" s="47" t="s">
        <v>19</v>
      </c>
      <c r="E13" s="49">
        <v>33752</v>
      </c>
      <c r="F13" s="50">
        <v>0</v>
      </c>
      <c r="G13" s="88">
        <f t="shared" si="0"/>
        <v>33752</v>
      </c>
      <c r="H13" s="53">
        <v>0</v>
      </c>
      <c r="I13" s="50">
        <v>0</v>
      </c>
      <c r="J13" s="50">
        <v>0</v>
      </c>
      <c r="K13" s="88">
        <f t="shared" si="6"/>
        <v>13501</v>
      </c>
      <c r="L13" s="89">
        <v>1500</v>
      </c>
      <c r="M13" s="50">
        <v>0</v>
      </c>
      <c r="N13" s="88">
        <f t="shared" si="2"/>
        <v>48753</v>
      </c>
      <c r="O13" s="89">
        <f>ROUND((G13*10%),0)</f>
        <v>3375</v>
      </c>
      <c r="P13" s="49">
        <f>ROUND((G13*10%),0)</f>
        <v>3375</v>
      </c>
      <c r="Q13" s="89">
        <f t="shared" si="3"/>
        <v>55503</v>
      </c>
      <c r="R13" s="122">
        <f t="shared" si="4"/>
        <v>3375</v>
      </c>
      <c r="S13" s="50">
        <v>10</v>
      </c>
      <c r="T13" s="54">
        <f>ROUND((G13*10%),0)</f>
        <v>3375</v>
      </c>
      <c r="U13" s="49">
        <f t="shared" si="7"/>
        <v>3375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1133</v>
      </c>
      <c r="AD13" s="52">
        <f t="shared" si="5"/>
        <v>14668</v>
      </c>
      <c r="AE13" s="54">
        <f t="shared" si="1"/>
        <v>40835</v>
      </c>
      <c r="AF13" s="55"/>
    </row>
    <row r="14" spans="1:40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2"/>
        <v>39964</v>
      </c>
      <c r="O14" s="89">
        <f>ROUND((G14*55%),0)</f>
        <v>14718</v>
      </c>
      <c r="P14" s="50">
        <v>0</v>
      </c>
      <c r="Q14" s="89">
        <f t="shared" si="3"/>
        <v>54682</v>
      </c>
      <c r="R14" s="122">
        <f t="shared" si="4"/>
        <v>14718</v>
      </c>
      <c r="S14" s="51">
        <v>25</v>
      </c>
      <c r="T14" s="54">
        <f>ROUND((G14*25%),0)</f>
        <v>6690</v>
      </c>
      <c r="U14" s="50">
        <f t="shared" si="7"/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5"/>
        <v>36655</v>
      </c>
      <c r="AE14" s="54">
        <f t="shared" si="1"/>
        <v>18027</v>
      </c>
      <c r="AF14" s="55"/>
    </row>
    <row r="15" spans="1:40" s="46" customFormat="1" ht="16.5" customHeight="1" x14ac:dyDescent="0.25">
      <c r="B15" s="47">
        <v>70</v>
      </c>
      <c r="C15" s="48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2"/>
        <v>43618</v>
      </c>
      <c r="O15" s="89">
        <f>ROUND((G15*55%),0)</f>
        <v>16154</v>
      </c>
      <c r="P15" s="50">
        <v>0</v>
      </c>
      <c r="Q15" s="89">
        <f t="shared" si="3"/>
        <v>59772</v>
      </c>
      <c r="R15" s="122">
        <f t="shared" si="4"/>
        <v>16154</v>
      </c>
      <c r="S15" s="51">
        <v>25</v>
      </c>
      <c r="T15" s="54">
        <f>ROUND((G15*25%),0)</f>
        <v>7343</v>
      </c>
      <c r="U15" s="50">
        <f t="shared" si="7"/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5"/>
        <v>40088</v>
      </c>
      <c r="AE15" s="54">
        <f t="shared" si="1"/>
        <v>19684</v>
      </c>
      <c r="AF15" s="55"/>
    </row>
    <row r="16" spans="1:40" s="111" customFormat="1" ht="16.5" customHeight="1" x14ac:dyDescent="0.25">
      <c r="B16" s="112">
        <v>1198</v>
      </c>
      <c r="C16" s="113" t="s">
        <v>54</v>
      </c>
      <c r="D16" s="112" t="s">
        <v>5</v>
      </c>
      <c r="E16" s="114">
        <v>34010</v>
      </c>
      <c r="F16" s="115">
        <v>0</v>
      </c>
      <c r="G16" s="116">
        <f t="shared" si="0"/>
        <v>34010</v>
      </c>
      <c r="H16" s="125">
        <v>0</v>
      </c>
      <c r="I16" s="115">
        <v>0</v>
      </c>
      <c r="J16" s="114">
        <v>500</v>
      </c>
      <c r="K16" s="116">
        <f t="shared" si="6"/>
        <v>13604</v>
      </c>
      <c r="L16" s="117">
        <v>1500</v>
      </c>
      <c r="M16" s="115">
        <v>0</v>
      </c>
      <c r="N16" s="116">
        <f t="shared" si="2"/>
        <v>49614</v>
      </c>
      <c r="O16" s="117">
        <f>ROUND((G16*55%),0)</f>
        <v>18706</v>
      </c>
      <c r="P16" s="115">
        <v>0</v>
      </c>
      <c r="Q16" s="117">
        <f t="shared" si="3"/>
        <v>68320</v>
      </c>
      <c r="R16" s="127">
        <f t="shared" si="4"/>
        <v>18706</v>
      </c>
      <c r="S16" s="115">
        <v>10</v>
      </c>
      <c r="T16" s="119">
        <f>ROUND((G16*10%),0)</f>
        <v>3401</v>
      </c>
      <c r="U16" s="115">
        <f t="shared" si="7"/>
        <v>0</v>
      </c>
      <c r="V16" s="114">
        <f>K16</f>
        <v>13604</v>
      </c>
      <c r="W16" s="125">
        <v>3200</v>
      </c>
      <c r="X16" s="115">
        <v>0</v>
      </c>
      <c r="Y16" s="114">
        <v>200</v>
      </c>
      <c r="Z16" s="115">
        <v>10</v>
      </c>
      <c r="AA16" s="115">
        <v>0</v>
      </c>
      <c r="AB16" s="115">
        <v>0</v>
      </c>
      <c r="AC16" s="115">
        <v>0</v>
      </c>
      <c r="AD16" s="118">
        <f t="shared" si="5"/>
        <v>39121</v>
      </c>
      <c r="AE16" s="119">
        <f t="shared" si="1"/>
        <v>29199</v>
      </c>
      <c r="AF16" s="120" t="s">
        <v>61</v>
      </c>
    </row>
    <row r="17" spans="2:34" s="46" customFormat="1" ht="16.5" customHeight="1" x14ac:dyDescent="0.25">
      <c r="B17" s="47">
        <v>1118</v>
      </c>
      <c r="C17" s="48" t="s">
        <v>46</v>
      </c>
      <c r="D17" s="47" t="s">
        <v>4</v>
      </c>
      <c r="E17" s="49">
        <v>17640</v>
      </c>
      <c r="F17" s="50">
        <v>0</v>
      </c>
      <c r="G17" s="88">
        <f t="shared" si="0"/>
        <v>17640</v>
      </c>
      <c r="H17" s="53">
        <v>0</v>
      </c>
      <c r="I17" s="50">
        <v>0</v>
      </c>
      <c r="J17" s="50">
        <v>0</v>
      </c>
      <c r="K17" s="88">
        <f t="shared" si="6"/>
        <v>7056</v>
      </c>
      <c r="L17" s="89">
        <v>1500</v>
      </c>
      <c r="M17" s="50">
        <v>0</v>
      </c>
      <c r="N17" s="88">
        <f t="shared" si="2"/>
        <v>26196</v>
      </c>
      <c r="O17" s="89">
        <f>ROUND((G17*10%),0)</f>
        <v>1764</v>
      </c>
      <c r="P17" s="49">
        <f>ROUND((G17*10%),0)</f>
        <v>1764</v>
      </c>
      <c r="Q17" s="89">
        <f>ROUND((N17+O17+P17),0)</f>
        <v>29724</v>
      </c>
      <c r="R17" s="122">
        <f>O17</f>
        <v>1764</v>
      </c>
      <c r="S17" s="51">
        <v>10</v>
      </c>
      <c r="T17" s="54">
        <f>ROUND((G17*10%),0)</f>
        <v>1764</v>
      </c>
      <c r="U17" s="49">
        <f t="shared" si="7"/>
        <v>1764</v>
      </c>
      <c r="V17" s="50">
        <v>0</v>
      </c>
      <c r="W17" s="50">
        <v>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>ROUND((SUM(R17:AC17)-S17),0)</f>
        <v>5478</v>
      </c>
      <c r="AE17" s="54">
        <f t="shared" ref="AE17:AE22" si="8">Q17-AD17</f>
        <v>24246</v>
      </c>
      <c r="AF17" s="55"/>
    </row>
    <row r="18" spans="2:34" s="46" customFormat="1" ht="18.75" customHeight="1" x14ac:dyDescent="0.25">
      <c r="B18" s="47">
        <v>581</v>
      </c>
      <c r="C18" s="48" t="s">
        <v>30</v>
      </c>
      <c r="D18" s="59" t="s">
        <v>5</v>
      </c>
      <c r="E18" s="49">
        <v>17640</v>
      </c>
      <c r="F18" s="50">
        <v>0</v>
      </c>
      <c r="G18" s="49">
        <f t="shared" si="0"/>
        <v>17640</v>
      </c>
      <c r="H18" s="50">
        <v>0</v>
      </c>
      <c r="I18" s="50">
        <v>0</v>
      </c>
      <c r="J18" s="49">
        <v>500</v>
      </c>
      <c r="K18" s="88">
        <f t="shared" si="6"/>
        <v>7056</v>
      </c>
      <c r="L18" s="49">
        <v>1500</v>
      </c>
      <c r="M18" s="50">
        <v>0</v>
      </c>
      <c r="N18" s="88">
        <f t="shared" si="2"/>
        <v>26696</v>
      </c>
      <c r="O18" s="89">
        <f>ROUND((G18*55%),0)</f>
        <v>9702</v>
      </c>
      <c r="P18" s="50">
        <v>0</v>
      </c>
      <c r="Q18" s="89">
        <f>ROUND((N18+O18+P18),0)</f>
        <v>36398</v>
      </c>
      <c r="R18" s="49">
        <f>O18</f>
        <v>9702</v>
      </c>
      <c r="S18" s="51">
        <v>25</v>
      </c>
      <c r="T18" s="54">
        <f>ROUND((G18*25%),0)</f>
        <v>4410</v>
      </c>
      <c r="U18" s="50">
        <v>0</v>
      </c>
      <c r="V18" s="49">
        <f>K18</f>
        <v>7056</v>
      </c>
      <c r="W18" s="50">
        <v>4000</v>
      </c>
      <c r="X18" s="53">
        <v>0</v>
      </c>
      <c r="Y18" s="49">
        <f>ROUND((G18*1%),0)</f>
        <v>176</v>
      </c>
      <c r="Z18" s="50">
        <v>10</v>
      </c>
      <c r="AA18" s="50">
        <v>0</v>
      </c>
      <c r="AB18" s="50">
        <v>0</v>
      </c>
      <c r="AC18" s="50">
        <v>0</v>
      </c>
      <c r="AD18" s="52">
        <f>ROUND((SUM(R18:AC18)-S18),0)</f>
        <v>25354</v>
      </c>
      <c r="AE18" s="49">
        <f t="shared" si="8"/>
        <v>11044</v>
      </c>
      <c r="AF18" s="55"/>
    </row>
    <row r="19" spans="2:34" s="46" customFormat="1" ht="19.5" customHeight="1" x14ac:dyDescent="0.25">
      <c r="B19" s="47"/>
      <c r="C19" s="48" t="s">
        <v>13</v>
      </c>
      <c r="D19" s="48"/>
      <c r="E19" s="57">
        <f t="shared" ref="E19:R19" si="9">SUM(E10:E18)</f>
        <v>295062</v>
      </c>
      <c r="F19" s="58">
        <f t="shared" si="9"/>
        <v>0</v>
      </c>
      <c r="G19" s="57">
        <f t="shared" si="9"/>
        <v>295062</v>
      </c>
      <c r="H19" s="57">
        <f t="shared" si="9"/>
        <v>200</v>
      </c>
      <c r="I19" s="57">
        <f t="shared" si="9"/>
        <v>0</v>
      </c>
      <c r="J19" s="57">
        <f t="shared" si="9"/>
        <v>3000</v>
      </c>
      <c r="K19" s="57">
        <f t="shared" si="9"/>
        <v>113006</v>
      </c>
      <c r="L19" s="57">
        <f t="shared" si="9"/>
        <v>13500</v>
      </c>
      <c r="M19" s="58">
        <f t="shared" si="9"/>
        <v>0</v>
      </c>
      <c r="N19" s="97">
        <f t="shared" si="2"/>
        <v>424768</v>
      </c>
      <c r="O19" s="57">
        <f t="shared" si="9"/>
        <v>123184</v>
      </c>
      <c r="P19" s="57">
        <f t="shared" si="9"/>
        <v>8689</v>
      </c>
      <c r="Q19" s="57">
        <f>SUM(Q10:Q18)</f>
        <v>556641</v>
      </c>
      <c r="R19" s="57">
        <f t="shared" si="9"/>
        <v>123184</v>
      </c>
      <c r="S19" s="57"/>
      <c r="T19" s="57">
        <f t="shared" ref="T19:AD19" si="10">SUM(T10:T18)</f>
        <v>43027</v>
      </c>
      <c r="U19" s="57">
        <f t="shared" si="10"/>
        <v>8689</v>
      </c>
      <c r="V19" s="57">
        <f t="shared" si="10"/>
        <v>60112</v>
      </c>
      <c r="W19" s="57">
        <f t="shared" si="10"/>
        <v>21610</v>
      </c>
      <c r="X19" s="58">
        <f t="shared" si="10"/>
        <v>0</v>
      </c>
      <c r="Y19" s="57">
        <f t="shared" si="10"/>
        <v>1752</v>
      </c>
      <c r="Z19" s="57">
        <f t="shared" si="10"/>
        <v>90</v>
      </c>
      <c r="AA19" s="58">
        <f t="shared" si="10"/>
        <v>6</v>
      </c>
      <c r="AB19" s="57">
        <f t="shared" si="10"/>
        <v>1056</v>
      </c>
      <c r="AC19" s="57">
        <f t="shared" si="10"/>
        <v>3399</v>
      </c>
      <c r="AD19" s="57">
        <f t="shared" si="10"/>
        <v>262925</v>
      </c>
      <c r="AE19" s="57">
        <f t="shared" si="8"/>
        <v>293716</v>
      </c>
      <c r="AF19" s="55"/>
      <c r="AG19" s="123"/>
    </row>
    <row r="20" spans="2:34" s="46" customFormat="1" ht="19.5" customHeight="1" x14ac:dyDescent="0.25">
      <c r="B20" s="47">
        <v>200</v>
      </c>
      <c r="C20" s="48" t="s">
        <v>16</v>
      </c>
      <c r="D20" s="47" t="s">
        <v>75</v>
      </c>
      <c r="E20" s="49">
        <v>17100</v>
      </c>
      <c r="F20" s="50">
        <v>0</v>
      </c>
      <c r="G20" s="49">
        <f>E20+F20</f>
        <v>17100</v>
      </c>
      <c r="H20" s="50">
        <v>0</v>
      </c>
      <c r="I20" s="50">
        <v>0</v>
      </c>
      <c r="J20" s="49">
        <v>1000</v>
      </c>
      <c r="K20" s="49">
        <v>7000</v>
      </c>
      <c r="L20" s="49">
        <v>1500</v>
      </c>
      <c r="M20" s="49">
        <v>100</v>
      </c>
      <c r="N20" s="88">
        <f>G20+H20+I20+J20+K20+L20+M20</f>
        <v>26700</v>
      </c>
      <c r="O20" s="89">
        <f>ROUND((G20*55%),0)</f>
        <v>9405</v>
      </c>
      <c r="P20" s="50">
        <v>0</v>
      </c>
      <c r="Q20" s="49">
        <f>ROUND((N20+O20),0)</f>
        <v>36105</v>
      </c>
      <c r="R20" s="49">
        <f>O20</f>
        <v>9405</v>
      </c>
      <c r="S20" s="51">
        <v>10</v>
      </c>
      <c r="T20" s="54">
        <f>ROUND((G20*10%),0)</f>
        <v>1710</v>
      </c>
      <c r="U20" s="50">
        <v>0</v>
      </c>
      <c r="V20" s="50">
        <v>0</v>
      </c>
      <c r="W20" s="50">
        <v>3200</v>
      </c>
      <c r="X20" s="56">
        <v>5040</v>
      </c>
      <c r="Y20" s="49">
        <f>ROUND((G20*1%),0)</f>
        <v>171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19536</v>
      </c>
      <c r="AE20" s="49">
        <f t="shared" si="8"/>
        <v>16569</v>
      </c>
      <c r="AF20" s="55"/>
    </row>
    <row r="21" spans="2:34" s="46" customFormat="1" ht="19.5" customHeight="1" x14ac:dyDescent="0.25">
      <c r="B21" s="47">
        <v>808</v>
      </c>
      <c r="C21" s="48" t="s">
        <v>62</v>
      </c>
      <c r="D21" s="47" t="s">
        <v>59</v>
      </c>
      <c r="E21" s="49">
        <v>15870</v>
      </c>
      <c r="F21" s="50">
        <v>0</v>
      </c>
      <c r="G21" s="49">
        <f>E21+F21</f>
        <v>15870</v>
      </c>
      <c r="H21" s="50">
        <v>0</v>
      </c>
      <c r="I21" s="50">
        <v>0</v>
      </c>
      <c r="J21" s="49">
        <v>1000</v>
      </c>
      <c r="K21" s="49">
        <f>ROUND((G21*45%),0)</f>
        <v>7142</v>
      </c>
      <c r="L21" s="49">
        <v>1500</v>
      </c>
      <c r="M21" s="49">
        <v>100</v>
      </c>
      <c r="N21" s="88">
        <f t="shared" si="2"/>
        <v>25612</v>
      </c>
      <c r="O21" s="89">
        <f>ROUND((G21*55%),0)</f>
        <v>8729</v>
      </c>
      <c r="P21" s="50">
        <v>0</v>
      </c>
      <c r="Q21" s="49">
        <f>ROUND((N21+O21),0)</f>
        <v>34341</v>
      </c>
      <c r="R21" s="49">
        <f>O21</f>
        <v>8729</v>
      </c>
      <c r="S21" s="51">
        <v>10</v>
      </c>
      <c r="T21" s="54">
        <f>ROUND((G21*10%),0)</f>
        <v>1587</v>
      </c>
      <c r="U21" s="50">
        <v>0</v>
      </c>
      <c r="V21" s="49">
        <f>K21</f>
        <v>7142</v>
      </c>
      <c r="W21" s="49">
        <v>1500</v>
      </c>
      <c r="X21" s="53">
        <v>0</v>
      </c>
      <c r="Y21" s="49">
        <f>ROUND((G21*1%),0)</f>
        <v>159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19127</v>
      </c>
      <c r="AE21" s="49">
        <f t="shared" si="8"/>
        <v>15214</v>
      </c>
      <c r="AF21" s="55"/>
    </row>
    <row r="22" spans="2:34" s="46" customFormat="1" ht="19.5" customHeight="1" x14ac:dyDescent="0.25">
      <c r="B22" s="47">
        <v>495</v>
      </c>
      <c r="C22" s="48" t="s">
        <v>32</v>
      </c>
      <c r="D22" s="47" t="s">
        <v>85</v>
      </c>
      <c r="E22" s="49">
        <v>10050</v>
      </c>
      <c r="F22" s="50">
        <v>0</v>
      </c>
      <c r="G22" s="49">
        <f>E22+F22</f>
        <v>10050</v>
      </c>
      <c r="H22" s="50">
        <v>0</v>
      </c>
      <c r="I22" s="50">
        <v>0</v>
      </c>
      <c r="J22" s="49">
        <v>1000</v>
      </c>
      <c r="K22" s="49">
        <f>ROUND((G22*45%),0)</f>
        <v>4523</v>
      </c>
      <c r="L22" s="49">
        <v>1500</v>
      </c>
      <c r="M22" s="49">
        <v>100</v>
      </c>
      <c r="N22" s="88">
        <f t="shared" si="2"/>
        <v>17173</v>
      </c>
      <c r="O22" s="89">
        <f>ROUND((G22*55%),0)</f>
        <v>5528</v>
      </c>
      <c r="P22" s="50">
        <v>0</v>
      </c>
      <c r="Q22" s="49">
        <f>ROUND((N22+O22),0)</f>
        <v>22701</v>
      </c>
      <c r="R22" s="49">
        <f>O22</f>
        <v>5528</v>
      </c>
      <c r="S22" s="51">
        <v>10</v>
      </c>
      <c r="T22" s="54">
        <f>ROUND((G22*10%),0)</f>
        <v>1005</v>
      </c>
      <c r="U22" s="50">
        <v>0</v>
      </c>
      <c r="V22" s="50">
        <v>0</v>
      </c>
      <c r="W22" s="50">
        <v>0</v>
      </c>
      <c r="X22" s="53">
        <v>0</v>
      </c>
      <c r="Y22" s="49">
        <f>ROUND((G22*1%),0)</f>
        <v>101</v>
      </c>
      <c r="Z22" s="50">
        <v>10</v>
      </c>
      <c r="AA22" s="50">
        <v>0</v>
      </c>
      <c r="AB22" s="50">
        <v>0</v>
      </c>
      <c r="AC22" s="50">
        <v>0</v>
      </c>
      <c r="AD22" s="52">
        <f>ROUND((SUM(R22:AC22)-S22),0)</f>
        <v>6644</v>
      </c>
      <c r="AE22" s="49">
        <f t="shared" si="8"/>
        <v>16057</v>
      </c>
      <c r="AF22" s="55"/>
    </row>
    <row r="23" spans="2:34" s="101" customFormat="1" ht="19.5" customHeight="1" x14ac:dyDescent="0.25">
      <c r="B23" s="47"/>
      <c r="C23" s="47" t="s">
        <v>6</v>
      </c>
      <c r="D23" s="48"/>
      <c r="E23" s="57">
        <f t="shared" ref="E23:K23" si="11">SUM(E20:E22)</f>
        <v>43020</v>
      </c>
      <c r="F23" s="58">
        <f t="shared" si="11"/>
        <v>0</v>
      </c>
      <c r="G23" s="57">
        <f t="shared" si="11"/>
        <v>43020</v>
      </c>
      <c r="H23" s="58">
        <f t="shared" si="11"/>
        <v>0</v>
      </c>
      <c r="I23" s="58">
        <f t="shared" si="11"/>
        <v>0</v>
      </c>
      <c r="J23" s="57">
        <f t="shared" si="11"/>
        <v>3000</v>
      </c>
      <c r="K23" s="57">
        <f t="shared" si="11"/>
        <v>18665</v>
      </c>
      <c r="L23" s="57">
        <f t="shared" ref="L23:R23" si="12">SUM(L20:L22)</f>
        <v>4500</v>
      </c>
      <c r="M23" s="57">
        <f t="shared" si="12"/>
        <v>300</v>
      </c>
      <c r="N23" s="97">
        <f t="shared" si="2"/>
        <v>69485</v>
      </c>
      <c r="O23" s="57">
        <f t="shared" si="12"/>
        <v>23662</v>
      </c>
      <c r="P23" s="58">
        <f t="shared" si="12"/>
        <v>0</v>
      </c>
      <c r="Q23" s="57">
        <f t="shared" si="12"/>
        <v>93147</v>
      </c>
      <c r="R23" s="57">
        <f t="shared" si="12"/>
        <v>23662</v>
      </c>
      <c r="S23" s="58">
        <v>0</v>
      </c>
      <c r="T23" s="57">
        <f t="shared" ref="T23:AA23" si="13">SUM(T20:T22)</f>
        <v>4302</v>
      </c>
      <c r="U23" s="58">
        <f t="shared" si="13"/>
        <v>0</v>
      </c>
      <c r="V23" s="57">
        <f t="shared" si="13"/>
        <v>7142</v>
      </c>
      <c r="W23" s="57">
        <f t="shared" si="13"/>
        <v>4700</v>
      </c>
      <c r="X23" s="57">
        <f t="shared" si="13"/>
        <v>5040</v>
      </c>
      <c r="Y23" s="57">
        <f t="shared" si="13"/>
        <v>431</v>
      </c>
      <c r="Z23" s="57">
        <f t="shared" si="13"/>
        <v>30</v>
      </c>
      <c r="AA23" s="58">
        <f t="shared" si="13"/>
        <v>0</v>
      </c>
      <c r="AB23" s="58">
        <v>0</v>
      </c>
      <c r="AC23" s="58">
        <f>SUM(AC20:AC22)</f>
        <v>0</v>
      </c>
      <c r="AD23" s="57">
        <f>SUM(AD20:AD22)</f>
        <v>45307</v>
      </c>
      <c r="AE23" s="57">
        <f>SUM(AE20:AE22)</f>
        <v>47840</v>
      </c>
      <c r="AF23" s="100"/>
    </row>
    <row r="24" spans="2:34" s="46" customFormat="1" ht="19.5" customHeight="1" x14ac:dyDescent="0.25">
      <c r="B24" s="60"/>
      <c r="C24" s="47" t="s">
        <v>13</v>
      </c>
      <c r="D24" s="48"/>
      <c r="E24" s="61">
        <f t="shared" ref="E24:P24" si="14">E19</f>
        <v>295062</v>
      </c>
      <c r="F24" s="62">
        <f t="shared" si="14"/>
        <v>0</v>
      </c>
      <c r="G24" s="61">
        <f t="shared" si="14"/>
        <v>295062</v>
      </c>
      <c r="H24" s="61">
        <f t="shared" si="14"/>
        <v>200</v>
      </c>
      <c r="I24" s="62">
        <f t="shared" si="14"/>
        <v>0</v>
      </c>
      <c r="J24" s="61">
        <f t="shared" si="14"/>
        <v>3000</v>
      </c>
      <c r="K24" s="61">
        <f t="shared" si="14"/>
        <v>113006</v>
      </c>
      <c r="L24" s="61">
        <f t="shared" si="14"/>
        <v>13500</v>
      </c>
      <c r="M24" s="62">
        <f t="shared" si="14"/>
        <v>0</v>
      </c>
      <c r="N24" s="88">
        <f>N19</f>
        <v>424768</v>
      </c>
      <c r="O24" s="61">
        <f>O19</f>
        <v>123184</v>
      </c>
      <c r="P24" s="61">
        <f t="shared" si="14"/>
        <v>8689</v>
      </c>
      <c r="Q24" s="49">
        <f>Q19</f>
        <v>556641</v>
      </c>
      <c r="R24" s="61">
        <f>R19</f>
        <v>123184</v>
      </c>
      <c r="S24" s="62">
        <v>0</v>
      </c>
      <c r="T24" s="61">
        <f t="shared" ref="T24:AE24" si="15">T19</f>
        <v>43027</v>
      </c>
      <c r="U24" s="62">
        <f t="shared" si="15"/>
        <v>8689</v>
      </c>
      <c r="V24" s="61">
        <f t="shared" si="15"/>
        <v>60112</v>
      </c>
      <c r="W24" s="61">
        <f t="shared" si="15"/>
        <v>21610</v>
      </c>
      <c r="X24" s="62">
        <f t="shared" si="15"/>
        <v>0</v>
      </c>
      <c r="Y24" s="61">
        <f t="shared" si="15"/>
        <v>1752</v>
      </c>
      <c r="Z24" s="62">
        <f t="shared" si="15"/>
        <v>90</v>
      </c>
      <c r="AA24" s="62">
        <f t="shared" si="15"/>
        <v>6</v>
      </c>
      <c r="AB24" s="62">
        <f>AB19</f>
        <v>1056</v>
      </c>
      <c r="AC24" s="62">
        <f t="shared" si="15"/>
        <v>3399</v>
      </c>
      <c r="AD24" s="62">
        <f t="shared" si="15"/>
        <v>262925</v>
      </c>
      <c r="AE24" s="61">
        <f t="shared" si="15"/>
        <v>293716</v>
      </c>
      <c r="AF24" s="55"/>
    </row>
    <row r="25" spans="2:34" s="46" customFormat="1" ht="18" customHeight="1" x14ac:dyDescent="0.25">
      <c r="B25" s="47"/>
      <c r="C25" s="63" t="s">
        <v>14</v>
      </c>
      <c r="D25" s="93"/>
      <c r="E25" s="57">
        <f>E23+E24</f>
        <v>338082</v>
      </c>
      <c r="F25" s="58">
        <f>F23+F24</f>
        <v>0</v>
      </c>
      <c r="G25" s="57">
        <f>G23+G24</f>
        <v>338082</v>
      </c>
      <c r="H25" s="57">
        <f t="shared" ref="H25:AC25" si="16">H23+H24</f>
        <v>200</v>
      </c>
      <c r="I25" s="58">
        <f t="shared" si="16"/>
        <v>0</v>
      </c>
      <c r="J25" s="57">
        <f t="shared" si="16"/>
        <v>6000</v>
      </c>
      <c r="K25" s="57">
        <f t="shared" si="16"/>
        <v>131671</v>
      </c>
      <c r="L25" s="57">
        <f t="shared" si="16"/>
        <v>18000</v>
      </c>
      <c r="M25" s="57">
        <f t="shared" si="16"/>
        <v>300</v>
      </c>
      <c r="N25" s="97">
        <f>N23+N24</f>
        <v>494253</v>
      </c>
      <c r="O25" s="57">
        <f>O23+O24</f>
        <v>146846</v>
      </c>
      <c r="P25" s="57">
        <f t="shared" si="16"/>
        <v>8689</v>
      </c>
      <c r="Q25" s="57">
        <f>Q23+Q24</f>
        <v>649788</v>
      </c>
      <c r="R25" s="57">
        <f>R23+R24</f>
        <v>146846</v>
      </c>
      <c r="S25" s="58">
        <f t="shared" si="16"/>
        <v>0</v>
      </c>
      <c r="T25" s="57">
        <f>T23+T24</f>
        <v>47329</v>
      </c>
      <c r="U25" s="57">
        <f>U23+U24</f>
        <v>8689</v>
      </c>
      <c r="V25" s="57">
        <f>V23+V24</f>
        <v>67254</v>
      </c>
      <c r="W25" s="57">
        <f>W23+W24</f>
        <v>26310</v>
      </c>
      <c r="X25" s="57">
        <f t="shared" si="16"/>
        <v>5040</v>
      </c>
      <c r="Y25" s="57">
        <f>Y23+Y24</f>
        <v>2183</v>
      </c>
      <c r="Z25" s="57">
        <f>Z23+Z24</f>
        <v>120</v>
      </c>
      <c r="AA25" s="58">
        <f t="shared" si="16"/>
        <v>6</v>
      </c>
      <c r="AB25" s="57">
        <f>AB23+AB24</f>
        <v>1056</v>
      </c>
      <c r="AC25" s="57">
        <f t="shared" si="16"/>
        <v>3399</v>
      </c>
      <c r="AD25" s="57">
        <f>AD23+AD24</f>
        <v>308232</v>
      </c>
      <c r="AE25" s="57">
        <f>AE23+AE24</f>
        <v>341556</v>
      </c>
      <c r="AF25" s="55"/>
      <c r="AH25" s="102">
        <f>G25+H25+J25+K25+L25+M25+O25+P25</f>
        <v>649788</v>
      </c>
    </row>
    <row r="26" spans="2:34" s="70" customFormat="1" ht="18.75" hidden="1" customHeight="1" x14ac:dyDescent="0.2">
      <c r="B26" s="44"/>
      <c r="C26" s="92"/>
      <c r="D26" s="64"/>
      <c r="E26" s="65">
        <f>SUM(E23)</f>
        <v>43020</v>
      </c>
      <c r="F26" s="65">
        <f>SUM(F23)</f>
        <v>0</v>
      </c>
      <c r="G26" s="65">
        <f>SUM(G23)</f>
        <v>43020</v>
      </c>
      <c r="H26" s="65"/>
      <c r="I26" s="65">
        <f>SUM(I23)</f>
        <v>0</v>
      </c>
      <c r="J26" s="65">
        <f>SUM(J23)</f>
        <v>3000</v>
      </c>
      <c r="K26" s="65">
        <f>SUM(K20:K23)</f>
        <v>37330</v>
      </c>
      <c r="L26" s="65">
        <f>SUM(L23)</f>
        <v>4500</v>
      </c>
      <c r="M26" s="65">
        <f>SUM(M23)</f>
        <v>300</v>
      </c>
      <c r="N26" s="65">
        <f>SUM(N20:N23)</f>
        <v>138970</v>
      </c>
      <c r="O26" s="65">
        <f>SUM(O23)</f>
        <v>23662</v>
      </c>
      <c r="P26" s="65">
        <f>SUM(P23)</f>
        <v>0</v>
      </c>
      <c r="Q26" s="65">
        <f>SUM(Q20:Q23)</f>
        <v>186294</v>
      </c>
      <c r="R26" s="65">
        <f>SUM(R23)</f>
        <v>23662</v>
      </c>
      <c r="S26" s="65">
        <f>SUM(S20:S23)</f>
        <v>30</v>
      </c>
      <c r="T26" s="66">
        <f>SUM(T20:T23)</f>
        <v>8604</v>
      </c>
      <c r="U26" s="66">
        <f>SUM(U23)</f>
        <v>0</v>
      </c>
      <c r="V26" s="65">
        <f>SUM(V20:V23)</f>
        <v>14284</v>
      </c>
      <c r="W26" s="65">
        <f t="shared" ref="W26:AC26" si="17">SUM(W23)</f>
        <v>4700</v>
      </c>
      <c r="X26" s="67">
        <f t="shared" si="17"/>
        <v>5040</v>
      </c>
      <c r="Y26" s="68">
        <f t="shared" si="17"/>
        <v>431</v>
      </c>
      <c r="Z26" s="67">
        <f t="shared" si="17"/>
        <v>30</v>
      </c>
      <c r="AA26" s="65">
        <f t="shared" si="17"/>
        <v>0</v>
      </c>
      <c r="AB26" s="65"/>
      <c r="AC26" s="65">
        <f t="shared" si="17"/>
        <v>0</v>
      </c>
      <c r="AD26" s="52">
        <f>R26+T26+U26+V26+W26+X26+Y26+Z26+AA26</f>
        <v>56751</v>
      </c>
      <c r="AE26" s="65">
        <f>SUM(AE20:AE23)</f>
        <v>95680</v>
      </c>
      <c r="AF26" s="69"/>
    </row>
    <row r="27" spans="2:34" s="70" customFormat="1" ht="21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34" s="70" customFormat="1" ht="15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34" s="70" customFormat="1" ht="18" hidden="1" customHeight="1" x14ac:dyDescent="0.2">
      <c r="B29" s="71"/>
      <c r="C29" s="48"/>
      <c r="D29" s="72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73"/>
      <c r="U29" s="73"/>
      <c r="V29" s="69"/>
      <c r="W29" s="69"/>
      <c r="X29" s="74"/>
      <c r="Y29" s="75"/>
      <c r="Z29" s="74"/>
      <c r="AA29" s="69"/>
      <c r="AB29" s="69"/>
      <c r="AC29" s="69"/>
      <c r="AD29" s="69"/>
      <c r="AE29" s="69"/>
      <c r="AF29" s="69"/>
    </row>
    <row r="30" spans="2:34" s="70" customFormat="1" ht="15.75" hidden="1" customHeight="1" x14ac:dyDescent="0.2">
      <c r="B30" s="71"/>
      <c r="C30" s="48"/>
      <c r="D30" s="48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7"/>
      <c r="Y30" s="77"/>
      <c r="Z30" s="77"/>
      <c r="AA30" s="76"/>
      <c r="AB30" s="76"/>
      <c r="AC30" s="76"/>
      <c r="AD30" s="76"/>
      <c r="AE30" s="76"/>
      <c r="AF30" s="76"/>
    </row>
    <row r="31" spans="2:34" s="70" customFormat="1" ht="18.75" hidden="1" customHeight="1" x14ac:dyDescent="0.2">
      <c r="B31" s="78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34" s="70" customFormat="1" ht="18" hidden="1" customHeight="1" x14ac:dyDescent="0.2">
      <c r="B32" s="71"/>
      <c r="C32" s="48"/>
      <c r="D32" s="7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3"/>
      <c r="U32" s="73"/>
      <c r="V32" s="69"/>
      <c r="W32" s="69"/>
      <c r="X32" s="74"/>
      <c r="Y32" s="75"/>
      <c r="Z32" s="74"/>
      <c r="AA32" s="69"/>
      <c r="AB32" s="69"/>
      <c r="AC32" s="69"/>
      <c r="AD32" s="69"/>
      <c r="AE32" s="69"/>
      <c r="AF32" s="69"/>
    </row>
    <row r="33" spans="1:251" s="70" customFormat="1" ht="23.25" hidden="1" customHeight="1" x14ac:dyDescent="0.2">
      <c r="B33" s="71"/>
      <c r="C33" s="48"/>
      <c r="D33" s="48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51" s="70" customFormat="1" ht="24.75" hidden="1" customHeight="1" x14ac:dyDescent="0.2">
      <c r="B34" s="78"/>
      <c r="C34" s="48"/>
      <c r="D34" s="48"/>
      <c r="E34" s="76"/>
      <c r="F34" s="76"/>
      <c r="G34" s="79"/>
      <c r="H34" s="79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7"/>
      <c r="Y34" s="77"/>
      <c r="Z34" s="77"/>
      <c r="AA34" s="76"/>
      <c r="AB34" s="76"/>
      <c r="AC34" s="76"/>
      <c r="AD34" s="76"/>
      <c r="AE34" s="76"/>
      <c r="AF34" s="76"/>
    </row>
    <row r="35" spans="1:251" s="70" customFormat="1" ht="0.75" hidden="1" customHeight="1" x14ac:dyDescent="0.2">
      <c r="B35" s="78"/>
      <c r="C35" s="48"/>
      <c r="D35" s="7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73"/>
      <c r="U35" s="73"/>
      <c r="V35" s="69"/>
      <c r="W35" s="69"/>
      <c r="X35" s="74"/>
      <c r="Y35" s="75"/>
      <c r="Z35" s="74"/>
      <c r="AA35" s="69"/>
      <c r="AB35" s="69"/>
      <c r="AC35" s="69"/>
      <c r="AD35" s="69"/>
      <c r="AE35" s="69"/>
      <c r="AF35" s="69"/>
    </row>
    <row r="36" spans="1:251" s="70" customFormat="1" ht="24.75" hidden="1" customHeight="1" x14ac:dyDescent="0.2">
      <c r="B36" s="71"/>
      <c r="C36" s="48"/>
      <c r="D36" s="48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7"/>
      <c r="Y36" s="77"/>
      <c r="Z36" s="77"/>
      <c r="AA36" s="76"/>
      <c r="AB36" s="76"/>
      <c r="AC36" s="76"/>
      <c r="AD36" s="76"/>
      <c r="AE36" s="76"/>
      <c r="AF36" s="76"/>
    </row>
    <row r="37" spans="1:251" s="70" customFormat="1" ht="24" hidden="1" customHeight="1" x14ac:dyDescent="0.2">
      <c r="B37" s="80"/>
      <c r="C37" s="81"/>
      <c r="D37" s="8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82"/>
      <c r="Y37" s="82"/>
      <c r="Z37" s="82"/>
      <c r="AA37" s="79"/>
      <c r="AB37" s="79"/>
      <c r="AC37" s="79"/>
      <c r="AD37" s="79"/>
      <c r="AE37" s="79"/>
      <c r="AF37" s="79"/>
    </row>
    <row r="38" spans="1:251" s="70" customFormat="1" ht="24" customHeight="1" x14ac:dyDescent="0.2">
      <c r="B38" s="83" t="s">
        <v>15</v>
      </c>
      <c r="C38" s="626" t="s">
        <v>88</v>
      </c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626"/>
      <c r="AB38" s="83"/>
      <c r="AC38" s="84"/>
      <c r="AD38" s="84"/>
      <c r="AE38" s="84"/>
      <c r="AF38" s="85"/>
    </row>
    <row r="39" spans="1:251" s="70" customFormat="1" ht="24" customHeight="1" x14ac:dyDescent="0.2">
      <c r="A39" s="617"/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  <c r="O39" s="617"/>
      <c r="P39" s="617"/>
      <c r="Q39" s="617"/>
      <c r="R39" s="617"/>
      <c r="S39" s="617"/>
      <c r="T39" s="617"/>
      <c r="U39" s="617"/>
      <c r="V39" s="617"/>
      <c r="W39" s="617"/>
      <c r="X39" s="617"/>
      <c r="Y39" s="617"/>
      <c r="Z39" s="617"/>
      <c r="AA39" s="617"/>
      <c r="AB39" s="617"/>
      <c r="AC39" s="617"/>
      <c r="AD39" s="617"/>
      <c r="AE39" s="617"/>
      <c r="AF39" s="617"/>
      <c r="AG39" s="617"/>
      <c r="AH39" s="617"/>
      <c r="AI39" s="617"/>
      <c r="AJ39" s="617"/>
      <c r="AK39" s="617"/>
      <c r="AL39" s="617"/>
      <c r="AM39" s="617"/>
      <c r="AN39" s="617"/>
      <c r="AO39" s="617"/>
      <c r="AP39" s="617"/>
      <c r="AQ39" s="617"/>
      <c r="AR39" s="617"/>
      <c r="AS39" s="617"/>
      <c r="AT39" s="617"/>
      <c r="AU39" s="617"/>
      <c r="AV39" s="617"/>
      <c r="AW39" s="617"/>
      <c r="AX39" s="617"/>
      <c r="AY39" s="617"/>
      <c r="AZ39" s="617"/>
      <c r="BA39" s="617"/>
      <c r="BB39" s="617"/>
      <c r="BC39" s="617"/>
      <c r="BD39" s="617"/>
      <c r="BE39" s="617"/>
      <c r="BF39" s="617"/>
      <c r="BG39" s="617"/>
      <c r="BH39" s="617" t="s">
        <v>81</v>
      </c>
      <c r="BI39" s="617"/>
      <c r="BJ39" s="617"/>
      <c r="BK39" s="617"/>
      <c r="BL39" s="617"/>
      <c r="BM39" s="617"/>
      <c r="BN39" s="617"/>
      <c r="BO39" s="617"/>
      <c r="BP39" s="617"/>
      <c r="BQ39" s="617"/>
      <c r="BR39" s="617"/>
      <c r="BS39" s="617"/>
      <c r="BT39" s="617"/>
      <c r="BU39" s="617"/>
      <c r="BV39" s="617"/>
      <c r="BW39" s="617"/>
      <c r="BX39" s="617"/>
      <c r="BY39" s="617"/>
      <c r="BZ39" s="617"/>
      <c r="CA39" s="617"/>
      <c r="CB39" s="617"/>
      <c r="CC39" s="617"/>
      <c r="CD39" s="617"/>
      <c r="CE39" s="617"/>
      <c r="CF39" s="617"/>
      <c r="CG39" s="617"/>
      <c r="CH39" s="617"/>
      <c r="CI39" s="617"/>
      <c r="CJ39" s="617"/>
      <c r="CK39" s="617"/>
      <c r="CL39" s="617"/>
      <c r="CM39" s="617"/>
      <c r="CN39" s="617" t="s">
        <v>81</v>
      </c>
      <c r="CO39" s="617"/>
      <c r="CP39" s="617"/>
      <c r="CQ39" s="617"/>
      <c r="CR39" s="617"/>
      <c r="CS39" s="617"/>
      <c r="CT39" s="617"/>
      <c r="CU39" s="617"/>
      <c r="CV39" s="617"/>
      <c r="CW39" s="617"/>
      <c r="CX39" s="617"/>
      <c r="CY39" s="617"/>
      <c r="CZ39" s="617"/>
      <c r="DA39" s="617"/>
      <c r="DB39" s="617"/>
      <c r="DC39" s="617"/>
      <c r="DD39" s="617"/>
      <c r="DE39" s="617"/>
      <c r="DF39" s="617"/>
      <c r="DG39" s="617"/>
      <c r="DH39" s="617"/>
      <c r="DI39" s="617"/>
      <c r="DJ39" s="617"/>
      <c r="DK39" s="617"/>
      <c r="DL39" s="617"/>
      <c r="DM39" s="617"/>
      <c r="DN39" s="617"/>
      <c r="DO39" s="617"/>
      <c r="DP39" s="617"/>
      <c r="DQ39" s="617"/>
      <c r="DR39" s="617"/>
      <c r="DS39" s="617"/>
      <c r="DT39" s="617" t="s">
        <v>81</v>
      </c>
      <c r="DU39" s="617"/>
      <c r="DV39" s="617"/>
      <c r="DW39" s="617"/>
      <c r="DX39" s="617"/>
      <c r="DY39" s="617"/>
      <c r="DZ39" s="617"/>
      <c r="EA39" s="617"/>
      <c r="EB39" s="617"/>
      <c r="EC39" s="617"/>
      <c r="ED39" s="617"/>
      <c r="EE39" s="617"/>
      <c r="EF39" s="617"/>
      <c r="EG39" s="617"/>
      <c r="EH39" s="617"/>
      <c r="EI39" s="617"/>
      <c r="EJ39" s="617"/>
      <c r="EK39" s="617"/>
      <c r="EL39" s="617"/>
      <c r="EM39" s="617"/>
      <c r="EN39" s="617"/>
      <c r="EO39" s="617"/>
      <c r="EP39" s="617"/>
      <c r="EQ39" s="617"/>
      <c r="ER39" s="617"/>
      <c r="ES39" s="617"/>
      <c r="ET39" s="617"/>
      <c r="EU39" s="617"/>
      <c r="EV39" s="617"/>
      <c r="EW39" s="617"/>
      <c r="EX39" s="617"/>
      <c r="EY39" s="617"/>
      <c r="EZ39" s="617" t="s">
        <v>81</v>
      </c>
      <c r="FA39" s="617"/>
      <c r="FB39" s="617"/>
      <c r="FC39" s="617"/>
      <c r="FD39" s="617"/>
      <c r="FE39" s="617"/>
      <c r="FF39" s="617"/>
      <c r="FG39" s="617"/>
      <c r="FH39" s="617"/>
      <c r="FI39" s="617"/>
      <c r="FJ39" s="617"/>
      <c r="FK39" s="617"/>
      <c r="FL39" s="617"/>
      <c r="FM39" s="617"/>
      <c r="FN39" s="617"/>
      <c r="FO39" s="617"/>
      <c r="FP39" s="617"/>
      <c r="FQ39" s="617"/>
      <c r="FR39" s="617"/>
      <c r="FS39" s="617"/>
      <c r="FT39" s="617"/>
      <c r="FU39" s="617"/>
      <c r="FV39" s="617"/>
      <c r="FW39" s="617"/>
      <c r="FX39" s="617"/>
      <c r="FY39" s="617"/>
      <c r="FZ39" s="617"/>
      <c r="GA39" s="617"/>
      <c r="GB39" s="617"/>
      <c r="GC39" s="617"/>
      <c r="GD39" s="617"/>
      <c r="GE39" s="617"/>
      <c r="GF39" s="617" t="s">
        <v>81</v>
      </c>
      <c r="GG39" s="617"/>
      <c r="GH39" s="617"/>
      <c r="GI39" s="617"/>
      <c r="GJ39" s="617"/>
      <c r="GK39" s="617"/>
      <c r="GL39" s="617"/>
      <c r="GM39" s="617"/>
      <c r="GN39" s="617"/>
      <c r="GO39" s="617"/>
      <c r="GP39" s="617"/>
      <c r="GQ39" s="617"/>
      <c r="GR39" s="617"/>
      <c r="GS39" s="617"/>
      <c r="GT39" s="617"/>
      <c r="GU39" s="617"/>
      <c r="GV39" s="617"/>
      <c r="GW39" s="617"/>
      <c r="GX39" s="617"/>
      <c r="GY39" s="617"/>
      <c r="GZ39" s="617"/>
      <c r="HA39" s="617"/>
      <c r="HB39" s="617"/>
      <c r="HC39" s="617"/>
      <c r="HD39" s="617"/>
      <c r="HE39" s="617"/>
      <c r="HF39" s="617"/>
      <c r="HG39" s="617"/>
      <c r="HH39" s="617"/>
      <c r="HI39" s="617"/>
      <c r="HJ39" s="617"/>
      <c r="HK39" s="617"/>
      <c r="HL39" s="617" t="s">
        <v>81</v>
      </c>
      <c r="HM39" s="617"/>
      <c r="HN39" s="617"/>
      <c r="HO39" s="617"/>
      <c r="HP39" s="617"/>
      <c r="HQ39" s="617"/>
      <c r="HR39" s="617"/>
      <c r="HS39" s="617"/>
      <c r="HT39" s="617"/>
      <c r="HU39" s="617"/>
      <c r="HV39" s="617"/>
      <c r="HW39" s="617"/>
      <c r="HX39" s="617"/>
      <c r="HY39" s="617"/>
      <c r="HZ39" s="617"/>
      <c r="IA39" s="617"/>
      <c r="IB39" s="617"/>
      <c r="IC39" s="617"/>
      <c r="ID39" s="617"/>
      <c r="IE39" s="617"/>
      <c r="IF39" s="617"/>
      <c r="IG39" s="617"/>
      <c r="IH39" s="617"/>
      <c r="II39" s="617"/>
      <c r="IJ39" s="617"/>
      <c r="IK39" s="617"/>
      <c r="IL39" s="617"/>
      <c r="IM39" s="617"/>
      <c r="IN39" s="617"/>
      <c r="IO39" s="617"/>
      <c r="IP39" s="617"/>
      <c r="IQ39" s="617"/>
    </row>
    <row r="40" spans="1:251" s="70" customFormat="1" ht="26.25" customHeight="1" x14ac:dyDescent="0.2">
      <c r="B40" s="86"/>
      <c r="C40" s="13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87"/>
      <c r="AD40" s="87"/>
      <c r="AE40" s="87"/>
      <c r="AF40" s="87"/>
    </row>
    <row r="41" spans="1:251" ht="17.25" customHeight="1" x14ac:dyDescent="0.25">
      <c r="B41" s="22"/>
      <c r="D41" s="616" t="s">
        <v>80</v>
      </c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2"/>
    </row>
    <row r="42" spans="1:251" ht="13.5" customHeight="1" x14ac:dyDescent="0.2">
      <c r="B42" s="616" t="s">
        <v>86</v>
      </c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23"/>
      <c r="AG42" s="6"/>
      <c r="AH42" s="6"/>
    </row>
    <row r="43" spans="1:251" ht="24.95" customHeight="1" x14ac:dyDescent="0.25">
      <c r="B43" s="22"/>
      <c r="C43" s="135"/>
      <c r="D43" s="14"/>
      <c r="E43" s="22"/>
      <c r="F43" s="22"/>
      <c r="G43" s="22"/>
      <c r="H43" s="22"/>
      <c r="I43" s="3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"/>
      <c r="Y43" s="2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  <c r="AR43" s="617"/>
      <c r="AS43" s="617"/>
      <c r="AT43" s="617"/>
      <c r="AU43" s="617"/>
      <c r="AV43" s="617"/>
      <c r="AW43" s="617"/>
      <c r="AX43" s="617"/>
      <c r="AY43" s="617"/>
      <c r="AZ43" s="617"/>
      <c r="BA43" s="617"/>
    </row>
    <row r="44" spans="1:251" ht="16.5" customHeight="1" x14ac:dyDescent="0.25">
      <c r="C44" s="618"/>
      <c r="D44" s="618"/>
      <c r="E44" s="618"/>
      <c r="F44" s="618"/>
      <c r="G44" s="618"/>
      <c r="H44" s="618"/>
      <c r="I44" s="618"/>
      <c r="J44" s="618"/>
      <c r="K44" s="618"/>
      <c r="L44" s="618"/>
      <c r="M44" s="618"/>
      <c r="N44" s="618"/>
      <c r="O44" s="26"/>
      <c r="P44" s="5"/>
      <c r="Q44" s="5"/>
      <c r="R44" s="5"/>
      <c r="S44" s="617"/>
      <c r="T44" s="617"/>
      <c r="U44" s="617"/>
      <c r="V44" s="617"/>
      <c r="W44" s="617"/>
      <c r="X44" s="617"/>
      <c r="Y44" s="617"/>
      <c r="Z44" s="617"/>
      <c r="AA44" s="617"/>
      <c r="AB44" s="617"/>
      <c r="AC44" s="617"/>
      <c r="AD44" s="617"/>
      <c r="AE44" s="617"/>
      <c r="AF44" s="617"/>
      <c r="AG44" s="617"/>
      <c r="AH44" s="617"/>
      <c r="AI44" s="617"/>
      <c r="AJ44" s="617"/>
      <c r="AK44" s="617"/>
      <c r="AL44" s="617"/>
      <c r="AM44" s="617"/>
      <c r="AN44" s="617"/>
      <c r="AO44" s="617"/>
      <c r="AP44" s="617"/>
      <c r="AQ44" s="617"/>
      <c r="AR44" s="617"/>
      <c r="AS44" s="617"/>
      <c r="AT44" s="617"/>
    </row>
    <row r="45" spans="1:251" ht="16.5" customHeight="1" x14ac:dyDescent="0.25">
      <c r="B45" s="5"/>
      <c r="E45" s="9"/>
      <c r="F45" s="10"/>
      <c r="G45" s="9"/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11"/>
      <c r="Y45" s="11"/>
      <c r="AA45" s="11"/>
      <c r="AB45" s="11"/>
      <c r="AC45" s="5"/>
      <c r="AD45" s="5"/>
      <c r="AE45" s="5"/>
      <c r="AF45" s="5"/>
    </row>
    <row r="46" spans="1:251" ht="16.5" customHeight="1" x14ac:dyDescent="0.25">
      <c r="B46" s="5"/>
      <c r="E46" s="9"/>
      <c r="F46" s="10"/>
      <c r="G46" s="9"/>
      <c r="H46" s="9"/>
      <c r="I46" s="5"/>
      <c r="J46" s="4"/>
      <c r="K46" s="4"/>
      <c r="L46" s="14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2"/>
      <c r="Z46" s="12"/>
      <c r="AA46" s="11"/>
      <c r="AB46" s="11"/>
      <c r="AC46" s="5"/>
      <c r="AD46" s="5"/>
      <c r="AE46" s="5"/>
      <c r="AF46" s="5"/>
    </row>
    <row r="47" spans="1:251" ht="16.5" customHeight="1" x14ac:dyDescent="0.25">
      <c r="B47" s="5"/>
      <c r="E47" s="9"/>
      <c r="F47" s="10"/>
      <c r="G47" s="9"/>
      <c r="H47" s="9"/>
      <c r="I47" s="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1"/>
      <c r="Y47" s="11"/>
      <c r="Z47" s="11"/>
      <c r="AA47" s="11"/>
      <c r="AB47" s="11"/>
      <c r="AC47" s="5"/>
      <c r="AD47" s="5"/>
      <c r="AE47" s="5"/>
      <c r="AF47" s="5"/>
    </row>
    <row r="48" spans="1:251" ht="24.95" customHeight="1" x14ac:dyDescent="0.25">
      <c r="B48" s="2"/>
      <c r="C48" s="13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AA48" s="12"/>
      <c r="AB48" s="12"/>
      <c r="AC48" s="3"/>
      <c r="AD48" s="2"/>
      <c r="AE48" s="3"/>
      <c r="AF48" s="2"/>
    </row>
    <row r="49" spans="2:36" ht="24.95" customHeight="1" x14ac:dyDescent="0.25">
      <c r="B49" s="2"/>
      <c r="C49" s="135"/>
      <c r="E49" s="2"/>
      <c r="F49" s="2"/>
      <c r="G49" s="2"/>
      <c r="H49" s="2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12"/>
      <c r="Z49" s="12"/>
      <c r="AA49" s="12"/>
      <c r="AB49" s="12"/>
      <c r="AC49" s="3"/>
      <c r="AD49" s="2"/>
      <c r="AE49" s="3"/>
      <c r="AF49" s="2"/>
    </row>
    <row r="50" spans="2:36" ht="24.95" customHeight="1" x14ac:dyDescent="0.25">
      <c r="B50" s="2"/>
      <c r="C50" s="135"/>
      <c r="E50" s="2"/>
      <c r="F50" s="2"/>
      <c r="G50" s="2"/>
      <c r="H50" s="2"/>
      <c r="I50" s="5"/>
      <c r="Z50" s="12"/>
      <c r="AA50" s="12"/>
      <c r="AB50" s="12"/>
      <c r="AC50" s="3"/>
      <c r="AD50" s="2"/>
      <c r="AE50" s="2"/>
      <c r="AF50" s="2"/>
    </row>
    <row r="51" spans="2:36" ht="24.95" customHeight="1" x14ac:dyDescent="0.25">
      <c r="B51" s="5"/>
      <c r="E51" s="5"/>
      <c r="F51" s="5"/>
      <c r="G51" s="5"/>
      <c r="H51" s="5"/>
      <c r="X51" s="11"/>
      <c r="Y51" s="11"/>
      <c r="Z51" s="11"/>
      <c r="AA51" s="11"/>
      <c r="AB51" s="11"/>
      <c r="AC51" s="5"/>
      <c r="AD51" s="5"/>
      <c r="AE51" s="5"/>
      <c r="AF51" s="5"/>
    </row>
    <row r="53" spans="2:36" ht="24.95" customHeight="1" x14ac:dyDescent="0.25">
      <c r="AJ53" s="105"/>
    </row>
  </sheetData>
  <mergeCells count="18">
    <mergeCell ref="B1:AE1"/>
    <mergeCell ref="C44:N44"/>
    <mergeCell ref="A39:AE39"/>
    <mergeCell ref="C38:AA38"/>
    <mergeCell ref="R8:AC8"/>
    <mergeCell ref="K6:R6"/>
    <mergeCell ref="B2:AE4"/>
    <mergeCell ref="S44:AT44"/>
    <mergeCell ref="AF39:BG39"/>
    <mergeCell ref="D41:AE41"/>
    <mergeCell ref="B42:AE42"/>
    <mergeCell ref="Z43:BA43"/>
    <mergeCell ref="BH39:CM39"/>
    <mergeCell ref="CN39:DS39"/>
    <mergeCell ref="DT39:EY39"/>
    <mergeCell ref="GF39:HK39"/>
    <mergeCell ref="HL39:IQ39"/>
    <mergeCell ref="EZ39:GE39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4" zoomScaleSheetLayoutView="100" workbookViewId="0">
      <selection activeCell="A19" sqref="A19:E19"/>
    </sheetView>
  </sheetViews>
  <sheetFormatPr defaultRowHeight="15.75" x14ac:dyDescent="0.25"/>
  <cols>
    <col min="1" max="1" width="6.7109375" style="220" customWidth="1"/>
    <col min="2" max="2" width="28.28515625" style="216" customWidth="1"/>
    <col min="3" max="3" width="15.5703125" style="216" customWidth="1"/>
    <col min="4" max="4" width="17.140625" style="216" customWidth="1"/>
    <col min="5" max="5" width="16.7109375" style="216" customWidth="1"/>
    <col min="6" max="6" width="9.7109375" style="216" bestFit="1" customWidth="1"/>
    <col min="7" max="16384" width="9.140625" style="216"/>
  </cols>
  <sheetData>
    <row r="1" spans="1:5" ht="18.75" x14ac:dyDescent="0.3">
      <c r="A1" s="514" t="s">
        <v>242</v>
      </c>
      <c r="B1" s="514"/>
      <c r="C1" s="514"/>
      <c r="D1" s="514"/>
      <c r="E1" s="514"/>
    </row>
    <row r="2" spans="1:5" ht="16.5" x14ac:dyDescent="0.25">
      <c r="A2" s="515" t="s">
        <v>248</v>
      </c>
      <c r="B2" s="515"/>
      <c r="C2" s="515"/>
      <c r="D2" s="515"/>
      <c r="E2" s="515"/>
    </row>
    <row r="3" spans="1:5" ht="16.5" x14ac:dyDescent="0.25">
      <c r="A3" s="217"/>
      <c r="B3" s="217"/>
      <c r="C3" s="217"/>
      <c r="D3" s="217"/>
      <c r="E3" s="217"/>
    </row>
    <row r="4" spans="1:5" ht="16.5" x14ac:dyDescent="0.25">
      <c r="A4" s="516" t="s">
        <v>152</v>
      </c>
      <c r="B4" s="516"/>
      <c r="C4" s="516"/>
      <c r="D4" s="516"/>
      <c r="E4" s="288" t="str">
        <f>Salary!P4</f>
        <v>August, 2021</v>
      </c>
    </row>
    <row r="5" spans="1:5" x14ac:dyDescent="0.25">
      <c r="A5" s="218"/>
      <c r="B5" s="218"/>
      <c r="C5" s="218"/>
      <c r="D5" s="218"/>
      <c r="E5" s="218"/>
    </row>
    <row r="6" spans="1:5" x14ac:dyDescent="0.25">
      <c r="A6" s="301" t="s">
        <v>153</v>
      </c>
      <c r="B6" s="301" t="s">
        <v>154</v>
      </c>
      <c r="C6" s="301" t="s">
        <v>21</v>
      </c>
      <c r="D6" s="301" t="s">
        <v>155</v>
      </c>
      <c r="E6" s="301" t="s">
        <v>156</v>
      </c>
    </row>
    <row r="7" spans="1:5" ht="20.100000000000001" customHeight="1" x14ac:dyDescent="0.25">
      <c r="A7" s="222">
        <v>1</v>
      </c>
      <c r="B7" s="221" t="str">
        <f>Salary!D8</f>
        <v>Partha Sarathi Das</v>
      </c>
      <c r="C7" s="222" t="str">
        <f>Salary!E8</f>
        <v>Sr. Pr. Officer</v>
      </c>
      <c r="D7" s="222" t="str">
        <f>Salary!B8</f>
        <v>0620100000894</v>
      </c>
      <c r="E7" s="285">
        <f>Salary!AF8</f>
        <v>52545</v>
      </c>
    </row>
    <row r="8" spans="1:5" ht="20.100000000000001" customHeight="1" x14ac:dyDescent="0.25">
      <c r="A8" s="222">
        <v>2</v>
      </c>
      <c r="B8" s="221" t="str">
        <f>Salary!D9</f>
        <v>Md: Mohin Uddin Morshed</v>
      </c>
      <c r="C8" s="222" t="str">
        <f>Salary!E9</f>
        <v>Pr. Officer</v>
      </c>
      <c r="D8" s="315" t="str">
        <f>Salary!B9</f>
        <v>0620100000497</v>
      </c>
      <c r="E8" s="285">
        <f>Salary!AF9</f>
        <v>28788</v>
      </c>
    </row>
    <row r="9" spans="1:5" s="250" customFormat="1" ht="20.100000000000001" customHeight="1" x14ac:dyDescent="0.25">
      <c r="A9" s="222">
        <v>3</v>
      </c>
      <c r="B9" s="221" t="str">
        <f>Salary!D10</f>
        <v>Abdul Kader</v>
      </c>
      <c r="C9" s="222" t="str">
        <f>Salary!E10</f>
        <v>Sr. Officer</v>
      </c>
      <c r="D9" s="222" t="str">
        <f>Salary!B10</f>
        <v>0620100001118</v>
      </c>
      <c r="E9" s="285">
        <f>Salary!AF10</f>
        <v>30803</v>
      </c>
    </row>
    <row r="10" spans="1:5" ht="20.100000000000001" customHeight="1" x14ac:dyDescent="0.25">
      <c r="A10" s="222">
        <v>4</v>
      </c>
      <c r="B10" s="221" t="str">
        <f>Salary!D11</f>
        <v>Mr. Shankar Chandra Debnath</v>
      </c>
      <c r="C10" s="222" t="str">
        <f>Salary!E11</f>
        <v>Sr. Officer</v>
      </c>
      <c r="D10" s="222" t="str">
        <f>Salary!B11</f>
        <v>0620100001565</v>
      </c>
      <c r="E10" s="285">
        <f>ROUND(Salary!AF11,)</f>
        <v>29514</v>
      </c>
    </row>
    <row r="11" spans="1:5" ht="20.100000000000001" customHeight="1" x14ac:dyDescent="0.25">
      <c r="A11" s="222">
        <v>5</v>
      </c>
      <c r="B11" s="221" t="str">
        <f>Salary!D12</f>
        <v>Md. Shahed Hossain</v>
      </c>
      <c r="C11" s="222" t="str">
        <f>Salary!E12</f>
        <v>Sr. Officer</v>
      </c>
      <c r="D11" s="222" t="str">
        <f>Salary!B12</f>
        <v>0620100001530</v>
      </c>
      <c r="E11" s="285">
        <f>ROUND(Salary!AF12,)</f>
        <v>29347</v>
      </c>
    </row>
    <row r="12" spans="1:5" ht="20.100000000000001" customHeight="1" x14ac:dyDescent="0.25">
      <c r="A12" s="222">
        <v>6</v>
      </c>
      <c r="B12" s="221" t="str">
        <f>Salary!D13</f>
        <v>Mrs. Popy Rani Talapatra</v>
      </c>
      <c r="C12" s="222" t="str">
        <f>Salary!E13</f>
        <v>Sr. Officer</v>
      </c>
      <c r="D12" s="315" t="str">
        <f>Salary!B13</f>
        <v>0620200001600</v>
      </c>
      <c r="E12" s="285">
        <f>Salary!AF13</f>
        <v>28139</v>
      </c>
    </row>
    <row r="13" spans="1:5" ht="20.100000000000001" customHeight="1" x14ac:dyDescent="0.25">
      <c r="A13" s="222">
        <v>7</v>
      </c>
      <c r="B13" s="316" t="s">
        <v>282</v>
      </c>
      <c r="C13" s="222" t="str">
        <f>Salary!E14</f>
        <v>Sr. Officer(IT)</v>
      </c>
      <c r="D13" s="315" t="str">
        <f>Salary!B14</f>
        <v>0620200001614</v>
      </c>
      <c r="E13" s="317">
        <f>Salary!AF14</f>
        <v>31045</v>
      </c>
    </row>
    <row r="14" spans="1:5" s="250" customFormat="1" ht="20.100000000000001" customHeight="1" x14ac:dyDescent="0.25">
      <c r="A14" s="222">
        <v>8</v>
      </c>
      <c r="B14" s="221" t="str">
        <f>Salary!D15</f>
        <v>Md. Afsar Uddin</v>
      </c>
      <c r="C14" s="222" t="str">
        <f>Salary!E15</f>
        <v>Officer(Cash)</v>
      </c>
      <c r="D14" s="222" t="str">
        <f>Salary!B15</f>
        <v>0620100001562</v>
      </c>
      <c r="E14" s="285">
        <f>Salary!AF15</f>
        <v>21530</v>
      </c>
    </row>
    <row r="15" spans="1:5" ht="20.100000000000001" customHeight="1" x14ac:dyDescent="0.25">
      <c r="A15" s="222">
        <v>9</v>
      </c>
      <c r="B15" s="221" t="str">
        <f>Salary!D17</f>
        <v>Md. Abdur Rahim</v>
      </c>
      <c r="C15" s="222" t="str">
        <f>Salary!E17</f>
        <v>S.S.Grade-1</v>
      </c>
      <c r="D15" s="222" t="str">
        <f>Salary!B17</f>
        <v>0620100000200</v>
      </c>
      <c r="E15" s="286">
        <f>Salary!AF17</f>
        <v>11434</v>
      </c>
    </row>
    <row r="16" spans="1:5" s="250" customFormat="1" ht="20.100000000000001" customHeight="1" x14ac:dyDescent="0.25">
      <c r="A16" s="222">
        <v>10</v>
      </c>
      <c r="B16" s="221" t="str">
        <f>Salary!D18</f>
        <v>Md. Shajahan Sarkar</v>
      </c>
      <c r="C16" s="222" t="str">
        <f>Salary!E18</f>
        <v>S.S.Grade-2</v>
      </c>
      <c r="D16" s="222" t="str">
        <f>Salary!B18</f>
        <v>0620100000808</v>
      </c>
      <c r="E16" s="286">
        <f>Salary!AF18</f>
        <v>21248</v>
      </c>
    </row>
    <row r="17" spans="1:10" ht="20.100000000000001" customHeight="1" x14ac:dyDescent="0.25">
      <c r="A17" s="222">
        <v>11</v>
      </c>
      <c r="B17" s="221" t="str">
        <f>Salary!D19</f>
        <v>Md. Salah Uddin</v>
      </c>
      <c r="C17" s="222" t="str">
        <f>Salary!E19</f>
        <v>S.S.Grade-2</v>
      </c>
      <c r="D17" s="222" t="str">
        <f>Salary!B19</f>
        <v>0620100000495</v>
      </c>
      <c r="E17" s="286">
        <f>Salary!AF19</f>
        <v>13500</v>
      </c>
    </row>
    <row r="18" spans="1:10" x14ac:dyDescent="0.25">
      <c r="A18" s="517" t="s">
        <v>157</v>
      </c>
      <c r="B18" s="518"/>
      <c r="C18" s="518"/>
      <c r="D18" s="519"/>
      <c r="E18" s="287">
        <f>SUM(E7:E17)</f>
        <v>297893</v>
      </c>
      <c r="H18" s="233">
        <f>Salary!AF21</f>
        <v>297893</v>
      </c>
      <c r="J18" s="234">
        <f>E18-H18</f>
        <v>0</v>
      </c>
    </row>
    <row r="19" spans="1:10" x14ac:dyDescent="0.25">
      <c r="A19" s="520" t="s">
        <v>315</v>
      </c>
      <c r="B19" s="521"/>
      <c r="C19" s="521"/>
      <c r="D19" s="521"/>
      <c r="E19" s="522"/>
    </row>
    <row r="20" spans="1:10" x14ac:dyDescent="0.25">
      <c r="A20" s="302"/>
      <c r="B20" s="303"/>
      <c r="C20" s="303"/>
      <c r="D20" s="303"/>
      <c r="E20" s="303"/>
      <c r="F20" s="219"/>
      <c r="G20" s="219"/>
      <c r="H20" s="233"/>
    </row>
    <row r="21" spans="1:10" x14ac:dyDescent="0.25">
      <c r="B21" s="219"/>
      <c r="C21" s="219"/>
      <c r="D21" s="219"/>
      <c r="E21" s="219"/>
    </row>
  </sheetData>
  <mergeCells count="5">
    <mergeCell ref="A1:E1"/>
    <mergeCell ref="A2:E2"/>
    <mergeCell ref="A4:D4"/>
    <mergeCell ref="A18:D18"/>
    <mergeCell ref="A19:E1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6" sqref="K6:R6"/>
    </sheetView>
  </sheetViews>
  <sheetFormatPr defaultRowHeight="24.95" customHeight="1" x14ac:dyDescent="0.25"/>
  <cols>
    <col min="1" max="1" width="2" customWidth="1"/>
    <col min="2" max="2" width="5.28515625" customWidth="1"/>
    <col min="3" max="3" width="22.7109375" style="134" customWidth="1"/>
    <col min="4" max="4" width="11.28515625" style="15" customWidth="1"/>
    <col min="5" max="5" width="8.140625" customWidth="1"/>
    <col min="6" max="6" width="5.28515625" customWidth="1"/>
    <col min="7" max="7" width="7.85546875" customWidth="1"/>
    <col min="8" max="8" width="4.7109375" customWidth="1"/>
    <col min="9" max="9" width="5" customWidth="1"/>
    <col min="10" max="10" width="4.85546875" customWidth="1"/>
    <col min="11" max="11" width="6.7109375" customWidth="1"/>
    <col min="12" max="12" width="6.28515625" customWidth="1"/>
    <col min="13" max="13" width="4.85546875" customWidth="1"/>
    <col min="14" max="14" width="7" customWidth="1"/>
    <col min="15" max="15" width="8.28515625" customWidth="1"/>
    <col min="16" max="16" width="6.140625" customWidth="1"/>
    <col min="17" max="18" width="7.42578125" customWidth="1"/>
    <col min="19" max="19" width="4.42578125" customWidth="1"/>
    <col min="20" max="20" width="6.28515625" customWidth="1"/>
    <col min="21" max="21" width="5.5703125" customWidth="1"/>
    <col min="22" max="22" width="5.7109375" customWidth="1"/>
    <col min="23" max="23" width="5.85546875" customWidth="1"/>
    <col min="24" max="24" width="6.28515625" style="1" customWidth="1"/>
    <col min="25" max="25" width="5" style="1" customWidth="1"/>
    <col min="26" max="26" width="4.42578125" style="1" customWidth="1"/>
    <col min="27" max="27" width="3.85546875" style="1" customWidth="1"/>
    <col min="28" max="28" width="5.85546875" style="1" customWidth="1"/>
    <col min="29" max="29" width="6" customWidth="1"/>
    <col min="30" max="30" width="7.28515625" customWidth="1"/>
    <col min="31" max="31" width="8.28515625" customWidth="1"/>
    <col min="32" max="32" width="9.85546875" customWidth="1"/>
  </cols>
  <sheetData>
    <row r="1" spans="1:40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19"/>
    </row>
    <row r="2" spans="1:40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20"/>
    </row>
    <row r="3" spans="1:40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28"/>
      <c r="AG3" s="16"/>
    </row>
    <row r="4" spans="1:40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28"/>
      <c r="AG4" s="16"/>
    </row>
    <row r="5" spans="1:40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7"/>
      <c r="L5" s="35"/>
      <c r="M5" s="35"/>
      <c r="N5" s="35"/>
      <c r="O5" s="35"/>
      <c r="P5" s="35"/>
      <c r="Q5" s="3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5"/>
      <c r="AF5" s="28"/>
      <c r="AG5" s="16"/>
    </row>
    <row r="6" spans="1:40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109"/>
      <c r="K6" s="622" t="s">
        <v>84</v>
      </c>
      <c r="L6" s="622"/>
      <c r="M6" s="622"/>
      <c r="N6" s="622"/>
      <c r="O6" s="622"/>
      <c r="P6" s="622"/>
      <c r="Q6" s="622"/>
      <c r="R6" s="622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40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110" t="s">
        <v>60</v>
      </c>
      <c r="J7" s="30" t="s">
        <v>28</v>
      </c>
      <c r="K7" s="30" t="s">
        <v>25</v>
      </c>
      <c r="L7" s="30" t="s">
        <v>49</v>
      </c>
      <c r="M7" s="30" t="s">
        <v>48</v>
      </c>
      <c r="N7" s="32" t="s">
        <v>2</v>
      </c>
      <c r="O7" s="129" t="s">
        <v>38</v>
      </c>
      <c r="P7" s="130" t="s">
        <v>52</v>
      </c>
      <c r="Q7" s="30" t="s">
        <v>10</v>
      </c>
      <c r="R7" s="129" t="s">
        <v>38</v>
      </c>
      <c r="S7" s="136" t="s">
        <v>36</v>
      </c>
      <c r="T7" s="30" t="s">
        <v>41</v>
      </c>
      <c r="U7" s="30" t="s">
        <v>39</v>
      </c>
      <c r="V7" s="30" t="s">
        <v>29</v>
      </c>
      <c r="W7" s="30" t="s">
        <v>31</v>
      </c>
      <c r="X7" s="30" t="s">
        <v>50</v>
      </c>
      <c r="Y7" s="30" t="s">
        <v>7</v>
      </c>
      <c r="Z7" s="30" t="s">
        <v>51</v>
      </c>
      <c r="AA7" s="30" t="s">
        <v>26</v>
      </c>
      <c r="AB7" s="30" t="s">
        <v>74</v>
      </c>
      <c r="AC7" s="30" t="s">
        <v>77</v>
      </c>
      <c r="AD7" s="30" t="s">
        <v>11</v>
      </c>
      <c r="AE7" s="30" t="s">
        <v>9</v>
      </c>
      <c r="AF7" s="28"/>
      <c r="AG7" s="17"/>
      <c r="AH7" s="1" t="s">
        <v>53</v>
      </c>
      <c r="AI7" s="126" t="s">
        <v>67</v>
      </c>
      <c r="AJ7" s="126" t="s">
        <v>66</v>
      </c>
      <c r="AK7" s="126" t="s">
        <v>68</v>
      </c>
      <c r="AL7" s="126" t="s">
        <v>69</v>
      </c>
      <c r="AM7" s="126" t="s">
        <v>70</v>
      </c>
      <c r="AN7" s="126" t="s">
        <v>71</v>
      </c>
    </row>
    <row r="8" spans="1:40" s="1" customFormat="1" ht="17.25" customHeight="1" x14ac:dyDescent="0.2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0"/>
      <c r="N8" s="32"/>
      <c r="O8" s="33"/>
      <c r="P8" s="33"/>
      <c r="Q8" s="30"/>
      <c r="R8" s="623" t="s">
        <v>35</v>
      </c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5"/>
      <c r="AD8" s="30"/>
      <c r="AE8" s="30"/>
      <c r="AF8" s="2"/>
      <c r="AG8" s="17"/>
      <c r="AH8" s="131">
        <f>+AB25</f>
        <v>1056</v>
      </c>
      <c r="AI8" s="131">
        <f>+X23+T10+T11+T12+T13+T14+T15+T17+T18+T20+T21+T22+U24</f>
        <v>57828</v>
      </c>
      <c r="AJ8" s="131">
        <f>+T16</f>
        <v>3401</v>
      </c>
      <c r="AK8" s="131">
        <f>+Y25+AA25</f>
        <v>2196</v>
      </c>
      <c r="AL8" s="131">
        <f>+O10+O11+O14+O15+O18+O20+O21+O22</f>
        <v>119827</v>
      </c>
      <c r="AM8" s="131">
        <f>+R16</f>
        <v>18706</v>
      </c>
      <c r="AN8" s="131">
        <f>+U19</f>
        <v>8689</v>
      </c>
    </row>
    <row r="9" spans="1:40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5">
        <v>8</v>
      </c>
      <c r="J9" s="27">
        <v>9</v>
      </c>
      <c r="K9" s="25">
        <v>10</v>
      </c>
      <c r="L9" s="25">
        <v>11</v>
      </c>
      <c r="M9" s="27">
        <v>12</v>
      </c>
      <c r="N9" s="25">
        <v>13</v>
      </c>
      <c r="O9" s="27">
        <v>14</v>
      </c>
      <c r="P9" s="25">
        <v>15</v>
      </c>
      <c r="Q9" s="27">
        <v>16</v>
      </c>
      <c r="R9" s="25">
        <v>17</v>
      </c>
      <c r="S9" s="27">
        <v>0</v>
      </c>
      <c r="T9" s="25">
        <v>18</v>
      </c>
      <c r="U9" s="27">
        <v>19</v>
      </c>
      <c r="V9" s="25">
        <v>20</v>
      </c>
      <c r="W9" s="27">
        <v>21</v>
      </c>
      <c r="X9" s="25">
        <v>22</v>
      </c>
      <c r="Y9" s="27">
        <v>23</v>
      </c>
      <c r="Z9" s="25">
        <v>34</v>
      </c>
      <c r="AA9" s="27">
        <v>25</v>
      </c>
      <c r="AB9" s="27">
        <v>26</v>
      </c>
      <c r="AC9" s="25">
        <v>27</v>
      </c>
      <c r="AD9" s="27">
        <v>28</v>
      </c>
      <c r="AE9" s="25">
        <v>29</v>
      </c>
      <c r="AF9" s="22"/>
      <c r="AN9" s="131">
        <f>AH8+AI8+AJ8+AK8+AL8+AM8+AN8</f>
        <v>211703</v>
      </c>
    </row>
    <row r="10" spans="1:40" s="39" customFormat="1" ht="20.100000000000001" customHeight="1" x14ac:dyDescent="0.2">
      <c r="B10" s="128">
        <v>1364</v>
      </c>
      <c r="C10" s="92" t="s">
        <v>78</v>
      </c>
      <c r="D10" s="41" t="s">
        <v>42</v>
      </c>
      <c r="E10" s="90">
        <v>51300</v>
      </c>
      <c r="F10" s="42">
        <v>0</v>
      </c>
      <c r="G10" s="88">
        <f t="shared" ref="G10:G18" si="0">E10+F10</f>
        <v>51300</v>
      </c>
      <c r="H10" s="43">
        <v>200</v>
      </c>
      <c r="I10" s="43">
        <v>0</v>
      </c>
      <c r="J10" s="43">
        <v>0</v>
      </c>
      <c r="K10" s="88">
        <f>ROUND((G10*35%),0)</f>
        <v>17955</v>
      </c>
      <c r="L10" s="89">
        <v>1500</v>
      </c>
      <c r="M10" s="43"/>
      <c r="N10" s="88">
        <f>G10+H10+I10+J10+K10+L10+M10</f>
        <v>70955</v>
      </c>
      <c r="O10" s="89">
        <f>ROUND((G10*55%),0)</f>
        <v>28215</v>
      </c>
      <c r="P10" s="43">
        <v>0</v>
      </c>
      <c r="Q10" s="89">
        <f>ROUND((N10+O10+P10),0)</f>
        <v>99170</v>
      </c>
      <c r="R10" s="122">
        <f>O10</f>
        <v>28215</v>
      </c>
      <c r="S10" s="42">
        <v>10</v>
      </c>
      <c r="T10" s="54">
        <f>ROUND((G10*10%),0)</f>
        <v>5130</v>
      </c>
      <c r="U10" s="42">
        <v>0</v>
      </c>
      <c r="V10" s="52">
        <v>8400</v>
      </c>
      <c r="W10" s="42">
        <v>1310</v>
      </c>
      <c r="X10" s="42">
        <v>0</v>
      </c>
      <c r="Y10" s="52">
        <v>200</v>
      </c>
      <c r="Z10" s="42">
        <v>10</v>
      </c>
      <c r="AA10" s="42">
        <v>6</v>
      </c>
      <c r="AB10" s="42">
        <v>1056</v>
      </c>
      <c r="AC10" s="98">
        <v>0</v>
      </c>
      <c r="AD10" s="52">
        <f>ROUND((SUM(R10:AC10)-S10),0)</f>
        <v>44327</v>
      </c>
      <c r="AE10" s="54">
        <f t="shared" ref="AE10:AE16" si="1">Q10-AD10</f>
        <v>54843</v>
      </c>
      <c r="AF10" s="45"/>
      <c r="AI10" s="124"/>
      <c r="AJ10" s="124"/>
      <c r="AK10" s="124"/>
      <c r="AL10" s="124"/>
      <c r="AM10" s="124"/>
      <c r="AN10" s="124"/>
    </row>
    <row r="11" spans="1:40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49090</v>
      </c>
      <c r="F11" s="50">
        <v>0</v>
      </c>
      <c r="G11" s="88">
        <f t="shared" si="0"/>
        <v>49090</v>
      </c>
      <c r="H11" s="53">
        <v>0</v>
      </c>
      <c r="I11" s="50">
        <v>0</v>
      </c>
      <c r="J11" s="50">
        <v>0</v>
      </c>
      <c r="K11" s="88">
        <f>ROUND((G11*35%),0)</f>
        <v>17182</v>
      </c>
      <c r="L11" s="89">
        <v>1500</v>
      </c>
      <c r="M11" s="50">
        <v>0</v>
      </c>
      <c r="N11" s="88">
        <f t="shared" ref="N11:N25" si="2">G11+H11+I11+J11+K11+L11+M11</f>
        <v>67772</v>
      </c>
      <c r="O11" s="89">
        <f>ROUND((G11*55%),0)</f>
        <v>27000</v>
      </c>
      <c r="P11" s="50">
        <v>0</v>
      </c>
      <c r="Q11" s="89">
        <f t="shared" ref="Q11:Q16" si="3">ROUND((N11+O11+P11),0)</f>
        <v>94772</v>
      </c>
      <c r="R11" s="122">
        <f t="shared" ref="R11:R16" si="4">O11</f>
        <v>27000</v>
      </c>
      <c r="S11" s="50">
        <v>15</v>
      </c>
      <c r="T11" s="54">
        <f>ROUND((G11*15%),0)</f>
        <v>7364</v>
      </c>
      <c r="U11" s="50">
        <v>0</v>
      </c>
      <c r="V11" s="49">
        <v>8600</v>
      </c>
      <c r="W11" s="53">
        <v>0</v>
      </c>
      <c r="X11" s="50">
        <v>0</v>
      </c>
      <c r="Y11" s="49">
        <v>200</v>
      </c>
      <c r="Z11" s="50">
        <v>10</v>
      </c>
      <c r="AA11" s="50">
        <v>0</v>
      </c>
      <c r="AB11" s="50">
        <v>0</v>
      </c>
      <c r="AC11" s="50">
        <v>0</v>
      </c>
      <c r="AD11" s="52">
        <f t="shared" ref="AD11:AD16" si="5">ROUND((SUM(R11:AC11)-S11),0)</f>
        <v>43174</v>
      </c>
      <c r="AE11" s="54">
        <f t="shared" si="1"/>
        <v>51598</v>
      </c>
      <c r="AF11" s="55"/>
    </row>
    <row r="12" spans="1:40" s="46" customFormat="1" ht="15.75" customHeight="1" x14ac:dyDescent="0.25">
      <c r="B12" s="47">
        <v>1051</v>
      </c>
      <c r="C12" s="139" t="s">
        <v>65</v>
      </c>
      <c r="D12" s="47" t="s">
        <v>19</v>
      </c>
      <c r="E12" s="49">
        <v>35500</v>
      </c>
      <c r="F12" s="50">
        <v>0</v>
      </c>
      <c r="G12" s="88">
        <f t="shared" si="0"/>
        <v>35500</v>
      </c>
      <c r="H12" s="53">
        <v>0</v>
      </c>
      <c r="I12" s="50">
        <v>0</v>
      </c>
      <c r="J12" s="50">
        <v>0</v>
      </c>
      <c r="K12" s="88">
        <f t="shared" ref="K12:K18" si="6">ROUND((G12*40%),0)</f>
        <v>14200</v>
      </c>
      <c r="L12" s="89">
        <v>1500</v>
      </c>
      <c r="M12" s="50">
        <v>0</v>
      </c>
      <c r="N12" s="88">
        <f t="shared" si="2"/>
        <v>51200</v>
      </c>
      <c r="O12" s="89">
        <f>ROUND((G12*10%),0)</f>
        <v>3550</v>
      </c>
      <c r="P12" s="49">
        <f>ROUND((G12*10%),0)</f>
        <v>3550</v>
      </c>
      <c r="Q12" s="89">
        <f t="shared" si="3"/>
        <v>58300</v>
      </c>
      <c r="R12" s="122">
        <f>O12</f>
        <v>3550</v>
      </c>
      <c r="S12" s="50">
        <v>10</v>
      </c>
      <c r="T12" s="54">
        <f>ROUND((G12*10%),0)</f>
        <v>3550</v>
      </c>
      <c r="U12" s="49">
        <f t="shared" ref="U12:U17" si="7">P12</f>
        <v>3550</v>
      </c>
      <c r="V12" s="50">
        <v>0</v>
      </c>
      <c r="W12" s="53">
        <v>3200</v>
      </c>
      <c r="X12" s="50">
        <v>0</v>
      </c>
      <c r="Y12" s="49">
        <v>200</v>
      </c>
      <c r="Z12" s="50">
        <v>10</v>
      </c>
      <c r="AA12" s="50">
        <v>0</v>
      </c>
      <c r="AB12" s="50">
        <v>0</v>
      </c>
      <c r="AC12" s="50">
        <v>0</v>
      </c>
      <c r="AD12" s="52">
        <f t="shared" si="5"/>
        <v>14060</v>
      </c>
      <c r="AE12" s="54">
        <f t="shared" si="1"/>
        <v>44240</v>
      </c>
      <c r="AF12" s="55"/>
    </row>
    <row r="13" spans="1:40" s="46" customFormat="1" ht="15.75" customHeight="1" x14ac:dyDescent="0.25">
      <c r="B13" s="47">
        <v>894</v>
      </c>
      <c r="C13" s="48" t="s">
        <v>37</v>
      </c>
      <c r="D13" s="47" t="s">
        <v>19</v>
      </c>
      <c r="E13" s="49">
        <v>33752</v>
      </c>
      <c r="F13" s="50">
        <v>0</v>
      </c>
      <c r="G13" s="88">
        <f t="shared" si="0"/>
        <v>33752</v>
      </c>
      <c r="H13" s="53">
        <v>0</v>
      </c>
      <c r="I13" s="50">
        <v>0</v>
      </c>
      <c r="J13" s="50">
        <v>0</v>
      </c>
      <c r="K13" s="88">
        <f t="shared" si="6"/>
        <v>13501</v>
      </c>
      <c r="L13" s="89">
        <v>1500</v>
      </c>
      <c r="M13" s="50">
        <v>0</v>
      </c>
      <c r="N13" s="88">
        <f t="shared" si="2"/>
        <v>48753</v>
      </c>
      <c r="O13" s="89">
        <f>ROUND((G13*10%),0)</f>
        <v>3375</v>
      </c>
      <c r="P13" s="49">
        <f>ROUND((G13*10%),0)</f>
        <v>3375</v>
      </c>
      <c r="Q13" s="89">
        <f t="shared" si="3"/>
        <v>55503</v>
      </c>
      <c r="R13" s="122">
        <f t="shared" si="4"/>
        <v>3375</v>
      </c>
      <c r="S13" s="50">
        <v>10</v>
      </c>
      <c r="T13" s="54">
        <f>ROUND((G13*10%),0)</f>
        <v>3375</v>
      </c>
      <c r="U13" s="49">
        <f t="shared" si="7"/>
        <v>3375</v>
      </c>
      <c r="V13" s="50">
        <v>0</v>
      </c>
      <c r="W13" s="53">
        <v>3200</v>
      </c>
      <c r="X13" s="50">
        <v>0</v>
      </c>
      <c r="Y13" s="49">
        <v>200</v>
      </c>
      <c r="Z13" s="50">
        <v>10</v>
      </c>
      <c r="AA13" s="50">
        <v>0</v>
      </c>
      <c r="AB13" s="50">
        <v>0</v>
      </c>
      <c r="AC13" s="50">
        <v>1133</v>
      </c>
      <c r="AD13" s="52">
        <f t="shared" si="5"/>
        <v>14668</v>
      </c>
      <c r="AE13" s="54">
        <f t="shared" si="1"/>
        <v>40835</v>
      </c>
      <c r="AF13" s="55"/>
    </row>
    <row r="14" spans="1:40" s="46" customFormat="1" ht="16.5" customHeight="1" x14ac:dyDescent="0.25">
      <c r="B14" s="47">
        <v>497</v>
      </c>
      <c r="C14" s="91" t="s">
        <v>58</v>
      </c>
      <c r="D14" s="47" t="s">
        <v>3</v>
      </c>
      <c r="E14" s="49">
        <v>26760</v>
      </c>
      <c r="F14" s="50">
        <v>0</v>
      </c>
      <c r="G14" s="88">
        <f t="shared" si="0"/>
        <v>26760</v>
      </c>
      <c r="H14" s="53">
        <v>0</v>
      </c>
      <c r="I14" s="50">
        <v>0</v>
      </c>
      <c r="J14" s="49">
        <v>1000</v>
      </c>
      <c r="K14" s="88">
        <f t="shared" si="6"/>
        <v>10704</v>
      </c>
      <c r="L14" s="89">
        <v>1500</v>
      </c>
      <c r="M14" s="50">
        <v>0</v>
      </c>
      <c r="N14" s="88">
        <f t="shared" si="2"/>
        <v>39964</v>
      </c>
      <c r="O14" s="89">
        <f>ROUND((G14*55%),0)</f>
        <v>14718</v>
      </c>
      <c r="P14" s="50">
        <v>0</v>
      </c>
      <c r="Q14" s="89">
        <f t="shared" si="3"/>
        <v>54682</v>
      </c>
      <c r="R14" s="122">
        <f t="shared" si="4"/>
        <v>14718</v>
      </c>
      <c r="S14" s="51">
        <v>25</v>
      </c>
      <c r="T14" s="54">
        <f>ROUND((G14*25%),0)</f>
        <v>6690</v>
      </c>
      <c r="U14" s="50">
        <f t="shared" si="7"/>
        <v>0</v>
      </c>
      <c r="V14" s="49">
        <f>K14</f>
        <v>10704</v>
      </c>
      <c r="W14" s="50">
        <v>3200</v>
      </c>
      <c r="X14" s="53">
        <v>0</v>
      </c>
      <c r="Y14" s="49">
        <v>200</v>
      </c>
      <c r="Z14" s="50">
        <v>10</v>
      </c>
      <c r="AA14" s="50">
        <v>0</v>
      </c>
      <c r="AB14" s="50">
        <v>0</v>
      </c>
      <c r="AC14" s="50">
        <v>1133</v>
      </c>
      <c r="AD14" s="52">
        <f t="shared" si="5"/>
        <v>36655</v>
      </c>
      <c r="AE14" s="54">
        <f t="shared" si="1"/>
        <v>18027</v>
      </c>
      <c r="AF14" s="55"/>
    </row>
    <row r="15" spans="1:40" s="46" customFormat="1" ht="16.5" customHeight="1" x14ac:dyDescent="0.25">
      <c r="B15" s="47">
        <v>70</v>
      </c>
      <c r="C15" s="48" t="s">
        <v>63</v>
      </c>
      <c r="D15" s="47" t="s">
        <v>5</v>
      </c>
      <c r="E15" s="49">
        <v>29370</v>
      </c>
      <c r="F15" s="50">
        <v>0</v>
      </c>
      <c r="G15" s="88">
        <f t="shared" si="0"/>
        <v>29370</v>
      </c>
      <c r="H15" s="53">
        <v>0</v>
      </c>
      <c r="I15" s="50">
        <v>0</v>
      </c>
      <c r="J15" s="49">
        <v>1000</v>
      </c>
      <c r="K15" s="88">
        <f t="shared" si="6"/>
        <v>11748</v>
      </c>
      <c r="L15" s="89">
        <v>1500</v>
      </c>
      <c r="M15" s="50">
        <v>0</v>
      </c>
      <c r="N15" s="88">
        <f t="shared" si="2"/>
        <v>43618</v>
      </c>
      <c r="O15" s="89">
        <f>ROUND((G15*55%),0)</f>
        <v>16154</v>
      </c>
      <c r="P15" s="50">
        <v>0</v>
      </c>
      <c r="Q15" s="89">
        <f t="shared" si="3"/>
        <v>59772</v>
      </c>
      <c r="R15" s="122">
        <f t="shared" si="4"/>
        <v>16154</v>
      </c>
      <c r="S15" s="51">
        <v>25</v>
      </c>
      <c r="T15" s="54">
        <f>ROUND((G15*25%),0)</f>
        <v>7343</v>
      </c>
      <c r="U15" s="50">
        <f t="shared" si="7"/>
        <v>0</v>
      </c>
      <c r="V15" s="49">
        <f>K15</f>
        <v>11748</v>
      </c>
      <c r="W15" s="50">
        <v>3500</v>
      </c>
      <c r="X15" s="53">
        <v>0</v>
      </c>
      <c r="Y15" s="49">
        <v>200</v>
      </c>
      <c r="Z15" s="50">
        <v>10</v>
      </c>
      <c r="AA15" s="50">
        <v>0</v>
      </c>
      <c r="AB15" s="50">
        <v>0</v>
      </c>
      <c r="AC15" s="50">
        <v>1133</v>
      </c>
      <c r="AD15" s="52">
        <f t="shared" si="5"/>
        <v>40088</v>
      </c>
      <c r="AE15" s="54">
        <f t="shared" si="1"/>
        <v>19684</v>
      </c>
      <c r="AF15" s="55"/>
    </row>
    <row r="16" spans="1:40" s="111" customFormat="1" ht="16.5" customHeight="1" x14ac:dyDescent="0.25">
      <c r="B16" s="112">
        <v>1198</v>
      </c>
      <c r="C16" s="113" t="s">
        <v>54</v>
      </c>
      <c r="D16" s="112" t="s">
        <v>5</v>
      </c>
      <c r="E16" s="114">
        <v>34010</v>
      </c>
      <c r="F16" s="115">
        <v>0</v>
      </c>
      <c r="G16" s="116">
        <f t="shared" si="0"/>
        <v>34010</v>
      </c>
      <c r="H16" s="125">
        <v>0</v>
      </c>
      <c r="I16" s="115">
        <v>0</v>
      </c>
      <c r="J16" s="114">
        <v>500</v>
      </c>
      <c r="K16" s="88">
        <f t="shared" si="6"/>
        <v>13604</v>
      </c>
      <c r="L16" s="117">
        <v>1500</v>
      </c>
      <c r="M16" s="115">
        <v>0</v>
      </c>
      <c r="N16" s="88">
        <f t="shared" si="2"/>
        <v>49614</v>
      </c>
      <c r="O16" s="117">
        <f>ROUND((G16*55%),0)</f>
        <v>18706</v>
      </c>
      <c r="P16" s="115">
        <v>0</v>
      </c>
      <c r="Q16" s="117">
        <f t="shared" si="3"/>
        <v>68320</v>
      </c>
      <c r="R16" s="127">
        <f t="shared" si="4"/>
        <v>18706</v>
      </c>
      <c r="S16" s="115">
        <v>10</v>
      </c>
      <c r="T16" s="119">
        <f>ROUND((G16*10%),0)</f>
        <v>3401</v>
      </c>
      <c r="U16" s="115">
        <f t="shared" si="7"/>
        <v>0</v>
      </c>
      <c r="V16" s="114">
        <f>K16</f>
        <v>13604</v>
      </c>
      <c r="W16" s="125">
        <v>3200</v>
      </c>
      <c r="X16" s="115">
        <v>0</v>
      </c>
      <c r="Y16" s="114">
        <v>200</v>
      </c>
      <c r="Z16" s="115">
        <v>10</v>
      </c>
      <c r="AA16" s="115">
        <v>0</v>
      </c>
      <c r="AB16" s="115">
        <v>0</v>
      </c>
      <c r="AC16" s="115">
        <v>0</v>
      </c>
      <c r="AD16" s="118">
        <f t="shared" si="5"/>
        <v>39121</v>
      </c>
      <c r="AE16" s="119">
        <f t="shared" si="1"/>
        <v>29199</v>
      </c>
      <c r="AF16" s="120" t="s">
        <v>61</v>
      </c>
    </row>
    <row r="17" spans="2:34" s="46" customFormat="1" ht="16.5" customHeight="1" x14ac:dyDescent="0.25">
      <c r="B17" s="47">
        <v>1118</v>
      </c>
      <c r="C17" s="48" t="s">
        <v>46</v>
      </c>
      <c r="D17" s="47" t="s">
        <v>4</v>
      </c>
      <c r="E17" s="49">
        <v>17640</v>
      </c>
      <c r="F17" s="50">
        <v>0</v>
      </c>
      <c r="G17" s="88">
        <f t="shared" si="0"/>
        <v>17640</v>
      </c>
      <c r="H17" s="53">
        <v>0</v>
      </c>
      <c r="I17" s="50">
        <v>0</v>
      </c>
      <c r="J17" s="50">
        <v>0</v>
      </c>
      <c r="K17" s="88">
        <f t="shared" si="6"/>
        <v>7056</v>
      </c>
      <c r="L17" s="89">
        <v>1500</v>
      </c>
      <c r="M17" s="50">
        <v>0</v>
      </c>
      <c r="N17" s="88">
        <f t="shared" si="2"/>
        <v>26196</v>
      </c>
      <c r="O17" s="89">
        <f>ROUND((G17*10%),0)</f>
        <v>1764</v>
      </c>
      <c r="P17" s="49">
        <f>ROUND((G17*10%),0)</f>
        <v>1764</v>
      </c>
      <c r="Q17" s="89">
        <f>ROUND((N17+O17+P17),0)</f>
        <v>29724</v>
      </c>
      <c r="R17" s="122">
        <f>O17</f>
        <v>1764</v>
      </c>
      <c r="S17" s="51">
        <v>10</v>
      </c>
      <c r="T17" s="54">
        <f>ROUND((G17*10%),0)</f>
        <v>1764</v>
      </c>
      <c r="U17" s="49">
        <f t="shared" si="7"/>
        <v>1764</v>
      </c>
      <c r="V17" s="50">
        <v>0</v>
      </c>
      <c r="W17" s="50">
        <v>0</v>
      </c>
      <c r="X17" s="53">
        <v>0</v>
      </c>
      <c r="Y17" s="49">
        <f>ROUND((G17*1%),0)</f>
        <v>176</v>
      </c>
      <c r="Z17" s="50">
        <v>10</v>
      </c>
      <c r="AA17" s="50">
        <v>0</v>
      </c>
      <c r="AB17" s="50">
        <v>0</v>
      </c>
      <c r="AC17" s="50">
        <v>0</v>
      </c>
      <c r="AD17" s="52">
        <f>ROUND((SUM(R17:AC17)-S17),0)</f>
        <v>5478</v>
      </c>
      <c r="AE17" s="54">
        <f>Q17-AD17</f>
        <v>24246</v>
      </c>
      <c r="AF17" s="55"/>
    </row>
    <row r="18" spans="2:34" s="46" customFormat="1" ht="18.75" customHeight="1" x14ac:dyDescent="0.25">
      <c r="B18" s="47">
        <v>581</v>
      </c>
      <c r="C18" s="48" t="s">
        <v>40</v>
      </c>
      <c r="D18" s="59" t="s">
        <v>5</v>
      </c>
      <c r="E18" s="49">
        <v>17640</v>
      </c>
      <c r="F18" s="50">
        <v>684</v>
      </c>
      <c r="G18" s="49">
        <f t="shared" si="0"/>
        <v>18324</v>
      </c>
      <c r="H18" s="50">
        <v>0</v>
      </c>
      <c r="I18" s="50">
        <v>0</v>
      </c>
      <c r="J18" s="49">
        <v>500</v>
      </c>
      <c r="K18" s="88">
        <f t="shared" si="6"/>
        <v>7330</v>
      </c>
      <c r="L18" s="49">
        <v>1500</v>
      </c>
      <c r="M18" s="50">
        <v>0</v>
      </c>
      <c r="N18" s="88">
        <f t="shared" si="2"/>
        <v>27654</v>
      </c>
      <c r="O18" s="89">
        <f>ROUND((G18*55%),0)</f>
        <v>10078</v>
      </c>
      <c r="P18" s="50">
        <v>0</v>
      </c>
      <c r="Q18" s="49">
        <f>ROUND((N18+O18),0)</f>
        <v>37732</v>
      </c>
      <c r="R18" s="49">
        <f>O18</f>
        <v>10078</v>
      </c>
      <c r="S18" s="51">
        <v>25</v>
      </c>
      <c r="T18" s="54">
        <f>ROUND((G18*25%),0)</f>
        <v>4581</v>
      </c>
      <c r="U18" s="50">
        <v>0</v>
      </c>
      <c r="V18" s="49">
        <f>K18</f>
        <v>7330</v>
      </c>
      <c r="W18" s="50">
        <v>4000</v>
      </c>
      <c r="X18" s="53">
        <v>0</v>
      </c>
      <c r="Y18" s="49">
        <f>ROUND((G18*1%),0)</f>
        <v>183</v>
      </c>
      <c r="Z18" s="50">
        <v>10</v>
      </c>
      <c r="AA18" s="50">
        <v>0</v>
      </c>
      <c r="AB18" s="50">
        <v>0</v>
      </c>
      <c r="AC18" s="50">
        <v>0</v>
      </c>
      <c r="AD18" s="52">
        <f>ROUND((SUM(R18:AC18)-S18),0)</f>
        <v>26182</v>
      </c>
      <c r="AE18" s="49">
        <f>Q18-AD18</f>
        <v>11550</v>
      </c>
      <c r="AF18" s="55"/>
    </row>
    <row r="19" spans="2:34" s="46" customFormat="1" ht="19.5" customHeight="1" x14ac:dyDescent="0.25">
      <c r="B19" s="47"/>
      <c r="C19" s="48" t="s">
        <v>13</v>
      </c>
      <c r="D19" s="48"/>
      <c r="E19" s="57">
        <f t="shared" ref="E19:R19" si="8">SUM(E10:E18)</f>
        <v>295062</v>
      </c>
      <c r="F19" s="58">
        <f t="shared" si="8"/>
        <v>684</v>
      </c>
      <c r="G19" s="57">
        <f t="shared" si="8"/>
        <v>295746</v>
      </c>
      <c r="H19" s="57">
        <f t="shared" si="8"/>
        <v>200</v>
      </c>
      <c r="I19" s="57">
        <f t="shared" si="8"/>
        <v>0</v>
      </c>
      <c r="J19" s="57">
        <f t="shared" si="8"/>
        <v>3000</v>
      </c>
      <c r="K19" s="57">
        <f t="shared" si="8"/>
        <v>113280</v>
      </c>
      <c r="L19" s="57">
        <f t="shared" si="8"/>
        <v>13500</v>
      </c>
      <c r="M19" s="58">
        <f t="shared" si="8"/>
        <v>0</v>
      </c>
      <c r="N19" s="97">
        <f t="shared" si="2"/>
        <v>425726</v>
      </c>
      <c r="O19" s="57">
        <f t="shared" si="8"/>
        <v>123560</v>
      </c>
      <c r="P19" s="57">
        <f t="shared" si="8"/>
        <v>8689</v>
      </c>
      <c r="Q19" s="57">
        <f t="shared" si="8"/>
        <v>557975</v>
      </c>
      <c r="R19" s="57">
        <f t="shared" si="8"/>
        <v>123560</v>
      </c>
      <c r="S19" s="57"/>
      <c r="T19" s="57">
        <f t="shared" ref="T19:AE19" si="9">SUM(T10:T18)</f>
        <v>43198</v>
      </c>
      <c r="U19" s="57">
        <f t="shared" si="9"/>
        <v>8689</v>
      </c>
      <c r="V19" s="57">
        <f t="shared" si="9"/>
        <v>60386</v>
      </c>
      <c r="W19" s="57">
        <f t="shared" si="9"/>
        <v>21610</v>
      </c>
      <c r="X19" s="58">
        <f t="shared" si="9"/>
        <v>0</v>
      </c>
      <c r="Y19" s="57">
        <f t="shared" si="9"/>
        <v>1759</v>
      </c>
      <c r="Z19" s="57">
        <f t="shared" si="9"/>
        <v>90</v>
      </c>
      <c r="AA19" s="58">
        <f t="shared" si="9"/>
        <v>6</v>
      </c>
      <c r="AB19" s="57">
        <f t="shared" si="9"/>
        <v>1056</v>
      </c>
      <c r="AC19" s="57">
        <f t="shared" si="9"/>
        <v>3399</v>
      </c>
      <c r="AD19" s="57">
        <f t="shared" si="9"/>
        <v>263753</v>
      </c>
      <c r="AE19" s="57">
        <f t="shared" si="9"/>
        <v>294222</v>
      </c>
      <c r="AF19" s="55"/>
      <c r="AG19" s="123"/>
    </row>
    <row r="20" spans="2:34" s="46" customFormat="1" ht="19.5" customHeight="1" x14ac:dyDescent="0.25">
      <c r="B20" s="47">
        <v>200</v>
      </c>
      <c r="C20" s="48" t="s">
        <v>16</v>
      </c>
      <c r="D20" s="47" t="s">
        <v>75</v>
      </c>
      <c r="E20" s="49">
        <v>17100</v>
      </c>
      <c r="F20" s="50">
        <v>0</v>
      </c>
      <c r="G20" s="49">
        <f>E20+F20</f>
        <v>17100</v>
      </c>
      <c r="H20" s="50">
        <v>0</v>
      </c>
      <c r="I20" s="50">
        <v>0</v>
      </c>
      <c r="J20" s="49">
        <v>1000</v>
      </c>
      <c r="K20" s="49">
        <v>7000</v>
      </c>
      <c r="L20" s="49">
        <v>1500</v>
      </c>
      <c r="M20" s="49">
        <v>100</v>
      </c>
      <c r="N20" s="88">
        <f>G20+H20+I20+J20+K20+L20+M20</f>
        <v>26700</v>
      </c>
      <c r="O20" s="89">
        <f>ROUND((G20*55%),0)</f>
        <v>9405</v>
      </c>
      <c r="P20" s="50">
        <v>0</v>
      </c>
      <c r="Q20" s="49">
        <f>ROUND((N20+O20),0)</f>
        <v>36105</v>
      </c>
      <c r="R20" s="49">
        <f>O20</f>
        <v>9405</v>
      </c>
      <c r="S20" s="51">
        <v>10</v>
      </c>
      <c r="T20" s="54">
        <f>ROUND((G20*10%),0)</f>
        <v>1710</v>
      </c>
      <c r="U20" s="50">
        <v>0</v>
      </c>
      <c r="V20" s="50">
        <v>0</v>
      </c>
      <c r="W20" s="50">
        <v>3200</v>
      </c>
      <c r="X20" s="56">
        <v>5040</v>
      </c>
      <c r="Y20" s="49">
        <f>ROUND((G20*1%),0)</f>
        <v>171</v>
      </c>
      <c r="Z20" s="50">
        <v>10</v>
      </c>
      <c r="AA20" s="50">
        <v>0</v>
      </c>
      <c r="AB20" s="50">
        <v>0</v>
      </c>
      <c r="AC20" s="50">
        <v>0</v>
      </c>
      <c r="AD20" s="52">
        <f>ROUND((SUM(R20:AC20)-S20),0)</f>
        <v>19536</v>
      </c>
      <c r="AE20" s="49">
        <f>Q20-AD20</f>
        <v>16569</v>
      </c>
      <c r="AF20" s="55"/>
    </row>
    <row r="21" spans="2:34" s="46" customFormat="1" ht="19.5" customHeight="1" x14ac:dyDescent="0.25">
      <c r="B21" s="47">
        <v>808</v>
      </c>
      <c r="C21" s="48" t="s">
        <v>62</v>
      </c>
      <c r="D21" s="47" t="s">
        <v>59</v>
      </c>
      <c r="E21" s="49">
        <v>15870</v>
      </c>
      <c r="F21" s="50">
        <v>0</v>
      </c>
      <c r="G21" s="49">
        <f>E21+F21</f>
        <v>15870</v>
      </c>
      <c r="H21" s="50">
        <v>0</v>
      </c>
      <c r="I21" s="50">
        <v>0</v>
      </c>
      <c r="J21" s="49">
        <v>1000</v>
      </c>
      <c r="K21" s="49">
        <f>ROUND((G21*45%),0)</f>
        <v>7142</v>
      </c>
      <c r="L21" s="49">
        <v>1500</v>
      </c>
      <c r="M21" s="49">
        <v>100</v>
      </c>
      <c r="N21" s="88">
        <f t="shared" si="2"/>
        <v>25612</v>
      </c>
      <c r="O21" s="89">
        <f>ROUND((G21*55%),0)</f>
        <v>8729</v>
      </c>
      <c r="P21" s="50">
        <v>0</v>
      </c>
      <c r="Q21" s="49">
        <f>ROUND((N21+O21),0)</f>
        <v>34341</v>
      </c>
      <c r="R21" s="49">
        <f>O21</f>
        <v>8729</v>
      </c>
      <c r="S21" s="51">
        <v>10</v>
      </c>
      <c r="T21" s="54">
        <f>ROUND((G21*10%),0)</f>
        <v>1587</v>
      </c>
      <c r="U21" s="50">
        <v>0</v>
      </c>
      <c r="V21" s="49">
        <f>K21</f>
        <v>7142</v>
      </c>
      <c r="W21" s="49">
        <v>1500</v>
      </c>
      <c r="X21" s="53">
        <v>0</v>
      </c>
      <c r="Y21" s="49">
        <f>ROUND((G21*1%),0)</f>
        <v>159</v>
      </c>
      <c r="Z21" s="50">
        <v>10</v>
      </c>
      <c r="AA21" s="50">
        <v>0</v>
      </c>
      <c r="AB21" s="50">
        <v>0</v>
      </c>
      <c r="AC21" s="50">
        <v>0</v>
      </c>
      <c r="AD21" s="52">
        <f>ROUND((SUM(R21:AC21)-S21),0)</f>
        <v>19127</v>
      </c>
      <c r="AE21" s="49">
        <f>Q21-AD21</f>
        <v>15214</v>
      </c>
      <c r="AF21" s="55"/>
    </row>
    <row r="22" spans="2:34" s="46" customFormat="1" ht="19.5" customHeight="1" x14ac:dyDescent="0.25">
      <c r="B22" s="47">
        <v>495</v>
      </c>
      <c r="C22" s="48" t="s">
        <v>32</v>
      </c>
      <c r="D22" s="47" t="s">
        <v>85</v>
      </c>
      <c r="E22" s="49">
        <v>10050</v>
      </c>
      <c r="F22" s="50">
        <v>0</v>
      </c>
      <c r="G22" s="49">
        <f>E22+F22</f>
        <v>10050</v>
      </c>
      <c r="H22" s="50">
        <v>0</v>
      </c>
      <c r="I22" s="50">
        <v>0</v>
      </c>
      <c r="J22" s="49">
        <v>1000</v>
      </c>
      <c r="K22" s="49">
        <f>ROUND((G22*45%),0)</f>
        <v>4523</v>
      </c>
      <c r="L22" s="49">
        <v>1500</v>
      </c>
      <c r="M22" s="49">
        <v>100</v>
      </c>
      <c r="N22" s="88">
        <f t="shared" si="2"/>
        <v>17173</v>
      </c>
      <c r="O22" s="89">
        <f>ROUND((G22*55%),0)</f>
        <v>5528</v>
      </c>
      <c r="P22" s="50">
        <v>0</v>
      </c>
      <c r="Q22" s="49">
        <f>ROUND((N22+O22),0)</f>
        <v>22701</v>
      </c>
      <c r="R22" s="49">
        <f>O22</f>
        <v>5528</v>
      </c>
      <c r="S22" s="51">
        <v>10</v>
      </c>
      <c r="T22" s="54">
        <f>ROUND((G22*10%),0)</f>
        <v>1005</v>
      </c>
      <c r="U22" s="50">
        <v>0</v>
      </c>
      <c r="V22" s="50">
        <v>0</v>
      </c>
      <c r="W22" s="50">
        <v>0</v>
      </c>
      <c r="X22" s="53">
        <v>0</v>
      </c>
      <c r="Y22" s="49">
        <f>ROUND((G22*1%),0)</f>
        <v>101</v>
      </c>
      <c r="Z22" s="50">
        <v>10</v>
      </c>
      <c r="AA22" s="50">
        <v>0</v>
      </c>
      <c r="AB22" s="50">
        <v>0</v>
      </c>
      <c r="AC22" s="50">
        <v>0</v>
      </c>
      <c r="AD22" s="52">
        <f>ROUND((SUM(R22:AC22)-S22),0)</f>
        <v>6644</v>
      </c>
      <c r="AE22" s="49">
        <f>Q22-AD22</f>
        <v>16057</v>
      </c>
      <c r="AF22" s="55"/>
    </row>
    <row r="23" spans="2:34" s="101" customFormat="1" ht="19.5" customHeight="1" x14ac:dyDescent="0.25">
      <c r="B23" s="47"/>
      <c r="C23" s="47" t="s">
        <v>6</v>
      </c>
      <c r="D23" s="48"/>
      <c r="E23" s="57">
        <f t="shared" ref="E23:K23" si="10">SUM(E20:E22)</f>
        <v>43020</v>
      </c>
      <c r="F23" s="58">
        <f t="shared" si="10"/>
        <v>0</v>
      </c>
      <c r="G23" s="57">
        <f t="shared" si="10"/>
        <v>43020</v>
      </c>
      <c r="H23" s="58">
        <f t="shared" si="10"/>
        <v>0</v>
      </c>
      <c r="I23" s="58">
        <f t="shared" si="10"/>
        <v>0</v>
      </c>
      <c r="J23" s="57">
        <f t="shared" si="10"/>
        <v>3000</v>
      </c>
      <c r="K23" s="57">
        <f t="shared" si="10"/>
        <v>18665</v>
      </c>
      <c r="L23" s="57">
        <f t="shared" ref="L23:R23" si="11">SUM(L20:L22)</f>
        <v>4500</v>
      </c>
      <c r="M23" s="57">
        <f t="shared" si="11"/>
        <v>300</v>
      </c>
      <c r="N23" s="97">
        <f t="shared" si="2"/>
        <v>69485</v>
      </c>
      <c r="O23" s="57">
        <f t="shared" si="11"/>
        <v>23662</v>
      </c>
      <c r="P23" s="58">
        <f t="shared" si="11"/>
        <v>0</v>
      </c>
      <c r="Q23" s="57">
        <f t="shared" si="11"/>
        <v>93147</v>
      </c>
      <c r="R23" s="57">
        <f t="shared" si="11"/>
        <v>23662</v>
      </c>
      <c r="S23" s="58">
        <v>0</v>
      </c>
      <c r="T23" s="57">
        <f t="shared" ref="T23:AA23" si="12">SUM(T20:T22)</f>
        <v>4302</v>
      </c>
      <c r="U23" s="58">
        <f t="shared" si="12"/>
        <v>0</v>
      </c>
      <c r="V23" s="57">
        <f t="shared" si="12"/>
        <v>7142</v>
      </c>
      <c r="W23" s="57">
        <f t="shared" si="12"/>
        <v>4700</v>
      </c>
      <c r="X23" s="57">
        <f t="shared" si="12"/>
        <v>5040</v>
      </c>
      <c r="Y23" s="57">
        <f t="shared" si="12"/>
        <v>431</v>
      </c>
      <c r="Z23" s="57">
        <f t="shared" si="12"/>
        <v>30</v>
      </c>
      <c r="AA23" s="58">
        <f t="shared" si="12"/>
        <v>0</v>
      </c>
      <c r="AB23" s="58">
        <v>0</v>
      </c>
      <c r="AC23" s="58">
        <f>SUM(AC20:AC22)</f>
        <v>0</v>
      </c>
      <c r="AD23" s="57">
        <f>SUM(AD20:AD22)</f>
        <v>45307</v>
      </c>
      <c r="AE23" s="57">
        <f>SUM(AE20:AE22)</f>
        <v>47840</v>
      </c>
      <c r="AF23" s="100"/>
    </row>
    <row r="24" spans="2:34" s="46" customFormat="1" ht="19.5" customHeight="1" x14ac:dyDescent="0.25">
      <c r="B24" s="60"/>
      <c r="C24" s="47" t="s">
        <v>13</v>
      </c>
      <c r="D24" s="48"/>
      <c r="E24" s="61">
        <f t="shared" ref="E24:P24" si="13">E19</f>
        <v>295062</v>
      </c>
      <c r="F24" s="62">
        <f t="shared" si="13"/>
        <v>684</v>
      </c>
      <c r="G24" s="61">
        <f t="shared" si="13"/>
        <v>295746</v>
      </c>
      <c r="H24" s="61">
        <f t="shared" si="13"/>
        <v>200</v>
      </c>
      <c r="I24" s="62">
        <f t="shared" si="13"/>
        <v>0</v>
      </c>
      <c r="J24" s="61">
        <f t="shared" si="13"/>
        <v>3000</v>
      </c>
      <c r="K24" s="61">
        <f t="shared" si="13"/>
        <v>113280</v>
      </c>
      <c r="L24" s="61">
        <f t="shared" si="13"/>
        <v>13500</v>
      </c>
      <c r="M24" s="62">
        <f t="shared" si="13"/>
        <v>0</v>
      </c>
      <c r="N24" s="88">
        <f>N19</f>
        <v>425726</v>
      </c>
      <c r="O24" s="61">
        <f>O19</f>
        <v>123560</v>
      </c>
      <c r="P24" s="61">
        <f t="shared" si="13"/>
        <v>8689</v>
      </c>
      <c r="Q24" s="49">
        <f>Q19</f>
        <v>557975</v>
      </c>
      <c r="R24" s="61">
        <f>R19</f>
        <v>123560</v>
      </c>
      <c r="S24" s="62">
        <v>0</v>
      </c>
      <c r="T24" s="61">
        <f t="shared" ref="T24:AE24" si="14">T19</f>
        <v>43198</v>
      </c>
      <c r="U24" s="62">
        <f t="shared" si="14"/>
        <v>8689</v>
      </c>
      <c r="V24" s="61">
        <f t="shared" si="14"/>
        <v>60386</v>
      </c>
      <c r="W24" s="61">
        <f t="shared" si="14"/>
        <v>21610</v>
      </c>
      <c r="X24" s="62">
        <f t="shared" si="14"/>
        <v>0</v>
      </c>
      <c r="Y24" s="61">
        <f t="shared" si="14"/>
        <v>1759</v>
      </c>
      <c r="Z24" s="62">
        <f t="shared" si="14"/>
        <v>90</v>
      </c>
      <c r="AA24" s="62">
        <f t="shared" si="14"/>
        <v>6</v>
      </c>
      <c r="AB24" s="62">
        <f>AB19</f>
        <v>1056</v>
      </c>
      <c r="AC24" s="62">
        <f t="shared" si="14"/>
        <v>3399</v>
      </c>
      <c r="AD24" s="62">
        <f t="shared" si="14"/>
        <v>263753</v>
      </c>
      <c r="AE24" s="61">
        <f t="shared" si="14"/>
        <v>294222</v>
      </c>
      <c r="AF24" s="55"/>
    </row>
    <row r="25" spans="2:34" s="46" customFormat="1" ht="18" customHeight="1" x14ac:dyDescent="0.25">
      <c r="B25" s="47"/>
      <c r="C25" s="63" t="s">
        <v>14</v>
      </c>
      <c r="D25" s="93"/>
      <c r="E25" s="57">
        <f>E23+E24</f>
        <v>338082</v>
      </c>
      <c r="F25" s="58">
        <f>F23+F24</f>
        <v>684</v>
      </c>
      <c r="G25" s="57">
        <f>G23+G24</f>
        <v>338766</v>
      </c>
      <c r="H25" s="57">
        <f t="shared" ref="H25:AC25" si="15">H23+H24</f>
        <v>200</v>
      </c>
      <c r="I25" s="58">
        <f t="shared" si="15"/>
        <v>0</v>
      </c>
      <c r="J25" s="57">
        <f t="shared" si="15"/>
        <v>6000</v>
      </c>
      <c r="K25" s="57">
        <f t="shared" si="15"/>
        <v>131945</v>
      </c>
      <c r="L25" s="57">
        <f t="shared" si="15"/>
        <v>18000</v>
      </c>
      <c r="M25" s="57">
        <f t="shared" si="15"/>
        <v>300</v>
      </c>
      <c r="N25" s="97">
        <f t="shared" si="2"/>
        <v>495211</v>
      </c>
      <c r="O25" s="57">
        <f>O23+O24</f>
        <v>147222</v>
      </c>
      <c r="P25" s="57">
        <f t="shared" si="15"/>
        <v>8689</v>
      </c>
      <c r="Q25" s="57">
        <f>Q23+Q24</f>
        <v>651122</v>
      </c>
      <c r="R25" s="57">
        <f>R23+R24</f>
        <v>147222</v>
      </c>
      <c r="S25" s="58">
        <f t="shared" si="15"/>
        <v>0</v>
      </c>
      <c r="T25" s="57">
        <f>T23+T24</f>
        <v>47500</v>
      </c>
      <c r="U25" s="57">
        <f>U23+U24</f>
        <v>8689</v>
      </c>
      <c r="V25" s="57">
        <f>V23+V24</f>
        <v>67528</v>
      </c>
      <c r="W25" s="57">
        <f>W23+W24</f>
        <v>26310</v>
      </c>
      <c r="X25" s="57">
        <f t="shared" si="15"/>
        <v>5040</v>
      </c>
      <c r="Y25" s="57">
        <f>Y23+Y24</f>
        <v>2190</v>
      </c>
      <c r="Z25" s="57">
        <f>Z23+Z24</f>
        <v>120</v>
      </c>
      <c r="AA25" s="58">
        <f t="shared" si="15"/>
        <v>6</v>
      </c>
      <c r="AB25" s="57">
        <f>AB23+AB24</f>
        <v>1056</v>
      </c>
      <c r="AC25" s="57">
        <f t="shared" si="15"/>
        <v>3399</v>
      </c>
      <c r="AD25" s="57">
        <f>AD23+AD24</f>
        <v>309060</v>
      </c>
      <c r="AE25" s="57">
        <f>AE23+AE24</f>
        <v>342062</v>
      </c>
      <c r="AF25" s="55"/>
      <c r="AH25" s="123">
        <f>G25+H25+J25+K25+L25+M25+O25+P25</f>
        <v>651122</v>
      </c>
    </row>
    <row r="26" spans="2:34" s="70" customFormat="1" ht="18.75" hidden="1" customHeight="1" x14ac:dyDescent="0.2">
      <c r="B26" s="44"/>
      <c r="C26" s="92"/>
      <c r="D26" s="64"/>
      <c r="E26" s="65">
        <f>SUM(E23)</f>
        <v>43020</v>
      </c>
      <c r="F26" s="65">
        <f>SUM(F23)</f>
        <v>0</v>
      </c>
      <c r="G26" s="65">
        <f>SUM(G23)</f>
        <v>43020</v>
      </c>
      <c r="H26" s="65"/>
      <c r="I26" s="65">
        <f>SUM(I23)</f>
        <v>0</v>
      </c>
      <c r="J26" s="65">
        <f>SUM(J23)</f>
        <v>3000</v>
      </c>
      <c r="K26" s="65">
        <f>SUM(K20:K23)</f>
        <v>37330</v>
      </c>
      <c r="L26" s="65">
        <f>SUM(L23)</f>
        <v>4500</v>
      </c>
      <c r="M26" s="65">
        <f>SUM(M23)</f>
        <v>300</v>
      </c>
      <c r="N26" s="65">
        <f>SUM(N20:N23)</f>
        <v>138970</v>
      </c>
      <c r="O26" s="65">
        <f>SUM(O23)</f>
        <v>23662</v>
      </c>
      <c r="P26" s="65">
        <f>SUM(P23)</f>
        <v>0</v>
      </c>
      <c r="Q26" s="65">
        <f>SUM(Q20:Q23)</f>
        <v>186294</v>
      </c>
      <c r="R26" s="65">
        <f>SUM(R23)</f>
        <v>23662</v>
      </c>
      <c r="S26" s="65">
        <f>SUM(S20:S23)</f>
        <v>30</v>
      </c>
      <c r="T26" s="66">
        <f>SUM(T20:T23)</f>
        <v>8604</v>
      </c>
      <c r="U26" s="66">
        <f>SUM(U23)</f>
        <v>0</v>
      </c>
      <c r="V26" s="65">
        <f>SUM(V20:V23)</f>
        <v>14284</v>
      </c>
      <c r="W26" s="65">
        <f t="shared" ref="W26:AC26" si="16">SUM(W23)</f>
        <v>4700</v>
      </c>
      <c r="X26" s="67">
        <f t="shared" si="16"/>
        <v>5040</v>
      </c>
      <c r="Y26" s="68">
        <f t="shared" si="16"/>
        <v>431</v>
      </c>
      <c r="Z26" s="67">
        <f t="shared" si="16"/>
        <v>30</v>
      </c>
      <c r="AA26" s="65">
        <f t="shared" si="16"/>
        <v>0</v>
      </c>
      <c r="AB26" s="65"/>
      <c r="AC26" s="65">
        <f t="shared" si="16"/>
        <v>0</v>
      </c>
      <c r="AD26" s="52">
        <f>R26+T26+U26+V26+W26+X26+Y26+Z26+AA26</f>
        <v>56751</v>
      </c>
      <c r="AE26" s="65">
        <f>SUM(AE20:AE23)</f>
        <v>95680</v>
      </c>
      <c r="AF26" s="69"/>
    </row>
    <row r="27" spans="2:34" s="70" customFormat="1" ht="21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3"/>
      <c r="U27" s="73"/>
      <c r="V27" s="69"/>
      <c r="W27" s="69"/>
      <c r="X27" s="74"/>
      <c r="Y27" s="75"/>
      <c r="Z27" s="74"/>
      <c r="AA27" s="69"/>
      <c r="AB27" s="69"/>
      <c r="AC27" s="69"/>
      <c r="AD27" s="69"/>
      <c r="AE27" s="69"/>
      <c r="AF27" s="69"/>
    </row>
    <row r="28" spans="2:34" s="70" customFormat="1" ht="15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73"/>
      <c r="U28" s="73"/>
      <c r="V28" s="69"/>
      <c r="W28" s="69"/>
      <c r="X28" s="74"/>
      <c r="Y28" s="75"/>
      <c r="Z28" s="74"/>
      <c r="AA28" s="69"/>
      <c r="AB28" s="69"/>
      <c r="AC28" s="69"/>
      <c r="AD28" s="69"/>
      <c r="AE28" s="69"/>
      <c r="AF28" s="69"/>
    </row>
    <row r="29" spans="2:34" s="70" customFormat="1" ht="18" hidden="1" customHeight="1" x14ac:dyDescent="0.2">
      <c r="B29" s="71"/>
      <c r="C29" s="48"/>
      <c r="D29" s="72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73"/>
      <c r="U29" s="73"/>
      <c r="V29" s="69"/>
      <c r="W29" s="69"/>
      <c r="X29" s="74"/>
      <c r="Y29" s="75"/>
      <c r="Z29" s="74"/>
      <c r="AA29" s="69"/>
      <c r="AB29" s="69"/>
      <c r="AC29" s="69"/>
      <c r="AD29" s="69"/>
      <c r="AE29" s="69"/>
      <c r="AF29" s="69"/>
    </row>
    <row r="30" spans="2:34" s="70" customFormat="1" ht="15.75" hidden="1" customHeight="1" x14ac:dyDescent="0.2">
      <c r="B30" s="71"/>
      <c r="C30" s="48"/>
      <c r="D30" s="48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7"/>
      <c r="Y30" s="77"/>
      <c r="Z30" s="77"/>
      <c r="AA30" s="76"/>
      <c r="AB30" s="76"/>
      <c r="AC30" s="76"/>
      <c r="AD30" s="76"/>
      <c r="AE30" s="76"/>
      <c r="AF30" s="76"/>
    </row>
    <row r="31" spans="2:34" s="70" customFormat="1" ht="18.75" hidden="1" customHeight="1" x14ac:dyDescent="0.2">
      <c r="B31" s="78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3"/>
      <c r="U31" s="73"/>
      <c r="V31" s="69"/>
      <c r="W31" s="69"/>
      <c r="X31" s="74"/>
      <c r="Y31" s="75"/>
      <c r="Z31" s="74"/>
      <c r="AA31" s="69"/>
      <c r="AB31" s="69"/>
      <c r="AC31" s="69"/>
      <c r="AD31" s="69"/>
      <c r="AE31" s="69"/>
      <c r="AF31" s="69"/>
    </row>
    <row r="32" spans="2:34" s="70" customFormat="1" ht="18" hidden="1" customHeight="1" x14ac:dyDescent="0.2">
      <c r="B32" s="71"/>
      <c r="C32" s="48"/>
      <c r="D32" s="7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3"/>
      <c r="U32" s="73"/>
      <c r="V32" s="69"/>
      <c r="W32" s="69"/>
      <c r="X32" s="74"/>
      <c r="Y32" s="75"/>
      <c r="Z32" s="74"/>
      <c r="AA32" s="69"/>
      <c r="AB32" s="69"/>
      <c r="AC32" s="69"/>
      <c r="AD32" s="69"/>
      <c r="AE32" s="69"/>
      <c r="AF32" s="69"/>
    </row>
    <row r="33" spans="1:251" s="70" customFormat="1" ht="23.25" hidden="1" customHeight="1" x14ac:dyDescent="0.2">
      <c r="B33" s="71"/>
      <c r="C33" s="48"/>
      <c r="D33" s="48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6"/>
      <c r="AB33" s="76"/>
      <c r="AC33" s="76"/>
      <c r="AD33" s="76"/>
      <c r="AE33" s="76"/>
      <c r="AF33" s="76"/>
    </row>
    <row r="34" spans="1:251" s="70" customFormat="1" ht="24.75" hidden="1" customHeight="1" x14ac:dyDescent="0.2">
      <c r="B34" s="78"/>
      <c r="C34" s="48"/>
      <c r="D34" s="48"/>
      <c r="E34" s="76"/>
      <c r="F34" s="76"/>
      <c r="G34" s="79"/>
      <c r="H34" s="79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7"/>
      <c r="Y34" s="77"/>
      <c r="Z34" s="77"/>
      <c r="AA34" s="76"/>
      <c r="AB34" s="76"/>
      <c r="AC34" s="76"/>
      <c r="AD34" s="76"/>
      <c r="AE34" s="76"/>
      <c r="AF34" s="76"/>
    </row>
    <row r="35" spans="1:251" s="70" customFormat="1" ht="0.75" hidden="1" customHeight="1" x14ac:dyDescent="0.2">
      <c r="B35" s="78"/>
      <c r="C35" s="48"/>
      <c r="D35" s="7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73"/>
      <c r="U35" s="73"/>
      <c r="V35" s="69"/>
      <c r="W35" s="69"/>
      <c r="X35" s="74"/>
      <c r="Y35" s="75"/>
      <c r="Z35" s="74"/>
      <c r="AA35" s="69"/>
      <c r="AB35" s="69"/>
      <c r="AC35" s="69"/>
      <c r="AD35" s="69"/>
      <c r="AE35" s="69"/>
      <c r="AF35" s="69"/>
    </row>
    <row r="36" spans="1:251" s="70" customFormat="1" ht="24.75" hidden="1" customHeight="1" x14ac:dyDescent="0.2">
      <c r="B36" s="71"/>
      <c r="C36" s="48"/>
      <c r="D36" s="48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7"/>
      <c r="Y36" s="77"/>
      <c r="Z36" s="77"/>
      <c r="AA36" s="76"/>
      <c r="AB36" s="76"/>
      <c r="AC36" s="76"/>
      <c r="AD36" s="76"/>
      <c r="AE36" s="76"/>
      <c r="AF36" s="76"/>
    </row>
    <row r="37" spans="1:251" s="70" customFormat="1" ht="24" hidden="1" customHeight="1" x14ac:dyDescent="0.2">
      <c r="B37" s="80"/>
      <c r="C37" s="81"/>
      <c r="D37" s="8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82"/>
      <c r="Y37" s="82"/>
      <c r="Z37" s="82"/>
      <c r="AA37" s="79"/>
      <c r="AB37" s="79"/>
      <c r="AC37" s="79"/>
      <c r="AD37" s="79"/>
      <c r="AE37" s="79"/>
      <c r="AF37" s="79"/>
    </row>
    <row r="38" spans="1:251" s="70" customFormat="1" ht="24" customHeight="1" x14ac:dyDescent="0.2">
      <c r="B38" s="83" t="s">
        <v>15</v>
      </c>
      <c r="C38" s="626" t="s">
        <v>83</v>
      </c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626"/>
      <c r="AB38" s="83"/>
      <c r="AC38" s="84"/>
      <c r="AD38" s="84"/>
      <c r="AE38" s="84"/>
      <c r="AF38" s="85"/>
    </row>
    <row r="39" spans="1:251" s="70" customFormat="1" ht="24" customHeight="1" x14ac:dyDescent="0.2">
      <c r="A39" s="617" t="s">
        <v>82</v>
      </c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  <c r="O39" s="617"/>
      <c r="P39" s="617"/>
      <c r="Q39" s="617"/>
      <c r="R39" s="617"/>
      <c r="S39" s="617"/>
      <c r="T39" s="617"/>
      <c r="U39" s="617"/>
      <c r="V39" s="617"/>
      <c r="W39" s="617"/>
      <c r="X39" s="617"/>
      <c r="Y39" s="617"/>
      <c r="Z39" s="617"/>
      <c r="AA39" s="617"/>
      <c r="AB39" s="617"/>
      <c r="AC39" s="617"/>
      <c r="AD39" s="617"/>
      <c r="AE39" s="617"/>
      <c r="AF39" s="617"/>
      <c r="AG39" s="617"/>
      <c r="AH39" s="617"/>
      <c r="AI39" s="617"/>
      <c r="AJ39" s="617"/>
      <c r="AK39" s="617"/>
      <c r="AL39" s="617"/>
      <c r="AM39" s="617"/>
      <c r="AN39" s="617"/>
      <c r="AO39" s="617"/>
      <c r="AP39" s="617"/>
      <c r="AQ39" s="617"/>
      <c r="AR39" s="617"/>
      <c r="AS39" s="617"/>
      <c r="AT39" s="617"/>
      <c r="AU39" s="617"/>
      <c r="AV39" s="617"/>
      <c r="AW39" s="617"/>
      <c r="AX39" s="617"/>
      <c r="AY39" s="617"/>
      <c r="AZ39" s="617"/>
      <c r="BA39" s="617"/>
      <c r="BB39" s="617"/>
      <c r="BC39" s="617"/>
      <c r="BD39" s="617"/>
      <c r="BE39" s="617"/>
      <c r="BF39" s="617"/>
      <c r="BG39" s="617"/>
      <c r="BH39" s="617" t="s">
        <v>81</v>
      </c>
      <c r="BI39" s="617"/>
      <c r="BJ39" s="617"/>
      <c r="BK39" s="617"/>
      <c r="BL39" s="617"/>
      <c r="BM39" s="617"/>
      <c r="BN39" s="617"/>
      <c r="BO39" s="617"/>
      <c r="BP39" s="617"/>
      <c r="BQ39" s="617"/>
      <c r="BR39" s="617"/>
      <c r="BS39" s="617"/>
      <c r="BT39" s="617"/>
      <c r="BU39" s="617"/>
      <c r="BV39" s="617"/>
      <c r="BW39" s="617"/>
      <c r="BX39" s="617"/>
      <c r="BY39" s="617"/>
      <c r="BZ39" s="617"/>
      <c r="CA39" s="617"/>
      <c r="CB39" s="617"/>
      <c r="CC39" s="617"/>
      <c r="CD39" s="617"/>
      <c r="CE39" s="617"/>
      <c r="CF39" s="617"/>
      <c r="CG39" s="617"/>
      <c r="CH39" s="617"/>
      <c r="CI39" s="617"/>
      <c r="CJ39" s="617"/>
      <c r="CK39" s="617"/>
      <c r="CL39" s="617"/>
      <c r="CM39" s="617"/>
      <c r="CN39" s="617" t="s">
        <v>81</v>
      </c>
      <c r="CO39" s="617"/>
      <c r="CP39" s="617"/>
      <c r="CQ39" s="617"/>
      <c r="CR39" s="617"/>
      <c r="CS39" s="617"/>
      <c r="CT39" s="617"/>
      <c r="CU39" s="617"/>
      <c r="CV39" s="617"/>
      <c r="CW39" s="617"/>
      <c r="CX39" s="617"/>
      <c r="CY39" s="617"/>
      <c r="CZ39" s="617"/>
      <c r="DA39" s="617"/>
      <c r="DB39" s="617"/>
      <c r="DC39" s="617"/>
      <c r="DD39" s="617"/>
      <c r="DE39" s="617"/>
      <c r="DF39" s="617"/>
      <c r="DG39" s="617"/>
      <c r="DH39" s="617"/>
      <c r="DI39" s="617"/>
      <c r="DJ39" s="617"/>
      <c r="DK39" s="617"/>
      <c r="DL39" s="617"/>
      <c r="DM39" s="617"/>
      <c r="DN39" s="617"/>
      <c r="DO39" s="617"/>
      <c r="DP39" s="617"/>
      <c r="DQ39" s="617"/>
      <c r="DR39" s="617"/>
      <c r="DS39" s="617"/>
      <c r="DT39" s="617" t="s">
        <v>81</v>
      </c>
      <c r="DU39" s="617"/>
      <c r="DV39" s="617"/>
      <c r="DW39" s="617"/>
      <c r="DX39" s="617"/>
      <c r="DY39" s="617"/>
      <c r="DZ39" s="617"/>
      <c r="EA39" s="617"/>
      <c r="EB39" s="617"/>
      <c r="EC39" s="617"/>
      <c r="ED39" s="617"/>
      <c r="EE39" s="617"/>
      <c r="EF39" s="617"/>
      <c r="EG39" s="617"/>
      <c r="EH39" s="617"/>
      <c r="EI39" s="617"/>
      <c r="EJ39" s="617"/>
      <c r="EK39" s="617"/>
      <c r="EL39" s="617"/>
      <c r="EM39" s="617"/>
      <c r="EN39" s="617"/>
      <c r="EO39" s="617"/>
      <c r="EP39" s="617"/>
      <c r="EQ39" s="617"/>
      <c r="ER39" s="617"/>
      <c r="ES39" s="617"/>
      <c r="ET39" s="617"/>
      <c r="EU39" s="617"/>
      <c r="EV39" s="617"/>
      <c r="EW39" s="617"/>
      <c r="EX39" s="617"/>
      <c r="EY39" s="617"/>
      <c r="EZ39" s="617" t="s">
        <v>81</v>
      </c>
      <c r="FA39" s="617"/>
      <c r="FB39" s="617"/>
      <c r="FC39" s="617"/>
      <c r="FD39" s="617"/>
      <c r="FE39" s="617"/>
      <c r="FF39" s="617"/>
      <c r="FG39" s="617"/>
      <c r="FH39" s="617"/>
      <c r="FI39" s="617"/>
      <c r="FJ39" s="617"/>
      <c r="FK39" s="617"/>
      <c r="FL39" s="617"/>
      <c r="FM39" s="617"/>
      <c r="FN39" s="617"/>
      <c r="FO39" s="617"/>
      <c r="FP39" s="617"/>
      <c r="FQ39" s="617"/>
      <c r="FR39" s="617"/>
      <c r="FS39" s="617"/>
      <c r="FT39" s="617"/>
      <c r="FU39" s="617"/>
      <c r="FV39" s="617"/>
      <c r="FW39" s="617"/>
      <c r="FX39" s="617"/>
      <c r="FY39" s="617"/>
      <c r="FZ39" s="617"/>
      <c r="GA39" s="617"/>
      <c r="GB39" s="617"/>
      <c r="GC39" s="617"/>
      <c r="GD39" s="617"/>
      <c r="GE39" s="617"/>
      <c r="GF39" s="617" t="s">
        <v>81</v>
      </c>
      <c r="GG39" s="617"/>
      <c r="GH39" s="617"/>
      <c r="GI39" s="617"/>
      <c r="GJ39" s="617"/>
      <c r="GK39" s="617"/>
      <c r="GL39" s="617"/>
      <c r="GM39" s="617"/>
      <c r="GN39" s="617"/>
      <c r="GO39" s="617"/>
      <c r="GP39" s="617"/>
      <c r="GQ39" s="617"/>
      <c r="GR39" s="617"/>
      <c r="GS39" s="617"/>
      <c r="GT39" s="617"/>
      <c r="GU39" s="617"/>
      <c r="GV39" s="617"/>
      <c r="GW39" s="617"/>
      <c r="GX39" s="617"/>
      <c r="GY39" s="617"/>
      <c r="GZ39" s="617"/>
      <c r="HA39" s="617"/>
      <c r="HB39" s="617"/>
      <c r="HC39" s="617"/>
      <c r="HD39" s="617"/>
      <c r="HE39" s="617"/>
      <c r="HF39" s="617"/>
      <c r="HG39" s="617"/>
      <c r="HH39" s="617"/>
      <c r="HI39" s="617"/>
      <c r="HJ39" s="617"/>
      <c r="HK39" s="617"/>
      <c r="HL39" s="617" t="s">
        <v>81</v>
      </c>
      <c r="HM39" s="617"/>
      <c r="HN39" s="617"/>
      <c r="HO39" s="617"/>
      <c r="HP39" s="617"/>
      <c r="HQ39" s="617"/>
      <c r="HR39" s="617"/>
      <c r="HS39" s="617"/>
      <c r="HT39" s="617"/>
      <c r="HU39" s="617"/>
      <c r="HV39" s="617"/>
      <c r="HW39" s="617"/>
      <c r="HX39" s="617"/>
      <c r="HY39" s="617"/>
      <c r="HZ39" s="617"/>
      <c r="IA39" s="617"/>
      <c r="IB39" s="617"/>
      <c r="IC39" s="617"/>
      <c r="ID39" s="617"/>
      <c r="IE39" s="617"/>
      <c r="IF39" s="617"/>
      <c r="IG39" s="617"/>
      <c r="IH39" s="617"/>
      <c r="II39" s="617"/>
      <c r="IJ39" s="617"/>
      <c r="IK39" s="617"/>
      <c r="IL39" s="617"/>
      <c r="IM39" s="617"/>
      <c r="IN39" s="617"/>
      <c r="IO39" s="617"/>
      <c r="IP39" s="617"/>
      <c r="IQ39" s="617"/>
    </row>
    <row r="40" spans="1:251" s="70" customFormat="1" ht="26.25" customHeight="1" x14ac:dyDescent="0.2">
      <c r="B40" s="86"/>
      <c r="C40" s="13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87"/>
      <c r="AD40" s="87"/>
      <c r="AE40" s="87"/>
      <c r="AF40" s="87"/>
    </row>
    <row r="41" spans="1:251" ht="17.25" customHeight="1" x14ac:dyDescent="0.25">
      <c r="B41" s="22"/>
      <c r="D41" s="616" t="s">
        <v>80</v>
      </c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22"/>
    </row>
    <row r="42" spans="1:251" ht="13.5" customHeight="1" x14ac:dyDescent="0.2">
      <c r="B42" s="616" t="s">
        <v>86</v>
      </c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23"/>
      <c r="AG42" s="6"/>
      <c r="AH42" s="6"/>
    </row>
    <row r="43" spans="1:251" ht="24.95" customHeight="1" x14ac:dyDescent="0.25">
      <c r="B43" s="22"/>
      <c r="C43" s="135"/>
      <c r="D43" s="14"/>
      <c r="E43" s="22"/>
      <c r="F43" s="22"/>
      <c r="G43" s="22"/>
      <c r="H43" s="22"/>
      <c r="I43" s="3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"/>
      <c r="Y43" s="2"/>
      <c r="Z43" s="617" t="s">
        <v>81</v>
      </c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  <c r="AR43" s="617"/>
      <c r="AS43" s="617"/>
      <c r="AT43" s="617"/>
      <c r="AU43" s="617"/>
      <c r="AV43" s="617"/>
      <c r="AW43" s="617"/>
      <c r="AX43" s="617"/>
      <c r="AY43" s="617"/>
      <c r="AZ43" s="617"/>
      <c r="BA43" s="617"/>
    </row>
    <row r="44" spans="1:251" ht="16.5" customHeight="1" x14ac:dyDescent="0.25">
      <c r="C44" s="618"/>
      <c r="D44" s="618"/>
      <c r="E44" s="618"/>
      <c r="F44" s="618"/>
      <c r="G44" s="618"/>
      <c r="H44" s="618"/>
      <c r="I44" s="618"/>
      <c r="J44" s="618"/>
      <c r="K44" s="618"/>
      <c r="L44" s="618"/>
      <c r="M44" s="618"/>
      <c r="N44" s="618"/>
      <c r="O44" s="26"/>
      <c r="P44" s="5"/>
      <c r="Q44" s="5"/>
      <c r="R44" s="5"/>
      <c r="S44" s="617"/>
      <c r="T44" s="617"/>
      <c r="U44" s="617"/>
      <c r="V44" s="617"/>
      <c r="W44" s="617"/>
      <c r="X44" s="617"/>
      <c r="Y44" s="617"/>
      <c r="Z44" s="617"/>
      <c r="AA44" s="617"/>
      <c r="AB44" s="617"/>
      <c r="AC44" s="617"/>
      <c r="AD44" s="617"/>
      <c r="AE44" s="617"/>
      <c r="AF44" s="617"/>
      <c r="AG44" s="617"/>
      <c r="AH44" s="617"/>
      <c r="AI44" s="617"/>
      <c r="AJ44" s="617"/>
      <c r="AK44" s="617"/>
      <c r="AL44" s="617"/>
      <c r="AM44" s="617"/>
      <c r="AN44" s="617"/>
      <c r="AO44" s="617"/>
      <c r="AP44" s="617"/>
      <c r="AQ44" s="617"/>
      <c r="AR44" s="617"/>
      <c r="AS44" s="617"/>
      <c r="AT44" s="617"/>
    </row>
    <row r="45" spans="1:251" ht="16.5" customHeight="1" x14ac:dyDescent="0.25">
      <c r="B45" s="5"/>
      <c r="E45" s="9"/>
      <c r="F45" s="10"/>
      <c r="G45" s="9"/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11"/>
      <c r="Y45" s="11"/>
      <c r="AA45" s="11"/>
      <c r="AB45" s="11"/>
      <c r="AC45" s="5"/>
      <c r="AD45" s="5"/>
      <c r="AE45" s="5"/>
      <c r="AF45" s="5"/>
    </row>
    <row r="46" spans="1:251" ht="16.5" customHeight="1" x14ac:dyDescent="0.25">
      <c r="B46" s="5"/>
      <c r="E46" s="9"/>
      <c r="F46" s="10"/>
      <c r="G46" s="9"/>
      <c r="H46" s="9"/>
      <c r="I46" s="5"/>
      <c r="J46" s="4"/>
      <c r="K46" s="4"/>
      <c r="L46" s="14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2"/>
      <c r="Z46" s="12"/>
      <c r="AA46" s="11"/>
      <c r="AB46" s="11"/>
      <c r="AC46" s="5"/>
      <c r="AD46" s="5"/>
      <c r="AE46" s="5"/>
      <c r="AF46" s="5"/>
    </row>
    <row r="47" spans="1:251" ht="16.5" customHeight="1" x14ac:dyDescent="0.25">
      <c r="B47" s="5"/>
      <c r="E47" s="9"/>
      <c r="F47" s="10"/>
      <c r="G47" s="9"/>
      <c r="H47" s="9"/>
      <c r="I47" s="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1"/>
      <c r="Y47" s="11"/>
      <c r="Z47" s="11"/>
      <c r="AA47" s="11"/>
      <c r="AB47" s="11"/>
      <c r="AC47" s="5"/>
      <c r="AD47" s="5"/>
      <c r="AE47" s="5"/>
      <c r="AF47" s="5"/>
    </row>
    <row r="48" spans="1:251" ht="24.95" customHeight="1" x14ac:dyDescent="0.25">
      <c r="B48" s="2"/>
      <c r="C48" s="13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AA48" s="12"/>
      <c r="AB48" s="12"/>
      <c r="AC48" s="3"/>
      <c r="AD48" s="2"/>
      <c r="AE48" s="3"/>
      <c r="AF48" s="2"/>
    </row>
    <row r="49" spans="2:36" ht="24.95" customHeight="1" x14ac:dyDescent="0.25">
      <c r="B49" s="2"/>
      <c r="C49" s="135"/>
      <c r="E49" s="2"/>
      <c r="F49" s="2"/>
      <c r="G49" s="2"/>
      <c r="H49" s="2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12"/>
      <c r="Z49" s="12"/>
      <c r="AA49" s="12"/>
      <c r="AB49" s="12"/>
      <c r="AC49" s="3"/>
      <c r="AD49" s="2"/>
      <c r="AE49" s="3"/>
      <c r="AF49" s="2"/>
    </row>
    <row r="50" spans="2:36" ht="24.95" customHeight="1" x14ac:dyDescent="0.25">
      <c r="B50" s="2"/>
      <c r="C50" s="135"/>
      <c r="E50" s="2"/>
      <c r="F50" s="2"/>
      <c r="G50" s="2"/>
      <c r="H50" s="2"/>
      <c r="I50" s="5"/>
      <c r="Z50" s="12"/>
      <c r="AA50" s="12"/>
      <c r="AB50" s="12"/>
      <c r="AC50" s="3"/>
      <c r="AD50" s="2"/>
      <c r="AE50" s="2"/>
      <c r="AF50" s="2"/>
    </row>
    <row r="51" spans="2:36" ht="24.95" customHeight="1" x14ac:dyDescent="0.25">
      <c r="B51" s="5"/>
      <c r="E51" s="5"/>
      <c r="F51" s="5"/>
      <c r="G51" s="5"/>
      <c r="H51" s="5"/>
      <c r="X51" s="11"/>
      <c r="Y51" s="11"/>
      <c r="Z51" s="11"/>
      <c r="AA51" s="11"/>
      <c r="AB51" s="11"/>
      <c r="AC51" s="5"/>
      <c r="AD51" s="5"/>
      <c r="AE51" s="5"/>
      <c r="AF51" s="5"/>
    </row>
    <row r="53" spans="2:36" ht="24.95" customHeight="1" x14ac:dyDescent="0.25">
      <c r="AJ53" s="105"/>
    </row>
  </sheetData>
  <mergeCells count="18">
    <mergeCell ref="C44:N44"/>
    <mergeCell ref="S44:AT44"/>
    <mergeCell ref="EZ39:GE39"/>
    <mergeCell ref="B2:AE4"/>
    <mergeCell ref="B1:AE1"/>
    <mergeCell ref="D41:AE41"/>
    <mergeCell ref="B42:AE42"/>
    <mergeCell ref="Z43:BA43"/>
    <mergeCell ref="GF39:HK39"/>
    <mergeCell ref="HL39:IQ39"/>
    <mergeCell ref="K6:R6"/>
    <mergeCell ref="C38:AA38"/>
    <mergeCell ref="R8:AC8"/>
    <mergeCell ref="BH39:CM39"/>
    <mergeCell ref="AF39:BG39"/>
    <mergeCell ref="A39:AE39"/>
    <mergeCell ref="CN39:DS39"/>
    <mergeCell ref="DT39:EY39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BreakPreview" zoomScale="115" zoomScaleSheetLayoutView="115" workbookViewId="0">
      <selection activeCell="A16" sqref="A16:E16"/>
    </sheetView>
  </sheetViews>
  <sheetFormatPr defaultRowHeight="15.75" x14ac:dyDescent="0.25"/>
  <cols>
    <col min="1" max="1" width="7.42578125" style="223" customWidth="1"/>
    <col min="2" max="2" width="16.140625" style="223" customWidth="1"/>
    <col min="3" max="3" width="26.5703125" style="223" customWidth="1"/>
    <col min="4" max="4" width="18.28515625" style="223" customWidth="1"/>
    <col min="5" max="5" width="19.140625" style="358" customWidth="1"/>
    <col min="6" max="7" width="9.140625" style="223"/>
    <col min="8" max="9" width="11.7109375" style="223" bestFit="1" customWidth="1"/>
    <col min="10" max="10" width="13.28515625" style="223" bestFit="1" customWidth="1"/>
    <col min="11" max="11" width="9.140625" style="223"/>
    <col min="12" max="12" width="13.140625" style="223" bestFit="1" customWidth="1"/>
    <col min="13" max="16384" width="9.140625" style="223"/>
  </cols>
  <sheetData>
    <row r="1" spans="1:11" ht="18.75" x14ac:dyDescent="0.3">
      <c r="A1" s="529" t="s">
        <v>242</v>
      </c>
      <c r="B1" s="529"/>
      <c r="C1" s="529"/>
      <c r="D1" s="529"/>
      <c r="E1" s="529"/>
      <c r="F1" s="529"/>
    </row>
    <row r="2" spans="1:11" ht="16.5" x14ac:dyDescent="0.25">
      <c r="A2" s="530" t="s">
        <v>151</v>
      </c>
      <c r="B2" s="530"/>
      <c r="C2" s="530"/>
      <c r="D2" s="530"/>
      <c r="E2" s="530"/>
      <c r="F2" s="530"/>
    </row>
    <row r="4" spans="1:11" x14ac:dyDescent="0.25">
      <c r="K4" s="224"/>
    </row>
    <row r="5" spans="1:11" x14ac:dyDescent="0.25">
      <c r="A5" s="531" t="s">
        <v>161</v>
      </c>
      <c r="B5" s="531"/>
      <c r="C5" s="531"/>
      <c r="D5" s="531"/>
      <c r="E5" s="498" t="str">
        <f>Salary!P4</f>
        <v>August, 2021</v>
      </c>
      <c r="F5" s="225"/>
    </row>
    <row r="8" spans="1:11" s="226" customFormat="1" x14ac:dyDescent="0.2">
      <c r="A8" s="300" t="s">
        <v>153</v>
      </c>
      <c r="B8" s="300" t="s">
        <v>228</v>
      </c>
      <c r="C8" s="300" t="s">
        <v>154</v>
      </c>
      <c r="D8" s="300" t="s">
        <v>21</v>
      </c>
      <c r="E8" s="353" t="s">
        <v>162</v>
      </c>
      <c r="H8" s="532" t="s">
        <v>229</v>
      </c>
      <c r="I8" s="532"/>
      <c r="J8" s="532"/>
    </row>
    <row r="9" spans="1:11" s="356" customFormat="1" x14ac:dyDescent="0.25">
      <c r="A9" s="357">
        <v>1</v>
      </c>
      <c r="B9" s="354" t="s">
        <v>293</v>
      </c>
      <c r="C9" s="355" t="str">
        <f>Salary!D9</f>
        <v>Md: Mohin Uddin Morshed</v>
      </c>
      <c r="D9" s="357" t="str">
        <f>Salary!E9</f>
        <v>Pr. Officer</v>
      </c>
      <c r="E9" s="361">
        <v>6648</v>
      </c>
      <c r="F9" s="369">
        <v>0.44</v>
      </c>
      <c r="H9" s="534">
        <f>E9+E10</f>
        <v>15110</v>
      </c>
      <c r="I9" s="534">
        <f>Salary!V9</f>
        <v>15110</v>
      </c>
      <c r="J9" s="536">
        <f>I9-H9</f>
        <v>0</v>
      </c>
    </row>
    <row r="10" spans="1:11" s="356" customFormat="1" x14ac:dyDescent="0.25">
      <c r="A10" s="357">
        <v>2</v>
      </c>
      <c r="B10" s="354" t="s">
        <v>294</v>
      </c>
      <c r="C10" s="355" t="str">
        <f>Salary!D9</f>
        <v>Md: Mohin Uddin Morshed</v>
      </c>
      <c r="D10" s="357" t="str">
        <f>Salary!E9</f>
        <v>Pr. Officer</v>
      </c>
      <c r="E10" s="361">
        <v>8462</v>
      </c>
      <c r="F10" s="369">
        <v>0.56000000000000005</v>
      </c>
      <c r="H10" s="535"/>
      <c r="I10" s="535"/>
      <c r="J10" s="537"/>
    </row>
    <row r="11" spans="1:11" x14ac:dyDescent="0.25">
      <c r="A11" s="371">
        <v>3</v>
      </c>
      <c r="B11" s="312" t="s">
        <v>257</v>
      </c>
      <c r="C11" s="309" t="str">
        <f>Salary!D18</f>
        <v>Md. Shajahan Sarkar</v>
      </c>
      <c r="D11" s="310" t="str">
        <f>Salary!E18</f>
        <v>S.S.Grade-2</v>
      </c>
      <c r="E11" s="362">
        <v>4119</v>
      </c>
      <c r="F11" s="294">
        <v>0.56000000000000005</v>
      </c>
      <c r="H11" s="525">
        <f>E11+E12</f>
        <v>7356</v>
      </c>
      <c r="I11" s="525">
        <f>Salary!V18</f>
        <v>7356</v>
      </c>
      <c r="J11" s="533">
        <f>I11-H11</f>
        <v>0</v>
      </c>
      <c r="K11" s="165"/>
    </row>
    <row r="12" spans="1:11" s="251" customFormat="1" x14ac:dyDescent="0.25">
      <c r="A12" s="371">
        <v>4</v>
      </c>
      <c r="B12" s="296" t="s">
        <v>258</v>
      </c>
      <c r="C12" s="351" t="str">
        <f>Salary!D18</f>
        <v>Md. Shajahan Sarkar</v>
      </c>
      <c r="D12" s="298" t="str">
        <f>Salary!E18</f>
        <v>S.S.Grade-2</v>
      </c>
      <c r="E12" s="363">
        <v>3237</v>
      </c>
      <c r="F12" s="294">
        <v>0.44</v>
      </c>
      <c r="H12" s="525"/>
      <c r="I12" s="525"/>
      <c r="J12" s="533"/>
    </row>
    <row r="13" spans="1:11" s="251" customFormat="1" ht="16.5" thickBot="1" x14ac:dyDescent="0.3">
      <c r="A13" s="371">
        <v>5</v>
      </c>
      <c r="B13" s="313" t="s">
        <v>274</v>
      </c>
      <c r="C13" s="352" t="str">
        <f>Salary!D17</f>
        <v>Md. Abdur Rahim</v>
      </c>
      <c r="D13" s="314" t="str">
        <f>Salary!E17</f>
        <v>S.S.Grade-1</v>
      </c>
      <c r="E13" s="364">
        <v>7924</v>
      </c>
      <c r="F13" s="294"/>
      <c r="H13" s="365">
        <f>E13</f>
        <v>7924</v>
      </c>
      <c r="I13" s="365">
        <f>Salary!V17</f>
        <v>7924</v>
      </c>
      <c r="J13" s="368">
        <f>I13-H13</f>
        <v>0</v>
      </c>
    </row>
    <row r="14" spans="1:11" ht="16.5" thickBot="1" x14ac:dyDescent="0.3">
      <c r="A14" s="526" t="s">
        <v>157</v>
      </c>
      <c r="B14" s="527"/>
      <c r="C14" s="527"/>
      <c r="D14" s="528"/>
      <c r="E14" s="359">
        <f>SUM(E9:E13)</f>
        <v>30390</v>
      </c>
      <c r="G14" s="228"/>
      <c r="H14" s="366">
        <f>SUM(H9:H13)</f>
        <v>30390</v>
      </c>
      <c r="I14" s="367">
        <f>SUM(I9:I13)</f>
        <v>30390</v>
      </c>
      <c r="J14" s="370">
        <f>I14-H14</f>
        <v>0</v>
      </c>
      <c r="K14" s="165"/>
    </row>
    <row r="15" spans="1:11" x14ac:dyDescent="0.25">
      <c r="B15" s="156"/>
      <c r="C15" s="156"/>
      <c r="D15" s="156"/>
      <c r="E15" s="360"/>
      <c r="H15" s="228"/>
      <c r="I15" s="165"/>
      <c r="J15" s="165"/>
      <c r="K15" s="165"/>
    </row>
    <row r="16" spans="1:11" s="165" customFormat="1" x14ac:dyDescent="0.25">
      <c r="A16" s="524" t="s">
        <v>316</v>
      </c>
      <c r="B16" s="524"/>
      <c r="C16" s="524"/>
      <c r="D16" s="524"/>
      <c r="E16" s="524"/>
      <c r="F16" s="249"/>
    </row>
    <row r="17" spans="8:9" x14ac:dyDescent="0.25">
      <c r="H17" s="523">
        <f>Salary!V21</f>
        <v>30390</v>
      </c>
      <c r="I17" s="523"/>
    </row>
    <row r="18" spans="8:9" x14ac:dyDescent="0.25">
      <c r="I18" s="228"/>
    </row>
    <row r="19" spans="8:9" x14ac:dyDescent="0.25">
      <c r="I19" s="228"/>
    </row>
  </sheetData>
  <mergeCells count="13">
    <mergeCell ref="A1:F1"/>
    <mergeCell ref="A2:F2"/>
    <mergeCell ref="A5:D5"/>
    <mergeCell ref="H8:J8"/>
    <mergeCell ref="J11:J12"/>
    <mergeCell ref="H9:H10"/>
    <mergeCell ref="I9:I10"/>
    <mergeCell ref="J9:J10"/>
    <mergeCell ref="H17:I17"/>
    <mergeCell ref="A16:E16"/>
    <mergeCell ref="H11:H12"/>
    <mergeCell ref="I11:I12"/>
    <mergeCell ref="A14:D14"/>
  </mergeCells>
  <pageMargins left="0.7" right="0.7" top="0.75" bottom="0.75" header="0.3" footer="0.3"/>
  <pageSetup orientation="portrait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SheetLayoutView="100" workbookViewId="0">
      <selection activeCell="A17" sqref="A17:E17"/>
    </sheetView>
  </sheetViews>
  <sheetFormatPr defaultRowHeight="15.75" x14ac:dyDescent="0.25"/>
  <cols>
    <col min="1" max="1" width="6.5703125" style="165" customWidth="1"/>
    <col min="2" max="2" width="17" style="165" customWidth="1"/>
    <col min="3" max="3" width="27.42578125" style="165" customWidth="1"/>
    <col min="4" max="4" width="16.7109375" style="165" customWidth="1"/>
    <col min="5" max="5" width="19.42578125" style="165" customWidth="1"/>
    <col min="6" max="6" width="9.42578125" style="165" customWidth="1"/>
    <col min="7" max="8" width="9.140625" style="165"/>
    <col min="9" max="9" width="12.7109375" style="165" customWidth="1"/>
    <col min="10" max="16384" width="9.140625" style="165"/>
  </cols>
  <sheetData>
    <row r="1" spans="1:10" s="289" customFormat="1" ht="20.25" x14ac:dyDescent="0.2">
      <c r="A1" s="538" t="s">
        <v>242</v>
      </c>
      <c r="B1" s="538"/>
      <c r="C1" s="538"/>
      <c r="D1" s="538"/>
      <c r="E1" s="538"/>
    </row>
    <row r="2" spans="1:10" s="289" customFormat="1" ht="20.25" customHeight="1" x14ac:dyDescent="0.2">
      <c r="A2" s="539" t="s">
        <v>151</v>
      </c>
      <c r="B2" s="539"/>
      <c r="C2" s="539"/>
      <c r="D2" s="539"/>
      <c r="E2" s="539"/>
    </row>
    <row r="4" spans="1:10" x14ac:dyDescent="0.25">
      <c r="J4" s="229"/>
    </row>
    <row r="5" spans="1:10" ht="18" customHeight="1" x14ac:dyDescent="0.25">
      <c r="A5" s="540" t="s">
        <v>163</v>
      </c>
      <c r="B5" s="540"/>
      <c r="C5" s="540"/>
      <c r="D5" s="540"/>
      <c r="E5" s="290" t="str">
        <f>Salary!P4</f>
        <v>August, 2021</v>
      </c>
      <c r="F5" s="230"/>
    </row>
    <row r="6" spans="1:10" x14ac:dyDescent="0.25">
      <c r="A6" s="231"/>
      <c r="B6" s="231"/>
      <c r="C6" s="231"/>
      <c r="D6" s="231"/>
      <c r="E6" s="231"/>
    </row>
    <row r="7" spans="1:10" x14ac:dyDescent="0.25">
      <c r="A7" s="231"/>
      <c r="B7" s="231"/>
      <c r="C7" s="231"/>
      <c r="D7" s="231"/>
      <c r="E7" s="231"/>
    </row>
    <row r="8" spans="1:10" x14ac:dyDescent="0.25">
      <c r="A8" s="284" t="s">
        <v>153</v>
      </c>
      <c r="B8" s="284" t="s">
        <v>228</v>
      </c>
      <c r="C8" s="284" t="s">
        <v>154</v>
      </c>
      <c r="D8" s="284" t="s">
        <v>21</v>
      </c>
      <c r="E8" s="284" t="s">
        <v>77</v>
      </c>
    </row>
    <row r="9" spans="1:10" x14ac:dyDescent="0.25">
      <c r="A9" s="307">
        <v>1</v>
      </c>
      <c r="B9" s="308" t="s">
        <v>259</v>
      </c>
      <c r="C9" s="309" t="str">
        <f>Salary!D8</f>
        <v>Partha Sarathi Das</v>
      </c>
      <c r="D9" s="310" t="str">
        <f>Salary!E8</f>
        <v>Sr. Pr. Officer</v>
      </c>
      <c r="E9" s="311">
        <f>Salary!AC8</f>
        <v>1133</v>
      </c>
    </row>
    <row r="10" spans="1:10" x14ac:dyDescent="0.25">
      <c r="A10" s="307">
        <v>2</v>
      </c>
      <c r="B10" s="308" t="s">
        <v>296</v>
      </c>
      <c r="C10" s="309" t="str">
        <f>Salary!D9</f>
        <v>Md: Mohin Uddin Morshed</v>
      </c>
      <c r="D10" s="310" t="str">
        <f>Salary!E9</f>
        <v>Pr. Officer</v>
      </c>
      <c r="E10" s="311">
        <f>Salary!AC9</f>
        <v>1604</v>
      </c>
    </row>
    <row r="11" spans="1:10" x14ac:dyDescent="0.25">
      <c r="A11" s="307">
        <v>3</v>
      </c>
      <c r="B11" s="308" t="s">
        <v>297</v>
      </c>
      <c r="C11" s="309" t="str">
        <f>Salary!D11</f>
        <v>Mr. Shankar Chandra Debnath</v>
      </c>
      <c r="D11" s="310" t="str">
        <f>Salary!E11</f>
        <v>Sr. Officer</v>
      </c>
      <c r="E11" s="311">
        <f>Salary!AC11</f>
        <v>1600</v>
      </c>
    </row>
    <row r="12" spans="1:10" x14ac:dyDescent="0.25">
      <c r="A12" s="307">
        <v>4</v>
      </c>
      <c r="B12" s="308" t="s">
        <v>298</v>
      </c>
      <c r="C12" s="309" t="str">
        <f>Salary!D12</f>
        <v>Md. Shahed Hossain</v>
      </c>
      <c r="D12" s="310" t="str">
        <f>Salary!E12</f>
        <v>Sr. Officer</v>
      </c>
      <c r="E12" s="311">
        <f>Salary!AC12</f>
        <v>1600</v>
      </c>
    </row>
    <row r="13" spans="1:10" x14ac:dyDescent="0.25">
      <c r="A13" s="307">
        <v>5</v>
      </c>
      <c r="B13" s="308" t="s">
        <v>304</v>
      </c>
      <c r="C13" s="309" t="str">
        <f>Salary!D13</f>
        <v>Mrs. Popy Rani Talapatra</v>
      </c>
      <c r="D13" s="310" t="str">
        <f>Salary!E13</f>
        <v>Sr. Officer</v>
      </c>
      <c r="E13" s="311">
        <f>Salary!AC13</f>
        <v>2000</v>
      </c>
    </row>
    <row r="14" spans="1:10" x14ac:dyDescent="0.25">
      <c r="A14" s="307">
        <v>6</v>
      </c>
      <c r="B14" s="308" t="s">
        <v>305</v>
      </c>
      <c r="C14" s="309" t="str">
        <f>Salary!D15</f>
        <v>Md. Afsar Uddin</v>
      </c>
      <c r="D14" s="310" t="str">
        <f>Salary!E15</f>
        <v>Officer(Cash)</v>
      </c>
      <c r="E14" s="311">
        <f>Salary!AC15</f>
        <v>1600</v>
      </c>
    </row>
    <row r="15" spans="1:10" x14ac:dyDescent="0.25">
      <c r="A15" s="307">
        <v>7</v>
      </c>
      <c r="B15" s="308" t="s">
        <v>269</v>
      </c>
      <c r="C15" s="309" t="str">
        <f>Salary!D17</f>
        <v>Md. Abdur Rahim</v>
      </c>
      <c r="D15" s="310" t="str">
        <f>Salary!E17</f>
        <v>S.S.Grade-1</v>
      </c>
      <c r="E15" s="311">
        <f>Salary!AC17</f>
        <v>1600</v>
      </c>
    </row>
    <row r="16" spans="1:10" ht="16.5" thickBot="1" x14ac:dyDescent="0.3">
      <c r="A16" s="541" t="s">
        <v>157</v>
      </c>
      <c r="B16" s="541"/>
      <c r="C16" s="541"/>
      <c r="D16" s="541"/>
      <c r="E16" s="304">
        <f>SUM(E9:E15)</f>
        <v>11137</v>
      </c>
      <c r="G16" s="232">
        <f>Salary!AC21</f>
        <v>11137</v>
      </c>
      <c r="I16" s="227">
        <f>E16-G16</f>
        <v>0</v>
      </c>
    </row>
    <row r="17" spans="1:5" ht="16.5" thickBot="1" x14ac:dyDescent="0.3">
      <c r="A17" s="542" t="s">
        <v>306</v>
      </c>
      <c r="B17" s="543"/>
      <c r="C17" s="543"/>
      <c r="D17" s="543"/>
      <c r="E17" s="544"/>
    </row>
  </sheetData>
  <mergeCells count="5">
    <mergeCell ref="A1:E1"/>
    <mergeCell ref="A2:E2"/>
    <mergeCell ref="A5:D5"/>
    <mergeCell ref="A16:D16"/>
    <mergeCell ref="A17:E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view="pageBreakPreview" topLeftCell="A4" zoomScale="130" zoomScaleSheetLayoutView="130" workbookViewId="0">
      <selection activeCell="B14" sqref="B14"/>
    </sheetView>
  </sheetViews>
  <sheetFormatPr defaultRowHeight="15.75" x14ac:dyDescent="0.25"/>
  <cols>
    <col min="1" max="1" width="6.5703125" style="165" customWidth="1"/>
    <col min="2" max="2" width="18.7109375" style="165" customWidth="1"/>
    <col min="3" max="3" width="27.7109375" style="165" customWidth="1"/>
    <col min="4" max="4" width="17.5703125" style="165" customWidth="1"/>
    <col min="5" max="5" width="20.7109375" style="165" customWidth="1"/>
    <col min="6" max="8" width="9.140625" style="165"/>
    <col min="9" max="9" width="12.140625" style="165" customWidth="1"/>
    <col min="10" max="16384" width="9.140625" style="165"/>
  </cols>
  <sheetData>
    <row r="1" spans="1:10" ht="20.25" x14ac:dyDescent="0.3">
      <c r="A1" s="545" t="s">
        <v>242</v>
      </c>
      <c r="B1" s="545"/>
      <c r="C1" s="545"/>
      <c r="D1" s="545"/>
      <c r="E1" s="545"/>
    </row>
    <row r="2" spans="1:10" ht="18.75" x14ac:dyDescent="0.3">
      <c r="A2" s="546" t="s">
        <v>248</v>
      </c>
      <c r="B2" s="546"/>
      <c r="C2" s="546"/>
      <c r="D2" s="546"/>
      <c r="E2" s="546"/>
    </row>
    <row r="4" spans="1:10" x14ac:dyDescent="0.25">
      <c r="J4" s="229"/>
    </row>
    <row r="5" spans="1:10" x14ac:dyDescent="0.25">
      <c r="A5" s="547" t="s">
        <v>165</v>
      </c>
      <c r="B5" s="547"/>
      <c r="C5" s="547"/>
      <c r="D5" s="547"/>
      <c r="E5" s="291" t="str">
        <f>Salary!P4</f>
        <v>August, 2021</v>
      </c>
      <c r="F5" s="230"/>
    </row>
    <row r="6" spans="1:10" x14ac:dyDescent="0.25">
      <c r="A6" s="231"/>
      <c r="B6" s="231"/>
      <c r="C6" s="231"/>
      <c r="D6" s="231"/>
      <c r="E6" s="231"/>
    </row>
    <row r="7" spans="1:10" x14ac:dyDescent="0.25">
      <c r="A7" s="231"/>
      <c r="B7" s="231"/>
      <c r="C7" s="231"/>
      <c r="D7" s="231"/>
      <c r="E7" s="231"/>
    </row>
    <row r="8" spans="1:10" s="327" customFormat="1" x14ac:dyDescent="0.25">
      <c r="A8" s="372" t="s">
        <v>153</v>
      </c>
      <c r="B8" s="372" t="s">
        <v>228</v>
      </c>
      <c r="C8" s="372" t="s">
        <v>154</v>
      </c>
      <c r="D8" s="372" t="s">
        <v>21</v>
      </c>
      <c r="E8" s="372" t="s">
        <v>164</v>
      </c>
    </row>
    <row r="9" spans="1:10" s="378" customFormat="1" x14ac:dyDescent="0.25">
      <c r="A9" s="373">
        <v>1</v>
      </c>
      <c r="B9" s="374" t="s">
        <v>261</v>
      </c>
      <c r="C9" s="375" t="str">
        <f>Salary!D8</f>
        <v>Partha Sarathi Das</v>
      </c>
      <c r="D9" s="376" t="str">
        <f>Salary!E8</f>
        <v>Sr. Pr. Officer</v>
      </c>
      <c r="E9" s="377">
        <f>Salary!W8</f>
        <v>3200</v>
      </c>
    </row>
    <row r="10" spans="1:10" s="324" customFormat="1" x14ac:dyDescent="0.25">
      <c r="A10" s="295">
        <v>2</v>
      </c>
      <c r="B10" s="322" t="s">
        <v>299</v>
      </c>
      <c r="C10" s="221" t="str">
        <f>Salary!D9</f>
        <v>Md: Mohin Uddin Morshed</v>
      </c>
      <c r="D10" s="222" t="str">
        <f>Salary!E9</f>
        <v>Pr. Officer</v>
      </c>
      <c r="E10" s="323">
        <f>Salary!W9</f>
        <v>3200</v>
      </c>
    </row>
    <row r="11" spans="1:10" s="378" customFormat="1" x14ac:dyDescent="0.25">
      <c r="A11" s="373">
        <v>3</v>
      </c>
      <c r="B11" s="379" t="s">
        <v>279</v>
      </c>
      <c r="C11" s="375" t="str">
        <f>Salary!D10</f>
        <v>Abdul Kader</v>
      </c>
      <c r="D11" s="376" t="str">
        <f>Salary!E10</f>
        <v>Sr. Officer</v>
      </c>
      <c r="E11" s="377">
        <f>Salary!W10</f>
        <v>5000</v>
      </c>
    </row>
    <row r="12" spans="1:10" s="324" customFormat="1" x14ac:dyDescent="0.25">
      <c r="A12" s="295">
        <v>4</v>
      </c>
      <c r="B12" s="325" t="s">
        <v>300</v>
      </c>
      <c r="C12" s="221" t="str">
        <f>Salary!D11</f>
        <v>Mr. Shankar Chandra Debnath</v>
      </c>
      <c r="D12" s="222" t="str">
        <f>Salary!E11</f>
        <v>Sr. Officer</v>
      </c>
      <c r="E12" s="323">
        <f>Salary!W11</f>
        <v>3025</v>
      </c>
    </row>
    <row r="13" spans="1:10" s="378" customFormat="1" x14ac:dyDescent="0.25">
      <c r="A13" s="373">
        <v>5</v>
      </c>
      <c r="B13" s="379" t="s">
        <v>301</v>
      </c>
      <c r="C13" s="375" t="str">
        <f>Salary!D12</f>
        <v>Md. Shahed Hossain</v>
      </c>
      <c r="D13" s="376" t="str">
        <f>Salary!E12</f>
        <v>Sr. Officer</v>
      </c>
      <c r="E13" s="377">
        <f>Salary!W12</f>
        <v>3025</v>
      </c>
    </row>
    <row r="14" spans="1:10" s="378" customFormat="1" x14ac:dyDescent="0.25">
      <c r="A14" s="373">
        <v>6</v>
      </c>
      <c r="B14" s="379" t="s">
        <v>307</v>
      </c>
      <c r="C14" s="375" t="str">
        <f>Salary!D13</f>
        <v>Mrs. Popy Rani Talapatra</v>
      </c>
      <c r="D14" s="376" t="str">
        <f>Salary!E13</f>
        <v>Sr. Officer</v>
      </c>
      <c r="E14" s="377">
        <f>Salary!W13</f>
        <v>4000</v>
      </c>
    </row>
    <row r="15" spans="1:10" s="324" customFormat="1" x14ac:dyDescent="0.25">
      <c r="A15" s="295">
        <v>7</v>
      </c>
      <c r="B15" s="326" t="s">
        <v>287</v>
      </c>
      <c r="C15" s="221" t="s">
        <v>267</v>
      </c>
      <c r="D15" s="222" t="s">
        <v>288</v>
      </c>
      <c r="E15" s="323">
        <f>Salary!W15</f>
        <v>3183</v>
      </c>
    </row>
    <row r="16" spans="1:10" s="378" customFormat="1" x14ac:dyDescent="0.25">
      <c r="A16" s="373">
        <v>8</v>
      </c>
      <c r="B16" s="379" t="s">
        <v>262</v>
      </c>
      <c r="C16" s="375" t="str">
        <f>Salary!D17</f>
        <v>Md. Abdur Rahim</v>
      </c>
      <c r="D16" s="376" t="str">
        <f>Salary!E17</f>
        <v>S.S.Grade-1</v>
      </c>
      <c r="E16" s="380">
        <f>Salary!W17</f>
        <v>3200</v>
      </c>
    </row>
    <row r="17" spans="1:9" s="327" customFormat="1" x14ac:dyDescent="0.25">
      <c r="A17" s="295">
        <v>9</v>
      </c>
      <c r="B17" s="325" t="s">
        <v>263</v>
      </c>
      <c r="C17" s="297" t="s">
        <v>166</v>
      </c>
      <c r="D17" s="222" t="str">
        <f>Salary!E19</f>
        <v>S.S.Grade-2</v>
      </c>
      <c r="E17" s="299">
        <f>Salary!W19</f>
        <v>5000</v>
      </c>
    </row>
    <row r="18" spans="1:9" ht="16.5" thickBot="1" x14ac:dyDescent="0.3">
      <c r="A18" s="548" t="s">
        <v>157</v>
      </c>
      <c r="B18" s="548"/>
      <c r="C18" s="548"/>
      <c r="D18" s="548"/>
      <c r="E18" s="305">
        <f>SUM(E9:E17)</f>
        <v>32833</v>
      </c>
      <c r="G18" s="232">
        <f>Salary!W21</f>
        <v>32833</v>
      </c>
      <c r="I18" s="227">
        <f>E18-G18</f>
        <v>0</v>
      </c>
    </row>
    <row r="19" spans="1:9" ht="16.5" thickBot="1" x14ac:dyDescent="0.3">
      <c r="A19" s="542" t="s">
        <v>308</v>
      </c>
      <c r="B19" s="543"/>
      <c r="C19" s="543"/>
      <c r="D19" s="543"/>
      <c r="E19" s="544"/>
    </row>
  </sheetData>
  <mergeCells count="5">
    <mergeCell ref="A1:E1"/>
    <mergeCell ref="A2:E2"/>
    <mergeCell ref="A5:D5"/>
    <mergeCell ref="A18:D18"/>
    <mergeCell ref="A19:E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view="pageBreakPreview" topLeftCell="A13" zoomScale="60" zoomScaleNormal="60" workbookViewId="0">
      <selection activeCell="C10" sqref="C10"/>
    </sheetView>
  </sheetViews>
  <sheetFormatPr defaultRowHeight="18.75" x14ac:dyDescent="0.2"/>
  <cols>
    <col min="1" max="1" width="22.5703125" style="235" customWidth="1"/>
    <col min="2" max="2" width="21.140625" style="235" customWidth="1"/>
    <col min="3" max="3" width="37" style="235" customWidth="1"/>
    <col min="4" max="4" width="19.7109375" style="248" customWidth="1"/>
    <col min="5" max="5" width="11.42578125" style="235" bestFit="1" customWidth="1"/>
    <col min="6" max="6" width="13.28515625" style="235" bestFit="1" customWidth="1"/>
    <col min="7" max="7" width="15" style="235" customWidth="1"/>
    <col min="8" max="8" width="12.85546875" style="235" customWidth="1"/>
    <col min="9" max="9" width="24.7109375" style="235" customWidth="1"/>
    <col min="10" max="10" width="21" style="235" customWidth="1"/>
    <col min="11" max="11" width="9.5703125" style="235" customWidth="1"/>
    <col min="12" max="12" width="10.140625" style="235" customWidth="1"/>
    <col min="13" max="13" width="9.85546875" style="235" customWidth="1"/>
    <col min="14" max="14" width="15.5703125" style="235" customWidth="1"/>
    <col min="15" max="16384" width="9.140625" style="235"/>
  </cols>
  <sheetData>
    <row r="1" spans="1:14" ht="21.75" customHeight="1" x14ac:dyDescent="0.2">
      <c r="K1" s="261" t="s">
        <v>236</v>
      </c>
    </row>
    <row r="2" spans="1:14" ht="30" customHeight="1" x14ac:dyDescent="0.2">
      <c r="A2" s="585" t="str">
        <f>'Salary AC wise'!A1:E1</f>
        <v>Bangladesh Development Bank Limited</v>
      </c>
      <c r="B2" s="585"/>
      <c r="C2" s="585"/>
      <c r="D2" s="585"/>
      <c r="E2" s="585"/>
      <c r="F2" s="585"/>
      <c r="G2" s="585"/>
      <c r="H2" s="585"/>
      <c r="I2" s="585"/>
      <c r="J2" s="585"/>
    </row>
    <row r="3" spans="1:14" ht="23.25" customHeight="1" thickBot="1" x14ac:dyDescent="0.25">
      <c r="A3" s="586" t="str">
        <f>'Salary AC wise'!A2:E2</f>
        <v>Branch Office, Noakhali.</v>
      </c>
      <c r="B3" s="586"/>
      <c r="C3" s="586"/>
      <c r="D3" s="586"/>
      <c r="E3" s="586"/>
      <c r="F3" s="586"/>
      <c r="G3" s="586"/>
      <c r="H3" s="586"/>
      <c r="I3" s="586"/>
      <c r="J3" s="586"/>
      <c r="K3" s="258" t="s">
        <v>201</v>
      </c>
      <c r="L3" s="595">
        <f ca="1">TODAY()</f>
        <v>44466</v>
      </c>
      <c r="M3" s="595"/>
    </row>
    <row r="4" spans="1:14" s="253" customFormat="1" ht="24.75" customHeight="1" x14ac:dyDescent="0.2">
      <c r="A4" s="591" t="s">
        <v>184</v>
      </c>
      <c r="B4" s="592"/>
      <c r="C4" s="278" t="s">
        <v>209</v>
      </c>
      <c r="D4" s="279" t="s">
        <v>156</v>
      </c>
      <c r="E4" s="587" t="s">
        <v>168</v>
      </c>
      <c r="F4" s="588"/>
      <c r="G4" s="588"/>
      <c r="H4" s="588"/>
      <c r="I4" s="588"/>
      <c r="J4" s="588"/>
      <c r="K4" s="588"/>
      <c r="L4" s="588"/>
      <c r="M4" s="588"/>
      <c r="N4" s="280"/>
    </row>
    <row r="5" spans="1:14" ht="20.25" x14ac:dyDescent="0.2">
      <c r="A5" s="593" t="s">
        <v>185</v>
      </c>
      <c r="B5" s="594"/>
      <c r="C5" s="256" t="s">
        <v>186</v>
      </c>
      <c r="D5" s="254">
        <f>Salary!I21</f>
        <v>0</v>
      </c>
      <c r="E5" s="577" t="s">
        <v>202</v>
      </c>
      <c r="F5" s="578"/>
      <c r="G5" s="578"/>
      <c r="H5" s="578"/>
      <c r="I5" s="578"/>
      <c r="J5" s="578"/>
      <c r="K5" s="578"/>
      <c r="L5" s="589" t="str">
        <f>Salary!P4</f>
        <v>August, 2021</v>
      </c>
      <c r="M5" s="589"/>
      <c r="N5" s="281"/>
    </row>
    <row r="6" spans="1:14" s="252" customFormat="1" ht="20.25" x14ac:dyDescent="0.2">
      <c r="A6" s="557" t="s">
        <v>187</v>
      </c>
      <c r="B6" s="558"/>
      <c r="C6" s="257" t="s">
        <v>188</v>
      </c>
      <c r="D6" s="255">
        <f>Salary!J21</f>
        <v>2000</v>
      </c>
      <c r="E6" s="569" t="s">
        <v>203</v>
      </c>
      <c r="F6" s="570"/>
      <c r="G6" s="570"/>
      <c r="H6" s="570"/>
      <c r="I6" s="570"/>
      <c r="J6" s="570"/>
      <c r="K6" s="570"/>
      <c r="L6" s="590" t="str">
        <f>Salary!P4</f>
        <v>August, 2021</v>
      </c>
      <c r="M6" s="590"/>
      <c r="N6" s="282"/>
    </row>
    <row r="7" spans="1:14" ht="20.25" x14ac:dyDescent="0.2">
      <c r="A7" s="593" t="s">
        <v>189</v>
      </c>
      <c r="B7" s="594"/>
      <c r="C7" s="256" t="s">
        <v>190</v>
      </c>
      <c r="D7" s="254">
        <f>ROUND(Salary!K21,0)</f>
        <v>111806</v>
      </c>
      <c r="E7" s="577" t="s">
        <v>204</v>
      </c>
      <c r="F7" s="578"/>
      <c r="G7" s="578"/>
      <c r="H7" s="578"/>
      <c r="I7" s="578"/>
      <c r="J7" s="578"/>
      <c r="K7" s="578"/>
      <c r="L7" s="589" t="str">
        <f>Salary!P4</f>
        <v>August, 2021</v>
      </c>
      <c r="M7" s="589"/>
      <c r="N7" s="281"/>
    </row>
    <row r="8" spans="1:14" s="252" customFormat="1" ht="20.25" x14ac:dyDescent="0.2">
      <c r="A8" s="557" t="s">
        <v>191</v>
      </c>
      <c r="B8" s="558"/>
      <c r="C8" s="257" t="s">
        <v>192</v>
      </c>
      <c r="D8" s="255">
        <f>Salary!L21</f>
        <v>16500</v>
      </c>
      <c r="E8" s="569" t="s">
        <v>205</v>
      </c>
      <c r="F8" s="570"/>
      <c r="G8" s="570"/>
      <c r="H8" s="570"/>
      <c r="I8" s="570"/>
      <c r="J8" s="570"/>
      <c r="K8" s="570"/>
      <c r="L8" s="590" t="str">
        <f>Salary!P4</f>
        <v>August, 2021</v>
      </c>
      <c r="M8" s="590"/>
      <c r="N8" s="282"/>
    </row>
    <row r="9" spans="1:14" ht="20.25" x14ac:dyDescent="0.2">
      <c r="A9" s="593" t="s">
        <v>193</v>
      </c>
      <c r="B9" s="594"/>
      <c r="C9" s="256" t="s">
        <v>194</v>
      </c>
      <c r="D9" s="254">
        <f>Salary!M21</f>
        <v>300</v>
      </c>
      <c r="E9" s="577" t="s">
        <v>206</v>
      </c>
      <c r="F9" s="578"/>
      <c r="G9" s="578"/>
      <c r="H9" s="578"/>
      <c r="I9" s="578"/>
      <c r="J9" s="578"/>
      <c r="K9" s="578"/>
      <c r="L9" s="589" t="str">
        <f>Salary!P4</f>
        <v>August, 2021</v>
      </c>
      <c r="M9" s="589"/>
      <c r="N9" s="281"/>
    </row>
    <row r="10" spans="1:14" s="252" customFormat="1" ht="20.25" x14ac:dyDescent="0.2">
      <c r="A10" s="557" t="s">
        <v>195</v>
      </c>
      <c r="B10" s="558"/>
      <c r="C10" s="257" t="s">
        <v>196</v>
      </c>
      <c r="D10" s="255">
        <f>Salary!H21</f>
        <v>289000</v>
      </c>
      <c r="E10" s="569" t="s">
        <v>265</v>
      </c>
      <c r="F10" s="570"/>
      <c r="G10" s="570"/>
      <c r="H10" s="570"/>
      <c r="I10" s="570"/>
      <c r="J10" s="570"/>
      <c r="K10" s="570"/>
      <c r="L10" s="590" t="str">
        <f>Salary!P4</f>
        <v>August, 2021</v>
      </c>
      <c r="M10" s="590"/>
      <c r="N10" s="282"/>
    </row>
    <row r="11" spans="1:14" ht="20.25" x14ac:dyDescent="0.2">
      <c r="A11" s="593" t="s">
        <v>197</v>
      </c>
      <c r="B11" s="594"/>
      <c r="C11" s="341" t="s">
        <v>198</v>
      </c>
      <c r="D11" s="254">
        <f>Salary!O21</f>
        <v>59253</v>
      </c>
      <c r="E11" s="577" t="s">
        <v>207</v>
      </c>
      <c r="F11" s="578"/>
      <c r="G11" s="578"/>
      <c r="H11" s="578"/>
      <c r="I11" s="578"/>
      <c r="J11" s="578"/>
      <c r="K11" s="578"/>
      <c r="L11" s="589" t="str">
        <f>Salary!P4</f>
        <v>August, 2021</v>
      </c>
      <c r="M11" s="589"/>
      <c r="N11" s="281"/>
    </row>
    <row r="12" spans="1:14" s="252" customFormat="1" ht="20.25" x14ac:dyDescent="0.2">
      <c r="A12" s="557" t="s">
        <v>199</v>
      </c>
      <c r="B12" s="558"/>
      <c r="C12" s="257" t="s">
        <v>200</v>
      </c>
      <c r="D12" s="255">
        <f>Salary!P21</f>
        <v>19109</v>
      </c>
      <c r="E12" s="569" t="s">
        <v>208</v>
      </c>
      <c r="F12" s="570"/>
      <c r="G12" s="570"/>
      <c r="H12" s="570"/>
      <c r="I12" s="570"/>
      <c r="J12" s="570"/>
      <c r="K12" s="570"/>
      <c r="L12" s="590" t="str">
        <f>Salary!P4</f>
        <v>August, 2021</v>
      </c>
      <c r="M12" s="590"/>
      <c r="N12" s="282"/>
    </row>
    <row r="13" spans="1:14" ht="23.25" customHeight="1" x14ac:dyDescent="0.2">
      <c r="A13" s="596" t="s">
        <v>226</v>
      </c>
      <c r="B13" s="597"/>
      <c r="C13" s="597"/>
      <c r="D13" s="292">
        <f>SUM(D5:D12)</f>
        <v>497968</v>
      </c>
      <c r="E13" s="602" t="str">
        <f>Salary!B33</f>
        <v>In Words: Taka Four Lac Ninety Seven Thousand Nine Hundred Sixty Eight Only</v>
      </c>
      <c r="F13" s="603"/>
      <c r="G13" s="603"/>
      <c r="H13" s="603"/>
      <c r="I13" s="603"/>
      <c r="J13" s="603"/>
      <c r="K13" s="603"/>
      <c r="L13" s="603"/>
      <c r="M13" s="603"/>
      <c r="N13" s="604"/>
    </row>
    <row r="14" spans="1:14" s="253" customFormat="1" ht="19.5" customHeight="1" x14ac:dyDescent="0.2">
      <c r="A14" s="600" t="s">
        <v>167</v>
      </c>
      <c r="B14" s="601"/>
      <c r="C14" s="262" t="s">
        <v>209</v>
      </c>
      <c r="D14" s="262" t="s">
        <v>156</v>
      </c>
      <c r="E14" s="605" t="s">
        <v>168</v>
      </c>
      <c r="F14" s="605"/>
      <c r="G14" s="605"/>
      <c r="H14" s="605"/>
      <c r="I14" s="605"/>
      <c r="J14" s="605"/>
      <c r="K14" s="605"/>
      <c r="L14" s="605"/>
      <c r="M14" s="605"/>
      <c r="N14" s="606"/>
    </row>
    <row r="15" spans="1:14" ht="20.25" x14ac:dyDescent="0.2">
      <c r="A15" s="573" t="s">
        <v>221</v>
      </c>
      <c r="B15" s="574"/>
      <c r="C15" s="259" t="s">
        <v>169</v>
      </c>
      <c r="D15" s="254">
        <f>Salary!AF21</f>
        <v>297893</v>
      </c>
      <c r="E15" s="577" t="s">
        <v>210</v>
      </c>
      <c r="F15" s="578"/>
      <c r="G15" s="578"/>
      <c r="H15" s="578"/>
      <c r="I15" s="578"/>
      <c r="J15" s="578"/>
      <c r="K15" s="578"/>
      <c r="L15" s="578"/>
      <c r="M15" s="571" t="str">
        <f>L5</f>
        <v>August, 2021</v>
      </c>
      <c r="N15" s="572"/>
    </row>
    <row r="16" spans="1:14" s="252" customFormat="1" ht="20.25" x14ac:dyDescent="0.2">
      <c r="A16" s="575" t="s">
        <v>222</v>
      </c>
      <c r="B16" s="576"/>
      <c r="C16" s="260" t="s">
        <v>169</v>
      </c>
      <c r="D16" s="255">
        <f>Salary!V21</f>
        <v>30390</v>
      </c>
      <c r="E16" s="569" t="s">
        <v>211</v>
      </c>
      <c r="F16" s="570"/>
      <c r="G16" s="570"/>
      <c r="H16" s="570"/>
      <c r="I16" s="570"/>
      <c r="J16" s="570"/>
      <c r="K16" s="570"/>
      <c r="L16" s="570"/>
      <c r="M16" s="571" t="str">
        <f>L5</f>
        <v>August, 2021</v>
      </c>
      <c r="N16" s="572"/>
    </row>
    <row r="17" spans="1:18" ht="20.25" x14ac:dyDescent="0.2">
      <c r="A17" s="573" t="s">
        <v>223</v>
      </c>
      <c r="B17" s="574"/>
      <c r="C17" s="259" t="s">
        <v>169</v>
      </c>
      <c r="D17" s="254">
        <f>Salary!W21</f>
        <v>32833</v>
      </c>
      <c r="E17" s="577" t="s">
        <v>212</v>
      </c>
      <c r="F17" s="578"/>
      <c r="G17" s="578"/>
      <c r="H17" s="578"/>
      <c r="I17" s="578"/>
      <c r="J17" s="578"/>
      <c r="K17" s="578"/>
      <c r="L17" s="578"/>
      <c r="M17" s="571" t="str">
        <f>L5</f>
        <v>August, 2021</v>
      </c>
      <c r="N17" s="572"/>
    </row>
    <row r="18" spans="1:18" s="252" customFormat="1" ht="20.25" x14ac:dyDescent="0.2">
      <c r="A18" s="575" t="s">
        <v>224</v>
      </c>
      <c r="B18" s="576"/>
      <c r="C18" s="260" t="s">
        <v>169</v>
      </c>
      <c r="D18" s="255">
        <f>Salary!AC21</f>
        <v>11137</v>
      </c>
      <c r="E18" s="569" t="s">
        <v>213</v>
      </c>
      <c r="F18" s="570"/>
      <c r="G18" s="570"/>
      <c r="H18" s="570"/>
      <c r="I18" s="570"/>
      <c r="J18" s="570"/>
      <c r="K18" s="570"/>
      <c r="L18" s="570"/>
      <c r="M18" s="571" t="str">
        <f>L5</f>
        <v>August, 2021</v>
      </c>
      <c r="N18" s="572"/>
    </row>
    <row r="19" spans="1:18" ht="40.5" customHeight="1" x14ac:dyDescent="0.2">
      <c r="A19" s="579" t="s">
        <v>170</v>
      </c>
      <c r="B19" s="580"/>
      <c r="C19" s="259" t="s">
        <v>171</v>
      </c>
      <c r="D19" s="254">
        <f>Salary!R21-Salary!P21</f>
        <v>40144</v>
      </c>
      <c r="E19" s="577" t="s">
        <v>219</v>
      </c>
      <c r="F19" s="578"/>
      <c r="G19" s="578"/>
      <c r="H19" s="578"/>
      <c r="I19" s="578"/>
      <c r="J19" s="578"/>
      <c r="K19" s="560" t="str">
        <f>L5</f>
        <v>August, 2021</v>
      </c>
      <c r="L19" s="560"/>
      <c r="M19" s="560" t="s">
        <v>214</v>
      </c>
      <c r="N19" s="561"/>
    </row>
    <row r="20" spans="1:18" s="252" customFormat="1" ht="38.25" customHeight="1" x14ac:dyDescent="0.2">
      <c r="A20" s="581" t="s">
        <v>172</v>
      </c>
      <c r="B20" s="582"/>
      <c r="C20" s="260" t="s">
        <v>173</v>
      </c>
      <c r="D20" s="255">
        <v>0</v>
      </c>
      <c r="E20" s="569" t="s">
        <v>220</v>
      </c>
      <c r="F20" s="570"/>
      <c r="G20" s="570"/>
      <c r="H20" s="570"/>
      <c r="I20" s="570"/>
      <c r="J20" s="570"/>
      <c r="K20" s="560" t="str">
        <f>L5</f>
        <v>August, 2021</v>
      </c>
      <c r="L20" s="560"/>
      <c r="M20" s="559" t="s">
        <v>214</v>
      </c>
      <c r="N20" s="562"/>
    </row>
    <row r="21" spans="1:18" ht="37.5" customHeight="1" x14ac:dyDescent="0.2">
      <c r="A21" s="579" t="s">
        <v>246</v>
      </c>
      <c r="B21" s="580"/>
      <c r="C21" s="259" t="s">
        <v>174</v>
      </c>
      <c r="D21" s="254">
        <f>Salary!P21</f>
        <v>19109</v>
      </c>
      <c r="E21" s="577" t="s">
        <v>215</v>
      </c>
      <c r="F21" s="578"/>
      <c r="G21" s="578"/>
      <c r="H21" s="578"/>
      <c r="I21" s="578"/>
      <c r="J21" s="578"/>
      <c r="K21" s="560" t="str">
        <f>L5</f>
        <v>August, 2021</v>
      </c>
      <c r="L21" s="560"/>
      <c r="M21" s="560" t="s">
        <v>214</v>
      </c>
      <c r="N21" s="561"/>
    </row>
    <row r="22" spans="1:18" s="252" customFormat="1" ht="42" customHeight="1" x14ac:dyDescent="0.2">
      <c r="A22" s="583" t="s">
        <v>175</v>
      </c>
      <c r="B22" s="584"/>
      <c r="C22" s="260" t="s">
        <v>176</v>
      </c>
      <c r="D22" s="342">
        <f>Salary!T21-Salary!U21</f>
        <v>16267</v>
      </c>
      <c r="E22" s="569" t="s">
        <v>216</v>
      </c>
      <c r="F22" s="570"/>
      <c r="G22" s="570"/>
      <c r="H22" s="570"/>
      <c r="I22" s="570"/>
      <c r="J22" s="570"/>
      <c r="K22" s="560" t="str">
        <f>L5</f>
        <v>August, 2021</v>
      </c>
      <c r="L22" s="560"/>
      <c r="M22" s="559" t="s">
        <v>214</v>
      </c>
      <c r="N22" s="562"/>
    </row>
    <row r="23" spans="1:18" ht="40.5" customHeight="1" x14ac:dyDescent="0.2">
      <c r="A23" s="598" t="s">
        <v>177</v>
      </c>
      <c r="B23" s="599"/>
      <c r="C23" s="259" t="s">
        <v>247</v>
      </c>
      <c r="D23" s="342">
        <f>Salary!U21</f>
        <v>19109</v>
      </c>
      <c r="E23" s="577" t="s">
        <v>217</v>
      </c>
      <c r="F23" s="578"/>
      <c r="G23" s="578"/>
      <c r="H23" s="578"/>
      <c r="I23" s="578"/>
      <c r="J23" s="578"/>
      <c r="K23" s="560" t="str">
        <f>L5</f>
        <v>August, 2021</v>
      </c>
      <c r="L23" s="560"/>
      <c r="M23" s="560" t="s">
        <v>214</v>
      </c>
      <c r="N23" s="561"/>
    </row>
    <row r="24" spans="1:18" s="252" customFormat="1" ht="38.25" customHeight="1" x14ac:dyDescent="0.2">
      <c r="A24" s="583" t="s">
        <v>225</v>
      </c>
      <c r="B24" s="584"/>
      <c r="C24" s="260" t="s">
        <v>247</v>
      </c>
      <c r="D24" s="255">
        <f>D23</f>
        <v>19109</v>
      </c>
      <c r="E24" s="569" t="s">
        <v>230</v>
      </c>
      <c r="F24" s="570"/>
      <c r="G24" s="570"/>
      <c r="H24" s="570"/>
      <c r="I24" s="570"/>
      <c r="J24" s="570"/>
      <c r="K24" s="560" t="str">
        <f>L7</f>
        <v>August, 2021</v>
      </c>
      <c r="L24" s="560"/>
      <c r="M24" s="559" t="s">
        <v>214</v>
      </c>
      <c r="N24" s="562"/>
    </row>
    <row r="25" spans="1:18" ht="21.75" customHeight="1" x14ac:dyDescent="0.2">
      <c r="A25" s="598" t="s">
        <v>178</v>
      </c>
      <c r="B25" s="599"/>
      <c r="C25" s="259" t="s">
        <v>176</v>
      </c>
      <c r="D25" s="254">
        <f>Salary!X21</f>
        <v>5500</v>
      </c>
      <c r="E25" s="577" t="s">
        <v>231</v>
      </c>
      <c r="F25" s="578"/>
      <c r="G25" s="578"/>
      <c r="H25" s="578"/>
      <c r="I25" s="578"/>
      <c r="J25" s="578"/>
      <c r="K25" s="560" t="str">
        <f>L7</f>
        <v>August, 2021</v>
      </c>
      <c r="L25" s="560"/>
      <c r="M25" s="560" t="s">
        <v>214</v>
      </c>
      <c r="N25" s="561"/>
    </row>
    <row r="26" spans="1:18" s="252" customFormat="1" ht="40.5" customHeight="1" x14ac:dyDescent="0.2">
      <c r="A26" s="583" t="s">
        <v>179</v>
      </c>
      <c r="B26" s="584"/>
      <c r="C26" s="260" t="s">
        <v>180</v>
      </c>
      <c r="D26" s="255">
        <v>0</v>
      </c>
      <c r="E26" s="569" t="s">
        <v>218</v>
      </c>
      <c r="F26" s="570"/>
      <c r="G26" s="570"/>
      <c r="H26" s="570"/>
      <c r="I26" s="570"/>
      <c r="J26" s="570"/>
      <c r="K26" s="559" t="str">
        <f>L7</f>
        <v>August, 2021</v>
      </c>
      <c r="L26" s="559"/>
      <c r="M26" s="559" t="s">
        <v>214</v>
      </c>
      <c r="N26" s="562"/>
    </row>
    <row r="27" spans="1:18" ht="23.25" customHeight="1" x14ac:dyDescent="0.2">
      <c r="A27" s="565" t="s">
        <v>26</v>
      </c>
      <c r="B27" s="566"/>
      <c r="C27" s="259" t="s">
        <v>181</v>
      </c>
      <c r="D27" s="254">
        <f>Salary!Z21</f>
        <v>0</v>
      </c>
      <c r="E27" s="577" t="s">
        <v>233</v>
      </c>
      <c r="F27" s="578"/>
      <c r="G27" s="578"/>
      <c r="H27" s="578"/>
      <c r="I27" s="578"/>
      <c r="J27" s="578"/>
      <c r="K27" s="560" t="str">
        <f>L7</f>
        <v>August, 2021</v>
      </c>
      <c r="L27" s="560"/>
      <c r="M27" s="560" t="s">
        <v>214</v>
      </c>
      <c r="N27" s="561"/>
    </row>
    <row r="28" spans="1:18" s="252" customFormat="1" ht="24" customHeight="1" x14ac:dyDescent="0.2">
      <c r="A28" s="557" t="s">
        <v>182</v>
      </c>
      <c r="B28" s="558"/>
      <c r="C28" s="260" t="s">
        <v>181</v>
      </c>
      <c r="D28" s="255">
        <f>Salary!Y21</f>
        <v>2000</v>
      </c>
      <c r="E28" s="569" t="s">
        <v>232</v>
      </c>
      <c r="F28" s="570"/>
      <c r="G28" s="570"/>
      <c r="H28" s="570"/>
      <c r="I28" s="570"/>
      <c r="J28" s="570"/>
      <c r="K28" s="559" t="str">
        <f>L5</f>
        <v>August, 2021</v>
      </c>
      <c r="L28" s="559"/>
      <c r="M28" s="559" t="s">
        <v>214</v>
      </c>
      <c r="N28" s="562"/>
    </row>
    <row r="29" spans="1:18" ht="24.75" customHeight="1" x14ac:dyDescent="0.2">
      <c r="A29" s="565" t="s">
        <v>53</v>
      </c>
      <c r="B29" s="566"/>
      <c r="C29" s="259" t="s">
        <v>276</v>
      </c>
      <c r="D29" s="254">
        <f>Salary!AA21</f>
        <v>4167</v>
      </c>
      <c r="E29" s="551" t="s">
        <v>275</v>
      </c>
      <c r="F29" s="552"/>
      <c r="G29" s="552"/>
      <c r="H29" s="552"/>
      <c r="I29" s="552"/>
      <c r="J29" s="552"/>
      <c r="K29" s="553" t="str">
        <f>L5</f>
        <v>August, 2021</v>
      </c>
      <c r="L29" s="553"/>
      <c r="M29" s="560" t="s">
        <v>214</v>
      </c>
      <c r="N29" s="561"/>
    </row>
    <row r="30" spans="1:18" ht="24.75" customHeight="1" x14ac:dyDescent="0.2">
      <c r="A30" s="549" t="s">
        <v>302</v>
      </c>
      <c r="B30" s="550"/>
      <c r="C30" s="259" t="s">
        <v>235</v>
      </c>
      <c r="D30" s="254">
        <f>Salary!AB21</f>
        <v>200</v>
      </c>
      <c r="E30" s="551" t="s">
        <v>309</v>
      </c>
      <c r="F30" s="552"/>
      <c r="G30" s="552"/>
      <c r="H30" s="552"/>
      <c r="I30" s="552"/>
      <c r="J30" s="552"/>
      <c r="K30" s="554" t="str">
        <f>L5</f>
        <v>August, 2021</v>
      </c>
      <c r="L30" s="554"/>
      <c r="M30" s="560" t="s">
        <v>214</v>
      </c>
      <c r="N30" s="561"/>
    </row>
    <row r="31" spans="1:18" s="252" customFormat="1" ht="28.5" customHeight="1" x14ac:dyDescent="0.2">
      <c r="A31" s="557" t="s">
        <v>55</v>
      </c>
      <c r="B31" s="558"/>
      <c r="C31" s="260" t="s">
        <v>235</v>
      </c>
      <c r="D31" s="255">
        <f>Salary!AD21</f>
        <v>110</v>
      </c>
      <c r="E31" s="569" t="s">
        <v>234</v>
      </c>
      <c r="F31" s="570"/>
      <c r="G31" s="570"/>
      <c r="H31" s="570"/>
      <c r="I31" s="570"/>
      <c r="J31" s="570"/>
      <c r="K31" s="559" t="str">
        <f>L7</f>
        <v>August, 2021</v>
      </c>
      <c r="L31" s="559"/>
      <c r="M31" s="559" t="s">
        <v>214</v>
      </c>
      <c r="N31" s="562"/>
    </row>
    <row r="32" spans="1:18" ht="21.75" customHeight="1" thickBot="1" x14ac:dyDescent="0.25">
      <c r="A32" s="567" t="s">
        <v>183</v>
      </c>
      <c r="B32" s="568"/>
      <c r="C32" s="568"/>
      <c r="D32" s="293">
        <f>SUM(D15:D31)</f>
        <v>497968</v>
      </c>
      <c r="E32" s="563" t="str">
        <f>Salary!B33</f>
        <v>In Words: Taka Four Lac Ninety Seven Thousand Nine Hundred Sixty Eight Only</v>
      </c>
      <c r="F32" s="563"/>
      <c r="G32" s="563"/>
      <c r="H32" s="563"/>
      <c r="I32" s="563"/>
      <c r="J32" s="563"/>
      <c r="K32" s="563"/>
      <c r="L32" s="563"/>
      <c r="M32" s="563"/>
      <c r="N32" s="564"/>
      <c r="Q32" s="235" t="s">
        <v>12</v>
      </c>
      <c r="R32" s="236">
        <f>D13-D32</f>
        <v>0</v>
      </c>
    </row>
    <row r="33" spans="1:14" ht="0.75" customHeight="1" x14ac:dyDescent="0.2">
      <c r="A33" s="239"/>
      <c r="B33" s="239"/>
      <c r="C33" s="237"/>
      <c r="D33" s="240"/>
      <c r="E33" s="238"/>
      <c r="F33" s="238"/>
      <c r="G33" s="238"/>
      <c r="H33" s="238"/>
      <c r="I33" s="238"/>
    </row>
    <row r="34" spans="1:14" ht="20.25" x14ac:dyDescent="0.2">
      <c r="D34" s="235"/>
      <c r="E34" s="241"/>
      <c r="F34" s="241"/>
      <c r="G34" s="242"/>
      <c r="I34" s="236"/>
    </row>
    <row r="35" spans="1:14" ht="20.25" x14ac:dyDescent="0.2">
      <c r="D35" s="235"/>
      <c r="E35" s="241"/>
      <c r="F35" s="241"/>
      <c r="G35" s="242"/>
      <c r="I35" s="236"/>
    </row>
    <row r="36" spans="1:14" ht="20.25" x14ac:dyDescent="0.2">
      <c r="D36" s="235"/>
      <c r="E36" s="241"/>
      <c r="F36" s="241"/>
      <c r="G36" s="242"/>
      <c r="I36" s="236"/>
    </row>
    <row r="37" spans="1:14" ht="33" customHeight="1" x14ac:dyDescent="0.2">
      <c r="D37" s="235"/>
    </row>
    <row r="38" spans="1:14" s="283" customFormat="1" ht="24" customHeight="1" x14ac:dyDescent="0.2">
      <c r="A38" s="556" t="str">
        <f>Salary!B38</f>
        <v>(SHANKAR CHANDRA DEBNATH)</v>
      </c>
      <c r="B38" s="556"/>
      <c r="C38" s="556"/>
      <c r="E38" s="555" t="str">
        <f>Salary!I38</f>
        <v>(MD. MOHIN UDDIN MORSHED)</v>
      </c>
      <c r="F38" s="555"/>
      <c r="G38" s="555"/>
      <c r="H38" s="555"/>
      <c r="J38" s="556" t="str">
        <f>Salary!T38</f>
        <v>(PARTHA SARATHI DAS)</v>
      </c>
      <c r="K38" s="556"/>
      <c r="L38" s="556"/>
      <c r="M38" s="556"/>
      <c r="N38" s="556"/>
    </row>
    <row r="39" spans="1:14" s="283" customFormat="1" ht="24.75" customHeight="1" x14ac:dyDescent="0.2">
      <c r="A39" s="556" t="str">
        <f>Salary!B39</f>
        <v>SENIOR OFFICER</v>
      </c>
      <c r="B39" s="556"/>
      <c r="C39" s="556"/>
      <c r="E39" s="555" t="str">
        <f>Salary!I39</f>
        <v>PRINCIPAL OFFICER</v>
      </c>
      <c r="F39" s="555"/>
      <c r="G39" s="555"/>
      <c r="H39" s="555"/>
      <c r="J39" s="556" t="str">
        <f>Salary!T39</f>
        <v>MANAGER (SENIOR PRINCIPAL OFFICER)</v>
      </c>
      <c r="K39" s="556"/>
      <c r="L39" s="556"/>
      <c r="M39" s="556"/>
      <c r="N39" s="556"/>
    </row>
    <row r="40" spans="1:14" ht="21.75" customHeight="1" x14ac:dyDescent="0.2">
      <c r="D40" s="235"/>
      <c r="E40" s="244"/>
      <c r="F40" s="243"/>
      <c r="I40" s="236"/>
    </row>
    <row r="41" spans="1:14" ht="21.75" x14ac:dyDescent="0.2">
      <c r="C41" s="245"/>
      <c r="D41" s="246"/>
      <c r="E41" s="243"/>
      <c r="F41" s="243"/>
    </row>
    <row r="42" spans="1:14" x14ac:dyDescent="0.2">
      <c r="D42" s="247"/>
    </row>
    <row r="43" spans="1:14" x14ac:dyDescent="0.2">
      <c r="D43" s="247"/>
    </row>
    <row r="44" spans="1:14" x14ac:dyDescent="0.2">
      <c r="D44" s="247"/>
    </row>
  </sheetData>
  <mergeCells count="105">
    <mergeCell ref="A28:B28"/>
    <mergeCell ref="K28:L28"/>
    <mergeCell ref="M25:N25"/>
    <mergeCell ref="M26:N26"/>
    <mergeCell ref="M27:N27"/>
    <mergeCell ref="M28:N28"/>
    <mergeCell ref="E25:J25"/>
    <mergeCell ref="E26:J26"/>
    <mergeCell ref="E27:J27"/>
    <mergeCell ref="E28:J28"/>
    <mergeCell ref="K25:L25"/>
    <mergeCell ref="K26:L26"/>
    <mergeCell ref="K27:L27"/>
    <mergeCell ref="A27:B27"/>
    <mergeCell ref="A13:C13"/>
    <mergeCell ref="A24:B24"/>
    <mergeCell ref="A25:B25"/>
    <mergeCell ref="A26:B26"/>
    <mergeCell ref="A14:B14"/>
    <mergeCell ref="E13:N13"/>
    <mergeCell ref="A9:B9"/>
    <mergeCell ref="A10:B10"/>
    <mergeCell ref="E9:K9"/>
    <mergeCell ref="E10:K10"/>
    <mergeCell ref="L9:M9"/>
    <mergeCell ref="L10:M10"/>
    <mergeCell ref="E14:N14"/>
    <mergeCell ref="K21:L21"/>
    <mergeCell ref="K22:L22"/>
    <mergeCell ref="K23:L23"/>
    <mergeCell ref="A23:B23"/>
    <mergeCell ref="M23:N23"/>
    <mergeCell ref="M24:N24"/>
    <mergeCell ref="E19:J19"/>
    <mergeCell ref="E20:J20"/>
    <mergeCell ref="E21:J21"/>
    <mergeCell ref="E22:J22"/>
    <mergeCell ref="E23:J23"/>
    <mergeCell ref="A2:J2"/>
    <mergeCell ref="A3:J3"/>
    <mergeCell ref="E4:M4"/>
    <mergeCell ref="E11:K11"/>
    <mergeCell ref="E12:K12"/>
    <mergeCell ref="L11:M11"/>
    <mergeCell ref="L12:M12"/>
    <mergeCell ref="A4:B4"/>
    <mergeCell ref="E5:K5"/>
    <mergeCell ref="E6:K6"/>
    <mergeCell ref="E7:K7"/>
    <mergeCell ref="E8:K8"/>
    <mergeCell ref="L5:M5"/>
    <mergeCell ref="L6:M6"/>
    <mergeCell ref="L7:M7"/>
    <mergeCell ref="L8:M8"/>
    <mergeCell ref="A5:B5"/>
    <mergeCell ref="A6:B6"/>
    <mergeCell ref="A7:B7"/>
    <mergeCell ref="A8:B8"/>
    <mergeCell ref="A11:B11"/>
    <mergeCell ref="A12:B12"/>
    <mergeCell ref="L3:M3"/>
    <mergeCell ref="E24:J24"/>
    <mergeCell ref="K24:L24"/>
    <mergeCell ref="M20:N20"/>
    <mergeCell ref="M21:N21"/>
    <mergeCell ref="M22:N22"/>
    <mergeCell ref="M19:N19"/>
    <mergeCell ref="K19:L19"/>
    <mergeCell ref="K20:L20"/>
    <mergeCell ref="A19:B19"/>
    <mergeCell ref="A20:B20"/>
    <mergeCell ref="A21:B21"/>
    <mergeCell ref="A22:B22"/>
    <mergeCell ref="M15:N15"/>
    <mergeCell ref="A15:B15"/>
    <mergeCell ref="A16:B16"/>
    <mergeCell ref="A17:B17"/>
    <mergeCell ref="A18:B18"/>
    <mergeCell ref="E15:L15"/>
    <mergeCell ref="E16:L16"/>
    <mergeCell ref="E17:L17"/>
    <mergeCell ref="E18:L18"/>
    <mergeCell ref="M16:N16"/>
    <mergeCell ref="M18:N18"/>
    <mergeCell ref="M17:N17"/>
    <mergeCell ref="A30:B30"/>
    <mergeCell ref="E30:J30"/>
    <mergeCell ref="E29:J29"/>
    <mergeCell ref="K29:L29"/>
    <mergeCell ref="K30:L30"/>
    <mergeCell ref="E38:H38"/>
    <mergeCell ref="E39:H39"/>
    <mergeCell ref="A38:C38"/>
    <mergeCell ref="A39:C39"/>
    <mergeCell ref="J38:N38"/>
    <mergeCell ref="J39:N39"/>
    <mergeCell ref="A31:B31"/>
    <mergeCell ref="K31:L31"/>
    <mergeCell ref="M29:N29"/>
    <mergeCell ref="M30:N30"/>
    <mergeCell ref="M31:N31"/>
    <mergeCell ref="E32:N32"/>
    <mergeCell ref="A29:B29"/>
    <mergeCell ref="A32:C32"/>
    <mergeCell ref="E31:J31"/>
  </mergeCells>
  <pageMargins left="0.4" right="0" top="0.2" bottom="0" header="0.3" footer="0"/>
  <pageSetup paperSize="9" scale="58" orientation="landscape" r:id="rId1"/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7" sqref="F27"/>
    </sheetView>
  </sheetViews>
  <sheetFormatPr defaultRowHeight="12.75" x14ac:dyDescent="0.2"/>
  <cols>
    <col min="1" max="1" width="14.42578125" customWidth="1"/>
    <col min="2" max="2" width="12.140625" customWidth="1"/>
    <col min="3" max="3" width="13.85546875" customWidth="1"/>
    <col min="4" max="4" width="14.85546875" customWidth="1"/>
    <col min="5" max="5" width="13.42578125" customWidth="1"/>
    <col min="6" max="6" width="18.28515625" customWidth="1"/>
  </cols>
  <sheetData>
    <row r="1" spans="1:10" x14ac:dyDescent="0.2">
      <c r="A1" s="16" t="s">
        <v>139</v>
      </c>
    </row>
    <row r="2" spans="1:10" ht="14.25" customHeight="1" x14ac:dyDescent="0.2">
      <c r="A2" s="205"/>
      <c r="B2" s="206"/>
    </row>
    <row r="3" spans="1:10" x14ac:dyDescent="0.2">
      <c r="A3" s="18">
        <v>22000</v>
      </c>
      <c r="B3" s="18">
        <f>(A3/31)*8</f>
        <v>5677.4193548387093</v>
      </c>
      <c r="C3" s="18"/>
      <c r="D3" s="208"/>
      <c r="E3" s="18"/>
      <c r="F3" s="18"/>
      <c r="H3" s="18"/>
      <c r="I3" s="18"/>
      <c r="J3" s="18"/>
    </row>
    <row r="4" spans="1:10" x14ac:dyDescent="0.2">
      <c r="A4" s="18">
        <v>18530</v>
      </c>
      <c r="B4" s="18">
        <f>(A4/31)*8</f>
        <v>4781.9354838709678</v>
      </c>
      <c r="C4" s="18"/>
      <c r="D4" s="207"/>
      <c r="E4" s="207"/>
      <c r="F4" s="207"/>
      <c r="G4" s="18"/>
      <c r="H4" s="18"/>
      <c r="I4" s="18"/>
      <c r="J4" s="18"/>
    </row>
    <row r="5" spans="1:10" x14ac:dyDescent="0.2">
      <c r="A5" s="209" t="s">
        <v>140</v>
      </c>
      <c r="B5" s="209">
        <f>ROUND(B3-B4,0)</f>
        <v>895</v>
      </c>
      <c r="C5" s="18"/>
      <c r="E5" s="18"/>
      <c r="F5" s="18"/>
      <c r="G5" s="18"/>
      <c r="H5" s="18"/>
      <c r="I5" s="18"/>
      <c r="J5" s="18"/>
    </row>
    <row r="6" spans="1:10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">
      <c r="A7" s="610" t="s">
        <v>141</v>
      </c>
      <c r="B7" s="610"/>
      <c r="C7" s="610"/>
      <c r="D7" s="610"/>
      <c r="E7" s="610"/>
      <c r="F7" s="610"/>
    </row>
    <row r="8" spans="1:10" x14ac:dyDescent="0.2">
      <c r="A8" s="611" t="s">
        <v>142</v>
      </c>
      <c r="B8" s="611"/>
      <c r="C8" s="611"/>
      <c r="D8" s="7">
        <f>((22000*0.45)/31)*8</f>
        <v>2554.8387096774195</v>
      </c>
      <c r="E8" s="7">
        <f>((18530*0.45)/31)*8</f>
        <v>2151.8709677419356</v>
      </c>
      <c r="F8" s="210">
        <f>D8-E8</f>
        <v>402.9677419354839</v>
      </c>
    </row>
    <row r="9" spans="1:10" x14ac:dyDescent="0.2">
      <c r="A9" s="611" t="s">
        <v>143</v>
      </c>
      <c r="B9" s="611"/>
      <c r="C9" s="611"/>
      <c r="D9" s="7"/>
      <c r="E9" s="7"/>
      <c r="F9" s="210">
        <f>((22000*0.45)/31)*15</f>
        <v>4790.3225806451619</v>
      </c>
    </row>
    <row r="10" spans="1:10" ht="13.5" thickBot="1" x14ac:dyDescent="0.25">
      <c r="A10" s="612" t="s">
        <v>144</v>
      </c>
      <c r="B10" s="612"/>
      <c r="C10" s="612"/>
      <c r="D10" s="211"/>
      <c r="E10" s="211"/>
      <c r="F10" s="212">
        <f>((22000*0.4)/31)*16</f>
        <v>4541.9354838709678</v>
      </c>
    </row>
    <row r="11" spans="1:10" ht="16.5" thickBot="1" x14ac:dyDescent="0.3">
      <c r="A11" s="613" t="s">
        <v>145</v>
      </c>
      <c r="B11" s="614"/>
      <c r="C11" s="614"/>
      <c r="D11" s="614"/>
      <c r="E11" s="615"/>
      <c r="F11" s="215">
        <f>SUM(F8:F10)</f>
        <v>9735.2258064516136</v>
      </c>
    </row>
    <row r="12" spans="1:10" ht="13.5" thickBot="1" x14ac:dyDescent="0.25">
      <c r="A12" s="607" t="s">
        <v>146</v>
      </c>
      <c r="B12" s="608"/>
      <c r="C12" s="608"/>
      <c r="D12" s="608"/>
      <c r="E12" s="609"/>
      <c r="F12" s="213">
        <v>9158</v>
      </c>
    </row>
    <row r="13" spans="1:10" ht="13.5" thickBot="1" x14ac:dyDescent="0.25">
      <c r="A13" s="607" t="s">
        <v>147</v>
      </c>
      <c r="B13" s="608"/>
      <c r="C13" s="608"/>
      <c r="D13" s="608"/>
      <c r="E13" s="609"/>
      <c r="F13" s="214">
        <f>F11-F12</f>
        <v>577.22580645161361</v>
      </c>
    </row>
    <row r="17" spans="1:6" x14ac:dyDescent="0.2">
      <c r="A17" s="16" t="s">
        <v>148</v>
      </c>
    </row>
    <row r="18" spans="1:6" x14ac:dyDescent="0.2">
      <c r="A18" s="205"/>
      <c r="B18" s="206"/>
    </row>
    <row r="19" spans="1:6" x14ac:dyDescent="0.2">
      <c r="A19" s="18">
        <v>22000</v>
      </c>
      <c r="B19" s="18">
        <f>(A19/31)*8</f>
        <v>5677.4193548387093</v>
      </c>
      <c r="C19" s="18"/>
      <c r="D19" s="208"/>
      <c r="E19" s="18"/>
      <c r="F19" s="18"/>
    </row>
    <row r="20" spans="1:6" x14ac:dyDescent="0.2">
      <c r="A20" s="18">
        <v>18530</v>
      </c>
      <c r="B20" s="18">
        <f>(A20/31)*8</f>
        <v>4781.9354838709678</v>
      </c>
      <c r="C20" s="18"/>
      <c r="D20" s="207"/>
      <c r="E20" s="207"/>
      <c r="F20" s="207"/>
    </row>
    <row r="21" spans="1:6" x14ac:dyDescent="0.2">
      <c r="A21" s="209" t="s">
        <v>140</v>
      </c>
      <c r="B21" s="209">
        <f>ROUND(B19-B20,0)</f>
        <v>895</v>
      </c>
      <c r="C21" s="18"/>
      <c r="E21" s="18"/>
      <c r="F21" s="18"/>
    </row>
    <row r="22" spans="1:6" x14ac:dyDescent="0.2">
      <c r="A22" s="18"/>
      <c r="B22" s="18"/>
      <c r="C22" s="18"/>
      <c r="D22" s="18"/>
      <c r="E22" s="18"/>
      <c r="F22" s="18"/>
    </row>
    <row r="23" spans="1:6" x14ac:dyDescent="0.2">
      <c r="A23" s="610" t="s">
        <v>141</v>
      </c>
      <c r="B23" s="610"/>
      <c r="C23" s="610"/>
      <c r="D23" s="610"/>
      <c r="E23" s="610"/>
      <c r="F23" s="610"/>
    </row>
    <row r="24" spans="1:6" x14ac:dyDescent="0.2">
      <c r="A24" s="611" t="s">
        <v>142</v>
      </c>
      <c r="B24" s="611"/>
      <c r="C24" s="611"/>
      <c r="D24" s="7">
        <f>((22000*0.45)/31)*8</f>
        <v>2554.8387096774195</v>
      </c>
      <c r="E24" s="7">
        <f>((18530*0.45)/31)*8</f>
        <v>2151.8709677419356</v>
      </c>
      <c r="F24" s="210">
        <f>D24-E24</f>
        <v>402.9677419354839</v>
      </c>
    </row>
    <row r="25" spans="1:6" x14ac:dyDescent="0.2">
      <c r="A25" s="611" t="s">
        <v>149</v>
      </c>
      <c r="B25" s="611"/>
      <c r="C25" s="611"/>
      <c r="D25" s="7"/>
      <c r="E25" s="7"/>
      <c r="F25" s="210">
        <f>((22000*0.45)/31)*10</f>
        <v>3193.5483870967746</v>
      </c>
    </row>
    <row r="26" spans="1:6" ht="13.5" thickBot="1" x14ac:dyDescent="0.25">
      <c r="A26" s="612" t="s">
        <v>150</v>
      </c>
      <c r="B26" s="612"/>
      <c r="C26" s="612"/>
      <c r="D26" s="211"/>
      <c r="E26" s="211"/>
      <c r="F26" s="212">
        <f>((22000*0.4)/31)*21</f>
        <v>5961.2903225806449</v>
      </c>
    </row>
    <row r="27" spans="1:6" ht="16.5" thickBot="1" x14ac:dyDescent="0.3">
      <c r="A27" s="613" t="s">
        <v>145</v>
      </c>
      <c r="B27" s="614"/>
      <c r="C27" s="614"/>
      <c r="D27" s="614"/>
      <c r="E27" s="615"/>
      <c r="F27" s="215">
        <f>SUM(F24:F26)</f>
        <v>9557.8064516129034</v>
      </c>
    </row>
    <row r="28" spans="1:6" ht="13.5" thickBot="1" x14ac:dyDescent="0.25">
      <c r="A28" s="607" t="s">
        <v>146</v>
      </c>
      <c r="B28" s="608"/>
      <c r="C28" s="608"/>
      <c r="D28" s="608"/>
      <c r="E28" s="609"/>
      <c r="F28" s="213">
        <v>9158</v>
      </c>
    </row>
    <row r="29" spans="1:6" ht="13.5" thickBot="1" x14ac:dyDescent="0.25">
      <c r="A29" s="607" t="s">
        <v>147</v>
      </c>
      <c r="B29" s="608"/>
      <c r="C29" s="608"/>
      <c r="D29" s="608"/>
      <c r="E29" s="609"/>
      <c r="F29" s="214">
        <f>F27-F28</f>
        <v>399.8064516129034</v>
      </c>
    </row>
  </sheetData>
  <mergeCells count="14">
    <mergeCell ref="A8:C8"/>
    <mergeCell ref="A9:C9"/>
    <mergeCell ref="A10:C10"/>
    <mergeCell ref="A7:F7"/>
    <mergeCell ref="A11:E11"/>
    <mergeCell ref="A28:E28"/>
    <mergeCell ref="A29:E29"/>
    <mergeCell ref="A12:E12"/>
    <mergeCell ref="A13:E13"/>
    <mergeCell ref="A23:F23"/>
    <mergeCell ref="A24:C24"/>
    <mergeCell ref="A25:C25"/>
    <mergeCell ref="A26:C26"/>
    <mergeCell ref="A27:E2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6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P24" sqref="P24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140625" style="134" customWidth="1"/>
    <col min="4" max="4" width="17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.140625" customWidth="1"/>
    <col min="10" max="10" width="8.7109375" customWidth="1"/>
    <col min="11" max="11" width="6.28515625" customWidth="1"/>
    <col min="12" max="12" width="5" customWidth="1"/>
    <col min="13" max="14" width="7" customWidth="1"/>
    <col min="15" max="15" width="5.7109375" customWidth="1"/>
    <col min="16" max="17" width="7.42578125" customWidth="1"/>
    <col min="18" max="18" width="4.42578125" customWidth="1"/>
    <col min="19" max="19" width="6.28515625" customWidth="1"/>
    <col min="20" max="20" width="5.5703125" customWidth="1"/>
    <col min="21" max="21" width="7.42578125" customWidth="1"/>
    <col min="22" max="22" width="5.85546875" customWidth="1"/>
    <col min="23" max="23" width="5.28515625" style="1" customWidth="1"/>
    <col min="24" max="24" width="5" style="1" customWidth="1"/>
    <col min="25" max="25" width="4.42578125" style="1" customWidth="1"/>
    <col min="26" max="26" width="3.85546875" style="1" customWidth="1"/>
    <col min="27" max="27" width="5.85546875" style="1" customWidth="1"/>
    <col min="28" max="28" width="6" customWidth="1"/>
    <col min="29" max="29" width="7.28515625" customWidth="1"/>
    <col min="30" max="30" width="8.28515625" customWidth="1"/>
    <col min="31" max="31" width="8.5703125" customWidth="1"/>
    <col min="32" max="32" width="10.42578125" customWidth="1"/>
    <col min="33" max="33" width="10.7109375" customWidth="1"/>
    <col min="34" max="34" width="10.140625" customWidth="1"/>
    <col min="35" max="36" width="8.85546875" customWidth="1"/>
    <col min="37" max="37" width="12.140625" customWidth="1"/>
    <col min="39" max="39" width="12.42578125" customWidth="1"/>
    <col min="71" max="71" width="14.5703125" customWidth="1"/>
    <col min="72" max="72" width="14.85546875" customWidth="1"/>
    <col min="73" max="74" width="12.28515625" customWidth="1"/>
    <col min="75" max="75" width="11.140625" customWidth="1"/>
  </cols>
  <sheetData>
    <row r="1" spans="1:37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19"/>
    </row>
    <row r="2" spans="1:37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20"/>
    </row>
    <row r="3" spans="1:37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28"/>
    </row>
    <row r="4" spans="1:37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28"/>
    </row>
    <row r="5" spans="1:37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5"/>
      <c r="AE5" s="28"/>
    </row>
    <row r="6" spans="1:37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622" t="s">
        <v>138</v>
      </c>
      <c r="K6" s="622"/>
      <c r="L6" s="622"/>
      <c r="M6" s="622"/>
      <c r="N6" s="622"/>
      <c r="O6" s="622"/>
      <c r="P6" s="622"/>
      <c r="Q6" s="622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7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30" t="s">
        <v>28</v>
      </c>
      <c r="J7" s="30" t="s">
        <v>25</v>
      </c>
      <c r="K7" s="30" t="s">
        <v>49</v>
      </c>
      <c r="L7" s="30" t="s">
        <v>48</v>
      </c>
      <c r="M7" s="32" t="s">
        <v>2</v>
      </c>
      <c r="N7" s="129" t="s">
        <v>38</v>
      </c>
      <c r="O7" s="33" t="s">
        <v>52</v>
      </c>
      <c r="P7" s="30" t="s">
        <v>10</v>
      </c>
      <c r="Q7" s="129" t="s">
        <v>38</v>
      </c>
      <c r="R7" s="204" t="s">
        <v>126</v>
      </c>
      <c r="S7" s="30" t="s">
        <v>41</v>
      </c>
      <c r="T7" s="30" t="s">
        <v>39</v>
      </c>
      <c r="U7" s="30" t="s">
        <v>29</v>
      </c>
      <c r="V7" s="30" t="s">
        <v>31</v>
      </c>
      <c r="W7" s="30" t="s">
        <v>50</v>
      </c>
      <c r="X7" s="30" t="s">
        <v>7</v>
      </c>
      <c r="Y7" s="30" t="s">
        <v>51</v>
      </c>
      <c r="Z7" s="30" t="s">
        <v>26</v>
      </c>
      <c r="AA7" s="30" t="s">
        <v>74</v>
      </c>
      <c r="AB7" s="30" t="s">
        <v>77</v>
      </c>
      <c r="AC7" s="30" t="s">
        <v>11</v>
      </c>
      <c r="AD7" s="30" t="s">
        <v>9</v>
      </c>
      <c r="AE7" s="28"/>
      <c r="AF7" s="126" t="s">
        <v>67</v>
      </c>
      <c r="AG7" s="126" t="s">
        <v>68</v>
      </c>
      <c r="AH7" s="126" t="s">
        <v>71</v>
      </c>
      <c r="AI7" s="126" t="s">
        <v>69</v>
      </c>
      <c r="AJ7" s="104" t="s">
        <v>53</v>
      </c>
      <c r="AK7" s="184" t="s">
        <v>113</v>
      </c>
    </row>
    <row r="8" spans="1:37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2"/>
      <c r="N8" s="33"/>
      <c r="O8" s="33"/>
      <c r="P8" s="30"/>
      <c r="Q8" s="623" t="s">
        <v>133</v>
      </c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5"/>
      <c r="AC8" s="30"/>
      <c r="AD8" s="30"/>
      <c r="AE8" s="2"/>
      <c r="AF8" s="141">
        <f>W22+S10+S11+S12+S13+S14+S15+S16+S17+S19+S20+S21+T12+T13+T16</f>
        <v>61096</v>
      </c>
      <c r="AG8" s="141">
        <f>+X24+Z24</f>
        <v>2029</v>
      </c>
      <c r="AH8" s="141">
        <f>T24</f>
        <v>9309</v>
      </c>
      <c r="AI8" s="141">
        <f>+N10+N11+N14+N15+N17+N19+N20+N21</f>
        <v>127887</v>
      </c>
      <c r="AJ8" s="141">
        <f>AA24</f>
        <v>1056</v>
      </c>
      <c r="AK8" s="141">
        <f>AF8+AG8+AH8+AI8+AJ8</f>
        <v>201377</v>
      </c>
    </row>
    <row r="9" spans="1:37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7">
        <v>8</v>
      </c>
      <c r="J9" s="25">
        <v>9</v>
      </c>
      <c r="K9" s="25">
        <v>10</v>
      </c>
      <c r="L9" s="27">
        <v>11</v>
      </c>
      <c r="M9" s="25">
        <v>12</v>
      </c>
      <c r="N9" s="27">
        <v>13</v>
      </c>
      <c r="O9" s="25">
        <v>14</v>
      </c>
      <c r="P9" s="27">
        <v>15</v>
      </c>
      <c r="Q9" s="25">
        <v>16</v>
      </c>
      <c r="R9" s="27"/>
      <c r="S9" s="25">
        <v>17</v>
      </c>
      <c r="T9" s="27">
        <v>18</v>
      </c>
      <c r="U9" s="25">
        <v>19</v>
      </c>
      <c r="V9" s="27">
        <v>20</v>
      </c>
      <c r="W9" s="25">
        <v>21</v>
      </c>
      <c r="X9" s="27">
        <v>22</v>
      </c>
      <c r="Y9" s="25">
        <v>23</v>
      </c>
      <c r="Z9" s="27">
        <v>24</v>
      </c>
      <c r="AA9" s="27">
        <v>25</v>
      </c>
      <c r="AB9" s="25">
        <v>26</v>
      </c>
      <c r="AC9" s="27">
        <v>27</v>
      </c>
      <c r="AD9" s="25">
        <v>28</v>
      </c>
      <c r="AE9" s="22"/>
    </row>
    <row r="10" spans="1:37" s="39" customFormat="1" ht="20.100000000000001" customHeight="1" x14ac:dyDescent="0.2">
      <c r="B10" s="128">
        <v>1364</v>
      </c>
      <c r="C10" s="92" t="s">
        <v>130</v>
      </c>
      <c r="D10" s="41" t="s">
        <v>42</v>
      </c>
      <c r="E10" s="182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88">
        <f>ROUND((G10*35%),0)</f>
        <v>20496</v>
      </c>
      <c r="K10" s="89">
        <v>1500</v>
      </c>
      <c r="L10" s="43">
        <v>0</v>
      </c>
      <c r="M10" s="88">
        <f>G10+H10+I10+J10+K10+L10</f>
        <v>80756</v>
      </c>
      <c r="N10" s="89">
        <f>ROUND((G10*55%),0)</f>
        <v>32208</v>
      </c>
      <c r="O10" s="43">
        <v>0</v>
      </c>
      <c r="P10" s="89">
        <f t="shared" ref="P10:P17" si="1">ROUND((M10+N10+O10),0)</f>
        <v>112964</v>
      </c>
      <c r="Q10" s="122">
        <f t="shared" ref="Q10:Q17" si="2">N10</f>
        <v>32208</v>
      </c>
      <c r="R10" s="42">
        <v>10</v>
      </c>
      <c r="S10" s="54">
        <f>ROUND((G10*10%),0)</f>
        <v>5856</v>
      </c>
      <c r="T10" s="42">
        <v>0</v>
      </c>
      <c r="U10" s="52">
        <v>18400</v>
      </c>
      <c r="V10" s="42">
        <v>1310</v>
      </c>
      <c r="W10" s="42">
        <v>0</v>
      </c>
      <c r="X10" s="52">
        <v>200</v>
      </c>
      <c r="Y10" s="42">
        <v>10</v>
      </c>
      <c r="Z10" s="42">
        <v>6</v>
      </c>
      <c r="AA10" s="42">
        <v>1056</v>
      </c>
      <c r="AB10" s="98">
        <v>0</v>
      </c>
      <c r="AC10" s="52">
        <f t="shared" ref="AC10:AC18" si="3">ROUND((SUM(Q10:AB10)-R10),0)</f>
        <v>59046</v>
      </c>
      <c r="AD10" s="54">
        <f t="shared" ref="AD10:AD17" si="4">P10-AC10</f>
        <v>53918</v>
      </c>
      <c r="AE10" s="45"/>
      <c r="AF10" s="185"/>
      <c r="AG10" s="185"/>
      <c r="AH10" s="124"/>
      <c r="AI10" s="124"/>
      <c r="AJ10" s="124"/>
    </row>
    <row r="11" spans="1:37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88">
        <f>ROUND((G11*35%),0)</f>
        <v>17955</v>
      </c>
      <c r="K11" s="89">
        <v>1500</v>
      </c>
      <c r="L11" s="50">
        <v>0</v>
      </c>
      <c r="M11" s="88">
        <f t="shared" ref="M11:M22" si="5">G11+H11+I11+J11+K11+L11</f>
        <v>70755</v>
      </c>
      <c r="N11" s="89">
        <f>ROUND((G11*55%),0)</f>
        <v>28215</v>
      </c>
      <c r="O11" s="50">
        <v>0</v>
      </c>
      <c r="P11" s="89">
        <f t="shared" si="1"/>
        <v>98970</v>
      </c>
      <c r="Q11" s="122">
        <f t="shared" si="2"/>
        <v>28215</v>
      </c>
      <c r="R11" s="50">
        <v>15</v>
      </c>
      <c r="S11" s="54">
        <f>ROUND((G11*15%),0)</f>
        <v>7695</v>
      </c>
      <c r="T11" s="50">
        <v>0</v>
      </c>
      <c r="U11" s="49">
        <v>8600</v>
      </c>
      <c r="V11" s="53">
        <v>0</v>
      </c>
      <c r="W11" s="50">
        <v>0</v>
      </c>
      <c r="X11" s="49">
        <v>200</v>
      </c>
      <c r="Y11" s="50">
        <v>10</v>
      </c>
      <c r="Z11" s="50">
        <v>0</v>
      </c>
      <c r="AA11" s="50">
        <v>0</v>
      </c>
      <c r="AB11" s="50">
        <v>0</v>
      </c>
      <c r="AC11" s="52">
        <f t="shared" si="3"/>
        <v>44720</v>
      </c>
      <c r="AD11" s="54">
        <f t="shared" si="4"/>
        <v>54250</v>
      </c>
      <c r="AE11" s="55"/>
    </row>
    <row r="12" spans="1:37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88">
        <v>13800</v>
      </c>
      <c r="K12" s="89">
        <v>1500</v>
      </c>
      <c r="L12" s="50">
        <v>0</v>
      </c>
      <c r="M12" s="88">
        <f t="shared" si="5"/>
        <v>52580</v>
      </c>
      <c r="N12" s="89">
        <f>ROUND((G12*10%),0)</f>
        <v>3728</v>
      </c>
      <c r="O12" s="49">
        <f>N12</f>
        <v>3728</v>
      </c>
      <c r="P12" s="89">
        <f>ROUND((M12+N12+O12),0)</f>
        <v>60036</v>
      </c>
      <c r="Q12" s="122">
        <f>N12</f>
        <v>3728</v>
      </c>
      <c r="R12" s="50">
        <v>10</v>
      </c>
      <c r="S12" s="54">
        <f>ROUND((G12*10%),0)</f>
        <v>3728</v>
      </c>
      <c r="T12" s="50">
        <f>S12</f>
        <v>3728</v>
      </c>
      <c r="U12" s="50">
        <v>0</v>
      </c>
      <c r="V12" s="53">
        <v>3025</v>
      </c>
      <c r="W12" s="50">
        <v>0</v>
      </c>
      <c r="X12" s="49">
        <v>200</v>
      </c>
      <c r="Y12" s="50">
        <v>10</v>
      </c>
      <c r="Z12" s="50">
        <v>0</v>
      </c>
      <c r="AA12" s="50">
        <v>0</v>
      </c>
      <c r="AB12" s="50">
        <v>1125</v>
      </c>
      <c r="AC12" s="52">
        <f t="shared" si="3"/>
        <v>15544</v>
      </c>
      <c r="AD12" s="54">
        <f t="shared" si="4"/>
        <v>44492</v>
      </c>
      <c r="AE12" s="55"/>
      <c r="AF12" s="123"/>
    </row>
    <row r="13" spans="1:37" s="46" customFormat="1" ht="15.75" customHeight="1" x14ac:dyDescent="0.25">
      <c r="B13" s="47">
        <v>1051</v>
      </c>
      <c r="C13" s="48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88">
        <v>13800</v>
      </c>
      <c r="K13" s="89">
        <v>1500</v>
      </c>
      <c r="L13" s="50">
        <v>0</v>
      </c>
      <c r="M13" s="88">
        <f t="shared" si="5"/>
        <v>52580</v>
      </c>
      <c r="N13" s="89">
        <f>ROUND((G13*10%),0)</f>
        <v>3728</v>
      </c>
      <c r="O13" s="49">
        <f>N13</f>
        <v>3728</v>
      </c>
      <c r="P13" s="89">
        <f t="shared" si="1"/>
        <v>60036</v>
      </c>
      <c r="Q13" s="122">
        <f t="shared" si="2"/>
        <v>3728</v>
      </c>
      <c r="R13" s="50">
        <v>10</v>
      </c>
      <c r="S13" s="54">
        <f>ROUND((G13*10%),0)</f>
        <v>3728</v>
      </c>
      <c r="T13" s="49">
        <f>O13</f>
        <v>3728</v>
      </c>
      <c r="U13" s="50">
        <v>0</v>
      </c>
      <c r="V13" s="53">
        <v>3200</v>
      </c>
      <c r="W13" s="50">
        <v>0</v>
      </c>
      <c r="X13" s="49">
        <v>200</v>
      </c>
      <c r="Y13" s="50">
        <v>10</v>
      </c>
      <c r="Z13" s="50">
        <v>0</v>
      </c>
      <c r="AA13" s="50">
        <v>0</v>
      </c>
      <c r="AB13" s="50">
        <v>0</v>
      </c>
      <c r="AC13" s="52">
        <f t="shared" si="3"/>
        <v>14594</v>
      </c>
      <c r="AD13" s="54">
        <f t="shared" si="4"/>
        <v>45442</v>
      </c>
      <c r="AE13" s="55"/>
      <c r="AG13" s="123"/>
    </row>
    <row r="14" spans="1:37" s="191" customFormat="1" ht="16.5" customHeight="1" x14ac:dyDescent="0.25">
      <c r="B14" s="192">
        <v>497</v>
      </c>
      <c r="C14" s="193" t="s">
        <v>58</v>
      </c>
      <c r="D14" s="192" t="s">
        <v>3</v>
      </c>
      <c r="E14" s="194">
        <v>28100</v>
      </c>
      <c r="F14" s="195">
        <v>0</v>
      </c>
      <c r="G14" s="196">
        <f t="shared" si="0"/>
        <v>28100</v>
      </c>
      <c r="H14" s="197">
        <v>0</v>
      </c>
      <c r="I14" s="194">
        <v>1000</v>
      </c>
      <c r="J14" s="196">
        <f>ROUND((G14*40%),0)</f>
        <v>11240</v>
      </c>
      <c r="K14" s="198">
        <v>1500</v>
      </c>
      <c r="L14" s="195">
        <v>0</v>
      </c>
      <c r="M14" s="196">
        <f t="shared" si="5"/>
        <v>41840</v>
      </c>
      <c r="N14" s="198">
        <f>ROUND((G14*55%),0)</f>
        <v>15455</v>
      </c>
      <c r="O14" s="195">
        <v>0</v>
      </c>
      <c r="P14" s="198">
        <f t="shared" si="1"/>
        <v>57295</v>
      </c>
      <c r="Q14" s="199">
        <f t="shared" si="2"/>
        <v>15455</v>
      </c>
      <c r="R14" s="200">
        <v>25</v>
      </c>
      <c r="S14" s="201">
        <f>ROUND((G14*25%),0)</f>
        <v>7025</v>
      </c>
      <c r="T14" s="195">
        <f>O14</f>
        <v>0</v>
      </c>
      <c r="U14" s="194">
        <f>J14</f>
        <v>11240</v>
      </c>
      <c r="V14" s="195">
        <v>3200</v>
      </c>
      <c r="W14" s="197">
        <v>0</v>
      </c>
      <c r="X14" s="194">
        <v>200</v>
      </c>
      <c r="Y14" s="195">
        <v>10</v>
      </c>
      <c r="Z14" s="195">
        <v>0</v>
      </c>
      <c r="AA14" s="195">
        <v>0</v>
      </c>
      <c r="AB14" s="195">
        <v>1150</v>
      </c>
      <c r="AC14" s="202">
        <f t="shared" si="3"/>
        <v>38280</v>
      </c>
      <c r="AD14" s="201">
        <f t="shared" si="4"/>
        <v>19015</v>
      </c>
      <c r="AE14" s="203"/>
    </row>
    <row r="15" spans="1:37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49">
        <v>1000</v>
      </c>
      <c r="J15" s="88">
        <f>ROUND((G15*40%),0)</f>
        <v>12336</v>
      </c>
      <c r="K15" s="89">
        <v>1500</v>
      </c>
      <c r="L15" s="50">
        <v>0</v>
      </c>
      <c r="M15" s="88">
        <f t="shared" si="5"/>
        <v>45676</v>
      </c>
      <c r="N15" s="89">
        <f>ROUND((G15*55%),0)</f>
        <v>16962</v>
      </c>
      <c r="O15" s="50">
        <v>0</v>
      </c>
      <c r="P15" s="89">
        <f t="shared" si="1"/>
        <v>62638</v>
      </c>
      <c r="Q15" s="122">
        <f t="shared" si="2"/>
        <v>16962</v>
      </c>
      <c r="R15" s="51">
        <v>25</v>
      </c>
      <c r="S15" s="54">
        <f>ROUND((G15*25%),0)</f>
        <v>7710</v>
      </c>
      <c r="T15" s="50">
        <f>O15</f>
        <v>0</v>
      </c>
      <c r="U15" s="49">
        <f>J15</f>
        <v>12336</v>
      </c>
      <c r="V15" s="50">
        <v>3500</v>
      </c>
      <c r="W15" s="53">
        <v>0</v>
      </c>
      <c r="X15" s="49">
        <v>200</v>
      </c>
      <c r="Y15" s="50">
        <v>10</v>
      </c>
      <c r="Z15" s="50">
        <v>0</v>
      </c>
      <c r="AA15" s="50">
        <v>0</v>
      </c>
      <c r="AB15" s="50">
        <v>1500</v>
      </c>
      <c r="AC15" s="52">
        <f t="shared" si="3"/>
        <v>42218</v>
      </c>
      <c r="AD15" s="54">
        <f t="shared" si="4"/>
        <v>20420</v>
      </c>
      <c r="AE15" s="55"/>
    </row>
    <row r="16" spans="1:37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88">
        <f>ROUND((G16*40%),0)</f>
        <v>7412</v>
      </c>
      <c r="K16" s="89">
        <v>1500</v>
      </c>
      <c r="L16" s="50">
        <v>0</v>
      </c>
      <c r="M16" s="88">
        <f t="shared" si="5"/>
        <v>27442</v>
      </c>
      <c r="N16" s="89">
        <f>ROUND((G16*10%),0)</f>
        <v>1853</v>
      </c>
      <c r="O16" s="49">
        <f>N16</f>
        <v>1853</v>
      </c>
      <c r="P16" s="89">
        <f t="shared" si="1"/>
        <v>31148</v>
      </c>
      <c r="Q16" s="122">
        <f t="shared" si="2"/>
        <v>1853</v>
      </c>
      <c r="R16" s="51">
        <v>10</v>
      </c>
      <c r="S16" s="54">
        <f>ROUND((G16*10%),0)</f>
        <v>1853</v>
      </c>
      <c r="T16" s="49">
        <f>O16</f>
        <v>1853</v>
      </c>
      <c r="U16" s="50">
        <v>0</v>
      </c>
      <c r="V16" s="50">
        <v>5000</v>
      </c>
      <c r="W16" s="53">
        <v>0</v>
      </c>
      <c r="X16" s="49">
        <f>ROUND((G16*1%),0)</f>
        <v>185</v>
      </c>
      <c r="Y16" s="50">
        <v>10</v>
      </c>
      <c r="Z16" s="50">
        <v>0</v>
      </c>
      <c r="AA16" s="50">
        <v>0</v>
      </c>
      <c r="AB16" s="50">
        <v>0</v>
      </c>
      <c r="AC16" s="52">
        <f t="shared" si="3"/>
        <v>10754</v>
      </c>
      <c r="AD16" s="54">
        <f t="shared" si="4"/>
        <v>20394</v>
      </c>
      <c r="AE16" s="55"/>
    </row>
    <row r="17" spans="2:39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49">
        <v>500</v>
      </c>
      <c r="J17" s="88">
        <f>ROUND((G17*40%),0)</f>
        <v>7412</v>
      </c>
      <c r="K17" s="49">
        <v>1500</v>
      </c>
      <c r="L17" s="50">
        <v>0</v>
      </c>
      <c r="M17" s="88">
        <f t="shared" si="5"/>
        <v>27942</v>
      </c>
      <c r="N17" s="89">
        <f>ROUND((G17*55%),0)</f>
        <v>10192</v>
      </c>
      <c r="O17" s="50">
        <v>0</v>
      </c>
      <c r="P17" s="89">
        <f t="shared" si="1"/>
        <v>38134</v>
      </c>
      <c r="Q17" s="49">
        <f t="shared" si="2"/>
        <v>10192</v>
      </c>
      <c r="R17" s="51">
        <v>25</v>
      </c>
      <c r="S17" s="54">
        <f>ROUND((G17*25%),0)</f>
        <v>4633</v>
      </c>
      <c r="T17" s="50">
        <v>0</v>
      </c>
      <c r="U17" s="49">
        <f>J17</f>
        <v>7412</v>
      </c>
      <c r="V17" s="50">
        <v>4000</v>
      </c>
      <c r="W17" s="53">
        <v>0</v>
      </c>
      <c r="X17" s="49">
        <f>ROUND((G17*1%),0)</f>
        <v>185</v>
      </c>
      <c r="Y17" s="50">
        <v>10</v>
      </c>
      <c r="Z17" s="50">
        <v>0</v>
      </c>
      <c r="AA17" s="50">
        <v>0</v>
      </c>
      <c r="AB17" s="50">
        <v>0</v>
      </c>
      <c r="AC17" s="52">
        <f t="shared" si="3"/>
        <v>26432</v>
      </c>
      <c r="AD17" s="54">
        <f t="shared" si="4"/>
        <v>11702</v>
      </c>
      <c r="AE17" s="55"/>
    </row>
    <row r="18" spans="2:39" s="46" customFormat="1" ht="19.5" customHeight="1" x14ac:dyDescent="0.25">
      <c r="B18" s="47"/>
      <c r="C18" s="48" t="s">
        <v>13</v>
      </c>
      <c r="D18" s="48"/>
      <c r="E18" s="57">
        <f t="shared" ref="E18:Q18" si="6">SUM(E10:E17)</f>
        <v>280420</v>
      </c>
      <c r="F18" s="58">
        <f t="shared" si="6"/>
        <v>0</v>
      </c>
      <c r="G18" s="57">
        <f t="shared" si="6"/>
        <v>280420</v>
      </c>
      <c r="H18" s="57">
        <f t="shared" si="6"/>
        <v>200</v>
      </c>
      <c r="I18" s="57">
        <f t="shared" si="6"/>
        <v>2500</v>
      </c>
      <c r="J18" s="57">
        <f t="shared" si="6"/>
        <v>104451</v>
      </c>
      <c r="K18" s="57">
        <f t="shared" si="6"/>
        <v>12000</v>
      </c>
      <c r="L18" s="58">
        <f t="shared" si="6"/>
        <v>0</v>
      </c>
      <c r="M18" s="97">
        <f t="shared" si="5"/>
        <v>399571</v>
      </c>
      <c r="N18" s="57">
        <f t="shared" si="6"/>
        <v>112341</v>
      </c>
      <c r="O18" s="57">
        <f t="shared" si="6"/>
        <v>9309</v>
      </c>
      <c r="P18" s="57">
        <f>SUM(P10:P17)</f>
        <v>521221</v>
      </c>
      <c r="Q18" s="57">
        <f t="shared" si="6"/>
        <v>112341</v>
      </c>
      <c r="R18" s="57"/>
      <c r="S18" s="57">
        <f t="shared" ref="S18:AB18" si="7">SUM(S10:S17)</f>
        <v>42228</v>
      </c>
      <c r="T18" s="57">
        <f t="shared" si="7"/>
        <v>9309</v>
      </c>
      <c r="U18" s="57">
        <f t="shared" si="7"/>
        <v>57988</v>
      </c>
      <c r="V18" s="57">
        <f t="shared" si="7"/>
        <v>23235</v>
      </c>
      <c r="W18" s="58">
        <f t="shared" si="7"/>
        <v>0</v>
      </c>
      <c r="X18" s="57">
        <f t="shared" si="7"/>
        <v>1570</v>
      </c>
      <c r="Y18" s="57">
        <f t="shared" si="7"/>
        <v>80</v>
      </c>
      <c r="Z18" s="58">
        <f t="shared" si="7"/>
        <v>6</v>
      </c>
      <c r="AA18" s="57">
        <f t="shared" si="7"/>
        <v>1056</v>
      </c>
      <c r="AB18" s="57">
        <f t="shared" si="7"/>
        <v>3775</v>
      </c>
      <c r="AC18" s="121">
        <f t="shared" si="3"/>
        <v>251588</v>
      </c>
      <c r="AD18" s="57">
        <f>SUM(AD10:AD17)</f>
        <v>269633</v>
      </c>
      <c r="AE18" s="55"/>
    </row>
    <row r="19" spans="2:39" s="46" customFormat="1" ht="19.5" customHeight="1" x14ac:dyDescent="0.25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49">
        <v>1000</v>
      </c>
      <c r="J19" s="49">
        <f>G19*40%</f>
        <v>7184</v>
      </c>
      <c r="K19" s="49">
        <v>1500</v>
      </c>
      <c r="L19" s="49">
        <v>100</v>
      </c>
      <c r="M19" s="88">
        <f>G19+H19+I19+J19+K19+L19</f>
        <v>27744</v>
      </c>
      <c r="N19" s="89">
        <f>ROUND((G19*55%),0)</f>
        <v>9878</v>
      </c>
      <c r="O19" s="50">
        <v>0</v>
      </c>
      <c r="P19" s="49">
        <f>ROUND((M19+N19),0)</f>
        <v>37622</v>
      </c>
      <c r="Q19" s="49">
        <f>N19</f>
        <v>9878</v>
      </c>
      <c r="R19" s="51">
        <v>10</v>
      </c>
      <c r="S19" s="54">
        <f>ROUND((G19*10%),0)</f>
        <v>1796</v>
      </c>
      <c r="T19" s="50">
        <v>0</v>
      </c>
      <c r="U19" s="50">
        <v>0</v>
      </c>
      <c r="V19" s="50">
        <v>3200</v>
      </c>
      <c r="W19" s="56">
        <v>5040</v>
      </c>
      <c r="X19" s="49">
        <f>ROUND((G19*1%),0)</f>
        <v>180</v>
      </c>
      <c r="Y19" s="50">
        <v>10</v>
      </c>
      <c r="Z19" s="50">
        <v>0</v>
      </c>
      <c r="AA19" s="50">
        <v>0</v>
      </c>
      <c r="AB19" s="50">
        <v>0</v>
      </c>
      <c r="AC19" s="52">
        <f>ROUND((SUM(Q19:AB19)-R19),0)</f>
        <v>20104</v>
      </c>
      <c r="AD19" s="49">
        <f>P19-AC19</f>
        <v>17518</v>
      </c>
      <c r="AE19" s="55"/>
      <c r="AF19" s="160" t="s">
        <v>20</v>
      </c>
      <c r="AG19" s="160" t="s">
        <v>44</v>
      </c>
      <c r="AH19" s="160" t="s">
        <v>8</v>
      </c>
      <c r="AI19" s="160" t="s">
        <v>129</v>
      </c>
      <c r="AJ19" s="160"/>
      <c r="AK19" s="183" t="s">
        <v>128</v>
      </c>
    </row>
    <row r="20" spans="2:39" s="46" customFormat="1" ht="19.5" customHeight="1" x14ac:dyDescent="0.25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49">
        <v>1000</v>
      </c>
      <c r="J20" s="49">
        <v>7000</v>
      </c>
      <c r="K20" s="49">
        <v>1500</v>
      </c>
      <c r="L20" s="49">
        <v>100</v>
      </c>
      <c r="M20" s="88">
        <f t="shared" si="5"/>
        <v>26270</v>
      </c>
      <c r="N20" s="89">
        <f>ROUND((G20*55%),0)</f>
        <v>9169</v>
      </c>
      <c r="O20" s="50">
        <v>0</v>
      </c>
      <c r="P20" s="49">
        <f>ROUND((M20+N20),0)</f>
        <v>35439</v>
      </c>
      <c r="Q20" s="49">
        <f>N20</f>
        <v>9169</v>
      </c>
      <c r="R20" s="51">
        <v>10</v>
      </c>
      <c r="S20" s="54">
        <f>ROUND((G20*10%),0)</f>
        <v>1667</v>
      </c>
      <c r="T20" s="50">
        <v>0</v>
      </c>
      <c r="U20" s="49">
        <f>J20</f>
        <v>7000</v>
      </c>
      <c r="V20" s="49">
        <v>1500</v>
      </c>
      <c r="W20" s="53">
        <v>0</v>
      </c>
      <c r="X20" s="49">
        <f>ROUND((G20*1%),0)</f>
        <v>167</v>
      </c>
      <c r="Y20" s="50">
        <v>10</v>
      </c>
      <c r="Z20" s="50">
        <v>0</v>
      </c>
      <c r="AA20" s="50">
        <v>0</v>
      </c>
      <c r="AB20" s="50">
        <v>0</v>
      </c>
      <c r="AC20" s="52">
        <f>ROUND((SUM(Q20:AB20)-R20),0)</f>
        <v>19513</v>
      </c>
      <c r="AD20" s="49">
        <f>P20-AC20</f>
        <v>15926</v>
      </c>
      <c r="AE20" s="55"/>
      <c r="AF20" s="162">
        <f>U24</f>
        <v>64988</v>
      </c>
      <c r="AG20" s="162">
        <f>V24</f>
        <v>32935</v>
      </c>
      <c r="AH20" s="162">
        <f>Y24</f>
        <v>110</v>
      </c>
      <c r="AI20" s="162">
        <f>AB24</f>
        <v>3775</v>
      </c>
      <c r="AJ20" s="163"/>
      <c r="AK20" s="162">
        <f>AF20+AG20+AH20+AI20</f>
        <v>101808</v>
      </c>
    </row>
    <row r="21" spans="2:39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49">
        <v>1000</v>
      </c>
      <c r="J21" s="49">
        <f>G21*45%</f>
        <v>4752</v>
      </c>
      <c r="K21" s="49">
        <v>1500</v>
      </c>
      <c r="L21" s="49">
        <v>100</v>
      </c>
      <c r="M21" s="88">
        <f t="shared" si="5"/>
        <v>17912</v>
      </c>
      <c r="N21" s="89">
        <f>ROUND((G21*55%),0)</f>
        <v>5808</v>
      </c>
      <c r="O21" s="50">
        <v>0</v>
      </c>
      <c r="P21" s="49">
        <f>ROUND((M21+N21),0)</f>
        <v>23720</v>
      </c>
      <c r="Q21" s="49">
        <f>N21</f>
        <v>5808</v>
      </c>
      <c r="R21" s="51">
        <v>10</v>
      </c>
      <c r="S21" s="54">
        <f>ROUND((G21*10%),0)</f>
        <v>1056</v>
      </c>
      <c r="T21" s="50">
        <v>0</v>
      </c>
      <c r="U21" s="50">
        <v>0</v>
      </c>
      <c r="V21" s="50">
        <v>5000</v>
      </c>
      <c r="W21" s="53">
        <v>0</v>
      </c>
      <c r="X21" s="49">
        <f>ROUND((G21*1%),0)</f>
        <v>106</v>
      </c>
      <c r="Y21" s="50">
        <v>10</v>
      </c>
      <c r="Z21" s="50">
        <v>0</v>
      </c>
      <c r="AA21" s="50">
        <v>0</v>
      </c>
      <c r="AB21" s="50">
        <v>0</v>
      </c>
      <c r="AC21" s="52">
        <f>ROUND((SUM(Q21:AB21)-R21),0)</f>
        <v>11980</v>
      </c>
      <c r="AD21" s="49">
        <f>P21-AC21</f>
        <v>11740</v>
      </c>
      <c r="AE21" s="55"/>
    </row>
    <row r="22" spans="2:39" s="101" customFormat="1" ht="19.5" customHeight="1" x14ac:dyDescent="0.25">
      <c r="B22" s="47"/>
      <c r="C22" s="47" t="s">
        <v>6</v>
      </c>
      <c r="D22" s="48"/>
      <c r="E22" s="57">
        <f t="shared" ref="E22:J22" si="8">SUM(E19:E21)</f>
        <v>45190</v>
      </c>
      <c r="F22" s="58">
        <f t="shared" si="8"/>
        <v>0</v>
      </c>
      <c r="G22" s="57">
        <f t="shared" si="8"/>
        <v>45190</v>
      </c>
      <c r="H22" s="58">
        <f t="shared" si="8"/>
        <v>0</v>
      </c>
      <c r="I22" s="57">
        <f t="shared" si="8"/>
        <v>3000</v>
      </c>
      <c r="J22" s="57">
        <f t="shared" si="8"/>
        <v>18936</v>
      </c>
      <c r="K22" s="57">
        <f t="shared" ref="K22:Q22" si="9">SUM(K19:K21)</f>
        <v>4500</v>
      </c>
      <c r="L22" s="57">
        <f t="shared" si="9"/>
        <v>300</v>
      </c>
      <c r="M22" s="97">
        <f t="shared" si="5"/>
        <v>71926</v>
      </c>
      <c r="N22" s="57">
        <f t="shared" si="9"/>
        <v>24855</v>
      </c>
      <c r="O22" s="58">
        <f t="shared" si="9"/>
        <v>0</v>
      </c>
      <c r="P22" s="57">
        <f t="shared" si="9"/>
        <v>96781</v>
      </c>
      <c r="Q22" s="57">
        <f t="shared" si="9"/>
        <v>24855</v>
      </c>
      <c r="R22" s="58">
        <v>0</v>
      </c>
      <c r="S22" s="57">
        <f t="shared" ref="S22:Z22" si="10">SUM(S19:S21)</f>
        <v>4519</v>
      </c>
      <c r="T22" s="58">
        <f t="shared" si="10"/>
        <v>0</v>
      </c>
      <c r="U22" s="57">
        <f t="shared" si="10"/>
        <v>7000</v>
      </c>
      <c r="V22" s="57">
        <f t="shared" si="10"/>
        <v>9700</v>
      </c>
      <c r="W22" s="57">
        <f t="shared" si="10"/>
        <v>5040</v>
      </c>
      <c r="X22" s="57">
        <f t="shared" si="10"/>
        <v>453</v>
      </c>
      <c r="Y22" s="57">
        <f t="shared" si="10"/>
        <v>30</v>
      </c>
      <c r="Z22" s="58">
        <f t="shared" si="10"/>
        <v>0</v>
      </c>
      <c r="AA22" s="58">
        <v>0</v>
      </c>
      <c r="AB22" s="58">
        <f>SUM(AB19:AB21)</f>
        <v>0</v>
      </c>
      <c r="AC22" s="57">
        <f>SUM(AC19:AC21)</f>
        <v>51597</v>
      </c>
      <c r="AD22" s="57">
        <f>SUM(AD19:AD21)</f>
        <v>45184</v>
      </c>
      <c r="AE22" s="100"/>
      <c r="AF22" s="154"/>
      <c r="AG22" s="154"/>
      <c r="AH22" s="154"/>
    </row>
    <row r="23" spans="2:39" s="46" customFormat="1" ht="19.5" customHeight="1" x14ac:dyDescent="0.25">
      <c r="B23" s="60"/>
      <c r="C23" s="47" t="s">
        <v>13</v>
      </c>
      <c r="D23" s="48"/>
      <c r="E23" s="61">
        <f t="shared" ref="E23:O23" si="11">E18</f>
        <v>280420</v>
      </c>
      <c r="F23" s="62">
        <f t="shared" si="11"/>
        <v>0</v>
      </c>
      <c r="G23" s="61">
        <f t="shared" si="11"/>
        <v>280420</v>
      </c>
      <c r="H23" s="61">
        <f t="shared" si="11"/>
        <v>200</v>
      </c>
      <c r="I23" s="61">
        <f t="shared" si="11"/>
        <v>2500</v>
      </c>
      <c r="J23" s="61">
        <f t="shared" si="11"/>
        <v>104451</v>
      </c>
      <c r="K23" s="61">
        <f t="shared" si="11"/>
        <v>12000</v>
      </c>
      <c r="L23" s="62">
        <f t="shared" si="11"/>
        <v>0</v>
      </c>
      <c r="M23" s="88">
        <f>M18</f>
        <v>399571</v>
      </c>
      <c r="N23" s="61">
        <f>N18</f>
        <v>112341</v>
      </c>
      <c r="O23" s="61">
        <f t="shared" si="11"/>
        <v>9309</v>
      </c>
      <c r="P23" s="49">
        <f>P18</f>
        <v>521221</v>
      </c>
      <c r="Q23" s="61">
        <f>Q18</f>
        <v>112341</v>
      </c>
      <c r="R23" s="62">
        <v>0</v>
      </c>
      <c r="S23" s="61">
        <f t="shared" ref="S23:AD23" si="12">S18</f>
        <v>42228</v>
      </c>
      <c r="T23" s="62">
        <f t="shared" si="12"/>
        <v>9309</v>
      </c>
      <c r="U23" s="61">
        <f t="shared" si="12"/>
        <v>57988</v>
      </c>
      <c r="V23" s="61">
        <f t="shared" si="12"/>
        <v>23235</v>
      </c>
      <c r="W23" s="62">
        <f t="shared" si="12"/>
        <v>0</v>
      </c>
      <c r="X23" s="61">
        <f t="shared" si="12"/>
        <v>1570</v>
      </c>
      <c r="Y23" s="62">
        <f t="shared" si="12"/>
        <v>80</v>
      </c>
      <c r="Z23" s="62">
        <f t="shared" si="12"/>
        <v>6</v>
      </c>
      <c r="AA23" s="62">
        <f>AA18</f>
        <v>1056</v>
      </c>
      <c r="AB23" s="62">
        <f t="shared" si="12"/>
        <v>3775</v>
      </c>
      <c r="AC23" s="62">
        <f t="shared" si="12"/>
        <v>251588</v>
      </c>
      <c r="AD23" s="61">
        <f t="shared" si="12"/>
        <v>269633</v>
      </c>
      <c r="AE23" s="55"/>
      <c r="AF23" s="102"/>
      <c r="AG23" s="102"/>
      <c r="AH23" s="102"/>
      <c r="AI23" s="102"/>
      <c r="AJ23" s="102"/>
      <c r="AK23" s="102"/>
    </row>
    <row r="24" spans="2:39" s="46" customFormat="1" ht="18" customHeight="1" x14ac:dyDescent="0.25">
      <c r="B24" s="47"/>
      <c r="C24" s="63" t="s">
        <v>14</v>
      </c>
      <c r="D24" s="93"/>
      <c r="E24" s="57">
        <f t="shared" ref="E24:AD24" si="13">E22+E23</f>
        <v>325610</v>
      </c>
      <c r="F24" s="58">
        <f t="shared" si="13"/>
        <v>0</v>
      </c>
      <c r="G24" s="57">
        <f t="shared" si="13"/>
        <v>325610</v>
      </c>
      <c r="H24" s="57">
        <f t="shared" si="13"/>
        <v>200</v>
      </c>
      <c r="I24" s="57">
        <f t="shared" si="13"/>
        <v>5500</v>
      </c>
      <c r="J24" s="57">
        <f t="shared" si="13"/>
        <v>123387</v>
      </c>
      <c r="K24" s="57">
        <f t="shared" si="13"/>
        <v>16500</v>
      </c>
      <c r="L24" s="57">
        <f t="shared" si="13"/>
        <v>300</v>
      </c>
      <c r="M24" s="97">
        <f t="shared" si="13"/>
        <v>471497</v>
      </c>
      <c r="N24" s="57">
        <f t="shared" si="13"/>
        <v>137196</v>
      </c>
      <c r="O24" s="57">
        <f t="shared" si="13"/>
        <v>9309</v>
      </c>
      <c r="P24" s="57">
        <f t="shared" si="13"/>
        <v>618002</v>
      </c>
      <c r="Q24" s="57">
        <f t="shared" si="13"/>
        <v>137196</v>
      </c>
      <c r="R24" s="58">
        <f t="shared" si="13"/>
        <v>0</v>
      </c>
      <c r="S24" s="57">
        <f t="shared" si="13"/>
        <v>46747</v>
      </c>
      <c r="T24" s="57">
        <f t="shared" si="13"/>
        <v>9309</v>
      </c>
      <c r="U24" s="57">
        <f t="shared" si="13"/>
        <v>64988</v>
      </c>
      <c r="V24" s="57">
        <f t="shared" si="13"/>
        <v>32935</v>
      </c>
      <c r="W24" s="57">
        <f t="shared" si="13"/>
        <v>5040</v>
      </c>
      <c r="X24" s="57">
        <f t="shared" si="13"/>
        <v>2023</v>
      </c>
      <c r="Y24" s="57">
        <f t="shared" si="13"/>
        <v>110</v>
      </c>
      <c r="Z24" s="58">
        <f t="shared" si="13"/>
        <v>6</v>
      </c>
      <c r="AA24" s="57">
        <f t="shared" si="13"/>
        <v>1056</v>
      </c>
      <c r="AB24" s="57">
        <f t="shared" si="13"/>
        <v>3775</v>
      </c>
      <c r="AC24" s="57">
        <f t="shared" si="13"/>
        <v>303185</v>
      </c>
      <c r="AD24" s="57">
        <f t="shared" si="13"/>
        <v>314817</v>
      </c>
      <c r="AE24" s="102"/>
      <c r="AI24" s="123"/>
      <c r="AJ24" s="123"/>
      <c r="AK24" s="102">
        <f>AK8+AK20</f>
        <v>303185</v>
      </c>
      <c r="AL24" s="102"/>
      <c r="AM24" s="123"/>
    </row>
    <row r="25" spans="2:39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3000</v>
      </c>
      <c r="J25" s="65">
        <f>SUM(J19:J22)</f>
        <v>37872</v>
      </c>
      <c r="K25" s="65">
        <f>SUM(K22)</f>
        <v>4500</v>
      </c>
      <c r="L25" s="65">
        <f>SUM(L22)</f>
        <v>300</v>
      </c>
      <c r="M25" s="65">
        <f>SUM(M19:M22)</f>
        <v>143852</v>
      </c>
      <c r="N25" s="65">
        <f>SUM(N22)</f>
        <v>24855</v>
      </c>
      <c r="O25" s="65">
        <f>SUM(O22)</f>
        <v>0</v>
      </c>
      <c r="P25" s="65">
        <f>SUM(P19:P22)</f>
        <v>193562</v>
      </c>
      <c r="Q25" s="65">
        <f>SUM(Q22)</f>
        <v>24855</v>
      </c>
      <c r="R25" s="65">
        <f>SUM(R19:R22)</f>
        <v>30</v>
      </c>
      <c r="S25" s="66">
        <f>SUM(S19:S22)</f>
        <v>9038</v>
      </c>
      <c r="T25" s="66">
        <f>SUM(T22)</f>
        <v>0</v>
      </c>
      <c r="U25" s="65">
        <f>SUM(U19:U22)</f>
        <v>14000</v>
      </c>
      <c r="V25" s="65">
        <f t="shared" ref="V25:AB25" si="14">SUM(V22)</f>
        <v>9700</v>
      </c>
      <c r="W25" s="67">
        <f t="shared" si="14"/>
        <v>5040</v>
      </c>
      <c r="X25" s="68">
        <f t="shared" si="14"/>
        <v>453</v>
      </c>
      <c r="Y25" s="67">
        <f t="shared" si="14"/>
        <v>30</v>
      </c>
      <c r="Z25" s="65">
        <f t="shared" si="14"/>
        <v>0</v>
      </c>
      <c r="AA25" s="65"/>
      <c r="AB25" s="65">
        <f t="shared" si="14"/>
        <v>0</v>
      </c>
      <c r="AC25" s="52">
        <f>Q25+S25+T25+U25+V25+W25+X25+Y25+Z25</f>
        <v>63116</v>
      </c>
      <c r="AD25" s="65">
        <f>SUM(AD19:AD22)</f>
        <v>90368</v>
      </c>
      <c r="AE25" s="69"/>
    </row>
    <row r="26" spans="2:39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3"/>
      <c r="T26" s="73"/>
      <c r="U26" s="69"/>
      <c r="V26" s="69"/>
      <c r="W26" s="74"/>
      <c r="X26" s="75"/>
      <c r="Y26" s="74"/>
      <c r="Z26" s="69"/>
      <c r="AA26" s="69"/>
      <c r="AB26" s="69"/>
      <c r="AC26" s="69"/>
      <c r="AD26" s="69"/>
      <c r="AE26" s="69"/>
    </row>
    <row r="27" spans="2:39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3"/>
      <c r="T27" s="73"/>
      <c r="U27" s="69"/>
      <c r="V27" s="69"/>
      <c r="W27" s="74"/>
      <c r="X27" s="75"/>
      <c r="Y27" s="74"/>
      <c r="Z27" s="69"/>
      <c r="AA27" s="69"/>
      <c r="AB27" s="69"/>
      <c r="AC27" s="69"/>
      <c r="AD27" s="69"/>
      <c r="AE27" s="69"/>
    </row>
    <row r="28" spans="2:39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73"/>
      <c r="T28" s="73"/>
      <c r="U28" s="69"/>
      <c r="V28" s="69"/>
      <c r="W28" s="74"/>
      <c r="X28" s="75"/>
      <c r="Y28" s="74"/>
      <c r="Z28" s="69"/>
      <c r="AA28" s="69"/>
      <c r="AB28" s="69"/>
      <c r="AC28" s="69"/>
      <c r="AD28" s="69"/>
      <c r="AE28" s="69"/>
    </row>
    <row r="29" spans="2:39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7"/>
      <c r="X29" s="77"/>
      <c r="Y29" s="77"/>
      <c r="Z29" s="76"/>
      <c r="AA29" s="76"/>
      <c r="AB29" s="76"/>
      <c r="AC29" s="76"/>
      <c r="AD29" s="76"/>
      <c r="AE29" s="76"/>
    </row>
    <row r="30" spans="2:39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3"/>
      <c r="T30" s="73"/>
      <c r="U30" s="69"/>
      <c r="V30" s="69"/>
      <c r="W30" s="74"/>
      <c r="X30" s="75"/>
      <c r="Y30" s="74"/>
      <c r="Z30" s="69"/>
      <c r="AA30" s="69"/>
      <c r="AB30" s="69"/>
      <c r="AC30" s="69"/>
      <c r="AD30" s="69"/>
      <c r="AE30" s="69"/>
    </row>
    <row r="31" spans="2:39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73"/>
      <c r="U31" s="69"/>
      <c r="V31" s="69"/>
      <c r="W31" s="74"/>
      <c r="X31" s="75"/>
      <c r="Y31" s="74"/>
      <c r="Z31" s="69"/>
      <c r="AA31" s="69"/>
      <c r="AB31" s="69"/>
      <c r="AC31" s="69"/>
      <c r="AD31" s="69"/>
      <c r="AE31" s="69"/>
    </row>
    <row r="32" spans="2:39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7"/>
      <c r="X32" s="77"/>
      <c r="Y32" s="77"/>
      <c r="Z32" s="76"/>
      <c r="AA32" s="76"/>
      <c r="AB32" s="76"/>
      <c r="AC32" s="76"/>
      <c r="AD32" s="76"/>
      <c r="AE32" s="76"/>
    </row>
    <row r="33" spans="1:247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7"/>
      <c r="X33" s="77"/>
      <c r="Y33" s="77"/>
      <c r="Z33" s="76"/>
      <c r="AA33" s="76"/>
      <c r="AB33" s="76"/>
      <c r="AC33" s="76"/>
      <c r="AD33" s="76"/>
      <c r="AE33" s="76"/>
    </row>
    <row r="34" spans="1:247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73"/>
      <c r="T34" s="73"/>
      <c r="U34" s="69"/>
      <c r="V34" s="69"/>
      <c r="W34" s="74"/>
      <c r="X34" s="75"/>
      <c r="Y34" s="74"/>
      <c r="Z34" s="69"/>
      <c r="AA34" s="69"/>
      <c r="AB34" s="69"/>
      <c r="AC34" s="69"/>
      <c r="AD34" s="69"/>
      <c r="AE34" s="69"/>
    </row>
    <row r="35" spans="1:247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7"/>
      <c r="X35" s="77"/>
      <c r="Y35" s="77"/>
      <c r="Z35" s="76"/>
      <c r="AA35" s="76"/>
      <c r="AB35" s="76"/>
      <c r="AC35" s="76"/>
      <c r="AD35" s="76"/>
      <c r="AE35" s="76"/>
    </row>
    <row r="36" spans="1:247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2"/>
      <c r="X36" s="82"/>
      <c r="Y36" s="82"/>
      <c r="Z36" s="79"/>
      <c r="AA36" s="79"/>
      <c r="AB36" s="79"/>
      <c r="AC36" s="79"/>
      <c r="AD36" s="79"/>
      <c r="AE36" s="79"/>
    </row>
    <row r="37" spans="1:247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83"/>
      <c r="AB37" s="84"/>
      <c r="AC37" s="84"/>
      <c r="AD37" s="84"/>
      <c r="AE37" s="85"/>
      <c r="AK37" s="153"/>
    </row>
    <row r="38" spans="1:247" s="181" customFormat="1" ht="21.75" customHeight="1" x14ac:dyDescent="0.2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</row>
    <row r="39" spans="1:247" ht="17.25" customHeight="1" x14ac:dyDescent="0.25">
      <c r="B39" s="22"/>
      <c r="D39" s="616" t="s">
        <v>137</v>
      </c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616"/>
      <c r="AB39" s="616"/>
      <c r="AC39" s="616"/>
      <c r="AD39" s="616"/>
      <c r="AE39" s="22"/>
    </row>
    <row r="40" spans="1:247" ht="13.5" customHeight="1" x14ac:dyDescent="0.2">
      <c r="B40" s="616" t="s">
        <v>124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23"/>
    </row>
    <row r="41" spans="1:247" ht="24.95" customHeight="1" x14ac:dyDescent="0.25">
      <c r="B41" s="22"/>
      <c r="C41" s="135"/>
      <c r="D41" s="14"/>
      <c r="E41" s="22"/>
      <c r="F41" s="22"/>
      <c r="G41" s="22"/>
      <c r="H41" s="22"/>
      <c r="I41" s="5"/>
      <c r="J41" s="5"/>
      <c r="K41" s="5"/>
      <c r="L41" s="5"/>
      <c r="M41" s="5"/>
      <c r="N41" s="5"/>
      <c r="O41" s="5"/>
      <c r="P41" s="179"/>
      <c r="Q41" s="5"/>
      <c r="R41" s="5"/>
      <c r="S41" s="5"/>
      <c r="T41" s="5"/>
      <c r="U41" s="5"/>
      <c r="V41" s="5"/>
      <c r="W41" s="2"/>
      <c r="X41" s="2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L41" s="617"/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</row>
    <row r="42" spans="1:247" ht="16.5" customHeight="1" x14ac:dyDescent="0.25"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26"/>
      <c r="O42" s="5"/>
      <c r="P42" s="5"/>
      <c r="Q42" s="47"/>
      <c r="R42" s="617"/>
      <c r="S42" s="617"/>
      <c r="T42" s="617"/>
      <c r="U42" s="617"/>
      <c r="V42" s="617"/>
      <c r="W42" s="617"/>
      <c r="X42" s="617"/>
      <c r="Y42" s="617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</row>
    <row r="43" spans="1:247" ht="16.5" customHeight="1" x14ac:dyDescent="0.25">
      <c r="B43" s="5"/>
      <c r="E43" s="9"/>
      <c r="F43" s="10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1"/>
      <c r="X43" s="11"/>
      <c r="Z43" s="11"/>
      <c r="AA43" s="11"/>
      <c r="AB43" s="5"/>
      <c r="AC43" s="5"/>
      <c r="AD43" s="5"/>
      <c r="AE43" s="5"/>
    </row>
    <row r="44" spans="1:247" ht="16.5" customHeight="1" x14ac:dyDescent="0.25">
      <c r="B44" s="5"/>
      <c r="E44" s="9"/>
      <c r="F44" s="10"/>
      <c r="G44" s="9"/>
      <c r="H44" s="9"/>
      <c r="I44" s="4"/>
      <c r="J44" s="4"/>
      <c r="K44" s="14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12"/>
      <c r="Y44" s="12"/>
      <c r="Z44" s="11"/>
      <c r="AA44" s="11"/>
      <c r="AB44" s="5"/>
      <c r="AC44" s="5"/>
      <c r="AD44" s="5"/>
      <c r="AE44" s="5"/>
    </row>
    <row r="45" spans="1:247" ht="16.5" customHeight="1" x14ac:dyDescent="0.25">
      <c r="B45" s="5"/>
      <c r="D45" s="158"/>
      <c r="E45" s="156"/>
      <c r="F45" s="157"/>
      <c r="G45" s="15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1"/>
      <c r="X45" s="11"/>
      <c r="Y45" s="11"/>
      <c r="Z45" s="11"/>
      <c r="AA45" s="11"/>
      <c r="AB45" s="5"/>
      <c r="AC45" s="5"/>
      <c r="AD45" s="5"/>
      <c r="AE45" s="5"/>
    </row>
    <row r="46" spans="1:247" ht="24.95" customHeight="1" x14ac:dyDescent="0.25">
      <c r="B46" s="2"/>
      <c r="C46" s="14"/>
      <c r="D46" s="158"/>
      <c r="E46" s="158"/>
      <c r="F46" s="158"/>
      <c r="G46" s="1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Z46" s="12"/>
      <c r="AA46" s="12"/>
      <c r="AB46" s="3"/>
      <c r="AC46" s="2"/>
      <c r="AD46" s="3"/>
      <c r="AE46" s="2"/>
    </row>
    <row r="47" spans="1:247" ht="24.95" customHeight="1" x14ac:dyDescent="0.25">
      <c r="B47" s="2"/>
      <c r="C47" s="14"/>
      <c r="D47" s="158"/>
      <c r="E47" s="158"/>
      <c r="F47" s="158"/>
      <c r="G47" s="158"/>
      <c r="H47" s="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12"/>
      <c r="Y47" s="12"/>
      <c r="Z47" s="12"/>
      <c r="AA47" s="12"/>
      <c r="AB47" s="3"/>
      <c r="AC47" s="2"/>
      <c r="AD47" s="3"/>
      <c r="AE47" s="2"/>
    </row>
    <row r="48" spans="1:247" ht="24.95" customHeight="1" x14ac:dyDescent="0.25">
      <c r="B48" s="2"/>
      <c r="C48" s="14"/>
      <c r="D48" s="158"/>
      <c r="E48" s="158"/>
      <c r="F48" s="158"/>
      <c r="G48" s="158"/>
      <c r="H48" s="2"/>
      <c r="Y48" s="12"/>
      <c r="Z48" s="12"/>
      <c r="AA48" s="12"/>
      <c r="AB48" s="3"/>
      <c r="AC48" s="2"/>
      <c r="AD48" s="2"/>
      <c r="AE48" s="2"/>
    </row>
    <row r="49" spans="2:78" ht="24.95" customHeight="1" x14ac:dyDescent="0.25">
      <c r="B49" s="5"/>
      <c r="C49" s="14"/>
      <c r="D49" s="158"/>
      <c r="E49" s="158"/>
      <c r="F49" s="158"/>
      <c r="G49" s="158"/>
      <c r="H49" s="5"/>
      <c r="W49" s="11"/>
      <c r="X49" s="11"/>
      <c r="Y49" s="11"/>
      <c r="Z49" s="11"/>
      <c r="AA49" s="11"/>
      <c r="AB49" s="5"/>
      <c r="AC49" s="5"/>
      <c r="AD49" s="5"/>
      <c r="AE49" s="5"/>
      <c r="BS49" s="166"/>
      <c r="BT49" s="166"/>
      <c r="BU49" s="167"/>
      <c r="BV49" s="166"/>
      <c r="BW49" s="167"/>
      <c r="BX49" s="2"/>
      <c r="BY49" s="2"/>
      <c r="BZ49" s="2"/>
    </row>
    <row r="50" spans="2:78" ht="24.95" customHeight="1" x14ac:dyDescent="0.25">
      <c r="C50" s="14"/>
      <c r="D50" s="158"/>
      <c r="E50" s="158"/>
      <c r="F50" s="158"/>
      <c r="G50" s="158"/>
      <c r="K50" s="134"/>
      <c r="L50" s="158"/>
      <c r="M50" s="156"/>
      <c r="N50" s="159"/>
      <c r="O50" s="159"/>
      <c r="BS50" s="166"/>
      <c r="BT50" s="166"/>
      <c r="BU50" s="167"/>
      <c r="BV50" s="166"/>
      <c r="BW50" s="167"/>
      <c r="BX50" s="2"/>
      <c r="BY50" s="2"/>
      <c r="BZ50" s="2"/>
    </row>
    <row r="51" spans="2:78" ht="24.95" customHeight="1" x14ac:dyDescent="0.25">
      <c r="D51" s="158"/>
      <c r="E51" s="158"/>
      <c r="F51" s="158"/>
      <c r="G51" s="158"/>
      <c r="K51" s="14"/>
      <c r="L51" s="158"/>
      <c r="M51" s="158"/>
      <c r="N51" s="159"/>
      <c r="O51" s="158"/>
      <c r="BS51" s="166"/>
      <c r="BT51" s="166"/>
      <c r="BU51" s="167"/>
      <c r="BV51" s="166"/>
      <c r="BW51" s="167"/>
      <c r="BX51" s="2"/>
      <c r="BY51" s="2"/>
      <c r="BZ51" s="2"/>
    </row>
    <row r="52" spans="2:78" ht="24.95" customHeight="1" x14ac:dyDescent="0.25">
      <c r="D52" s="158"/>
      <c r="E52" s="158"/>
      <c r="F52" s="158"/>
      <c r="G52" s="158"/>
      <c r="K52" s="14"/>
      <c r="L52" s="158"/>
      <c r="M52" s="158"/>
      <c r="N52" s="159"/>
      <c r="O52" s="158"/>
      <c r="BS52" s="166"/>
      <c r="BT52" s="166"/>
      <c r="BU52" s="167"/>
      <c r="BV52" s="166"/>
      <c r="BW52" s="167"/>
      <c r="BX52" s="2"/>
      <c r="BY52" s="2"/>
      <c r="BZ52" s="2"/>
    </row>
    <row r="53" spans="2:78" ht="24.95" customHeight="1" x14ac:dyDescent="0.25">
      <c r="D53" s="158"/>
      <c r="E53" s="158"/>
      <c r="F53" s="158"/>
      <c r="G53" s="158"/>
      <c r="K53" s="14"/>
      <c r="L53" s="158"/>
      <c r="M53" s="158"/>
      <c r="N53" s="159"/>
      <c r="O53" s="158"/>
      <c r="BS53" s="166"/>
      <c r="BT53" s="166"/>
      <c r="BU53" s="167"/>
      <c r="BV53" s="166"/>
      <c r="BW53" s="167"/>
      <c r="BX53" s="2"/>
      <c r="BY53" s="2"/>
      <c r="BZ53" s="2"/>
    </row>
    <row r="54" spans="2:78" ht="24.95" customHeight="1" x14ac:dyDescent="0.25">
      <c r="D54" s="158"/>
      <c r="E54" s="158"/>
      <c r="F54" s="158"/>
      <c r="G54" s="158"/>
      <c r="K54" s="14"/>
      <c r="L54" s="158"/>
      <c r="M54" s="158"/>
      <c r="N54" s="159"/>
      <c r="O54" s="158"/>
      <c r="BS54" s="166"/>
      <c r="BT54" s="166"/>
      <c r="BU54" s="167"/>
      <c r="BV54" s="166"/>
      <c r="BW54" s="167"/>
      <c r="BX54" s="2"/>
      <c r="BY54" s="2"/>
      <c r="BZ54" s="2"/>
    </row>
    <row r="55" spans="2:78" ht="24.95" customHeight="1" x14ac:dyDescent="0.25">
      <c r="D55" s="158"/>
      <c r="E55" s="158"/>
      <c r="F55" s="158"/>
      <c r="G55" s="158"/>
      <c r="K55" s="14"/>
      <c r="L55" s="158"/>
      <c r="M55" s="158"/>
      <c r="N55" s="159"/>
      <c r="O55" s="158"/>
      <c r="BS55" s="166"/>
      <c r="BT55" s="166"/>
      <c r="BU55" s="167"/>
      <c r="BV55" s="166"/>
      <c r="BW55" s="167"/>
      <c r="BX55" s="2"/>
      <c r="BY55" s="2"/>
      <c r="BZ55" s="2"/>
    </row>
    <row r="56" spans="2:78" ht="24.95" customHeight="1" x14ac:dyDescent="0.25">
      <c r="D56" s="158"/>
      <c r="E56" s="158"/>
      <c r="F56" s="158"/>
      <c r="G56" s="158"/>
      <c r="K56" s="134"/>
      <c r="L56" s="158"/>
      <c r="M56" s="158"/>
      <c r="N56" s="159"/>
      <c r="O56" s="158"/>
      <c r="BS56" s="167"/>
      <c r="BT56" s="167"/>
      <c r="BU56" s="167"/>
      <c r="BV56" s="167"/>
      <c r="BW56" s="168"/>
      <c r="BX56" s="2"/>
      <c r="BY56" s="2"/>
      <c r="BZ56" s="2"/>
    </row>
    <row r="57" spans="2:78" ht="24.95" customHeight="1" x14ac:dyDescent="0.25">
      <c r="D57" s="158"/>
      <c r="E57" s="158"/>
      <c r="F57" s="158"/>
      <c r="G57" s="158"/>
      <c r="K57" s="134"/>
      <c r="L57" s="158"/>
      <c r="M57" s="158"/>
      <c r="N57" s="159"/>
      <c r="O57" s="158"/>
      <c r="BU57" s="169"/>
    </row>
    <row r="58" spans="2:78" ht="24.95" customHeight="1" x14ac:dyDescent="0.25">
      <c r="D58" s="158"/>
      <c r="E58" s="158"/>
      <c r="F58" s="158"/>
      <c r="G58" s="158"/>
      <c r="K58" s="134"/>
      <c r="L58" s="158"/>
      <c r="M58" s="158"/>
      <c r="N58" s="159"/>
      <c r="O58" s="158"/>
      <c r="BU58" s="170">
        <f>SUM(BU56:BU57)</f>
        <v>0</v>
      </c>
    </row>
    <row r="59" spans="2:78" ht="24.95" customHeight="1" x14ac:dyDescent="0.25">
      <c r="D59" s="158"/>
      <c r="E59" s="158"/>
      <c r="F59" s="158"/>
      <c r="G59" s="158"/>
      <c r="K59" s="134"/>
      <c r="L59" s="158"/>
      <c r="M59" s="158"/>
      <c r="N59" s="159"/>
      <c r="O59" s="158"/>
    </row>
    <row r="60" spans="2:78" ht="24.95" customHeight="1" x14ac:dyDescent="0.25">
      <c r="D60" s="158"/>
      <c r="E60" s="158"/>
      <c r="F60" s="158"/>
      <c r="G60" s="158"/>
      <c r="K60" s="134"/>
      <c r="L60" s="158"/>
      <c r="M60" s="158"/>
      <c r="N60" s="159"/>
      <c r="O60" s="158"/>
    </row>
    <row r="61" spans="2:78" ht="18.75" customHeight="1" x14ac:dyDescent="0.25">
      <c r="G61" s="158"/>
      <c r="K61" s="134"/>
      <c r="L61" s="158"/>
      <c r="M61" s="158"/>
      <c r="N61" s="159"/>
      <c r="O61" s="158"/>
    </row>
    <row r="62" spans="2:78" ht="24.95" customHeight="1" x14ac:dyDescent="0.25">
      <c r="K62" s="134"/>
      <c r="L62" s="158"/>
      <c r="M62" s="158"/>
      <c r="N62" s="159"/>
      <c r="O62" s="158"/>
    </row>
    <row r="63" spans="2:78" ht="24.95" customHeight="1" x14ac:dyDescent="0.25">
      <c r="K63" s="134"/>
      <c r="L63" s="158"/>
      <c r="M63" s="158"/>
      <c r="N63" s="159"/>
      <c r="O63" s="158"/>
    </row>
    <row r="64" spans="2:78" ht="24.95" customHeight="1" x14ac:dyDescent="0.25">
      <c r="K64" s="134"/>
      <c r="L64" s="158"/>
      <c r="M64" s="158"/>
      <c r="N64" s="159"/>
      <c r="O64" s="158"/>
    </row>
    <row r="65" spans="11:15" ht="24.95" customHeight="1" x14ac:dyDescent="0.25">
      <c r="K65" s="134"/>
      <c r="L65" s="158"/>
      <c r="M65" s="158"/>
      <c r="N65" s="159"/>
      <c r="O65" s="158"/>
    </row>
    <row r="66" spans="11:15" ht="24.95" customHeight="1" x14ac:dyDescent="0.25">
      <c r="K66" s="134"/>
      <c r="L66" s="15"/>
      <c r="N66" s="158"/>
      <c r="O66" s="158"/>
    </row>
  </sheetData>
  <mergeCells count="10">
    <mergeCell ref="B40:AD40"/>
    <mergeCell ref="Y41:AW41"/>
    <mergeCell ref="C42:M42"/>
    <mergeCell ref="R42:AP42"/>
    <mergeCell ref="B1:AD1"/>
    <mergeCell ref="B2:AD4"/>
    <mergeCell ref="J6:Q6"/>
    <mergeCell ref="Q8:AB8"/>
    <mergeCell ref="C37:Z37"/>
    <mergeCell ref="D39:AD39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6"/>
  <sheetViews>
    <sheetView zoomScale="85" zoomScaleNormal="85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W19" sqref="W19"/>
    </sheetView>
  </sheetViews>
  <sheetFormatPr defaultRowHeight="24.95" customHeight="1" x14ac:dyDescent="0.25"/>
  <cols>
    <col min="1" max="1" width="2" customWidth="1"/>
    <col min="2" max="2" width="5.28515625" customWidth="1"/>
    <col min="3" max="3" width="25.140625" style="134" customWidth="1"/>
    <col min="4" max="4" width="17" style="15" customWidth="1"/>
    <col min="5" max="5" width="8.140625" customWidth="1"/>
    <col min="6" max="6" width="6.85546875" customWidth="1"/>
    <col min="7" max="7" width="8.5703125" customWidth="1"/>
    <col min="8" max="8" width="4.7109375" customWidth="1"/>
    <col min="9" max="9" width="5.140625" customWidth="1"/>
    <col min="10" max="10" width="8.7109375" customWidth="1"/>
    <col min="11" max="11" width="6.28515625" customWidth="1"/>
    <col min="12" max="12" width="5" customWidth="1"/>
    <col min="13" max="14" width="7" customWidth="1"/>
    <col min="15" max="15" width="5.7109375" customWidth="1"/>
    <col min="16" max="17" width="7.42578125" customWidth="1"/>
    <col min="18" max="18" width="4.42578125" customWidth="1"/>
    <col min="19" max="19" width="6.28515625" customWidth="1"/>
    <col min="20" max="20" width="5.5703125" customWidth="1"/>
    <col min="21" max="21" width="7.42578125" customWidth="1"/>
    <col min="22" max="22" width="5.85546875" customWidth="1"/>
    <col min="23" max="23" width="5.28515625" style="1" customWidth="1"/>
    <col min="24" max="24" width="5" style="1" customWidth="1"/>
    <col min="25" max="25" width="4.42578125" style="1" customWidth="1"/>
    <col min="26" max="26" width="3.85546875" style="1" customWidth="1"/>
    <col min="27" max="27" width="5.85546875" style="1" customWidth="1"/>
    <col min="28" max="28" width="6" customWidth="1"/>
    <col min="29" max="29" width="7.28515625" customWidth="1"/>
    <col min="30" max="30" width="8.28515625" customWidth="1"/>
    <col min="31" max="31" width="8.5703125" customWidth="1"/>
    <col min="32" max="32" width="10.42578125" customWidth="1"/>
    <col min="33" max="33" width="10.7109375" customWidth="1"/>
    <col min="34" max="34" width="10.140625" customWidth="1"/>
    <col min="35" max="36" width="8.85546875" customWidth="1"/>
    <col min="37" max="37" width="12.140625" customWidth="1"/>
    <col min="39" max="39" width="12.42578125" customWidth="1"/>
    <col min="71" max="71" width="14.5703125" customWidth="1"/>
    <col min="72" max="72" width="14.85546875" customWidth="1"/>
    <col min="73" max="74" width="12.28515625" customWidth="1"/>
    <col min="75" max="75" width="11.140625" customWidth="1"/>
  </cols>
  <sheetData>
    <row r="1" spans="1:37" ht="30.75" customHeight="1" x14ac:dyDescent="0.4">
      <c r="B1" s="619" t="s">
        <v>64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19"/>
    </row>
    <row r="2" spans="1:37" ht="15.75" customHeight="1" x14ac:dyDescent="0.4">
      <c r="B2" s="620" t="s">
        <v>47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20"/>
    </row>
    <row r="3" spans="1:37" ht="0.75" hidden="1" customHeight="1" x14ac:dyDescent="0.25">
      <c r="A3" s="1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28"/>
    </row>
    <row r="4" spans="1:37" ht="0.75" customHeight="1" x14ac:dyDescent="0.25">
      <c r="A4" s="16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28"/>
    </row>
    <row r="5" spans="1:37" ht="0.75" customHeight="1" x14ac:dyDescent="0.25">
      <c r="A5" s="16"/>
      <c r="B5" s="35"/>
      <c r="C5" s="36"/>
      <c r="D5" s="36"/>
      <c r="E5" s="35"/>
      <c r="F5" s="35"/>
      <c r="G5" s="35"/>
      <c r="H5" s="35"/>
      <c r="I5" s="37"/>
      <c r="J5" s="37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5"/>
      <c r="AE5" s="28"/>
    </row>
    <row r="6" spans="1:37" s="108" customFormat="1" ht="19.5" customHeight="1" x14ac:dyDescent="0.25">
      <c r="A6" s="108" t="s">
        <v>73</v>
      </c>
      <c r="B6" s="109"/>
      <c r="C6" s="109"/>
      <c r="D6" s="109"/>
      <c r="E6" s="109"/>
      <c r="F6" s="109"/>
      <c r="G6" s="109"/>
      <c r="H6" s="109"/>
      <c r="I6" s="109"/>
      <c r="J6" s="622" t="s">
        <v>136</v>
      </c>
      <c r="K6" s="622"/>
      <c r="L6" s="622"/>
      <c r="M6" s="622"/>
      <c r="N6" s="622"/>
      <c r="O6" s="622"/>
      <c r="P6" s="622"/>
      <c r="Q6" s="622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7" s="1" customFormat="1" ht="101.25" customHeight="1" x14ac:dyDescent="0.25">
      <c r="A7" s="17"/>
      <c r="B7" s="138" t="s">
        <v>0</v>
      </c>
      <c r="C7" s="24" t="s">
        <v>79</v>
      </c>
      <c r="D7" s="30" t="s">
        <v>21</v>
      </c>
      <c r="E7" s="103" t="s">
        <v>22</v>
      </c>
      <c r="F7" s="30" t="s">
        <v>23</v>
      </c>
      <c r="G7" s="30" t="s">
        <v>1</v>
      </c>
      <c r="H7" s="30" t="s">
        <v>24</v>
      </c>
      <c r="I7" s="30" t="s">
        <v>28</v>
      </c>
      <c r="J7" s="30" t="s">
        <v>25</v>
      </c>
      <c r="K7" s="30" t="s">
        <v>49</v>
      </c>
      <c r="L7" s="30" t="s">
        <v>48</v>
      </c>
      <c r="M7" s="32" t="s">
        <v>2</v>
      </c>
      <c r="N7" s="129" t="s">
        <v>38</v>
      </c>
      <c r="O7" s="130" t="s">
        <v>52</v>
      </c>
      <c r="P7" s="30" t="s">
        <v>10</v>
      </c>
      <c r="Q7" s="129" t="s">
        <v>38</v>
      </c>
      <c r="R7" s="136" t="s">
        <v>126</v>
      </c>
      <c r="S7" s="30" t="s">
        <v>41</v>
      </c>
      <c r="T7" s="30" t="s">
        <v>39</v>
      </c>
      <c r="U7" s="30" t="s">
        <v>29</v>
      </c>
      <c r="V7" s="30" t="s">
        <v>31</v>
      </c>
      <c r="W7" s="30" t="s">
        <v>50</v>
      </c>
      <c r="X7" s="30" t="s">
        <v>7</v>
      </c>
      <c r="Y7" s="30" t="s">
        <v>51</v>
      </c>
      <c r="Z7" s="30" t="s">
        <v>26</v>
      </c>
      <c r="AA7" s="30" t="s">
        <v>74</v>
      </c>
      <c r="AB7" s="30" t="s">
        <v>77</v>
      </c>
      <c r="AC7" s="30" t="s">
        <v>11</v>
      </c>
      <c r="AD7" s="30" t="s">
        <v>9</v>
      </c>
      <c r="AE7" s="28"/>
      <c r="AF7" s="126" t="s">
        <v>67</v>
      </c>
      <c r="AG7" s="126" t="s">
        <v>68</v>
      </c>
      <c r="AH7" s="126" t="s">
        <v>71</v>
      </c>
      <c r="AI7" s="126" t="s">
        <v>69</v>
      </c>
      <c r="AJ7" s="104" t="s">
        <v>53</v>
      </c>
      <c r="AK7" s="184" t="s">
        <v>113</v>
      </c>
    </row>
    <row r="8" spans="1:37" s="1" customFormat="1" ht="17.25" customHeight="1" x14ac:dyDescent="0.25">
      <c r="A8" s="17"/>
      <c r="B8" s="29"/>
      <c r="C8" s="13"/>
      <c r="D8" s="30"/>
      <c r="E8" s="31"/>
      <c r="F8" s="30"/>
      <c r="G8" s="30"/>
      <c r="H8" s="30"/>
      <c r="I8" s="30"/>
      <c r="J8" s="30"/>
      <c r="K8" s="30"/>
      <c r="L8" s="30"/>
      <c r="M8" s="32"/>
      <c r="N8" s="33"/>
      <c r="O8" s="33"/>
      <c r="P8" s="30"/>
      <c r="Q8" s="623" t="s">
        <v>133</v>
      </c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5"/>
      <c r="AC8" s="30"/>
      <c r="AD8" s="30"/>
      <c r="AE8" s="2"/>
      <c r="AF8" s="141">
        <f>W22+S10+S11+S12+S13+S14+S15+S16+S17+S19+S20+S21+T12+T13+T16</f>
        <v>61096</v>
      </c>
      <c r="AG8" s="141">
        <f>+X24+Z24</f>
        <v>2029</v>
      </c>
      <c r="AH8" s="141">
        <f>T24</f>
        <v>9309</v>
      </c>
      <c r="AI8" s="141">
        <f>+N10+N11+N14+N15+N17+N19+N20+N21</f>
        <v>127887</v>
      </c>
      <c r="AJ8" s="141">
        <f>AA24</f>
        <v>1056</v>
      </c>
      <c r="AK8" s="141">
        <f>AF8+AG8+AH8+AI8+AJ8</f>
        <v>201377</v>
      </c>
    </row>
    <row r="9" spans="1:37" s="1" customFormat="1" ht="13.5" customHeight="1" x14ac:dyDescent="0.25">
      <c r="B9" s="27">
        <v>1</v>
      </c>
      <c r="C9" s="25">
        <v>2</v>
      </c>
      <c r="D9" s="27">
        <v>3</v>
      </c>
      <c r="E9" s="25">
        <v>4</v>
      </c>
      <c r="F9" s="27">
        <v>5</v>
      </c>
      <c r="G9" s="25">
        <v>6</v>
      </c>
      <c r="H9" s="27">
        <v>7</v>
      </c>
      <c r="I9" s="27">
        <v>8</v>
      </c>
      <c r="J9" s="25">
        <v>9</v>
      </c>
      <c r="K9" s="25">
        <v>10</v>
      </c>
      <c r="L9" s="27">
        <v>11</v>
      </c>
      <c r="M9" s="25">
        <v>12</v>
      </c>
      <c r="N9" s="27">
        <v>13</v>
      </c>
      <c r="O9" s="25">
        <v>14</v>
      </c>
      <c r="P9" s="27">
        <v>15</v>
      </c>
      <c r="Q9" s="25">
        <v>16</v>
      </c>
      <c r="R9" s="27">
        <v>17</v>
      </c>
      <c r="S9" s="25">
        <v>18</v>
      </c>
      <c r="T9" s="27">
        <v>19</v>
      </c>
      <c r="U9" s="25">
        <v>20</v>
      </c>
      <c r="V9" s="27">
        <v>21</v>
      </c>
      <c r="W9" s="25">
        <v>22</v>
      </c>
      <c r="X9" s="27">
        <v>23</v>
      </c>
      <c r="Y9" s="25">
        <v>24</v>
      </c>
      <c r="Z9" s="27">
        <v>25</v>
      </c>
      <c r="AA9" s="27">
        <v>26</v>
      </c>
      <c r="AB9" s="25">
        <v>27</v>
      </c>
      <c r="AC9" s="27">
        <v>28</v>
      </c>
      <c r="AD9" s="25">
        <v>29</v>
      </c>
      <c r="AE9" s="22"/>
    </row>
    <row r="10" spans="1:37" s="39" customFormat="1" ht="20.100000000000001" customHeight="1" x14ac:dyDescent="0.2">
      <c r="B10" s="128">
        <v>1364</v>
      </c>
      <c r="C10" s="92" t="s">
        <v>130</v>
      </c>
      <c r="D10" s="41" t="s">
        <v>42</v>
      </c>
      <c r="E10" s="182">
        <v>58560</v>
      </c>
      <c r="F10" s="42">
        <v>0</v>
      </c>
      <c r="G10" s="88">
        <f t="shared" ref="G10:G17" si="0">E10+F10</f>
        <v>58560</v>
      </c>
      <c r="H10" s="43">
        <v>200</v>
      </c>
      <c r="I10" s="43">
        <v>0</v>
      </c>
      <c r="J10" s="88">
        <f>ROUND((G10*35%),0)</f>
        <v>20496</v>
      </c>
      <c r="K10" s="89">
        <v>1500</v>
      </c>
      <c r="L10" s="43">
        <v>0</v>
      </c>
      <c r="M10" s="88">
        <f>G10+H10+I10+J10+K10+L10</f>
        <v>80756</v>
      </c>
      <c r="N10" s="89">
        <f>ROUND((G10*55%),0)</f>
        <v>32208</v>
      </c>
      <c r="O10" s="43">
        <v>0</v>
      </c>
      <c r="P10" s="89">
        <f t="shared" ref="P10:P17" si="1">ROUND((M10+N10+O10),0)</f>
        <v>112964</v>
      </c>
      <c r="Q10" s="122">
        <f t="shared" ref="Q10:Q17" si="2">N10</f>
        <v>32208</v>
      </c>
      <c r="R10" s="42">
        <v>10</v>
      </c>
      <c r="S10" s="54">
        <f>ROUND((G10*10%),0)</f>
        <v>5856</v>
      </c>
      <c r="T10" s="42">
        <v>0</v>
      </c>
      <c r="U10" s="52">
        <v>18400</v>
      </c>
      <c r="V10" s="42">
        <v>1310</v>
      </c>
      <c r="W10" s="42">
        <v>0</v>
      </c>
      <c r="X10" s="52">
        <v>200</v>
      </c>
      <c r="Y10" s="42">
        <v>10</v>
      </c>
      <c r="Z10" s="42">
        <v>6</v>
      </c>
      <c r="AA10" s="42">
        <v>1056</v>
      </c>
      <c r="AB10" s="98">
        <v>0</v>
      </c>
      <c r="AC10" s="52">
        <f t="shared" ref="AC10:AC17" si="3">ROUND((SUM(Q10:AB10)-R10),0)</f>
        <v>59046</v>
      </c>
      <c r="AD10" s="54">
        <f t="shared" ref="AD10:AD17" si="4">P10-AC10</f>
        <v>53918</v>
      </c>
      <c r="AE10" s="45"/>
      <c r="AF10" s="185"/>
      <c r="AG10" s="185"/>
      <c r="AH10" s="124"/>
      <c r="AI10" s="124"/>
      <c r="AJ10" s="124"/>
    </row>
    <row r="11" spans="1:37" s="46" customFormat="1" ht="15.75" customHeight="1" x14ac:dyDescent="0.25">
      <c r="B11" s="47">
        <v>26</v>
      </c>
      <c r="C11" s="48" t="s">
        <v>17</v>
      </c>
      <c r="D11" s="47" t="s">
        <v>19</v>
      </c>
      <c r="E11" s="49">
        <v>51300</v>
      </c>
      <c r="F11" s="50">
        <v>0</v>
      </c>
      <c r="G11" s="88">
        <f t="shared" si="0"/>
        <v>51300</v>
      </c>
      <c r="H11" s="53">
        <v>0</v>
      </c>
      <c r="I11" s="50">
        <v>0</v>
      </c>
      <c r="J11" s="88">
        <f>ROUND((G11*35%),0)</f>
        <v>17955</v>
      </c>
      <c r="K11" s="89">
        <v>1500</v>
      </c>
      <c r="L11" s="50">
        <v>0</v>
      </c>
      <c r="M11" s="88">
        <f t="shared" ref="M11:M22" si="5">G11+H11+I11+J11+K11+L11</f>
        <v>70755</v>
      </c>
      <c r="N11" s="89">
        <f>ROUND((G11*55%),0)</f>
        <v>28215</v>
      </c>
      <c r="O11" s="50">
        <v>0</v>
      </c>
      <c r="P11" s="89">
        <f t="shared" si="1"/>
        <v>98970</v>
      </c>
      <c r="Q11" s="122">
        <f t="shared" si="2"/>
        <v>28215</v>
      </c>
      <c r="R11" s="50">
        <v>15</v>
      </c>
      <c r="S11" s="54">
        <f>ROUND((G11*15%),0)</f>
        <v>7695</v>
      </c>
      <c r="T11" s="50">
        <v>0</v>
      </c>
      <c r="U11" s="49">
        <v>8600</v>
      </c>
      <c r="V11" s="53">
        <v>0</v>
      </c>
      <c r="W11" s="50">
        <v>0</v>
      </c>
      <c r="X11" s="49">
        <v>200</v>
      </c>
      <c r="Y11" s="50">
        <v>10</v>
      </c>
      <c r="Z11" s="50">
        <v>0</v>
      </c>
      <c r="AA11" s="50">
        <v>0</v>
      </c>
      <c r="AB11" s="50">
        <v>0</v>
      </c>
      <c r="AC11" s="52">
        <f t="shared" si="3"/>
        <v>44720</v>
      </c>
      <c r="AD11" s="54">
        <f t="shared" si="4"/>
        <v>54250</v>
      </c>
      <c r="AE11" s="55"/>
    </row>
    <row r="12" spans="1:37" s="46" customFormat="1" ht="15.75" customHeight="1" x14ac:dyDescent="0.25">
      <c r="B12" s="47">
        <v>820</v>
      </c>
      <c r="C12" s="48" t="s">
        <v>89</v>
      </c>
      <c r="D12" s="47" t="s">
        <v>19</v>
      </c>
      <c r="E12" s="49">
        <v>37280</v>
      </c>
      <c r="F12" s="50">
        <v>0</v>
      </c>
      <c r="G12" s="88">
        <f>E12+F12</f>
        <v>37280</v>
      </c>
      <c r="H12" s="53">
        <v>0</v>
      </c>
      <c r="I12" s="50">
        <v>0</v>
      </c>
      <c r="J12" s="88">
        <v>13800</v>
      </c>
      <c r="K12" s="89">
        <v>1500</v>
      </c>
      <c r="L12" s="50">
        <v>0</v>
      </c>
      <c r="M12" s="88">
        <f t="shared" si="5"/>
        <v>52580</v>
      </c>
      <c r="N12" s="89">
        <f>ROUND((G12*10%),0)</f>
        <v>3728</v>
      </c>
      <c r="O12" s="49">
        <f>N12</f>
        <v>3728</v>
      </c>
      <c r="P12" s="89">
        <f>ROUND((M12+N12+O12),0)</f>
        <v>60036</v>
      </c>
      <c r="Q12" s="122">
        <f>N12</f>
        <v>3728</v>
      </c>
      <c r="R12" s="50">
        <v>10</v>
      </c>
      <c r="S12" s="54">
        <f>ROUND((G12*10%),0)</f>
        <v>3728</v>
      </c>
      <c r="T12" s="50">
        <f>S12</f>
        <v>3728</v>
      </c>
      <c r="U12" s="50">
        <v>0</v>
      </c>
      <c r="V12" s="53">
        <v>3025</v>
      </c>
      <c r="W12" s="50">
        <v>0</v>
      </c>
      <c r="X12" s="49">
        <v>200</v>
      </c>
      <c r="Y12" s="50">
        <v>10</v>
      </c>
      <c r="Z12" s="50">
        <v>0</v>
      </c>
      <c r="AA12" s="50">
        <v>0</v>
      </c>
      <c r="AB12" s="50">
        <v>1125</v>
      </c>
      <c r="AC12" s="52">
        <f t="shared" si="3"/>
        <v>15544</v>
      </c>
      <c r="AD12" s="54">
        <f t="shared" si="4"/>
        <v>44492</v>
      </c>
      <c r="AE12" s="55"/>
      <c r="AF12" s="123"/>
    </row>
    <row r="13" spans="1:37" s="46" customFormat="1" ht="15.75" customHeight="1" x14ac:dyDescent="0.25">
      <c r="B13" s="47">
        <v>1051</v>
      </c>
      <c r="C13" s="48" t="s">
        <v>65</v>
      </c>
      <c r="D13" s="47" t="s">
        <v>19</v>
      </c>
      <c r="E13" s="49">
        <v>37280</v>
      </c>
      <c r="F13" s="50">
        <v>0</v>
      </c>
      <c r="G13" s="88">
        <f t="shared" si="0"/>
        <v>37280</v>
      </c>
      <c r="H13" s="53">
        <v>0</v>
      </c>
      <c r="I13" s="50">
        <v>0</v>
      </c>
      <c r="J13" s="88">
        <v>13800</v>
      </c>
      <c r="K13" s="89">
        <v>1500</v>
      </c>
      <c r="L13" s="50">
        <v>0</v>
      </c>
      <c r="M13" s="88">
        <f t="shared" si="5"/>
        <v>52580</v>
      </c>
      <c r="N13" s="89">
        <f>ROUND((G13*10%),0)</f>
        <v>3728</v>
      </c>
      <c r="O13" s="49">
        <f>N13</f>
        <v>3728</v>
      </c>
      <c r="P13" s="89">
        <f t="shared" si="1"/>
        <v>60036</v>
      </c>
      <c r="Q13" s="122">
        <f t="shared" si="2"/>
        <v>3728</v>
      </c>
      <c r="R13" s="50">
        <v>10</v>
      </c>
      <c r="S13" s="54">
        <f>ROUND((G13*10%),0)</f>
        <v>3728</v>
      </c>
      <c r="T13" s="49">
        <f>O13</f>
        <v>3728</v>
      </c>
      <c r="U13" s="50">
        <v>0</v>
      </c>
      <c r="V13" s="53">
        <v>3200</v>
      </c>
      <c r="W13" s="50">
        <v>0</v>
      </c>
      <c r="X13" s="49">
        <v>200</v>
      </c>
      <c r="Y13" s="50">
        <v>10</v>
      </c>
      <c r="Z13" s="50">
        <v>0</v>
      </c>
      <c r="AA13" s="50">
        <v>0</v>
      </c>
      <c r="AB13" s="50">
        <v>0</v>
      </c>
      <c r="AC13" s="52">
        <f t="shared" si="3"/>
        <v>14594</v>
      </c>
      <c r="AD13" s="54">
        <f t="shared" si="4"/>
        <v>45442</v>
      </c>
      <c r="AE13" s="55"/>
      <c r="AG13" s="123"/>
    </row>
    <row r="14" spans="1:37" s="46" customFormat="1" ht="16.5" customHeight="1" x14ac:dyDescent="0.25">
      <c r="B14" s="47">
        <v>497</v>
      </c>
      <c r="C14" s="48" t="s">
        <v>58</v>
      </c>
      <c r="D14" s="47" t="s">
        <v>3</v>
      </c>
      <c r="E14" s="49">
        <v>28100</v>
      </c>
      <c r="F14" s="50">
        <v>0</v>
      </c>
      <c r="G14" s="88">
        <f t="shared" si="0"/>
        <v>28100</v>
      </c>
      <c r="H14" s="53">
        <v>0</v>
      </c>
      <c r="I14" s="49">
        <v>1000</v>
      </c>
      <c r="J14" s="88">
        <f>ROUND((G14*40%),0)</f>
        <v>11240</v>
      </c>
      <c r="K14" s="89">
        <v>1500</v>
      </c>
      <c r="L14" s="50">
        <v>0</v>
      </c>
      <c r="M14" s="88">
        <f t="shared" si="5"/>
        <v>41840</v>
      </c>
      <c r="N14" s="89">
        <f>ROUND((G14*55%),0)</f>
        <v>15455</v>
      </c>
      <c r="O14" s="50">
        <v>0</v>
      </c>
      <c r="P14" s="89">
        <f t="shared" si="1"/>
        <v>57295</v>
      </c>
      <c r="Q14" s="122">
        <f t="shared" si="2"/>
        <v>15455</v>
      </c>
      <c r="R14" s="51">
        <v>25</v>
      </c>
      <c r="S14" s="54">
        <f>ROUND((G14*25%),0)</f>
        <v>7025</v>
      </c>
      <c r="T14" s="50">
        <f>O14</f>
        <v>0</v>
      </c>
      <c r="U14" s="49">
        <f>J14</f>
        <v>11240</v>
      </c>
      <c r="V14" s="50">
        <v>3200</v>
      </c>
      <c r="W14" s="53">
        <v>0</v>
      </c>
      <c r="X14" s="49">
        <v>200</v>
      </c>
      <c r="Y14" s="50">
        <v>10</v>
      </c>
      <c r="Z14" s="50">
        <v>0</v>
      </c>
      <c r="AA14" s="50">
        <v>0</v>
      </c>
      <c r="AB14" s="50">
        <v>1150</v>
      </c>
      <c r="AC14" s="52">
        <f t="shared" si="3"/>
        <v>38280</v>
      </c>
      <c r="AD14" s="54">
        <f t="shared" si="4"/>
        <v>19015</v>
      </c>
      <c r="AE14" s="55"/>
    </row>
    <row r="15" spans="1:37" s="46" customFormat="1" ht="16.5" customHeight="1" x14ac:dyDescent="0.25">
      <c r="B15" s="47">
        <v>70</v>
      </c>
      <c r="C15" s="155" t="s">
        <v>63</v>
      </c>
      <c r="D15" s="47" t="s">
        <v>5</v>
      </c>
      <c r="E15" s="49">
        <v>30840</v>
      </c>
      <c r="F15" s="50">
        <v>0</v>
      </c>
      <c r="G15" s="88">
        <f t="shared" si="0"/>
        <v>30840</v>
      </c>
      <c r="H15" s="53">
        <v>0</v>
      </c>
      <c r="I15" s="49">
        <v>1000</v>
      </c>
      <c r="J15" s="88">
        <f>ROUND((G15*40%),0)</f>
        <v>12336</v>
      </c>
      <c r="K15" s="89">
        <v>1500</v>
      </c>
      <c r="L15" s="50">
        <v>0</v>
      </c>
      <c r="M15" s="88">
        <f t="shared" si="5"/>
        <v>45676</v>
      </c>
      <c r="N15" s="89">
        <f>ROUND((G15*55%),0)</f>
        <v>16962</v>
      </c>
      <c r="O15" s="50">
        <v>0</v>
      </c>
      <c r="P15" s="89">
        <f t="shared" si="1"/>
        <v>62638</v>
      </c>
      <c r="Q15" s="122">
        <f t="shared" si="2"/>
        <v>16962</v>
      </c>
      <c r="R15" s="51">
        <v>25</v>
      </c>
      <c r="S15" s="54">
        <f>ROUND((G15*25%),0)</f>
        <v>7710</v>
      </c>
      <c r="T15" s="50">
        <f>O15</f>
        <v>0</v>
      </c>
      <c r="U15" s="49">
        <f>J15</f>
        <v>12336</v>
      </c>
      <c r="V15" s="50">
        <v>3500</v>
      </c>
      <c r="W15" s="53">
        <v>0</v>
      </c>
      <c r="X15" s="49">
        <v>200</v>
      </c>
      <c r="Y15" s="50">
        <v>10</v>
      </c>
      <c r="Z15" s="50">
        <v>0</v>
      </c>
      <c r="AA15" s="50">
        <v>0</v>
      </c>
      <c r="AB15" s="50">
        <v>1500</v>
      </c>
      <c r="AC15" s="52">
        <f t="shared" si="3"/>
        <v>42218</v>
      </c>
      <c r="AD15" s="54">
        <f t="shared" si="4"/>
        <v>20420</v>
      </c>
      <c r="AE15" s="55"/>
    </row>
    <row r="16" spans="1:37" s="46" customFormat="1" ht="16.5" customHeight="1" x14ac:dyDescent="0.25">
      <c r="B16" s="47">
        <v>1118</v>
      </c>
      <c r="C16" s="155" t="s">
        <v>46</v>
      </c>
      <c r="D16" s="47" t="s">
        <v>4</v>
      </c>
      <c r="E16" s="49">
        <v>18530</v>
      </c>
      <c r="F16" s="50">
        <v>0</v>
      </c>
      <c r="G16" s="88">
        <f t="shared" si="0"/>
        <v>18530</v>
      </c>
      <c r="H16" s="53">
        <v>0</v>
      </c>
      <c r="I16" s="50">
        <v>0</v>
      </c>
      <c r="J16" s="88">
        <f>ROUND((G16*40%),0)</f>
        <v>7412</v>
      </c>
      <c r="K16" s="89">
        <v>1500</v>
      </c>
      <c r="L16" s="50">
        <v>0</v>
      </c>
      <c r="M16" s="88">
        <f t="shared" si="5"/>
        <v>27442</v>
      </c>
      <c r="N16" s="89">
        <f>ROUND((G16*10%),0)</f>
        <v>1853</v>
      </c>
      <c r="O16" s="49">
        <f>N16</f>
        <v>1853</v>
      </c>
      <c r="P16" s="89">
        <f t="shared" si="1"/>
        <v>31148</v>
      </c>
      <c r="Q16" s="122">
        <f t="shared" si="2"/>
        <v>1853</v>
      </c>
      <c r="R16" s="51">
        <v>10</v>
      </c>
      <c r="S16" s="54">
        <f>ROUND((G16*10%),0)</f>
        <v>1853</v>
      </c>
      <c r="T16" s="49">
        <f>O16</f>
        <v>1853</v>
      </c>
      <c r="U16" s="50">
        <v>0</v>
      </c>
      <c r="V16" s="50">
        <v>5000</v>
      </c>
      <c r="W16" s="53">
        <v>0</v>
      </c>
      <c r="X16" s="49">
        <f>ROUND((G16*1%),0)</f>
        <v>185</v>
      </c>
      <c r="Y16" s="50">
        <v>10</v>
      </c>
      <c r="Z16" s="50">
        <v>0</v>
      </c>
      <c r="AA16" s="50">
        <v>0</v>
      </c>
      <c r="AB16" s="50">
        <v>0</v>
      </c>
      <c r="AC16" s="52">
        <f t="shared" si="3"/>
        <v>10754</v>
      </c>
      <c r="AD16" s="54">
        <f t="shared" si="4"/>
        <v>20394</v>
      </c>
      <c r="AE16" s="55"/>
    </row>
    <row r="17" spans="2:39" s="46" customFormat="1" ht="18.75" customHeight="1" x14ac:dyDescent="0.25">
      <c r="B17" s="47">
        <v>581</v>
      </c>
      <c r="C17" s="48" t="s">
        <v>30</v>
      </c>
      <c r="D17" s="59" t="s">
        <v>5</v>
      </c>
      <c r="E17" s="49">
        <v>18530</v>
      </c>
      <c r="F17" s="50">
        <v>0</v>
      </c>
      <c r="G17" s="49">
        <f t="shared" si="0"/>
        <v>18530</v>
      </c>
      <c r="H17" s="50">
        <v>0</v>
      </c>
      <c r="I17" s="49">
        <v>500</v>
      </c>
      <c r="J17" s="88">
        <f>ROUND((G17*40%),0)</f>
        <v>7412</v>
      </c>
      <c r="K17" s="49">
        <v>1500</v>
      </c>
      <c r="L17" s="50">
        <v>0</v>
      </c>
      <c r="M17" s="88">
        <f t="shared" si="5"/>
        <v>27942</v>
      </c>
      <c r="N17" s="89">
        <f>ROUND((G17*55%),0)</f>
        <v>10192</v>
      </c>
      <c r="O17" s="50">
        <v>0</v>
      </c>
      <c r="P17" s="89">
        <f t="shared" si="1"/>
        <v>38134</v>
      </c>
      <c r="Q17" s="49">
        <f t="shared" si="2"/>
        <v>10192</v>
      </c>
      <c r="R17" s="51">
        <v>25</v>
      </c>
      <c r="S17" s="54">
        <f>ROUND((G17*25%),0)</f>
        <v>4633</v>
      </c>
      <c r="T17" s="50">
        <v>0</v>
      </c>
      <c r="U17" s="49">
        <f>J17</f>
        <v>7412</v>
      </c>
      <c r="V17" s="50">
        <v>4000</v>
      </c>
      <c r="W17" s="53">
        <v>0</v>
      </c>
      <c r="X17" s="49">
        <f>ROUND((G17*1%),0)</f>
        <v>185</v>
      </c>
      <c r="Y17" s="50">
        <v>10</v>
      </c>
      <c r="Z17" s="50">
        <v>0</v>
      </c>
      <c r="AA17" s="50">
        <v>0</v>
      </c>
      <c r="AB17" s="50">
        <v>0</v>
      </c>
      <c r="AC17" s="52">
        <f t="shared" si="3"/>
        <v>26432</v>
      </c>
      <c r="AD17" s="54">
        <f t="shared" si="4"/>
        <v>11702</v>
      </c>
      <c r="AE17" s="55"/>
    </row>
    <row r="18" spans="2:39" s="46" customFormat="1" ht="19.5" customHeight="1" x14ac:dyDescent="0.25">
      <c r="B18" s="47"/>
      <c r="C18" s="48" t="s">
        <v>13</v>
      </c>
      <c r="D18" s="48"/>
      <c r="E18" s="57">
        <f t="shared" ref="E18:Q18" si="6">SUM(E10:E17)</f>
        <v>280420</v>
      </c>
      <c r="F18" s="58">
        <f t="shared" si="6"/>
        <v>0</v>
      </c>
      <c r="G18" s="57">
        <f t="shared" si="6"/>
        <v>280420</v>
      </c>
      <c r="H18" s="57">
        <f t="shared" si="6"/>
        <v>200</v>
      </c>
      <c r="I18" s="57">
        <f t="shared" si="6"/>
        <v>2500</v>
      </c>
      <c r="J18" s="57">
        <f t="shared" si="6"/>
        <v>104451</v>
      </c>
      <c r="K18" s="57">
        <f t="shared" si="6"/>
        <v>12000</v>
      </c>
      <c r="L18" s="58">
        <f t="shared" si="6"/>
        <v>0</v>
      </c>
      <c r="M18" s="97">
        <f t="shared" si="5"/>
        <v>399571</v>
      </c>
      <c r="N18" s="57">
        <f t="shared" si="6"/>
        <v>112341</v>
      </c>
      <c r="O18" s="57">
        <f t="shared" si="6"/>
        <v>9309</v>
      </c>
      <c r="P18" s="57">
        <f>SUM(P10:P17)</f>
        <v>521221</v>
      </c>
      <c r="Q18" s="57">
        <f t="shared" si="6"/>
        <v>112341</v>
      </c>
      <c r="R18" s="57"/>
      <c r="S18" s="57">
        <f t="shared" ref="S18:AB18" si="7">SUM(S10:S17)</f>
        <v>42228</v>
      </c>
      <c r="T18" s="57">
        <f t="shared" si="7"/>
        <v>9309</v>
      </c>
      <c r="U18" s="57">
        <f t="shared" si="7"/>
        <v>57988</v>
      </c>
      <c r="V18" s="57">
        <f t="shared" si="7"/>
        <v>23235</v>
      </c>
      <c r="W18" s="58">
        <f t="shared" si="7"/>
        <v>0</v>
      </c>
      <c r="X18" s="57">
        <f t="shared" si="7"/>
        <v>1570</v>
      </c>
      <c r="Y18" s="57">
        <f t="shared" si="7"/>
        <v>80</v>
      </c>
      <c r="Z18" s="58">
        <f t="shared" si="7"/>
        <v>6</v>
      </c>
      <c r="AA18" s="57">
        <f t="shared" si="7"/>
        <v>1056</v>
      </c>
      <c r="AB18" s="57">
        <f t="shared" si="7"/>
        <v>3775</v>
      </c>
      <c r="AC18" s="57">
        <f>SUM(AC10:AC17)</f>
        <v>251588</v>
      </c>
      <c r="AD18" s="57">
        <f>SUM(AD10:AD17)</f>
        <v>269633</v>
      </c>
      <c r="AE18" s="55"/>
    </row>
    <row r="19" spans="2:39" s="46" customFormat="1" ht="19.5" customHeight="1" x14ac:dyDescent="0.25">
      <c r="B19" s="47">
        <v>200</v>
      </c>
      <c r="C19" s="48" t="s">
        <v>90</v>
      </c>
      <c r="D19" s="47" t="s">
        <v>75</v>
      </c>
      <c r="E19" s="49">
        <v>17960</v>
      </c>
      <c r="F19" s="50">
        <v>0</v>
      </c>
      <c r="G19" s="49">
        <f>E19+F19</f>
        <v>17960</v>
      </c>
      <c r="H19" s="50">
        <v>0</v>
      </c>
      <c r="I19" s="49">
        <v>1000</v>
      </c>
      <c r="J19" s="49">
        <f>G19*40%</f>
        <v>7184</v>
      </c>
      <c r="K19" s="49">
        <v>1500</v>
      </c>
      <c r="L19" s="49">
        <v>100</v>
      </c>
      <c r="M19" s="88">
        <f>G19+H19+I19+J19+K19+L19</f>
        <v>27744</v>
      </c>
      <c r="N19" s="89">
        <f>ROUND((G19*55%),0)</f>
        <v>9878</v>
      </c>
      <c r="O19" s="50">
        <v>0</v>
      </c>
      <c r="P19" s="49">
        <f>ROUND((M19+N19),0)</f>
        <v>37622</v>
      </c>
      <c r="Q19" s="49">
        <f>N19</f>
        <v>9878</v>
      </c>
      <c r="R19" s="51">
        <v>10</v>
      </c>
      <c r="S19" s="54">
        <f>ROUND((G19*10%),0)</f>
        <v>1796</v>
      </c>
      <c r="T19" s="50">
        <v>0</v>
      </c>
      <c r="U19" s="50">
        <v>0</v>
      </c>
      <c r="V19" s="50">
        <v>3200</v>
      </c>
      <c r="W19" s="56">
        <v>5040</v>
      </c>
      <c r="X19" s="49">
        <f>ROUND((G19*1%),0)</f>
        <v>180</v>
      </c>
      <c r="Y19" s="50">
        <v>10</v>
      </c>
      <c r="Z19" s="50">
        <v>0</v>
      </c>
      <c r="AA19" s="50">
        <v>0</v>
      </c>
      <c r="AB19" s="50">
        <v>0</v>
      </c>
      <c r="AC19" s="52">
        <f>ROUND((SUM(Q19:AB19)-R19),0)</f>
        <v>20104</v>
      </c>
      <c r="AD19" s="49">
        <f>P19-AC19</f>
        <v>17518</v>
      </c>
      <c r="AE19" s="55"/>
      <c r="AF19" s="160" t="s">
        <v>20</v>
      </c>
      <c r="AG19" s="160" t="s">
        <v>44</v>
      </c>
      <c r="AH19" s="160" t="s">
        <v>8</v>
      </c>
      <c r="AI19" s="160" t="s">
        <v>129</v>
      </c>
      <c r="AJ19" s="160"/>
      <c r="AK19" s="183" t="s">
        <v>128</v>
      </c>
    </row>
    <row r="20" spans="2:39" s="46" customFormat="1" ht="19.5" customHeight="1" x14ac:dyDescent="0.25">
      <c r="B20" s="47">
        <v>808</v>
      </c>
      <c r="C20" s="48" t="s">
        <v>62</v>
      </c>
      <c r="D20" s="47" t="s">
        <v>59</v>
      </c>
      <c r="E20" s="49">
        <v>16670</v>
      </c>
      <c r="F20" s="50">
        <v>0</v>
      </c>
      <c r="G20" s="49">
        <f>E20+F20</f>
        <v>16670</v>
      </c>
      <c r="H20" s="50">
        <v>0</v>
      </c>
      <c r="I20" s="49">
        <v>1000</v>
      </c>
      <c r="J20" s="49">
        <v>7000</v>
      </c>
      <c r="K20" s="49">
        <v>1500</v>
      </c>
      <c r="L20" s="49">
        <v>100</v>
      </c>
      <c r="M20" s="88">
        <f t="shared" si="5"/>
        <v>26270</v>
      </c>
      <c r="N20" s="89">
        <f>ROUND((G20*55%),0)</f>
        <v>9169</v>
      </c>
      <c r="O20" s="50">
        <v>0</v>
      </c>
      <c r="P20" s="49">
        <f>ROUND((M20+N20),0)</f>
        <v>35439</v>
      </c>
      <c r="Q20" s="49">
        <f>N20</f>
        <v>9169</v>
      </c>
      <c r="R20" s="51">
        <v>10</v>
      </c>
      <c r="S20" s="54">
        <f>ROUND((G20*10%),0)</f>
        <v>1667</v>
      </c>
      <c r="T20" s="50">
        <v>0</v>
      </c>
      <c r="U20" s="49">
        <f>J20</f>
        <v>7000</v>
      </c>
      <c r="V20" s="49">
        <v>1500</v>
      </c>
      <c r="W20" s="53">
        <v>0</v>
      </c>
      <c r="X20" s="49">
        <f>ROUND((G20*1%),0)</f>
        <v>167</v>
      </c>
      <c r="Y20" s="50">
        <v>10</v>
      </c>
      <c r="Z20" s="50">
        <v>0</v>
      </c>
      <c r="AA20" s="50">
        <v>0</v>
      </c>
      <c r="AB20" s="50">
        <v>0</v>
      </c>
      <c r="AC20" s="52">
        <f>ROUND((SUM(Q20:AB20)-R20),0)</f>
        <v>19513</v>
      </c>
      <c r="AD20" s="49">
        <f>P20-AC20</f>
        <v>15926</v>
      </c>
      <c r="AE20" s="55"/>
      <c r="AF20" s="162">
        <f>U24</f>
        <v>64988</v>
      </c>
      <c r="AG20" s="162">
        <f>V24</f>
        <v>32935</v>
      </c>
      <c r="AH20" s="162">
        <f>Y24</f>
        <v>110</v>
      </c>
      <c r="AI20" s="162">
        <f>AB24</f>
        <v>3775</v>
      </c>
      <c r="AJ20" s="163"/>
      <c r="AK20" s="162">
        <f>AF20+AG20+AH20+AI20</f>
        <v>101808</v>
      </c>
    </row>
    <row r="21" spans="2:39" s="46" customFormat="1" ht="19.5" customHeight="1" x14ac:dyDescent="0.25">
      <c r="B21" s="47">
        <v>495</v>
      </c>
      <c r="C21" s="48" t="s">
        <v>32</v>
      </c>
      <c r="D21" s="47" t="s">
        <v>85</v>
      </c>
      <c r="E21" s="49">
        <v>10560</v>
      </c>
      <c r="F21" s="50">
        <v>0</v>
      </c>
      <c r="G21" s="49">
        <f>E21+F21</f>
        <v>10560</v>
      </c>
      <c r="H21" s="50">
        <v>0</v>
      </c>
      <c r="I21" s="49">
        <v>1000</v>
      </c>
      <c r="J21" s="49">
        <f>G21*45%</f>
        <v>4752</v>
      </c>
      <c r="K21" s="49">
        <v>1500</v>
      </c>
      <c r="L21" s="49">
        <v>100</v>
      </c>
      <c r="M21" s="88">
        <f t="shared" si="5"/>
        <v>17912</v>
      </c>
      <c r="N21" s="89">
        <f>ROUND((G21*55%),0)</f>
        <v>5808</v>
      </c>
      <c r="O21" s="50">
        <v>0</v>
      </c>
      <c r="P21" s="49">
        <f>ROUND((M21+N21),0)</f>
        <v>23720</v>
      </c>
      <c r="Q21" s="49">
        <f>N21</f>
        <v>5808</v>
      </c>
      <c r="R21" s="51">
        <v>10</v>
      </c>
      <c r="S21" s="54">
        <f>ROUND((G21*10%),0)</f>
        <v>1056</v>
      </c>
      <c r="T21" s="50">
        <v>0</v>
      </c>
      <c r="U21" s="50">
        <v>0</v>
      </c>
      <c r="V21" s="50">
        <v>5000</v>
      </c>
      <c r="W21" s="53">
        <v>0</v>
      </c>
      <c r="X21" s="49">
        <f>ROUND((G21*1%),0)</f>
        <v>106</v>
      </c>
      <c r="Y21" s="50">
        <v>10</v>
      </c>
      <c r="Z21" s="50">
        <v>0</v>
      </c>
      <c r="AA21" s="50">
        <v>0</v>
      </c>
      <c r="AB21" s="50">
        <v>0</v>
      </c>
      <c r="AC21" s="52">
        <f>ROUND((SUM(Q21:AB21)-R21),0)</f>
        <v>11980</v>
      </c>
      <c r="AD21" s="49">
        <f>P21-AC21</f>
        <v>11740</v>
      </c>
      <c r="AE21" s="55"/>
    </row>
    <row r="22" spans="2:39" s="101" customFormat="1" ht="19.5" customHeight="1" x14ac:dyDescent="0.25">
      <c r="B22" s="47"/>
      <c r="C22" s="47" t="s">
        <v>6</v>
      </c>
      <c r="D22" s="48"/>
      <c r="E22" s="57">
        <f t="shared" ref="E22:J22" si="8">SUM(E19:E21)</f>
        <v>45190</v>
      </c>
      <c r="F22" s="58">
        <f t="shared" si="8"/>
        <v>0</v>
      </c>
      <c r="G22" s="57">
        <f t="shared" si="8"/>
        <v>45190</v>
      </c>
      <c r="H22" s="58">
        <f t="shared" si="8"/>
        <v>0</v>
      </c>
      <c r="I22" s="57">
        <f t="shared" si="8"/>
        <v>3000</v>
      </c>
      <c r="J22" s="57">
        <f t="shared" si="8"/>
        <v>18936</v>
      </c>
      <c r="K22" s="57">
        <f t="shared" ref="K22:Q22" si="9">SUM(K19:K21)</f>
        <v>4500</v>
      </c>
      <c r="L22" s="57">
        <f t="shared" si="9"/>
        <v>300</v>
      </c>
      <c r="M22" s="97">
        <f t="shared" si="5"/>
        <v>71926</v>
      </c>
      <c r="N22" s="57">
        <f t="shared" si="9"/>
        <v>24855</v>
      </c>
      <c r="O22" s="58">
        <f t="shared" si="9"/>
        <v>0</v>
      </c>
      <c r="P22" s="57">
        <f t="shared" si="9"/>
        <v>96781</v>
      </c>
      <c r="Q22" s="57">
        <f t="shared" si="9"/>
        <v>24855</v>
      </c>
      <c r="R22" s="58">
        <v>0</v>
      </c>
      <c r="S22" s="57">
        <f t="shared" ref="S22:Z22" si="10">SUM(S19:S21)</f>
        <v>4519</v>
      </c>
      <c r="T22" s="58">
        <f t="shared" si="10"/>
        <v>0</v>
      </c>
      <c r="U22" s="57">
        <f t="shared" si="10"/>
        <v>7000</v>
      </c>
      <c r="V22" s="57">
        <f t="shared" si="10"/>
        <v>9700</v>
      </c>
      <c r="W22" s="57">
        <f t="shared" si="10"/>
        <v>5040</v>
      </c>
      <c r="X22" s="57">
        <f t="shared" si="10"/>
        <v>453</v>
      </c>
      <c r="Y22" s="57">
        <f t="shared" si="10"/>
        <v>30</v>
      </c>
      <c r="Z22" s="58">
        <f t="shared" si="10"/>
        <v>0</v>
      </c>
      <c r="AA22" s="58">
        <v>0</v>
      </c>
      <c r="AB22" s="58">
        <f>SUM(AB19:AB21)</f>
        <v>0</v>
      </c>
      <c r="AC22" s="57">
        <f>SUM(AC19:AC21)</f>
        <v>51597</v>
      </c>
      <c r="AD22" s="57">
        <f>SUM(AD19:AD21)</f>
        <v>45184</v>
      </c>
      <c r="AE22" s="100"/>
      <c r="AF22" s="154"/>
      <c r="AG22" s="154"/>
      <c r="AH22" s="154"/>
    </row>
    <row r="23" spans="2:39" s="46" customFormat="1" ht="19.5" customHeight="1" x14ac:dyDescent="0.25">
      <c r="B23" s="60"/>
      <c r="C23" s="47" t="s">
        <v>13</v>
      </c>
      <c r="D23" s="48"/>
      <c r="E23" s="61">
        <f t="shared" ref="E23:O23" si="11">E18</f>
        <v>280420</v>
      </c>
      <c r="F23" s="62">
        <f t="shared" si="11"/>
        <v>0</v>
      </c>
      <c r="G23" s="61">
        <f t="shared" si="11"/>
        <v>280420</v>
      </c>
      <c r="H23" s="61">
        <f t="shared" si="11"/>
        <v>200</v>
      </c>
      <c r="I23" s="61">
        <f t="shared" si="11"/>
        <v>2500</v>
      </c>
      <c r="J23" s="61">
        <f t="shared" si="11"/>
        <v>104451</v>
      </c>
      <c r="K23" s="61">
        <f t="shared" si="11"/>
        <v>12000</v>
      </c>
      <c r="L23" s="62">
        <f t="shared" si="11"/>
        <v>0</v>
      </c>
      <c r="M23" s="88">
        <f>M18</f>
        <v>399571</v>
      </c>
      <c r="N23" s="61">
        <f>N18</f>
        <v>112341</v>
      </c>
      <c r="O23" s="61">
        <f t="shared" si="11"/>
        <v>9309</v>
      </c>
      <c r="P23" s="49">
        <f>P18</f>
        <v>521221</v>
      </c>
      <c r="Q23" s="61">
        <f>Q18</f>
        <v>112341</v>
      </c>
      <c r="R23" s="62">
        <v>0</v>
      </c>
      <c r="S23" s="61">
        <f t="shared" ref="S23:AD23" si="12">S18</f>
        <v>42228</v>
      </c>
      <c r="T23" s="62">
        <f t="shared" si="12"/>
        <v>9309</v>
      </c>
      <c r="U23" s="61">
        <f t="shared" si="12"/>
        <v>57988</v>
      </c>
      <c r="V23" s="61">
        <f t="shared" si="12"/>
        <v>23235</v>
      </c>
      <c r="W23" s="62">
        <f t="shared" si="12"/>
        <v>0</v>
      </c>
      <c r="X23" s="61">
        <f t="shared" si="12"/>
        <v>1570</v>
      </c>
      <c r="Y23" s="62">
        <f t="shared" si="12"/>
        <v>80</v>
      </c>
      <c r="Z23" s="62">
        <f t="shared" si="12"/>
        <v>6</v>
      </c>
      <c r="AA23" s="62">
        <f>AA18</f>
        <v>1056</v>
      </c>
      <c r="AB23" s="62">
        <f t="shared" si="12"/>
        <v>3775</v>
      </c>
      <c r="AC23" s="62">
        <f t="shared" si="12"/>
        <v>251588</v>
      </c>
      <c r="AD23" s="61">
        <f t="shared" si="12"/>
        <v>269633</v>
      </c>
      <c r="AE23" s="55"/>
      <c r="AF23" s="102"/>
      <c r="AG23" s="102"/>
      <c r="AH23" s="102"/>
      <c r="AI23" s="102"/>
      <c r="AJ23" s="102"/>
      <c r="AK23" s="102"/>
    </row>
    <row r="24" spans="2:39" s="46" customFormat="1" ht="18" customHeight="1" x14ac:dyDescent="0.25">
      <c r="B24" s="47"/>
      <c r="C24" s="63" t="s">
        <v>14</v>
      </c>
      <c r="D24" s="93"/>
      <c r="E24" s="57">
        <f t="shared" ref="E24:U24" si="13">E22+E23</f>
        <v>325610</v>
      </c>
      <c r="F24" s="58">
        <f t="shared" si="13"/>
        <v>0</v>
      </c>
      <c r="G24" s="57">
        <f t="shared" si="13"/>
        <v>325610</v>
      </c>
      <c r="H24" s="57">
        <f t="shared" si="13"/>
        <v>200</v>
      </c>
      <c r="I24" s="57">
        <f t="shared" si="13"/>
        <v>5500</v>
      </c>
      <c r="J24" s="57">
        <f t="shared" si="13"/>
        <v>123387</v>
      </c>
      <c r="K24" s="57">
        <f t="shared" si="13"/>
        <v>16500</v>
      </c>
      <c r="L24" s="57">
        <f t="shared" si="13"/>
        <v>300</v>
      </c>
      <c r="M24" s="97">
        <f t="shared" si="13"/>
        <v>471497</v>
      </c>
      <c r="N24" s="57">
        <f t="shared" si="13"/>
        <v>137196</v>
      </c>
      <c r="O24" s="57">
        <f t="shared" si="13"/>
        <v>9309</v>
      </c>
      <c r="P24" s="57">
        <f t="shared" si="13"/>
        <v>618002</v>
      </c>
      <c r="Q24" s="57">
        <f t="shared" si="13"/>
        <v>137196</v>
      </c>
      <c r="R24" s="58">
        <f t="shared" si="13"/>
        <v>0</v>
      </c>
      <c r="S24" s="57">
        <f t="shared" si="13"/>
        <v>46747</v>
      </c>
      <c r="T24" s="57">
        <f t="shared" si="13"/>
        <v>9309</v>
      </c>
      <c r="U24" s="57">
        <f t="shared" si="13"/>
        <v>64988</v>
      </c>
      <c r="V24" s="57">
        <f t="shared" ref="V24:AD24" si="14">V22+V23</f>
        <v>32935</v>
      </c>
      <c r="W24" s="57">
        <f t="shared" si="14"/>
        <v>5040</v>
      </c>
      <c r="X24" s="57">
        <f t="shared" si="14"/>
        <v>2023</v>
      </c>
      <c r="Y24" s="57">
        <f t="shared" si="14"/>
        <v>110</v>
      </c>
      <c r="Z24" s="58">
        <f t="shared" si="14"/>
        <v>6</v>
      </c>
      <c r="AA24" s="57">
        <f t="shared" si="14"/>
        <v>1056</v>
      </c>
      <c r="AB24" s="57">
        <f t="shared" si="14"/>
        <v>3775</v>
      </c>
      <c r="AC24" s="57">
        <f t="shared" si="14"/>
        <v>303185</v>
      </c>
      <c r="AD24" s="57">
        <f t="shared" si="14"/>
        <v>314817</v>
      </c>
      <c r="AE24" s="102"/>
      <c r="AI24" s="123"/>
      <c r="AJ24" s="123"/>
      <c r="AK24" s="102">
        <f>AK8+AK20</f>
        <v>303185</v>
      </c>
      <c r="AL24" s="102"/>
      <c r="AM24" s="123"/>
    </row>
    <row r="25" spans="2:39" s="70" customFormat="1" ht="18.75" hidden="1" customHeight="1" x14ac:dyDescent="0.2">
      <c r="B25" s="44"/>
      <c r="C25" s="92"/>
      <c r="D25" s="64"/>
      <c r="E25" s="65">
        <f>SUM(E22)</f>
        <v>45190</v>
      </c>
      <c r="F25" s="65">
        <f>SUM(F22)</f>
        <v>0</v>
      </c>
      <c r="G25" s="65">
        <f>SUM(G22)</f>
        <v>45190</v>
      </c>
      <c r="H25" s="65"/>
      <c r="I25" s="65">
        <f>SUM(I22)</f>
        <v>3000</v>
      </c>
      <c r="J25" s="65">
        <f>SUM(J19:J22)</f>
        <v>37872</v>
      </c>
      <c r="K25" s="65">
        <f>SUM(K22)</f>
        <v>4500</v>
      </c>
      <c r="L25" s="65">
        <f>SUM(L22)</f>
        <v>300</v>
      </c>
      <c r="M25" s="65">
        <f>SUM(M19:M22)</f>
        <v>143852</v>
      </c>
      <c r="N25" s="65">
        <f>SUM(N22)</f>
        <v>24855</v>
      </c>
      <c r="O25" s="65">
        <f>SUM(O22)</f>
        <v>0</v>
      </c>
      <c r="P25" s="65">
        <f>SUM(P19:P22)</f>
        <v>193562</v>
      </c>
      <c r="Q25" s="65">
        <f>SUM(Q22)</f>
        <v>24855</v>
      </c>
      <c r="R25" s="65">
        <f>SUM(R19:R22)</f>
        <v>30</v>
      </c>
      <c r="S25" s="66">
        <f>SUM(S19:S22)</f>
        <v>9038</v>
      </c>
      <c r="T25" s="66">
        <f>SUM(T22)</f>
        <v>0</v>
      </c>
      <c r="U25" s="65">
        <f>SUM(U19:U22)</f>
        <v>14000</v>
      </c>
      <c r="V25" s="65">
        <f t="shared" ref="V25:AB25" si="15">SUM(V22)</f>
        <v>9700</v>
      </c>
      <c r="W25" s="67">
        <f t="shared" si="15"/>
        <v>5040</v>
      </c>
      <c r="X25" s="68">
        <f t="shared" si="15"/>
        <v>453</v>
      </c>
      <c r="Y25" s="67">
        <f t="shared" si="15"/>
        <v>30</v>
      </c>
      <c r="Z25" s="65">
        <f t="shared" si="15"/>
        <v>0</v>
      </c>
      <c r="AA25" s="65"/>
      <c r="AB25" s="65">
        <f t="shared" si="15"/>
        <v>0</v>
      </c>
      <c r="AC25" s="52">
        <f>Q25+S25+T25+U25+V25+W25+X25+Y25+Z25</f>
        <v>63116</v>
      </c>
      <c r="AD25" s="65">
        <f>SUM(AD19:AD22)</f>
        <v>90368</v>
      </c>
      <c r="AE25" s="69"/>
    </row>
    <row r="26" spans="2:39" s="70" customFormat="1" ht="21" hidden="1" customHeight="1" x14ac:dyDescent="0.2">
      <c r="B26" s="71"/>
      <c r="C26" s="48"/>
      <c r="D26" s="7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3"/>
      <c r="T26" s="73"/>
      <c r="U26" s="69"/>
      <c r="V26" s="69"/>
      <c r="W26" s="74"/>
      <c r="X26" s="75"/>
      <c r="Y26" s="74"/>
      <c r="Z26" s="69"/>
      <c r="AA26" s="69"/>
      <c r="AB26" s="69"/>
      <c r="AC26" s="69"/>
      <c r="AD26" s="69"/>
      <c r="AE26" s="69"/>
    </row>
    <row r="27" spans="2:39" s="70" customFormat="1" ht="15" hidden="1" customHeight="1" x14ac:dyDescent="0.2">
      <c r="B27" s="71"/>
      <c r="C27" s="48"/>
      <c r="D27" s="7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3"/>
      <c r="T27" s="73"/>
      <c r="U27" s="69"/>
      <c r="V27" s="69"/>
      <c r="W27" s="74"/>
      <c r="X27" s="75"/>
      <c r="Y27" s="74"/>
      <c r="Z27" s="69"/>
      <c r="AA27" s="69"/>
      <c r="AB27" s="69"/>
      <c r="AC27" s="69"/>
      <c r="AD27" s="69"/>
      <c r="AE27" s="69"/>
    </row>
    <row r="28" spans="2:39" s="70" customFormat="1" ht="18" hidden="1" customHeight="1" x14ac:dyDescent="0.2">
      <c r="B28" s="71"/>
      <c r="C28" s="48"/>
      <c r="D28" s="72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73"/>
      <c r="T28" s="73"/>
      <c r="U28" s="69"/>
      <c r="V28" s="69"/>
      <c r="W28" s="74"/>
      <c r="X28" s="75"/>
      <c r="Y28" s="74"/>
      <c r="Z28" s="69"/>
      <c r="AA28" s="69"/>
      <c r="AB28" s="69"/>
      <c r="AC28" s="69"/>
      <c r="AD28" s="69"/>
      <c r="AE28" s="69"/>
    </row>
    <row r="29" spans="2:39" s="70" customFormat="1" ht="15.75" hidden="1" customHeight="1" x14ac:dyDescent="0.2">
      <c r="B29" s="71"/>
      <c r="C29" s="48"/>
      <c r="D29" s="4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7"/>
      <c r="X29" s="77"/>
      <c r="Y29" s="77"/>
      <c r="Z29" s="76"/>
      <c r="AA29" s="76"/>
      <c r="AB29" s="76"/>
      <c r="AC29" s="76"/>
      <c r="AD29" s="76"/>
      <c r="AE29" s="76"/>
    </row>
    <row r="30" spans="2:39" s="70" customFormat="1" ht="18.75" hidden="1" customHeight="1" x14ac:dyDescent="0.2">
      <c r="B30" s="78"/>
      <c r="C30" s="48"/>
      <c r="D30" s="7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3"/>
      <c r="T30" s="73"/>
      <c r="U30" s="69"/>
      <c r="V30" s="69"/>
      <c r="W30" s="74"/>
      <c r="X30" s="75"/>
      <c r="Y30" s="74"/>
      <c r="Z30" s="69"/>
      <c r="AA30" s="69"/>
      <c r="AB30" s="69"/>
      <c r="AC30" s="69"/>
      <c r="AD30" s="69"/>
      <c r="AE30" s="69"/>
    </row>
    <row r="31" spans="2:39" s="70" customFormat="1" ht="18" hidden="1" customHeight="1" x14ac:dyDescent="0.2">
      <c r="B31" s="71"/>
      <c r="C31" s="48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73"/>
      <c r="U31" s="69"/>
      <c r="V31" s="69"/>
      <c r="W31" s="74"/>
      <c r="X31" s="75"/>
      <c r="Y31" s="74"/>
      <c r="Z31" s="69"/>
      <c r="AA31" s="69"/>
      <c r="AB31" s="69"/>
      <c r="AC31" s="69"/>
      <c r="AD31" s="69"/>
      <c r="AE31" s="69"/>
    </row>
    <row r="32" spans="2:39" s="70" customFormat="1" ht="23.25" hidden="1" customHeight="1" x14ac:dyDescent="0.2">
      <c r="B32" s="71"/>
      <c r="C32" s="48"/>
      <c r="D32" s="48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7"/>
      <c r="X32" s="77"/>
      <c r="Y32" s="77"/>
      <c r="Z32" s="76"/>
      <c r="AA32" s="76"/>
      <c r="AB32" s="76"/>
      <c r="AC32" s="76"/>
      <c r="AD32" s="76"/>
      <c r="AE32" s="76"/>
    </row>
    <row r="33" spans="1:247" s="70" customFormat="1" ht="24.75" hidden="1" customHeight="1" x14ac:dyDescent="0.2">
      <c r="B33" s="78"/>
      <c r="C33" s="48"/>
      <c r="D33" s="48"/>
      <c r="E33" s="76"/>
      <c r="F33" s="76"/>
      <c r="G33" s="79"/>
      <c r="H33" s="79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7"/>
      <c r="X33" s="77"/>
      <c r="Y33" s="77"/>
      <c r="Z33" s="76"/>
      <c r="AA33" s="76"/>
      <c r="AB33" s="76"/>
      <c r="AC33" s="76"/>
      <c r="AD33" s="76"/>
      <c r="AE33" s="76"/>
    </row>
    <row r="34" spans="1:247" s="70" customFormat="1" ht="0.75" hidden="1" customHeight="1" x14ac:dyDescent="0.2">
      <c r="B34" s="78"/>
      <c r="C34" s="48"/>
      <c r="D34" s="7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73"/>
      <c r="T34" s="73"/>
      <c r="U34" s="69"/>
      <c r="V34" s="69"/>
      <c r="W34" s="74"/>
      <c r="X34" s="75"/>
      <c r="Y34" s="74"/>
      <c r="Z34" s="69"/>
      <c r="AA34" s="69"/>
      <c r="AB34" s="69"/>
      <c r="AC34" s="69"/>
      <c r="AD34" s="69"/>
      <c r="AE34" s="69"/>
    </row>
    <row r="35" spans="1:247" s="70" customFormat="1" ht="24.75" hidden="1" customHeight="1" x14ac:dyDescent="0.2">
      <c r="B35" s="71"/>
      <c r="C35" s="48"/>
      <c r="D35" s="48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7"/>
      <c r="X35" s="77"/>
      <c r="Y35" s="77"/>
      <c r="Z35" s="76"/>
      <c r="AA35" s="76"/>
      <c r="AB35" s="76"/>
      <c r="AC35" s="76"/>
      <c r="AD35" s="76"/>
      <c r="AE35" s="76"/>
    </row>
    <row r="36" spans="1:247" s="70" customFormat="1" ht="24" hidden="1" customHeight="1" x14ac:dyDescent="0.2">
      <c r="B36" s="80"/>
      <c r="C36" s="81"/>
      <c r="D36" s="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2"/>
      <c r="X36" s="82"/>
      <c r="Y36" s="82"/>
      <c r="Z36" s="79"/>
      <c r="AA36" s="79"/>
      <c r="AB36" s="79"/>
      <c r="AC36" s="79"/>
      <c r="AD36" s="79"/>
      <c r="AE36" s="79"/>
    </row>
    <row r="37" spans="1:247" s="70" customFormat="1" ht="24" customHeight="1" x14ac:dyDescent="0.2">
      <c r="B37" s="83" t="s">
        <v>15</v>
      </c>
      <c r="C37" s="626" t="s">
        <v>121</v>
      </c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83"/>
      <c r="AB37" s="84"/>
      <c r="AC37" s="84"/>
      <c r="AD37" s="84"/>
      <c r="AE37" s="85"/>
      <c r="AK37" s="153"/>
    </row>
    <row r="38" spans="1:247" s="181" customFormat="1" ht="21.75" customHeight="1" x14ac:dyDescent="0.2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</row>
    <row r="39" spans="1:247" ht="17.25" customHeight="1" x14ac:dyDescent="0.25">
      <c r="B39" s="22"/>
      <c r="D39" s="616" t="s">
        <v>137</v>
      </c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616"/>
      <c r="AB39" s="616"/>
      <c r="AC39" s="616"/>
      <c r="AD39" s="616"/>
      <c r="AE39" s="22"/>
    </row>
    <row r="40" spans="1:247" ht="13.5" customHeight="1" x14ac:dyDescent="0.2">
      <c r="B40" s="616" t="s">
        <v>124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23"/>
    </row>
    <row r="41" spans="1:247" ht="24.95" customHeight="1" x14ac:dyDescent="0.25">
      <c r="B41" s="22"/>
      <c r="C41" s="135"/>
      <c r="D41" s="14"/>
      <c r="E41" s="22"/>
      <c r="F41" s="22"/>
      <c r="G41" s="22"/>
      <c r="H41" s="22"/>
      <c r="I41" s="5"/>
      <c r="J41" s="5"/>
      <c r="K41" s="5"/>
      <c r="L41" s="5"/>
      <c r="M41" s="5"/>
      <c r="N41" s="5"/>
      <c r="O41" s="5"/>
      <c r="P41" s="179"/>
      <c r="Q41" s="5"/>
      <c r="R41" s="5"/>
      <c r="S41" s="5"/>
      <c r="T41" s="5"/>
      <c r="U41" s="5"/>
      <c r="V41" s="5"/>
      <c r="W41" s="2"/>
      <c r="X41" s="2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L41" s="617"/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</row>
    <row r="42" spans="1:247" ht="16.5" customHeight="1" x14ac:dyDescent="0.25"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26"/>
      <c r="O42" s="5"/>
      <c r="P42" s="5"/>
      <c r="Q42" s="47"/>
      <c r="R42" s="617"/>
      <c r="S42" s="617"/>
      <c r="T42" s="617"/>
      <c r="U42" s="617"/>
      <c r="V42" s="617"/>
      <c r="W42" s="617"/>
      <c r="X42" s="617"/>
      <c r="Y42" s="617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</row>
    <row r="43" spans="1:247" ht="16.5" customHeight="1" x14ac:dyDescent="0.25">
      <c r="B43" s="5"/>
      <c r="E43" s="9"/>
      <c r="F43" s="10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1"/>
      <c r="X43" s="11"/>
      <c r="Z43" s="11"/>
      <c r="AA43" s="11"/>
      <c r="AB43" s="5"/>
      <c r="AC43" s="5"/>
      <c r="AD43" s="5"/>
      <c r="AE43" s="5"/>
    </row>
    <row r="44" spans="1:247" ht="16.5" customHeight="1" x14ac:dyDescent="0.25">
      <c r="B44" s="5"/>
      <c r="E44" s="9"/>
      <c r="F44" s="10"/>
      <c r="G44" s="9"/>
      <c r="H44" s="9"/>
      <c r="I44" s="4"/>
      <c r="J44" s="4"/>
      <c r="K44" s="14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12"/>
      <c r="Y44" s="12"/>
      <c r="Z44" s="11"/>
      <c r="AA44" s="11"/>
      <c r="AB44" s="5"/>
      <c r="AC44" s="5"/>
      <c r="AD44" s="5"/>
      <c r="AE44" s="5"/>
    </row>
    <row r="45" spans="1:247" ht="16.5" customHeight="1" x14ac:dyDescent="0.25">
      <c r="B45" s="5"/>
      <c r="D45" s="158"/>
      <c r="E45" s="156"/>
      <c r="F45" s="157"/>
      <c r="G45" s="15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1"/>
      <c r="X45" s="11"/>
      <c r="Y45" s="11"/>
      <c r="Z45" s="11"/>
      <c r="AA45" s="11"/>
      <c r="AB45" s="5"/>
      <c r="AC45" s="5"/>
      <c r="AD45" s="5"/>
      <c r="AE45" s="5"/>
    </row>
    <row r="46" spans="1:247" ht="24.95" customHeight="1" x14ac:dyDescent="0.25">
      <c r="B46" s="2"/>
      <c r="C46" s="14"/>
      <c r="D46" s="158"/>
      <c r="E46" s="158"/>
      <c r="F46" s="158"/>
      <c r="G46" s="1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Z46" s="12"/>
      <c r="AA46" s="12"/>
      <c r="AB46" s="3"/>
      <c r="AC46" s="2"/>
      <c r="AD46" s="3"/>
      <c r="AE46" s="2"/>
    </row>
    <row r="47" spans="1:247" ht="24.95" customHeight="1" x14ac:dyDescent="0.25">
      <c r="B47" s="2"/>
      <c r="C47" s="14"/>
      <c r="D47" s="158"/>
      <c r="E47" s="158"/>
      <c r="F47" s="158"/>
      <c r="G47" s="158"/>
      <c r="H47" s="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12"/>
      <c r="Y47" s="12"/>
      <c r="Z47" s="12"/>
      <c r="AA47" s="12"/>
      <c r="AB47" s="3"/>
      <c r="AC47" s="2"/>
      <c r="AD47" s="3"/>
      <c r="AE47" s="2"/>
    </row>
    <row r="48" spans="1:247" ht="24.95" customHeight="1" x14ac:dyDescent="0.25">
      <c r="B48" s="2"/>
      <c r="C48" s="14"/>
      <c r="D48" s="158"/>
      <c r="E48" s="158"/>
      <c r="F48" s="158"/>
      <c r="G48" s="158"/>
      <c r="H48" s="2"/>
      <c r="Y48" s="12"/>
      <c r="Z48" s="12"/>
      <c r="AA48" s="12"/>
      <c r="AB48" s="3"/>
      <c r="AC48" s="2"/>
      <c r="AD48" s="2"/>
      <c r="AE48" s="2"/>
    </row>
    <row r="49" spans="2:78" ht="24.95" customHeight="1" x14ac:dyDescent="0.25">
      <c r="B49" s="5"/>
      <c r="C49" s="14"/>
      <c r="D49" s="158"/>
      <c r="E49" s="158"/>
      <c r="F49" s="158"/>
      <c r="G49" s="158"/>
      <c r="H49" s="5"/>
      <c r="W49" s="11"/>
      <c r="X49" s="11"/>
      <c r="Y49" s="11"/>
      <c r="Z49" s="11"/>
      <c r="AA49" s="11"/>
      <c r="AB49" s="5"/>
      <c r="AC49" s="5"/>
      <c r="AD49" s="5"/>
      <c r="AE49" s="5"/>
      <c r="BS49" s="166"/>
      <c r="BT49" s="166"/>
      <c r="BU49" s="167"/>
      <c r="BV49" s="166"/>
      <c r="BW49" s="167"/>
      <c r="BX49" s="2"/>
      <c r="BY49" s="2"/>
      <c r="BZ49" s="2"/>
    </row>
    <row r="50" spans="2:78" ht="24.95" customHeight="1" x14ac:dyDescent="0.25">
      <c r="C50" s="14"/>
      <c r="D50" s="158"/>
      <c r="E50" s="158"/>
      <c r="F50" s="158"/>
      <c r="G50" s="158"/>
      <c r="K50" s="134"/>
      <c r="L50" s="158"/>
      <c r="M50" s="156"/>
      <c r="N50" s="159"/>
      <c r="O50" s="159"/>
      <c r="BS50" s="166"/>
      <c r="BT50" s="166"/>
      <c r="BU50" s="167"/>
      <c r="BV50" s="166"/>
      <c r="BW50" s="167"/>
      <c r="BX50" s="2"/>
      <c r="BY50" s="2"/>
      <c r="BZ50" s="2"/>
    </row>
    <row r="51" spans="2:78" ht="24.95" customHeight="1" x14ac:dyDescent="0.25">
      <c r="D51" s="158"/>
      <c r="E51" s="158"/>
      <c r="F51" s="158"/>
      <c r="G51" s="158"/>
      <c r="K51" s="14"/>
      <c r="L51" s="158"/>
      <c r="M51" s="158"/>
      <c r="N51" s="159"/>
      <c r="O51" s="158"/>
      <c r="BS51" s="166"/>
      <c r="BT51" s="166"/>
      <c r="BU51" s="167"/>
      <c r="BV51" s="166"/>
      <c r="BW51" s="167"/>
      <c r="BX51" s="2"/>
      <c r="BY51" s="2"/>
      <c r="BZ51" s="2"/>
    </row>
    <row r="52" spans="2:78" ht="24.95" customHeight="1" x14ac:dyDescent="0.25">
      <c r="D52" s="158"/>
      <c r="E52" s="158"/>
      <c r="F52" s="158"/>
      <c r="G52" s="158"/>
      <c r="K52" s="14"/>
      <c r="L52" s="158"/>
      <c r="M52" s="158"/>
      <c r="N52" s="159"/>
      <c r="O52" s="158"/>
      <c r="BS52" s="166"/>
      <c r="BT52" s="166"/>
      <c r="BU52" s="167"/>
      <c r="BV52" s="166"/>
      <c r="BW52" s="167"/>
      <c r="BX52" s="2"/>
      <c r="BY52" s="2"/>
      <c r="BZ52" s="2"/>
    </row>
    <row r="53" spans="2:78" ht="24.95" customHeight="1" x14ac:dyDescent="0.25">
      <c r="D53" s="158"/>
      <c r="E53" s="158"/>
      <c r="F53" s="158"/>
      <c r="G53" s="158"/>
      <c r="K53" s="14"/>
      <c r="L53" s="158"/>
      <c r="M53" s="158"/>
      <c r="N53" s="159"/>
      <c r="O53" s="158"/>
      <c r="BS53" s="166"/>
      <c r="BT53" s="166"/>
      <c r="BU53" s="167"/>
      <c r="BV53" s="166"/>
      <c r="BW53" s="167"/>
      <c r="BX53" s="2"/>
      <c r="BY53" s="2"/>
      <c r="BZ53" s="2"/>
    </row>
    <row r="54" spans="2:78" ht="24.95" customHeight="1" x14ac:dyDescent="0.25">
      <c r="D54" s="158"/>
      <c r="E54" s="158"/>
      <c r="F54" s="158"/>
      <c r="G54" s="158"/>
      <c r="K54" s="14"/>
      <c r="L54" s="158"/>
      <c r="M54" s="158"/>
      <c r="N54" s="159"/>
      <c r="O54" s="158"/>
      <c r="BS54" s="166"/>
      <c r="BT54" s="166"/>
      <c r="BU54" s="167"/>
      <c r="BV54" s="166"/>
      <c r="BW54" s="167"/>
      <c r="BX54" s="2"/>
      <c r="BY54" s="2"/>
      <c r="BZ54" s="2"/>
    </row>
    <row r="55" spans="2:78" ht="24.95" customHeight="1" x14ac:dyDescent="0.25">
      <c r="D55" s="158"/>
      <c r="E55" s="158"/>
      <c r="F55" s="158"/>
      <c r="G55" s="158"/>
      <c r="K55" s="14"/>
      <c r="L55" s="158"/>
      <c r="M55" s="158"/>
      <c r="N55" s="159"/>
      <c r="O55" s="158"/>
      <c r="BS55" s="166"/>
      <c r="BT55" s="166"/>
      <c r="BU55" s="167"/>
      <c r="BV55" s="166"/>
      <c r="BW55" s="167"/>
      <c r="BX55" s="2"/>
      <c r="BY55" s="2"/>
      <c r="BZ55" s="2"/>
    </row>
    <row r="56" spans="2:78" ht="24.95" customHeight="1" x14ac:dyDescent="0.25">
      <c r="D56" s="158"/>
      <c r="E56" s="158"/>
      <c r="F56" s="158"/>
      <c r="G56" s="158"/>
      <c r="K56" s="134"/>
      <c r="L56" s="158"/>
      <c r="M56" s="158"/>
      <c r="N56" s="159"/>
      <c r="O56" s="158"/>
      <c r="BS56" s="167"/>
      <c r="BT56" s="167"/>
      <c r="BU56" s="167"/>
      <c r="BV56" s="167"/>
      <c r="BW56" s="168"/>
      <c r="BX56" s="2"/>
      <c r="BY56" s="2"/>
      <c r="BZ56" s="2"/>
    </row>
    <row r="57" spans="2:78" ht="24.95" customHeight="1" x14ac:dyDescent="0.25">
      <c r="D57" s="158"/>
      <c r="E57" s="158"/>
      <c r="F57" s="158"/>
      <c r="G57" s="158"/>
      <c r="K57" s="134"/>
      <c r="L57" s="158"/>
      <c r="M57" s="158"/>
      <c r="N57" s="159"/>
      <c r="O57" s="158"/>
      <c r="BU57" s="169"/>
    </row>
    <row r="58" spans="2:78" ht="24.95" customHeight="1" x14ac:dyDescent="0.25">
      <c r="D58" s="158"/>
      <c r="E58" s="158"/>
      <c r="F58" s="158"/>
      <c r="G58" s="158"/>
      <c r="K58" s="134"/>
      <c r="L58" s="158"/>
      <c r="M58" s="158"/>
      <c r="N58" s="159"/>
      <c r="O58" s="158"/>
      <c r="BU58" s="170">
        <f>SUM(BU56:BU57)</f>
        <v>0</v>
      </c>
    </row>
    <row r="59" spans="2:78" ht="24.95" customHeight="1" x14ac:dyDescent="0.25">
      <c r="D59" s="158"/>
      <c r="E59" s="158"/>
      <c r="F59" s="158"/>
      <c r="G59" s="158"/>
      <c r="K59" s="134"/>
      <c r="L59" s="158"/>
      <c r="M59" s="158"/>
      <c r="N59" s="159"/>
      <c r="O59" s="158"/>
    </row>
    <row r="60" spans="2:78" ht="24.95" customHeight="1" x14ac:dyDescent="0.25">
      <c r="D60" s="158"/>
      <c r="E60" s="158"/>
      <c r="F60" s="158"/>
      <c r="G60" s="158"/>
      <c r="K60" s="134"/>
      <c r="L60" s="158"/>
      <c r="M60" s="158"/>
      <c r="N60" s="159"/>
      <c r="O60" s="158"/>
    </row>
    <row r="61" spans="2:78" ht="18.75" customHeight="1" x14ac:dyDescent="0.25">
      <c r="G61" s="158"/>
      <c r="K61" s="134"/>
      <c r="L61" s="158"/>
      <c r="M61" s="158"/>
      <c r="N61" s="159"/>
      <c r="O61" s="158"/>
    </row>
    <row r="62" spans="2:78" ht="24.95" customHeight="1" x14ac:dyDescent="0.25">
      <c r="K62" s="134"/>
      <c r="L62" s="158"/>
      <c r="M62" s="158"/>
      <c r="N62" s="159"/>
      <c r="O62" s="158"/>
    </row>
    <row r="63" spans="2:78" ht="24.95" customHeight="1" x14ac:dyDescent="0.25">
      <c r="K63" s="134"/>
      <c r="L63" s="158"/>
      <c r="M63" s="158"/>
      <c r="N63" s="159"/>
      <c r="O63" s="158"/>
    </row>
    <row r="64" spans="2:78" ht="24.95" customHeight="1" x14ac:dyDescent="0.25">
      <c r="K64" s="134"/>
      <c r="L64" s="158"/>
      <c r="M64" s="158"/>
      <c r="N64" s="159"/>
      <c r="O64" s="158"/>
    </row>
    <row r="65" spans="11:15" ht="24.95" customHeight="1" x14ac:dyDescent="0.25">
      <c r="K65" s="134"/>
      <c r="L65" s="158"/>
      <c r="M65" s="158"/>
      <c r="N65" s="159"/>
      <c r="O65" s="158"/>
    </row>
    <row r="66" spans="11:15" ht="24.95" customHeight="1" x14ac:dyDescent="0.25">
      <c r="K66" s="134"/>
      <c r="L66" s="15"/>
      <c r="N66" s="158"/>
      <c r="O66" s="158"/>
    </row>
  </sheetData>
  <mergeCells count="10">
    <mergeCell ref="B1:AD1"/>
    <mergeCell ref="B2:AD4"/>
    <mergeCell ref="J6:Q6"/>
    <mergeCell ref="Q8:AB8"/>
    <mergeCell ref="C37:Z37"/>
    <mergeCell ref="D39:AD39"/>
    <mergeCell ref="B40:AD40"/>
    <mergeCell ref="Y41:AW41"/>
    <mergeCell ref="C42:M42"/>
    <mergeCell ref="R42:AP42"/>
  </mergeCells>
  <pageMargins left="0.19685039370078741" right="0.19685039370078741" top="3.937007874015748E-2" bottom="3.937007874015748E-2" header="0.11811023622047245" footer="0.11811023622047245"/>
  <pageSetup paperSize="5" scale="80" orientation="landscape" r:id="rId1"/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Salary</vt:lpstr>
      <vt:lpstr>Salary AC wise</vt:lpstr>
      <vt:lpstr>HBA AC wise</vt:lpstr>
      <vt:lpstr>Computer AC wise</vt:lpstr>
      <vt:lpstr>MCA AC wise</vt:lpstr>
      <vt:lpstr>Voucher</vt:lpstr>
      <vt:lpstr>Sheet1</vt:lpstr>
      <vt:lpstr>December'17</vt:lpstr>
      <vt:lpstr>November'17</vt:lpstr>
      <vt:lpstr>October'17</vt:lpstr>
      <vt:lpstr>September'17</vt:lpstr>
      <vt:lpstr>August'17</vt:lpstr>
      <vt:lpstr>July'17</vt:lpstr>
      <vt:lpstr>June'17</vt:lpstr>
      <vt:lpstr>May'17</vt:lpstr>
      <vt:lpstr>April'17</vt:lpstr>
      <vt:lpstr>BN Vata'17 </vt:lpstr>
      <vt:lpstr>March'17</vt:lpstr>
      <vt:lpstr>February'17</vt:lpstr>
      <vt:lpstr>January'17</vt:lpstr>
      <vt:lpstr>'April''17'!Print_Area</vt:lpstr>
      <vt:lpstr>'August''17'!Print_Area</vt:lpstr>
      <vt:lpstr>'Computer AC wise'!Print_Area</vt:lpstr>
      <vt:lpstr>'December''17'!Print_Area</vt:lpstr>
      <vt:lpstr>'February''17'!Print_Area</vt:lpstr>
      <vt:lpstr>'HBA AC wise'!Print_Area</vt:lpstr>
      <vt:lpstr>'January''17'!Print_Area</vt:lpstr>
      <vt:lpstr>'July''17'!Print_Area</vt:lpstr>
      <vt:lpstr>'June''17'!Print_Area</vt:lpstr>
      <vt:lpstr>'March''17'!Print_Area</vt:lpstr>
      <vt:lpstr>'May''17'!Print_Area</vt:lpstr>
      <vt:lpstr>'MCA AC wise'!Print_Area</vt:lpstr>
      <vt:lpstr>'November''17'!Print_Area</vt:lpstr>
      <vt:lpstr>'October''17'!Print_Area</vt:lpstr>
      <vt:lpstr>Salary!Print_Area</vt:lpstr>
      <vt:lpstr>'Salary AC wise'!Print_Area</vt:lpstr>
      <vt:lpstr>'September''17'!Print_Area</vt:lpstr>
      <vt:lpstr>Voucher!Print_Area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cl-16</dc:creator>
  <cp:lastModifiedBy>Shameema alam</cp:lastModifiedBy>
  <cp:lastPrinted>2021-08-29T06:18:05Z</cp:lastPrinted>
  <dcterms:created xsi:type="dcterms:W3CDTF">2004-12-28T04:34:28Z</dcterms:created>
  <dcterms:modified xsi:type="dcterms:W3CDTF">2021-09-27T07:22:02Z</dcterms:modified>
</cp:coreProperties>
</file>