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  <Override PartName="/xl/drawings/drawing157.xml" ContentType="application/vnd.openxmlformats-officedocument.drawing+xml"/>
  <Override PartName="/xl/drawings/drawing15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Workbook________"/>
  <mc:AlternateContent xmlns:mc="http://schemas.openxmlformats.org/markup-compatibility/2006">
    <mc:Choice Requires="x15">
      <x15ac:absPath xmlns:x15ac="http://schemas.microsoft.com/office/spreadsheetml/2010/11/ac" url="C:\Users\nurla\Dropbox\BAKI ABADLIQ\3.2022 - AKTİV\1.F2\0.FORMA 2\TƏMİR İŞLƏRİ 2024\2024.10.01\2.LAÇIN\"/>
    </mc:Choice>
  </mc:AlternateContent>
  <xr:revisionPtr revIDLastSave="0" documentId="13_ncr:1_{0299DC0F-E8AB-466C-8B6E-95DBDE73159B}" xr6:coauthVersionLast="47" xr6:coauthVersionMax="47" xr10:uidLastSave="{00000000-0000-0000-0000-000000000000}"/>
  <bookViews>
    <workbookView xWindow="3120" yWindow="1350" windowWidth="18345" windowHeight="14850" tabRatio="864" xr2:uid="{00000000-000D-0000-FFFF-FFFF00000000}"/>
  </bookViews>
  <sheets>
    <sheet name="TOTAL" sheetId="8" r:id="rId1"/>
    <sheet name="Hesabat" sheetId="257" r:id="rId2"/>
    <sheet name="3" sheetId="139" r:id="rId3"/>
    <sheet name="10" sheetId="108" r:id="rId4"/>
    <sheet name="13" sheetId="243" r:id="rId5"/>
    <sheet name="15" sheetId="124" r:id="rId6"/>
    <sheet name="17" sheetId="116" r:id="rId7"/>
    <sheet name="21" sheetId="199" r:id="rId8"/>
    <sheet name="23" sheetId="110" r:id="rId9"/>
    <sheet name="24" sheetId="109" r:id="rId10"/>
    <sheet name="25" sheetId="145" r:id="rId11"/>
    <sheet name="26" sheetId="146" r:id="rId12"/>
    <sheet name="31" sheetId="205" r:id="rId13"/>
    <sheet name="33" sheetId="206" r:id="rId14"/>
    <sheet name="39" sheetId="112" r:id="rId15"/>
    <sheet name="42" sheetId="138" r:id="rId16"/>
    <sheet name="43" sheetId="123" r:id="rId17"/>
    <sheet name="48" sheetId="180" r:id="rId18"/>
    <sheet name="51" sheetId="114" r:id="rId19"/>
    <sheet name="52" sheetId="113" r:id="rId20"/>
    <sheet name="55" sheetId="115" r:id="rId21"/>
    <sheet name="57" sheetId="102" r:id="rId22"/>
    <sheet name="59" sheetId="104" r:id="rId23"/>
    <sheet name="60" sheetId="103" r:id="rId24"/>
    <sheet name="62" sheetId="122" r:id="rId25"/>
    <sheet name="63" sheetId="101" r:id="rId26"/>
    <sheet name="79" sheetId="245" r:id="rId27"/>
    <sheet name="81" sheetId="171" r:id="rId28"/>
    <sheet name="145" sheetId="170" r:id="rId29"/>
    <sheet name="174" sheetId="203" r:id="rId30"/>
    <sheet name="176" sheetId="201" r:id="rId31"/>
    <sheet name="177" sheetId="182" r:id="rId32"/>
    <sheet name="181" sheetId="169" r:id="rId33"/>
    <sheet name="186" sheetId="152" r:id="rId34"/>
    <sheet name="187" sheetId="150" r:id="rId35"/>
    <sheet name="188" sheetId="151" r:id="rId36"/>
    <sheet name="190" sheetId="249" r:id="rId37"/>
    <sheet name="195" sheetId="211" r:id="rId38"/>
    <sheet name="199" sheetId="149" r:id="rId39"/>
    <sheet name="200" sheetId="212" r:id="rId40"/>
    <sheet name="207" sheetId="241" r:id="rId41"/>
    <sheet name="208" sheetId="240" r:id="rId42"/>
    <sheet name="260" sheetId="147" r:id="rId43"/>
    <sheet name="267" sheetId="148" r:id="rId44"/>
    <sheet name="271" sheetId="222" r:id="rId45"/>
    <sheet name="345" sheetId="142" r:id="rId46"/>
    <sheet name="351" sheetId="141" r:id="rId47"/>
    <sheet name="355" sheetId="248" r:id="rId48"/>
    <sheet name="359" sheetId="226" r:id="rId49"/>
    <sheet name="361" sheetId="218" r:id="rId50"/>
    <sheet name="363" sheetId="210" r:id="rId51"/>
    <sheet name="365" sheetId="252" r:id="rId52"/>
    <sheet name="373" sheetId="155" r:id="rId53"/>
    <sheet name="374" sheetId="156" r:id="rId54"/>
    <sheet name="375" sheetId="153" r:id="rId55"/>
    <sheet name="376" sheetId="154" r:id="rId56"/>
    <sheet name="380" sheetId="250" r:id="rId57"/>
    <sheet name="406" sheetId="166" r:id="rId58"/>
    <sheet name="428" sheetId="98" r:id="rId59"/>
    <sheet name="430" sheetId="255" r:id="rId60"/>
    <sheet name="434" sheetId="247" r:id="rId61"/>
    <sheet name="436" sheetId="244" r:id="rId62"/>
    <sheet name="437" sheetId="198" r:id="rId63"/>
    <sheet name="441" sheetId="118" r:id="rId64"/>
    <sheet name="445" sheetId="117" r:id="rId65"/>
    <sheet name="458" sheetId="120" r:id="rId66"/>
    <sheet name="459" sheetId="119" r:id="rId67"/>
    <sheet name="461" sheetId="168" r:id="rId68"/>
    <sheet name="462" sheetId="160" r:id="rId69"/>
    <sheet name="464" sheetId="246" r:id="rId70"/>
    <sheet name="469" sheetId="200" r:id="rId71"/>
    <sheet name="470" sheetId="100" r:id="rId72"/>
    <sheet name="472" sheetId="207" r:id="rId73"/>
    <sheet name="481" sheetId="121" r:id="rId74"/>
    <sheet name="484" sheetId="173" r:id="rId75"/>
    <sheet name="486" sheetId="175" r:id="rId76"/>
    <sheet name="487" sheetId="176" r:id="rId77"/>
    <sheet name="516" sheetId="129" r:id="rId78"/>
    <sheet name="522" sheetId="133" r:id="rId79"/>
    <sheet name="525" sheetId="140" r:id="rId80"/>
    <sheet name="527" sheetId="130" r:id="rId81"/>
    <sheet name="528" sheetId="131" r:id="rId82"/>
    <sheet name="537" sheetId="134" r:id="rId83"/>
    <sheet name="538" sheetId="135" r:id="rId84"/>
    <sheet name="550" sheetId="136" r:id="rId85"/>
    <sheet name="551" sheetId="137" r:id="rId86"/>
    <sheet name="552" sheetId="128" r:id="rId87"/>
    <sheet name="561" sheetId="143" r:id="rId88"/>
    <sheet name="562" sheetId="174" r:id="rId89"/>
    <sheet name="569" sheetId="105" r:id="rId90"/>
    <sheet name="575" sheetId="162" r:id="rId91"/>
    <sheet name="577" sheetId="254" r:id="rId92"/>
    <sheet name="601" sheetId="204" r:id="rId93"/>
    <sheet name="609" sheetId="196" r:id="rId94"/>
    <sheet name="610" sheetId="197" r:id="rId95"/>
    <sheet name="623" sheetId="172" r:id="rId96"/>
    <sheet name="636" sheetId="179" r:id="rId97"/>
    <sheet name="644" sheetId="202" r:id="rId98"/>
    <sheet name="659" sheetId="242" r:id="rId99"/>
    <sheet name="681" sheetId="208" r:id="rId100"/>
    <sheet name="691" sheetId="188" r:id="rId101"/>
    <sheet name="692" sheetId="189" r:id="rId102"/>
    <sheet name="693" sheetId="190" r:id="rId103"/>
    <sheet name="694" sheetId="191" r:id="rId104"/>
    <sheet name="698" sheetId="237" r:id="rId105"/>
    <sheet name="699" sheetId="238" r:id="rId106"/>
    <sheet name="701" sheetId="232" r:id="rId107"/>
    <sheet name="702" sheetId="234" r:id="rId108"/>
    <sheet name="703" sheetId="239" r:id="rId109"/>
    <sheet name="704" sheetId="235" r:id="rId110"/>
    <sheet name="706" sheetId="165" r:id="rId111"/>
    <sheet name="712" sheetId="225" r:id="rId112"/>
    <sheet name="713" sheetId="192" r:id="rId113"/>
    <sheet name="714" sheetId="187" r:id="rId114"/>
    <sheet name="720" sheetId="194" r:id="rId115"/>
    <sheet name="723" sheetId="159" r:id="rId116"/>
    <sheet name="724" sheetId="177" r:id="rId117"/>
    <sheet name="725" sheetId="158" r:id="rId118"/>
    <sheet name="728" sheetId="157" r:id="rId119"/>
    <sheet name="729" sheetId="178" r:id="rId120"/>
    <sheet name="735" sheetId="224" r:id="rId121"/>
    <sheet name="742" sheetId="227" r:id="rId122"/>
    <sheet name="746" sheetId="215" r:id="rId123"/>
    <sheet name="749" sheetId="209" r:id="rId124"/>
    <sheet name="751" sheetId="167" r:id="rId125"/>
    <sheet name="755" sheetId="144" r:id="rId126"/>
    <sheet name="759" sheetId="132" r:id="rId127"/>
    <sheet name="761" sheetId="253" r:id="rId128"/>
    <sheet name="766" sheetId="217" r:id="rId129"/>
    <sheet name="767" sheetId="236" r:id="rId130"/>
    <sheet name="769" sheetId="219" r:id="rId131"/>
    <sheet name="770" sheetId="220" r:id="rId132"/>
    <sheet name="772" sheetId="221" r:id="rId133"/>
    <sheet name="778" sheetId="231" r:id="rId134"/>
    <sheet name="779" sheetId="213" r:id="rId135"/>
    <sheet name="784" sheetId="214" r:id="rId136"/>
    <sheet name="786" sheetId="230" r:id="rId137"/>
    <sheet name="787" sheetId="161" r:id="rId138"/>
    <sheet name="788" sheetId="216" r:id="rId139"/>
    <sheet name="789" sheetId="228" r:id="rId140"/>
    <sheet name="790" sheetId="229" r:id="rId141"/>
    <sheet name="792" sheetId="223" r:id="rId142"/>
    <sheet name="793" sheetId="195" r:id="rId143"/>
    <sheet name="794" sheetId="184" r:id="rId144"/>
    <sheet name="795" sheetId="183" r:id="rId145"/>
    <sheet name="796" sheetId="233" r:id="rId146"/>
    <sheet name="797" sheetId="185" r:id="rId147"/>
    <sheet name="798" sheetId="186" r:id="rId148"/>
    <sheet name="799" sheetId="193" r:id="rId149"/>
    <sheet name="832" sheetId="181" r:id="rId150"/>
    <sheet name="844" sheetId="164" r:id="rId151"/>
    <sheet name="Gil fabriki və ətrafı" sheetId="163" r:id="rId152"/>
    <sheet name="Berg" sheetId="125" r:id="rId153"/>
    <sheet name="Çay qırağı" sheetId="126" r:id="rId154"/>
    <sheet name="Tine House" sheetId="111" r:id="rId155"/>
    <sheet name="Ümumi ərazi" sheetId="127" r:id="rId156"/>
    <sheet name="Ümumi işlər" sheetId="77" r:id="rId157"/>
    <sheet name="Haftalik" sheetId="256" r:id="rId158"/>
  </sheets>
  <definedNames>
    <definedName name="_xlnm._FilterDatabase" localSheetId="1" hidden="1">Hesabat!$A$2:$E$5</definedName>
    <definedName name="_xlnm.Print_Area" localSheetId="3">'10'!$A$1:$M$10</definedName>
    <definedName name="_xlnm.Print_Area" localSheetId="4">'13'!$A$1:$M$8</definedName>
    <definedName name="_xlnm.Print_Area" localSheetId="28">'145'!$A$1:$M$17</definedName>
    <definedName name="_xlnm.Print_Area" localSheetId="5">'15'!$A$1:$M$9</definedName>
    <definedName name="_xlnm.Print_Area" localSheetId="6">'17'!$A$1:$M$9</definedName>
    <definedName name="_xlnm.Print_Area" localSheetId="29">'174'!$A$1:$M$9</definedName>
    <definedName name="_xlnm.Print_Area" localSheetId="30">'176'!$A$1:$M$9</definedName>
    <definedName name="_xlnm.Print_Area" localSheetId="31">'177'!$A$1:$M$9</definedName>
    <definedName name="_xlnm.Print_Area" localSheetId="32">'181'!$A$1:$M$7</definedName>
    <definedName name="_xlnm.Print_Area" localSheetId="33">'186'!$A$1:$M$8</definedName>
    <definedName name="_xlnm.Print_Area" localSheetId="34">'187'!$A$1:$M$8</definedName>
    <definedName name="_xlnm.Print_Area" localSheetId="35">'188'!$A$1:$M$8</definedName>
    <definedName name="_xlnm.Print_Area" localSheetId="36">'190'!$A$1:$M$8</definedName>
    <definedName name="_xlnm.Print_Area" localSheetId="37">'195'!$A$1:$M$11</definedName>
    <definedName name="_xlnm.Print_Area" localSheetId="38">'199'!$A$1:$M$12</definedName>
    <definedName name="_xlnm.Print_Area" localSheetId="39">'200'!$A$1:$M$10</definedName>
    <definedName name="_xlnm.Print_Area" localSheetId="40">'207'!$A$1:$M$8</definedName>
    <definedName name="_xlnm.Print_Area" localSheetId="41">'208'!$A$1:$M$12</definedName>
    <definedName name="_xlnm.Print_Area" localSheetId="7">'21'!$A$1:$M$17</definedName>
    <definedName name="_xlnm.Print_Area" localSheetId="8">'23'!$A$1:$M$12</definedName>
    <definedName name="_xlnm.Print_Area" localSheetId="9">'24'!$A$1:$M$10</definedName>
    <definedName name="_xlnm.Print_Area" localSheetId="10">'25'!$A$1:$M$13</definedName>
    <definedName name="_xlnm.Print_Area" localSheetId="11">'26'!$A$1:$M$14</definedName>
    <definedName name="_xlnm.Print_Area" localSheetId="42">'260'!$A$1:$M$8</definedName>
    <definedName name="_xlnm.Print_Area" localSheetId="43">'267'!$A$1:$M$8</definedName>
    <definedName name="_xlnm.Print_Area" localSheetId="44">'271'!$A$1:$M$8</definedName>
    <definedName name="_xlnm.Print_Area" localSheetId="2">'3'!$A$1:$M$14</definedName>
    <definedName name="_xlnm.Print_Area" localSheetId="12">'31'!$A$1:$M$12</definedName>
    <definedName name="_xlnm.Print_Area" localSheetId="13">'33'!$A$1:$M$12</definedName>
    <definedName name="_xlnm.Print_Area" localSheetId="45">'345'!$A$1:$M$13</definedName>
    <definedName name="_xlnm.Print_Area" localSheetId="46">'351'!$A$1:$M$8</definedName>
    <definedName name="_xlnm.Print_Area" localSheetId="47">'355'!$A$1:$M$10</definedName>
    <definedName name="_xlnm.Print_Area" localSheetId="48">'359'!$A$1:$M$8</definedName>
    <definedName name="_xlnm.Print_Area" localSheetId="49">'361'!$A$1:$M$9</definedName>
    <definedName name="_xlnm.Print_Area" localSheetId="50">'363'!$A$1:$M$11</definedName>
    <definedName name="_xlnm.Print_Area" localSheetId="51">'365'!$A$1:$M$14</definedName>
    <definedName name="_xlnm.Print_Area" localSheetId="52">'373'!$A$1:$M$8</definedName>
    <definedName name="_xlnm.Print_Area" localSheetId="53">'374'!$A$1:$M$8</definedName>
    <definedName name="_xlnm.Print_Area" localSheetId="54">'375'!$A$1:$M$9</definedName>
    <definedName name="_xlnm.Print_Area" localSheetId="55">'376'!$A$1:$M$9</definedName>
    <definedName name="_xlnm.Print_Area" localSheetId="56">'380'!$A$1:$M$11</definedName>
    <definedName name="_xlnm.Print_Area" localSheetId="14">'39'!$A$1:$M$8</definedName>
    <definedName name="_xlnm.Print_Area" localSheetId="57">'406'!$A$1:$M$17</definedName>
    <definedName name="_xlnm.Print_Area" localSheetId="15">'42'!$A$1:$M$17</definedName>
    <definedName name="_xlnm.Print_Area" localSheetId="58">'428'!$A$1:$M$10</definedName>
    <definedName name="_xlnm.Print_Area" localSheetId="16">'43'!$A$1:$M$9</definedName>
    <definedName name="_xlnm.Print_Area" localSheetId="59">'430'!$A$1:$M$7</definedName>
    <definedName name="_xlnm.Print_Area" localSheetId="60">'434'!$A$1:$M$15</definedName>
    <definedName name="_xlnm.Print_Area" localSheetId="61">'436'!$A$1:$M$8</definedName>
    <definedName name="_xlnm.Print_Area" localSheetId="62">'437'!$A$1:$M$12</definedName>
    <definedName name="_xlnm.Print_Area" localSheetId="63">'441'!$A$1:$M$8</definedName>
    <definedName name="_xlnm.Print_Area" localSheetId="64">'445'!$A$1:$M$10</definedName>
    <definedName name="_xlnm.Print_Area" localSheetId="65">'458'!$A$1:$M$7</definedName>
    <definedName name="_xlnm.Print_Area" localSheetId="66">'459'!$A$1:$M$7</definedName>
    <definedName name="_xlnm.Print_Area" localSheetId="67">'461'!$A$1:$M$11</definedName>
    <definedName name="_xlnm.Print_Area" localSheetId="68">'462'!$A$1:$M$20</definedName>
    <definedName name="_xlnm.Print_Area" localSheetId="69">'464'!$A$1:$M$11</definedName>
    <definedName name="_xlnm.Print_Area" localSheetId="70">'469'!$A$1:$M$11</definedName>
    <definedName name="_xlnm.Print_Area" localSheetId="71">'470'!$A$1:$M$20</definedName>
    <definedName name="_xlnm.Print_Area" localSheetId="72">'472'!$A$1:$M$10</definedName>
    <definedName name="_xlnm.Print_Area" localSheetId="17">'48'!$A$1:$M$14</definedName>
    <definedName name="_xlnm.Print_Area" localSheetId="73">'481'!$A$1:$M$13</definedName>
    <definedName name="_xlnm.Print_Area" localSheetId="74">'484'!$A$1:$M$8</definedName>
    <definedName name="_xlnm.Print_Area" localSheetId="75">'486'!$A$1:$M$8</definedName>
    <definedName name="_xlnm.Print_Area" localSheetId="76">'487'!$A$1:$M$8</definedName>
    <definedName name="_xlnm.Print_Area" localSheetId="18">'51'!$A$1:$M$12</definedName>
    <definedName name="_xlnm.Print_Area" localSheetId="77">'516'!$A$1:$M$14</definedName>
    <definedName name="_xlnm.Print_Area" localSheetId="19">'52'!$A$1:$M$11</definedName>
    <definedName name="_xlnm.Print_Area" localSheetId="78">'522'!$A$1:$M$13</definedName>
    <definedName name="_xlnm.Print_Area" localSheetId="79">'525'!$A$1:$M$18</definedName>
    <definedName name="_xlnm.Print_Area" localSheetId="80">'527'!$A$1:$M$14</definedName>
    <definedName name="_xlnm.Print_Area" localSheetId="81">'528'!$A$1:$M$14</definedName>
    <definedName name="_xlnm.Print_Area" localSheetId="82">'537'!$A$1:$M$13</definedName>
    <definedName name="_xlnm.Print_Area" localSheetId="83">'538'!$A$1:$M$13</definedName>
    <definedName name="_xlnm.Print_Area" localSheetId="20">'55'!$A$1:$M$14</definedName>
    <definedName name="_xlnm.Print_Area" localSheetId="84">'550'!$A$1:$M$8</definedName>
    <definedName name="_xlnm.Print_Area" localSheetId="85">'551'!$A$1:$M$8</definedName>
    <definedName name="_xlnm.Print_Area" localSheetId="86">'552'!$A$1:$M$8</definedName>
    <definedName name="_xlnm.Print_Area" localSheetId="87">'561'!$A$1:$M$16</definedName>
    <definedName name="_xlnm.Print_Area" localSheetId="88">'562'!$A$1:$M$8</definedName>
    <definedName name="_xlnm.Print_Area" localSheetId="89">'569'!$A$1:$M$8</definedName>
    <definedName name="_xlnm.Print_Area" localSheetId="21">'57'!$A$1:$M$22</definedName>
    <definedName name="_xlnm.Print_Area" localSheetId="90">'575'!$A$1:$M$19</definedName>
    <definedName name="_xlnm.Print_Area" localSheetId="91">'577'!$A$1:$M$8</definedName>
    <definedName name="_xlnm.Print_Area" localSheetId="22">'59'!$A$1:$M$13</definedName>
    <definedName name="_xlnm.Print_Area" localSheetId="23">'60'!$A$1:$M$15</definedName>
    <definedName name="_xlnm.Print_Area" localSheetId="92">'601'!$A$1:$M$8</definedName>
    <definedName name="_xlnm.Print_Area" localSheetId="93">'609'!$A$1:$M$13</definedName>
    <definedName name="_xlnm.Print_Area" localSheetId="94">'610'!$A$1:$M$13</definedName>
    <definedName name="_xlnm.Print_Area" localSheetId="24">'62'!$A$1:$M$16</definedName>
    <definedName name="_xlnm.Print_Area" localSheetId="95">'623'!$A$1:$M$8</definedName>
    <definedName name="_xlnm.Print_Area" localSheetId="25">'63'!$A$1:$M$24</definedName>
    <definedName name="_xlnm.Print_Area" localSheetId="96">'636'!$A$1:$M$11</definedName>
    <definedName name="_xlnm.Print_Area" localSheetId="97">'644'!$A$1:$M$8</definedName>
    <definedName name="_xlnm.Print_Area" localSheetId="98">'659'!$A$1:$M$8</definedName>
    <definedName name="_xlnm.Print_Area" localSheetId="99">'681'!$A$1:$M$11</definedName>
    <definedName name="_xlnm.Print_Area" localSheetId="100">'691'!$A$1:$M$15</definedName>
    <definedName name="_xlnm.Print_Area" localSheetId="101">'692'!$A$1:$M$13</definedName>
    <definedName name="_xlnm.Print_Area" localSheetId="102">'693'!$A$1:$M$13</definedName>
    <definedName name="_xlnm.Print_Area" localSheetId="103">'694'!$A$1:$M$17</definedName>
    <definedName name="_xlnm.Print_Area" localSheetId="104">'698'!$A$1:$M$15</definedName>
    <definedName name="_xlnm.Print_Area" localSheetId="105">'699'!$A$1:$M$14</definedName>
    <definedName name="_xlnm.Print_Area" localSheetId="106">'701'!$A$1:$M$13</definedName>
    <definedName name="_xlnm.Print_Area" localSheetId="107">'702'!$A$1:$M$13</definedName>
    <definedName name="_xlnm.Print_Area" localSheetId="108">'703'!$A$1:$M$15</definedName>
    <definedName name="_xlnm.Print_Area" localSheetId="109">'704'!$A$1:$M$13</definedName>
    <definedName name="_xlnm.Print_Area" localSheetId="110">'706'!$A$1:$M$8</definedName>
    <definedName name="_xlnm.Print_Area" localSheetId="111">'712'!$A$1:$M$16</definedName>
    <definedName name="_xlnm.Print_Area" localSheetId="112">'713'!$A$1:$M$13</definedName>
    <definedName name="_xlnm.Print_Area" localSheetId="113">'714'!$A$1:$M$14</definedName>
    <definedName name="_xlnm.Print_Area" localSheetId="114">'720'!$A$1:$M$13</definedName>
    <definedName name="_xlnm.Print_Area" localSheetId="115">'723'!$A$1:$M$11</definedName>
    <definedName name="_xlnm.Print_Area" localSheetId="116">'724'!$A$1:$M$11</definedName>
    <definedName name="_xlnm.Print_Area" localSheetId="117">'725'!$A$1:$M$9</definedName>
    <definedName name="_xlnm.Print_Area" localSheetId="118">'728'!$A$1:$M$11</definedName>
    <definedName name="_xlnm.Print_Area" localSheetId="119">'729'!$A$1:$M$14</definedName>
    <definedName name="_xlnm.Print_Area" localSheetId="120">'735'!$A$1:$M$13</definedName>
    <definedName name="_xlnm.Print_Area" localSheetId="121">'742'!$A$1:$M$13</definedName>
    <definedName name="_xlnm.Print_Area" localSheetId="122">'746'!$A$1:$M$13</definedName>
    <definedName name="_xlnm.Print_Area" localSheetId="123">'749'!$A$1:$M$11</definedName>
    <definedName name="_xlnm.Print_Area" localSheetId="124">'751'!$A$1:$M$10</definedName>
    <definedName name="_xlnm.Print_Area" localSheetId="125">'755'!$A$1:$M$18</definedName>
    <definedName name="_xlnm.Print_Area" localSheetId="126">'759'!$A$1:$M$11</definedName>
    <definedName name="_xlnm.Print_Area" localSheetId="127">'761'!$A$1:$M$11</definedName>
    <definedName name="_xlnm.Print_Area" localSheetId="128">'766'!$A$1:$M$13</definedName>
    <definedName name="_xlnm.Print_Area" localSheetId="129">'767'!$A$1:$M$8</definedName>
    <definedName name="_xlnm.Print_Area" localSheetId="130">'769'!$A$1:$M$11</definedName>
    <definedName name="_xlnm.Print_Area" localSheetId="131">'770'!$A$1:$M$11</definedName>
    <definedName name="_xlnm.Print_Area" localSheetId="132">'772'!$A$1:$M$12</definedName>
    <definedName name="_xlnm.Print_Area" localSheetId="133">'778'!$A$1:$M$11</definedName>
    <definedName name="_xlnm.Print_Area" localSheetId="134">'779'!$A$1:$M$14</definedName>
    <definedName name="_xlnm.Print_Area" localSheetId="135">'784'!$A$1:$M$11</definedName>
    <definedName name="_xlnm.Print_Area" localSheetId="136">'786'!$A$1:$M$11</definedName>
    <definedName name="_xlnm.Print_Area" localSheetId="137">'787'!$A$1:$M$11</definedName>
    <definedName name="_xlnm.Print_Area" localSheetId="138">'788'!$A$1:$M$14</definedName>
    <definedName name="_xlnm.Print_Area" localSheetId="139">'789'!$A$1:$M$12</definedName>
    <definedName name="_xlnm.Print_Area" localSheetId="26">'79'!$A$1:$M$10</definedName>
    <definedName name="_xlnm.Print_Area" localSheetId="140">'790'!$A$1:$F$12</definedName>
    <definedName name="_xlnm.Print_Area" localSheetId="141">'792'!$A$1:$M$14</definedName>
    <definedName name="_xlnm.Print_Area" localSheetId="142">'793'!$A$1:$M$14</definedName>
    <definedName name="_xlnm.Print_Area" localSheetId="143">'794'!$A$1:$M$14</definedName>
    <definedName name="_xlnm.Print_Area" localSheetId="144">'795'!$A$1:$M$14</definedName>
    <definedName name="_xlnm.Print_Area" localSheetId="145">'796'!$A$1:$M$14</definedName>
    <definedName name="_xlnm.Print_Area" localSheetId="146">'797'!$A$1:$M$8</definedName>
    <definedName name="_xlnm.Print_Area" localSheetId="147">'798'!$A$1:$M$12</definedName>
    <definedName name="_xlnm.Print_Area" localSheetId="148">'799'!$A$1:$M$14</definedName>
    <definedName name="_xlnm.Print_Area" localSheetId="27">'81'!$A$1:$M$10</definedName>
    <definedName name="_xlnm.Print_Area" localSheetId="149">'832'!$A$1:$M$13</definedName>
    <definedName name="_xlnm.Print_Area" localSheetId="150">'844'!$A$1:$M$14</definedName>
    <definedName name="_xlnm.Print_Area" localSheetId="152">Berg!$A$1:$M$13</definedName>
    <definedName name="_xlnm.Print_Area" localSheetId="153">'Çay qırağı'!$A$1:$M$77</definedName>
    <definedName name="_xlnm.Print_Area" localSheetId="151">'Gil fabriki və ətrafı'!$A$1:$M$18</definedName>
    <definedName name="_xlnm.Print_Area" localSheetId="157">Haftalik!$A$1:$F$26</definedName>
    <definedName name="_xlnm.Print_Area" localSheetId="1">Hesabat!$A$1:$E$18</definedName>
    <definedName name="_xlnm.Print_Area" localSheetId="154">'Tine House'!$A$1:$M$9</definedName>
    <definedName name="_xlnm.Print_Area" localSheetId="155">'Ümumi ərazi'!$A$1:$M$232</definedName>
    <definedName name="_xlnm.Print_Area" localSheetId="156">'Ümumi işlər'!$A$1:$M$70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13" l="1"/>
  <c r="F5" i="113" s="1"/>
  <c r="E5" i="102"/>
  <c r="D48" i="77"/>
  <c r="D49" i="77"/>
  <c r="E61" i="77"/>
  <c r="F105" i="127" l="1"/>
  <c r="M105" i="127"/>
  <c r="M36" i="77"/>
  <c r="M9" i="167"/>
  <c r="M68" i="77"/>
  <c r="M67" i="77"/>
  <c r="M66" i="77"/>
  <c r="M65" i="77"/>
  <c r="M64" i="77"/>
  <c r="M63" i="77"/>
  <c r="M62" i="77"/>
  <c r="L61" i="77"/>
  <c r="K61" i="77"/>
  <c r="M61" i="77" s="1"/>
  <c r="M56" i="77"/>
  <c r="M55" i="77"/>
  <c r="M54" i="77"/>
  <c r="M53" i="77"/>
  <c r="L52" i="77"/>
  <c r="M52" i="77" s="1"/>
  <c r="L51" i="77"/>
  <c r="M51" i="77"/>
  <c r="M50" i="77"/>
  <c r="L50" i="77"/>
  <c r="L49" i="77"/>
  <c r="M49" i="77" s="1"/>
  <c r="K49" i="77"/>
  <c r="L48" i="77"/>
  <c r="K48" i="77"/>
  <c r="M48" i="77" s="1"/>
  <c r="M47" i="77"/>
  <c r="M46" i="77"/>
  <c r="M45" i="77"/>
  <c r="M44" i="77"/>
  <c r="M43" i="77"/>
  <c r="M42" i="77"/>
  <c r="M41" i="77"/>
  <c r="M40" i="77"/>
  <c r="K40" i="77"/>
  <c r="L35" i="77"/>
  <c r="M35" i="77" s="1"/>
  <c r="M34" i="77"/>
  <c r="M33" i="77"/>
  <c r="L33" i="77"/>
  <c r="M32" i="77"/>
  <c r="M31" i="77"/>
  <c r="M30" i="77"/>
  <c r="L30" i="77"/>
  <c r="M29" i="77"/>
  <c r="M28" i="77"/>
  <c r="M27" i="77"/>
  <c r="L27" i="77"/>
  <c r="L26" i="77"/>
  <c r="M26" i="77" s="1"/>
  <c r="M25" i="77"/>
  <c r="M24" i="77"/>
  <c r="L23" i="77"/>
  <c r="M23" i="77" s="1"/>
  <c r="M22" i="77"/>
  <c r="L22" i="77"/>
  <c r="M21" i="77"/>
  <c r="L20" i="77"/>
  <c r="M20" i="77" s="1"/>
  <c r="M19" i="77"/>
  <c r="M18" i="77"/>
  <c r="M17" i="77"/>
  <c r="M16" i="77"/>
  <c r="L16" i="77"/>
  <c r="L15" i="77"/>
  <c r="K15" i="77"/>
  <c r="M15" i="77" s="1"/>
  <c r="L14" i="77"/>
  <c r="M14" i="77" s="1"/>
  <c r="M13" i="77"/>
  <c r="M8" i="77"/>
  <c r="M7" i="77"/>
  <c r="M6" i="77"/>
  <c r="M5" i="77"/>
  <c r="M230" i="127"/>
  <c r="M229" i="127"/>
  <c r="M231" i="127" s="1"/>
  <c r="M227" i="127"/>
  <c r="M226" i="127"/>
  <c r="M225" i="127"/>
  <c r="M222" i="127"/>
  <c r="M221" i="127"/>
  <c r="M220" i="127"/>
  <c r="M219" i="127"/>
  <c r="M218" i="127"/>
  <c r="M217" i="127"/>
  <c r="M216" i="127"/>
  <c r="M214" i="127"/>
  <c r="M213" i="127"/>
  <c r="M212" i="127"/>
  <c r="M209" i="127"/>
  <c r="M208" i="127"/>
  <c r="M210" i="127" s="1"/>
  <c r="M205" i="127"/>
  <c r="M204" i="127"/>
  <c r="M203" i="127"/>
  <c r="M202" i="127"/>
  <c r="M201" i="127"/>
  <c r="M200" i="127"/>
  <c r="M199" i="127"/>
  <c r="M206" i="127" s="1"/>
  <c r="M196" i="127"/>
  <c r="M197" i="127" s="1"/>
  <c r="M194" i="127"/>
  <c r="M193" i="127"/>
  <c r="K190" i="127"/>
  <c r="M190" i="127" s="1"/>
  <c r="M191" i="127" s="1"/>
  <c r="M188" i="127"/>
  <c r="M187" i="127"/>
  <c r="M186" i="127"/>
  <c r="M183" i="127"/>
  <c r="M182" i="127"/>
  <c r="M181" i="127"/>
  <c r="M180" i="127"/>
  <c r="M184" i="127" s="1"/>
  <c r="M179" i="127"/>
  <c r="M178" i="127"/>
  <c r="M175" i="127"/>
  <c r="M174" i="127"/>
  <c r="M173" i="127"/>
  <c r="M172" i="127"/>
  <c r="M171" i="127"/>
  <c r="M170" i="127"/>
  <c r="M169" i="127"/>
  <c r="M168" i="127"/>
  <c r="M167" i="127"/>
  <c r="M166" i="127"/>
  <c r="M165" i="127"/>
  <c r="M164" i="127"/>
  <c r="M163" i="127"/>
  <c r="M162" i="127"/>
  <c r="M161" i="127"/>
  <c r="M160" i="127"/>
  <c r="M159" i="127"/>
  <c r="M156" i="127"/>
  <c r="M155" i="127"/>
  <c r="M154" i="127"/>
  <c r="M153" i="127"/>
  <c r="M152" i="127"/>
  <c r="M151" i="127"/>
  <c r="M150" i="127"/>
  <c r="M157" i="127" s="1"/>
  <c r="M148" i="127"/>
  <c r="M147" i="127"/>
  <c r="M146" i="127"/>
  <c r="M144" i="127"/>
  <c r="M143" i="127"/>
  <c r="M142" i="127"/>
  <c r="M141" i="127"/>
  <c r="M140" i="127"/>
  <c r="M138" i="127"/>
  <c r="M137" i="127"/>
  <c r="M136" i="127"/>
  <c r="M134" i="127"/>
  <c r="M133" i="127"/>
  <c r="M132" i="127"/>
  <c r="M129" i="127"/>
  <c r="M128" i="127"/>
  <c r="M127" i="127"/>
  <c r="M126" i="127"/>
  <c r="M125" i="127"/>
  <c r="M124" i="127"/>
  <c r="M130" i="127" s="1"/>
  <c r="M121" i="127"/>
  <c r="M120" i="127"/>
  <c r="M119" i="127"/>
  <c r="M118" i="127"/>
  <c r="M117" i="127"/>
  <c r="M122" i="127" s="1"/>
  <c r="M114" i="127"/>
  <c r="M115" i="127" s="1"/>
  <c r="M111" i="127"/>
  <c r="M110" i="127"/>
  <c r="M112" i="127" s="1"/>
  <c r="M108" i="127"/>
  <c r="M107" i="127"/>
  <c r="M104" i="127"/>
  <c r="M103" i="127"/>
  <c r="M102" i="127"/>
  <c r="M101" i="127"/>
  <c r="M100" i="127"/>
  <c r="M99" i="127"/>
  <c r="M98" i="127"/>
  <c r="M97" i="127"/>
  <c r="M96" i="127"/>
  <c r="M95" i="127"/>
  <c r="M94" i="127"/>
  <c r="M93" i="127"/>
  <c r="M92" i="127"/>
  <c r="M91" i="127"/>
  <c r="M90" i="127"/>
  <c r="M89" i="127"/>
  <c r="M88" i="127"/>
  <c r="M87" i="127"/>
  <c r="M86" i="127"/>
  <c r="M85" i="127"/>
  <c r="M84" i="127"/>
  <c r="M83" i="127"/>
  <c r="M82" i="127"/>
  <c r="M81" i="127"/>
  <c r="M80" i="127"/>
  <c r="M79" i="127"/>
  <c r="M78" i="127"/>
  <c r="M77" i="127"/>
  <c r="M76" i="127"/>
  <c r="M75" i="127"/>
  <c r="M74" i="127"/>
  <c r="M73" i="127"/>
  <c r="M72" i="127"/>
  <c r="K69" i="127"/>
  <c r="M69" i="127" s="1"/>
  <c r="M70" i="127" s="1"/>
  <c r="M66" i="127"/>
  <c r="M65" i="127"/>
  <c r="M64" i="127"/>
  <c r="M63" i="127"/>
  <c r="M67" i="127" s="1"/>
  <c r="M60" i="127"/>
  <c r="M59" i="127"/>
  <c r="M58" i="127"/>
  <c r="M57" i="127"/>
  <c r="M56" i="127"/>
  <c r="M55" i="127"/>
  <c r="M54" i="127"/>
  <c r="M61" i="127" s="1"/>
  <c r="M51" i="127"/>
  <c r="M50" i="127"/>
  <c r="M49" i="127"/>
  <c r="M48" i="127"/>
  <c r="M52" i="127" s="1"/>
  <c r="M45" i="127"/>
  <c r="M44" i="127"/>
  <c r="M43" i="127"/>
  <c r="M42" i="127"/>
  <c r="M41" i="127"/>
  <c r="M40" i="127"/>
  <c r="M46" i="127" s="1"/>
  <c r="M37" i="127"/>
  <c r="M36" i="127"/>
  <c r="M35" i="127"/>
  <c r="M34" i="127"/>
  <c r="M38" i="127" s="1"/>
  <c r="M33" i="127"/>
  <c r="M32" i="127"/>
  <c r="M29" i="127"/>
  <c r="M28" i="127"/>
  <c r="M27" i="127"/>
  <c r="M26" i="127"/>
  <c r="M25" i="127"/>
  <c r="M24" i="127"/>
  <c r="M23" i="127"/>
  <c r="M22" i="127"/>
  <c r="M30" i="127" s="1"/>
  <c r="M21" i="127"/>
  <c r="M20" i="127"/>
  <c r="M17" i="127"/>
  <c r="M18" i="127" s="1"/>
  <c r="M14" i="127"/>
  <c r="M13" i="127"/>
  <c r="M12" i="127"/>
  <c r="M11" i="127"/>
  <c r="M15" i="127" s="1"/>
  <c r="K8" i="127"/>
  <c r="M8" i="127" s="1"/>
  <c r="M7" i="127"/>
  <c r="K6" i="127"/>
  <c r="M6" i="127" s="1"/>
  <c r="M5" i="127"/>
  <c r="M9" i="127" s="1"/>
  <c r="K5" i="127"/>
  <c r="M7" i="111"/>
  <c r="M6" i="111"/>
  <c r="M5" i="111"/>
  <c r="M8" i="111" s="1"/>
  <c r="M9" i="111" s="1"/>
  <c r="M75" i="126"/>
  <c r="M74" i="126"/>
  <c r="M73" i="126"/>
  <c r="M72" i="126"/>
  <c r="M76" i="126" s="1"/>
  <c r="M69" i="126"/>
  <c r="M68" i="126"/>
  <c r="M67" i="126"/>
  <c r="M66" i="126"/>
  <c r="M70" i="126" s="1"/>
  <c r="M64" i="126"/>
  <c r="M63" i="126"/>
  <c r="M62" i="126"/>
  <c r="M61" i="126"/>
  <c r="M58" i="126"/>
  <c r="M57" i="126"/>
  <c r="M56" i="126"/>
  <c r="M55" i="126"/>
  <c r="M54" i="126"/>
  <c r="M53" i="126"/>
  <c r="M52" i="126"/>
  <c r="M51" i="126"/>
  <c r="M59" i="126" s="1"/>
  <c r="M50" i="126"/>
  <c r="M47" i="126"/>
  <c r="M46" i="126"/>
  <c r="M45" i="126"/>
  <c r="M44" i="126"/>
  <c r="M43" i="126"/>
  <c r="M42" i="126"/>
  <c r="M41" i="126"/>
  <c r="M40" i="126"/>
  <c r="M39" i="126"/>
  <c r="M38" i="126"/>
  <c r="M37" i="126"/>
  <c r="M36" i="126"/>
  <c r="M35" i="126"/>
  <c r="M34" i="126"/>
  <c r="M33" i="126"/>
  <c r="M32" i="126"/>
  <c r="M31" i="126"/>
  <c r="M30" i="126"/>
  <c r="M29" i="126"/>
  <c r="M28" i="126"/>
  <c r="M27" i="126"/>
  <c r="M26" i="126"/>
  <c r="M25" i="126"/>
  <c r="K25" i="126"/>
  <c r="K24" i="126"/>
  <c r="M24" i="126" s="1"/>
  <c r="M23" i="126"/>
  <c r="M22" i="126"/>
  <c r="M21" i="126"/>
  <c r="M18" i="126"/>
  <c r="M17" i="126"/>
  <c r="M16" i="126"/>
  <c r="M15" i="126"/>
  <c r="M14" i="126"/>
  <c r="M13" i="126"/>
  <c r="L12" i="126"/>
  <c r="M12" i="126" s="1"/>
  <c r="M19" i="126" s="1"/>
  <c r="M11" i="126"/>
  <c r="M10" i="126"/>
  <c r="M7" i="126"/>
  <c r="M6" i="126"/>
  <c r="M5" i="126"/>
  <c r="M8" i="126" s="1"/>
  <c r="K5" i="126"/>
  <c r="M11" i="125"/>
  <c r="M10" i="125"/>
  <c r="M9" i="125"/>
  <c r="L9" i="125"/>
  <c r="L8" i="125"/>
  <c r="M13" i="125" s="1"/>
  <c r="K8" i="125"/>
  <c r="M8" i="125" s="1"/>
  <c r="M7" i="125"/>
  <c r="K5" i="125"/>
  <c r="M5" i="125" s="1"/>
  <c r="M12" i="125" s="1"/>
  <c r="M16" i="163"/>
  <c r="M15" i="163"/>
  <c r="M14" i="163"/>
  <c r="M13" i="163"/>
  <c r="M12" i="163"/>
  <c r="M11" i="163"/>
  <c r="M10" i="163"/>
  <c r="M9" i="163"/>
  <c r="M8" i="163"/>
  <c r="M7" i="163"/>
  <c r="M17" i="163" s="1"/>
  <c r="M6" i="163"/>
  <c r="M5" i="163"/>
  <c r="M12" i="164"/>
  <c r="M11" i="164"/>
  <c r="M10" i="164"/>
  <c r="M9" i="164"/>
  <c r="M8" i="164"/>
  <c r="M7" i="164"/>
  <c r="M6" i="164"/>
  <c r="M5" i="164"/>
  <c r="M13" i="164" s="1"/>
  <c r="M14" i="164" s="1"/>
  <c r="M11" i="181"/>
  <c r="M10" i="181"/>
  <c r="M9" i="181"/>
  <c r="M8" i="181"/>
  <c r="M7" i="181"/>
  <c r="M6" i="181"/>
  <c r="M5" i="181"/>
  <c r="M12" i="193"/>
  <c r="M11" i="193"/>
  <c r="M10" i="193"/>
  <c r="M9" i="193"/>
  <c r="M8" i="193"/>
  <c r="M7" i="193"/>
  <c r="M6" i="193"/>
  <c r="M5" i="193"/>
  <c r="M10" i="186"/>
  <c r="M9" i="186"/>
  <c r="M8" i="186"/>
  <c r="M7" i="186"/>
  <c r="M6" i="186"/>
  <c r="M5" i="186"/>
  <c r="M11" i="186" s="1"/>
  <c r="M12" i="186" s="1"/>
  <c r="M6" i="185"/>
  <c r="M5" i="185"/>
  <c r="M7" i="185" s="1"/>
  <c r="M8" i="185" s="1"/>
  <c r="M12" i="233"/>
  <c r="M11" i="233"/>
  <c r="M10" i="233"/>
  <c r="M9" i="233"/>
  <c r="M8" i="233"/>
  <c r="M7" i="233"/>
  <c r="M6" i="233"/>
  <c r="M5" i="233"/>
  <c r="M13" i="233" s="1"/>
  <c r="M14" i="233" s="1"/>
  <c r="M12" i="183"/>
  <c r="M11" i="183"/>
  <c r="M10" i="183"/>
  <c r="M9" i="183"/>
  <c r="M8" i="183"/>
  <c r="M7" i="183"/>
  <c r="M6" i="183"/>
  <c r="M5" i="183"/>
  <c r="M12" i="184"/>
  <c r="M11" i="184"/>
  <c r="M10" i="184"/>
  <c r="M9" i="184"/>
  <c r="M8" i="184"/>
  <c r="M7" i="184"/>
  <c r="M6" i="184"/>
  <c r="M5" i="184"/>
  <c r="M13" i="184" s="1"/>
  <c r="M14" i="184" s="1"/>
  <c r="M12" i="195"/>
  <c r="M11" i="195"/>
  <c r="M10" i="195"/>
  <c r="M9" i="195"/>
  <c r="M8" i="195"/>
  <c r="M7" i="195"/>
  <c r="M6" i="195"/>
  <c r="M5" i="195"/>
  <c r="M12" i="223"/>
  <c r="M11" i="223"/>
  <c r="M10" i="223"/>
  <c r="M9" i="223"/>
  <c r="M8" i="223"/>
  <c r="M7" i="223"/>
  <c r="M6" i="223"/>
  <c r="M5" i="223"/>
  <c r="M10" i="228"/>
  <c r="M9" i="228"/>
  <c r="M8" i="228"/>
  <c r="M7" i="228"/>
  <c r="M6" i="228"/>
  <c r="M5" i="228"/>
  <c r="M12" i="216"/>
  <c r="M11" i="216"/>
  <c r="M10" i="216"/>
  <c r="M9" i="216"/>
  <c r="M8" i="216"/>
  <c r="M7" i="216"/>
  <c r="M6" i="216"/>
  <c r="M5" i="216"/>
  <c r="M9" i="230"/>
  <c r="M8" i="230"/>
  <c r="M7" i="230"/>
  <c r="M6" i="230"/>
  <c r="M5" i="230"/>
  <c r="M10" i="230" s="1"/>
  <c r="M11" i="230" s="1"/>
  <c r="M9" i="214"/>
  <c r="M8" i="214"/>
  <c r="M7" i="214"/>
  <c r="M6" i="214"/>
  <c r="M5" i="214"/>
  <c r="M12" i="213"/>
  <c r="M11" i="213"/>
  <c r="M10" i="213"/>
  <c r="M9" i="213"/>
  <c r="M8" i="213"/>
  <c r="M7" i="213"/>
  <c r="M6" i="213"/>
  <c r="M5" i="213"/>
  <c r="M13" i="213" s="1"/>
  <c r="M14" i="213" s="1"/>
  <c r="M9" i="231"/>
  <c r="M8" i="231"/>
  <c r="M7" i="231"/>
  <c r="M6" i="231"/>
  <c r="M5" i="231"/>
  <c r="M10" i="231" s="1"/>
  <c r="M11" i="231" s="1"/>
  <c r="M10" i="221"/>
  <c r="M9" i="221"/>
  <c r="M8" i="221"/>
  <c r="M7" i="221"/>
  <c r="M6" i="221"/>
  <c r="M5" i="221"/>
  <c r="M11" i="221" s="1"/>
  <c r="M12" i="221" s="1"/>
  <c r="M9" i="220"/>
  <c r="M8" i="220"/>
  <c r="M7" i="220"/>
  <c r="M6" i="220"/>
  <c r="M5" i="220"/>
  <c r="M9" i="219"/>
  <c r="M8" i="219"/>
  <c r="M7" i="219"/>
  <c r="M6" i="219"/>
  <c r="M5" i="219"/>
  <c r="M9" i="161"/>
  <c r="M8" i="161"/>
  <c r="M7" i="161"/>
  <c r="M6" i="161"/>
  <c r="M5" i="161"/>
  <c r="M10" i="161" s="1"/>
  <c r="M11" i="161" s="1"/>
  <c r="M6" i="236"/>
  <c r="M5" i="236"/>
  <c r="M7" i="236" s="1"/>
  <c r="M8" i="236" s="1"/>
  <c r="M11" i="217"/>
  <c r="M10" i="217"/>
  <c r="M9" i="217"/>
  <c r="M8" i="217"/>
  <c r="M7" i="217"/>
  <c r="M6" i="217"/>
  <c r="M5" i="217"/>
  <c r="M9" i="253"/>
  <c r="M8" i="253"/>
  <c r="M7" i="253"/>
  <c r="M6" i="253"/>
  <c r="M5" i="253"/>
  <c r="M10" i="253" s="1"/>
  <c r="M11" i="253" s="1"/>
  <c r="M9" i="132"/>
  <c r="M8" i="132"/>
  <c r="M7" i="132"/>
  <c r="M6" i="132"/>
  <c r="M5" i="132"/>
  <c r="M16" i="144"/>
  <c r="M15" i="144"/>
  <c r="M14" i="144"/>
  <c r="M13" i="144"/>
  <c r="M12" i="144"/>
  <c r="M11" i="144"/>
  <c r="M10" i="144"/>
  <c r="M9" i="144"/>
  <c r="M8" i="144"/>
  <c r="M7" i="144"/>
  <c r="M6" i="144"/>
  <c r="M5" i="144"/>
  <c r="M8" i="167"/>
  <c r="M7" i="167"/>
  <c r="M6" i="167"/>
  <c r="M5" i="167"/>
  <c r="M9" i="209"/>
  <c r="M8" i="209"/>
  <c r="M7" i="209"/>
  <c r="M6" i="209"/>
  <c r="M5" i="209"/>
  <c r="M10" i="209" s="1"/>
  <c r="M11" i="209" s="1"/>
  <c r="M11" i="215"/>
  <c r="M10" i="215"/>
  <c r="M9" i="215"/>
  <c r="M8" i="215"/>
  <c r="M7" i="215"/>
  <c r="M6" i="215"/>
  <c r="M5" i="215"/>
  <c r="M11" i="227"/>
  <c r="M10" i="227"/>
  <c r="M9" i="227"/>
  <c r="M8" i="227"/>
  <c r="M7" i="227"/>
  <c r="M6" i="227"/>
  <c r="M5" i="227"/>
  <c r="M11" i="224"/>
  <c r="M10" i="224"/>
  <c r="M9" i="224"/>
  <c r="M8" i="224"/>
  <c r="M7" i="224"/>
  <c r="M6" i="224"/>
  <c r="M5" i="224"/>
  <c r="M12" i="224" s="1"/>
  <c r="M13" i="224" s="1"/>
  <c r="M12" i="178"/>
  <c r="M11" i="178"/>
  <c r="M10" i="178"/>
  <c r="M9" i="178"/>
  <c r="M8" i="178"/>
  <c r="M7" i="178"/>
  <c r="M6" i="178"/>
  <c r="M5" i="178"/>
  <c r="M13" i="178" s="1"/>
  <c r="M14" i="178" s="1"/>
  <c r="M9" i="157"/>
  <c r="M8" i="157"/>
  <c r="M7" i="157"/>
  <c r="M6" i="157"/>
  <c r="M5" i="157"/>
  <c r="M7" i="158"/>
  <c r="M6" i="158"/>
  <c r="M5" i="158"/>
  <c r="M8" i="158" s="1"/>
  <c r="M9" i="158" s="1"/>
  <c r="M9" i="177"/>
  <c r="M8" i="177"/>
  <c r="M7" i="177"/>
  <c r="M6" i="177"/>
  <c r="M5" i="177"/>
  <c r="M9" i="159"/>
  <c r="M8" i="159"/>
  <c r="M7" i="159"/>
  <c r="M6" i="159"/>
  <c r="M5" i="159"/>
  <c r="M11" i="194"/>
  <c r="M10" i="194"/>
  <c r="M9" i="194"/>
  <c r="M8" i="194"/>
  <c r="M7" i="194"/>
  <c r="M6" i="194"/>
  <c r="M5" i="194"/>
  <c r="M12" i="187"/>
  <c r="M11" i="187"/>
  <c r="M10" i="187"/>
  <c r="M9" i="187"/>
  <c r="M8" i="187"/>
  <c r="M7" i="187"/>
  <c r="M6" i="187"/>
  <c r="M5" i="187"/>
  <c r="M11" i="192"/>
  <c r="M10" i="192"/>
  <c r="M9" i="192"/>
  <c r="M8" i="192"/>
  <c r="M7" i="192"/>
  <c r="M6" i="192"/>
  <c r="M5" i="192"/>
  <c r="M12" i="192" s="1"/>
  <c r="M13" i="192" s="1"/>
  <c r="M14" i="225"/>
  <c r="M13" i="225"/>
  <c r="M12" i="225"/>
  <c r="M11" i="225"/>
  <c r="M10" i="225"/>
  <c r="M9" i="225"/>
  <c r="M8" i="225"/>
  <c r="M7" i="225"/>
  <c r="M6" i="225"/>
  <c r="M5" i="225"/>
  <c r="M6" i="165"/>
  <c r="M5" i="165"/>
  <c r="M7" i="165" s="1"/>
  <c r="M8" i="165" s="1"/>
  <c r="M11" i="235"/>
  <c r="M10" i="235"/>
  <c r="M9" i="235"/>
  <c r="M8" i="235"/>
  <c r="M7" i="235"/>
  <c r="M6" i="235"/>
  <c r="M5" i="235"/>
  <c r="M13" i="239"/>
  <c r="M12" i="239"/>
  <c r="M11" i="239"/>
  <c r="M10" i="239"/>
  <c r="M9" i="239"/>
  <c r="M8" i="239"/>
  <c r="M7" i="239"/>
  <c r="M6" i="239"/>
  <c r="M5" i="239"/>
  <c r="M11" i="234"/>
  <c r="M10" i="234"/>
  <c r="M9" i="234"/>
  <c r="M8" i="234"/>
  <c r="M7" i="234"/>
  <c r="M6" i="234"/>
  <c r="M5" i="234"/>
  <c r="M11" i="232"/>
  <c r="M10" i="232"/>
  <c r="M9" i="232"/>
  <c r="M8" i="232"/>
  <c r="M7" i="232"/>
  <c r="M6" i="232"/>
  <c r="M5" i="232"/>
  <c r="M12" i="238"/>
  <c r="M11" i="238"/>
  <c r="M10" i="238"/>
  <c r="M9" i="238"/>
  <c r="M8" i="238"/>
  <c r="M7" i="238"/>
  <c r="M6" i="238"/>
  <c r="M5" i="238"/>
  <c r="M13" i="237"/>
  <c r="M12" i="237"/>
  <c r="M11" i="237"/>
  <c r="M10" i="237"/>
  <c r="M9" i="237"/>
  <c r="M8" i="237"/>
  <c r="M7" i="237"/>
  <c r="M6" i="237"/>
  <c r="M5" i="237"/>
  <c r="M15" i="191"/>
  <c r="M14" i="191"/>
  <c r="M13" i="191"/>
  <c r="M12" i="191"/>
  <c r="M11" i="191"/>
  <c r="M10" i="191"/>
  <c r="M9" i="191"/>
  <c r="M8" i="191"/>
  <c r="M7" i="191"/>
  <c r="M6" i="191"/>
  <c r="M5" i="191"/>
  <c r="M11" i="190"/>
  <c r="M10" i="190"/>
  <c r="M9" i="190"/>
  <c r="M8" i="190"/>
  <c r="M7" i="190"/>
  <c r="M6" i="190"/>
  <c r="M5" i="190"/>
  <c r="M11" i="189"/>
  <c r="M10" i="189"/>
  <c r="M9" i="189"/>
  <c r="M8" i="189"/>
  <c r="M7" i="189"/>
  <c r="M6" i="189"/>
  <c r="M5" i="189"/>
  <c r="M13" i="188"/>
  <c r="M12" i="188"/>
  <c r="M11" i="188"/>
  <c r="M10" i="188"/>
  <c r="M9" i="188"/>
  <c r="M8" i="188"/>
  <c r="M7" i="188"/>
  <c r="M6" i="188"/>
  <c r="M5" i="188"/>
  <c r="M9" i="208"/>
  <c r="M8" i="208"/>
  <c r="M7" i="208"/>
  <c r="M6" i="208"/>
  <c r="M5" i="208"/>
  <c r="M10" i="208" s="1"/>
  <c r="M11" i="208" s="1"/>
  <c r="M6" i="242"/>
  <c r="M5" i="242"/>
  <c r="M7" i="242" s="1"/>
  <c r="M8" i="242" s="1"/>
  <c r="M6" i="202"/>
  <c r="M5" i="202"/>
  <c r="M7" i="202" s="1"/>
  <c r="M8" i="202" s="1"/>
  <c r="M6" i="179"/>
  <c r="M5" i="179"/>
  <c r="M7" i="179" s="1"/>
  <c r="M8" i="179" s="1"/>
  <c r="M6" i="172"/>
  <c r="M5" i="172"/>
  <c r="M7" i="172" s="1"/>
  <c r="M8" i="172" s="1"/>
  <c r="M11" i="197"/>
  <c r="M10" i="197"/>
  <c r="M9" i="197"/>
  <c r="M8" i="197"/>
  <c r="M7" i="197"/>
  <c r="M6" i="197"/>
  <c r="M5" i="197"/>
  <c r="M11" i="196"/>
  <c r="M10" i="196"/>
  <c r="M9" i="196"/>
  <c r="M8" i="196"/>
  <c r="M7" i="196"/>
  <c r="M6" i="196"/>
  <c r="M5" i="196"/>
  <c r="M12" i="196" s="1"/>
  <c r="M13" i="196" s="1"/>
  <c r="M6" i="204"/>
  <c r="M5" i="204"/>
  <c r="M7" i="204" s="1"/>
  <c r="M8" i="204" s="1"/>
  <c r="M6" i="254"/>
  <c r="M5" i="254"/>
  <c r="M7" i="254" s="1"/>
  <c r="M8" i="254" s="1"/>
  <c r="M17" i="162"/>
  <c r="M16" i="162"/>
  <c r="M15" i="162"/>
  <c r="M14" i="162"/>
  <c r="M13" i="162"/>
  <c r="M12" i="162"/>
  <c r="M11" i="162"/>
  <c r="M10" i="162"/>
  <c r="M9" i="162"/>
  <c r="M8" i="162"/>
  <c r="M7" i="162"/>
  <c r="M6" i="162"/>
  <c r="M5" i="162"/>
  <c r="M6" i="105"/>
  <c r="M5" i="105"/>
  <c r="M7" i="105" s="1"/>
  <c r="M8" i="105" s="1"/>
  <c r="M6" i="174"/>
  <c r="M5" i="174"/>
  <c r="M7" i="174" s="1"/>
  <c r="M8" i="174" s="1"/>
  <c r="M14" i="143"/>
  <c r="M13" i="143"/>
  <c r="M12" i="143"/>
  <c r="M11" i="143"/>
  <c r="M10" i="143"/>
  <c r="M9" i="143"/>
  <c r="M8" i="143"/>
  <c r="M7" i="143"/>
  <c r="M6" i="143"/>
  <c r="M5" i="143"/>
  <c r="M6" i="128"/>
  <c r="M5" i="128"/>
  <c r="M7" i="128" s="1"/>
  <c r="M8" i="128" s="1"/>
  <c r="M6" i="137"/>
  <c r="M5" i="137"/>
  <c r="M7" i="137" s="1"/>
  <c r="M8" i="137" s="1"/>
  <c r="M6" i="136"/>
  <c r="M5" i="136"/>
  <c r="M7" i="136" s="1"/>
  <c r="M8" i="136" s="1"/>
  <c r="M11" i="135"/>
  <c r="M10" i="135"/>
  <c r="M9" i="135"/>
  <c r="M8" i="135"/>
  <c r="M7" i="135"/>
  <c r="M6" i="135"/>
  <c r="M5" i="135"/>
  <c r="M11" i="134"/>
  <c r="M10" i="134"/>
  <c r="M9" i="134"/>
  <c r="M8" i="134"/>
  <c r="M7" i="134"/>
  <c r="M6" i="134"/>
  <c r="M5" i="134"/>
  <c r="M12" i="131"/>
  <c r="M11" i="131"/>
  <c r="M10" i="131"/>
  <c r="M9" i="131"/>
  <c r="M8" i="131"/>
  <c r="M7" i="131"/>
  <c r="M6" i="131"/>
  <c r="M5" i="131"/>
  <c r="M12" i="130"/>
  <c r="M11" i="130"/>
  <c r="M10" i="130"/>
  <c r="M9" i="130"/>
  <c r="M8" i="130"/>
  <c r="M7" i="130"/>
  <c r="M6" i="130"/>
  <c r="M5" i="130"/>
  <c r="M16" i="140"/>
  <c r="M15" i="140"/>
  <c r="M14" i="140"/>
  <c r="M13" i="140"/>
  <c r="M12" i="140"/>
  <c r="M11" i="140"/>
  <c r="M10" i="140"/>
  <c r="M9" i="140"/>
  <c r="M8" i="140"/>
  <c r="M7" i="140"/>
  <c r="M6" i="140"/>
  <c r="M5" i="140"/>
  <c r="M11" i="133"/>
  <c r="M10" i="133"/>
  <c r="M9" i="133"/>
  <c r="M8" i="133"/>
  <c r="M7" i="133"/>
  <c r="M6" i="133"/>
  <c r="M5" i="133"/>
  <c r="M12" i="129"/>
  <c r="M11" i="129"/>
  <c r="M10" i="129"/>
  <c r="M9" i="129"/>
  <c r="M8" i="129"/>
  <c r="M7" i="129"/>
  <c r="M6" i="129"/>
  <c r="M5" i="129"/>
  <c r="M6" i="176"/>
  <c r="M5" i="176"/>
  <c r="M7" i="176" s="1"/>
  <c r="M8" i="176" s="1"/>
  <c r="M6" i="175"/>
  <c r="M5" i="175"/>
  <c r="M7" i="175" s="1"/>
  <c r="M8" i="175" s="1"/>
  <c r="M6" i="173"/>
  <c r="M5" i="173"/>
  <c r="M7" i="173" s="1"/>
  <c r="M8" i="173" s="1"/>
  <c r="M11" i="121"/>
  <c r="M10" i="121"/>
  <c r="M9" i="121"/>
  <c r="M8" i="121"/>
  <c r="M7" i="121"/>
  <c r="M6" i="121"/>
  <c r="K6" i="121"/>
  <c r="K5" i="121"/>
  <c r="M5" i="121" s="1"/>
  <c r="M12" i="121" s="1"/>
  <c r="M13" i="121" s="1"/>
  <c r="M8" i="207"/>
  <c r="M7" i="207"/>
  <c r="M6" i="207"/>
  <c r="M5" i="207"/>
  <c r="M9" i="207" s="1"/>
  <c r="M10" i="207" s="1"/>
  <c r="M18" i="100"/>
  <c r="M17" i="100"/>
  <c r="M16" i="100"/>
  <c r="M15" i="100"/>
  <c r="M14" i="100"/>
  <c r="M13" i="100"/>
  <c r="M12" i="100"/>
  <c r="M11" i="100"/>
  <c r="M10" i="100"/>
  <c r="K9" i="100"/>
  <c r="M9" i="100" s="1"/>
  <c r="M8" i="100"/>
  <c r="M7" i="100"/>
  <c r="M6" i="100"/>
  <c r="M5" i="100"/>
  <c r="M9" i="200"/>
  <c r="M8" i="200"/>
  <c r="M7" i="200"/>
  <c r="M6" i="200"/>
  <c r="M5" i="200"/>
  <c r="M9" i="246"/>
  <c r="M8" i="246"/>
  <c r="M7" i="246"/>
  <c r="M6" i="246"/>
  <c r="M5" i="246"/>
  <c r="M18" i="160"/>
  <c r="M17" i="160"/>
  <c r="M16" i="160"/>
  <c r="M15" i="160"/>
  <c r="M14" i="160"/>
  <c r="M13" i="160"/>
  <c r="M12" i="160"/>
  <c r="M11" i="160"/>
  <c r="M10" i="160"/>
  <c r="M9" i="160"/>
  <c r="M8" i="160"/>
  <c r="M7" i="160"/>
  <c r="M6" i="160"/>
  <c r="M5" i="160"/>
  <c r="M9" i="168"/>
  <c r="M8" i="168"/>
  <c r="M7" i="168"/>
  <c r="M6" i="168"/>
  <c r="M5" i="168"/>
  <c r="K5" i="119"/>
  <c r="M5" i="119" s="1"/>
  <c r="M6" i="119" s="1"/>
  <c r="M7" i="119" s="1"/>
  <c r="M5" i="120"/>
  <c r="M6" i="120" s="1"/>
  <c r="M7" i="120" s="1"/>
  <c r="M8" i="117"/>
  <c r="M7" i="117"/>
  <c r="M6" i="117"/>
  <c r="M5" i="117"/>
  <c r="K5" i="117"/>
  <c r="M6" i="118"/>
  <c r="K5" i="118"/>
  <c r="M5" i="118" s="1"/>
  <c r="M7" i="118" s="1"/>
  <c r="M8" i="118" s="1"/>
  <c r="M10" i="198"/>
  <c r="M9" i="198"/>
  <c r="M8" i="198"/>
  <c r="M7" i="198"/>
  <c r="M6" i="198"/>
  <c r="M5" i="198"/>
  <c r="M6" i="244"/>
  <c r="M5" i="244"/>
  <c r="M7" i="244" s="1"/>
  <c r="M8" i="244" s="1"/>
  <c r="M13" i="247"/>
  <c r="M12" i="247"/>
  <c r="M11" i="247"/>
  <c r="M10" i="247"/>
  <c r="M9" i="247"/>
  <c r="M8" i="247"/>
  <c r="M7" i="247"/>
  <c r="M6" i="247"/>
  <c r="M5" i="247"/>
  <c r="M5" i="255"/>
  <c r="M6" i="255" s="1"/>
  <c r="M7" i="255" s="1"/>
  <c r="M8" i="98"/>
  <c r="M7" i="98"/>
  <c r="M6" i="98"/>
  <c r="M5" i="98"/>
  <c r="M15" i="166"/>
  <c r="M14" i="166"/>
  <c r="M13" i="166"/>
  <c r="M12" i="166"/>
  <c r="M11" i="166"/>
  <c r="M10" i="166"/>
  <c r="M9" i="166"/>
  <c r="M8" i="166"/>
  <c r="M7" i="166"/>
  <c r="M6" i="166"/>
  <c r="M5" i="166"/>
  <c r="M9" i="250"/>
  <c r="M8" i="250"/>
  <c r="M7" i="250"/>
  <c r="M6" i="250"/>
  <c r="M5" i="250"/>
  <c r="M7" i="154"/>
  <c r="M6" i="154"/>
  <c r="M5" i="154"/>
  <c r="M8" i="154" s="1"/>
  <c r="M9" i="154" s="1"/>
  <c r="M7" i="153"/>
  <c r="M6" i="153"/>
  <c r="M5" i="153"/>
  <c r="M8" i="153" s="1"/>
  <c r="M9" i="153" s="1"/>
  <c r="M6" i="156"/>
  <c r="M5" i="156"/>
  <c r="M7" i="156" s="1"/>
  <c r="M8" i="156" s="1"/>
  <c r="M6" i="155"/>
  <c r="M5" i="155"/>
  <c r="M7" i="155" s="1"/>
  <c r="M8" i="155" s="1"/>
  <c r="M12" i="252"/>
  <c r="M11" i="252"/>
  <c r="M10" i="252"/>
  <c r="M9" i="252"/>
  <c r="M8" i="252"/>
  <c r="M7" i="252"/>
  <c r="M6" i="252"/>
  <c r="M5" i="252"/>
  <c r="M9" i="210"/>
  <c r="M8" i="210"/>
  <c r="M7" i="210"/>
  <c r="M6" i="210"/>
  <c r="M5" i="210"/>
  <c r="M7" i="218"/>
  <c r="M6" i="218"/>
  <c r="M5" i="218"/>
  <c r="M6" i="226"/>
  <c r="M5" i="226"/>
  <c r="M7" i="226" s="1"/>
  <c r="M8" i="226" s="1"/>
  <c r="M8" i="248"/>
  <c r="M7" i="248"/>
  <c r="M6" i="248"/>
  <c r="M5" i="248"/>
  <c r="M9" i="248" s="1"/>
  <c r="M10" i="248" s="1"/>
  <c r="M6" i="141"/>
  <c r="M5" i="141"/>
  <c r="M7" i="141" s="1"/>
  <c r="M8" i="141" s="1"/>
  <c r="M11" i="142"/>
  <c r="M10" i="142"/>
  <c r="M9" i="142"/>
  <c r="M8" i="142"/>
  <c r="M7" i="142"/>
  <c r="M6" i="142"/>
  <c r="M5" i="142"/>
  <c r="M6" i="222"/>
  <c r="M5" i="222"/>
  <c r="M7" i="222" s="1"/>
  <c r="M8" i="222" s="1"/>
  <c r="M6" i="148"/>
  <c r="M5" i="148"/>
  <c r="M6" i="147"/>
  <c r="M5" i="147"/>
  <c r="M7" i="147" s="1"/>
  <c r="M8" i="147" s="1"/>
  <c r="M10" i="240"/>
  <c r="M9" i="240"/>
  <c r="M8" i="240"/>
  <c r="M7" i="240"/>
  <c r="M6" i="240"/>
  <c r="M5" i="240"/>
  <c r="M6" i="241"/>
  <c r="M5" i="241"/>
  <c r="M7" i="241" s="1"/>
  <c r="M8" i="241" s="1"/>
  <c r="M8" i="212"/>
  <c r="M7" i="212"/>
  <c r="M6" i="212"/>
  <c r="M5" i="212"/>
  <c r="M9" i="212" s="1"/>
  <c r="M10" i="212" s="1"/>
  <c r="M10" i="149"/>
  <c r="M9" i="149"/>
  <c r="M8" i="149"/>
  <c r="M7" i="149"/>
  <c r="M6" i="149"/>
  <c r="M5" i="149"/>
  <c r="M9" i="211"/>
  <c r="M8" i="211"/>
  <c r="M7" i="211"/>
  <c r="M6" i="211"/>
  <c r="M5" i="211"/>
  <c r="M6" i="249"/>
  <c r="M5" i="249"/>
  <c r="M6" i="151"/>
  <c r="M5" i="151"/>
  <c r="M7" i="151" s="1"/>
  <c r="M8" i="151" s="1"/>
  <c r="M6" i="150"/>
  <c r="M5" i="150"/>
  <c r="M7" i="150" s="1"/>
  <c r="M8" i="150" s="1"/>
  <c r="M6" i="152"/>
  <c r="M5" i="152"/>
  <c r="M7" i="152" s="1"/>
  <c r="M8" i="152" s="1"/>
  <c r="M5" i="169"/>
  <c r="M6" i="169" s="1"/>
  <c r="M7" i="169" s="1"/>
  <c r="M7" i="182"/>
  <c r="M6" i="182"/>
  <c r="M5" i="182"/>
  <c r="M8" i="182" s="1"/>
  <c r="M9" i="182" s="1"/>
  <c r="M7" i="201"/>
  <c r="M6" i="201"/>
  <c r="M5" i="201"/>
  <c r="M8" i="201" s="1"/>
  <c r="M9" i="201" s="1"/>
  <c r="M7" i="203"/>
  <c r="M6" i="203"/>
  <c r="M5" i="203"/>
  <c r="M8" i="203" s="1"/>
  <c r="M9" i="203" s="1"/>
  <c r="M15" i="170"/>
  <c r="M14" i="170"/>
  <c r="M13" i="170"/>
  <c r="M12" i="170"/>
  <c r="M11" i="170"/>
  <c r="M10" i="170"/>
  <c r="M9" i="170"/>
  <c r="M8" i="170"/>
  <c r="M7" i="170"/>
  <c r="M6" i="170"/>
  <c r="M5" i="170"/>
  <c r="M8" i="171"/>
  <c r="M7" i="171"/>
  <c r="M6" i="171"/>
  <c r="M5" i="171"/>
  <c r="M8" i="245"/>
  <c r="M7" i="245"/>
  <c r="M6" i="245"/>
  <c r="M5" i="245"/>
  <c r="M9" i="245" s="1"/>
  <c r="M10" i="245" s="1"/>
  <c r="M20" i="101"/>
  <c r="M19" i="101"/>
  <c r="M18" i="101"/>
  <c r="M17" i="101"/>
  <c r="M16" i="101"/>
  <c r="M15" i="101"/>
  <c r="M14" i="101"/>
  <c r="M13" i="101"/>
  <c r="K12" i="101"/>
  <c r="M12" i="101" s="1"/>
  <c r="M11" i="101"/>
  <c r="M10" i="101"/>
  <c r="M9" i="101"/>
  <c r="M8" i="101"/>
  <c r="M7" i="101"/>
  <c r="M6" i="101"/>
  <c r="L5" i="101"/>
  <c r="M5" i="101" s="1"/>
  <c r="M14" i="122"/>
  <c r="M13" i="122"/>
  <c r="M12" i="122"/>
  <c r="K12" i="122"/>
  <c r="M11" i="122"/>
  <c r="M10" i="122"/>
  <c r="M9" i="122"/>
  <c r="M8" i="122"/>
  <c r="M7" i="122"/>
  <c r="M5" i="122"/>
  <c r="L6" i="103"/>
  <c r="M6" i="103" s="1"/>
  <c r="L5" i="103"/>
  <c r="M5" i="103" s="1"/>
  <c r="M9" i="103"/>
  <c r="M13" i="103"/>
  <c r="M12" i="103"/>
  <c r="M11" i="103"/>
  <c r="M10" i="103"/>
  <c r="M8" i="103"/>
  <c r="M7" i="103"/>
  <c r="M11" i="104"/>
  <c r="M10" i="104"/>
  <c r="M9" i="104"/>
  <c r="M8" i="104"/>
  <c r="M7" i="104"/>
  <c r="M6" i="104"/>
  <c r="M5" i="104"/>
  <c r="M12" i="104" s="1"/>
  <c r="M13" i="104" s="1"/>
  <c r="M20" i="102"/>
  <c r="M19" i="102"/>
  <c r="M18" i="102"/>
  <c r="M17" i="102"/>
  <c r="M16" i="102"/>
  <c r="M15" i="102"/>
  <c r="M14" i="102"/>
  <c r="M13" i="102"/>
  <c r="M10" i="102"/>
  <c r="M11" i="102" s="1"/>
  <c r="M7" i="102"/>
  <c r="M6" i="102"/>
  <c r="M5" i="102"/>
  <c r="L5" i="102"/>
  <c r="M12" i="115"/>
  <c r="M11" i="115"/>
  <c r="M10" i="115"/>
  <c r="M9" i="115"/>
  <c r="M8" i="115"/>
  <c r="M7" i="115"/>
  <c r="M6" i="115"/>
  <c r="M5" i="115"/>
  <c r="M13" i="115" s="1"/>
  <c r="M14" i="115" s="1"/>
  <c r="M9" i="113"/>
  <c r="M8" i="113"/>
  <c r="M7" i="113"/>
  <c r="M6" i="113"/>
  <c r="L5" i="113"/>
  <c r="M5" i="113" s="1"/>
  <c r="M10" i="113" s="1"/>
  <c r="M11" i="113" s="1"/>
  <c r="M10" i="114"/>
  <c r="K9" i="114"/>
  <c r="M9" i="114" s="1"/>
  <c r="M8" i="114"/>
  <c r="M7" i="114"/>
  <c r="M6" i="114"/>
  <c r="M5" i="114"/>
  <c r="L5" i="114"/>
  <c r="M12" i="180"/>
  <c r="M11" i="180"/>
  <c r="M10" i="180"/>
  <c r="M9" i="180"/>
  <c r="M8" i="180"/>
  <c r="M7" i="180"/>
  <c r="M6" i="180"/>
  <c r="M5" i="180"/>
  <c r="M7" i="123"/>
  <c r="M6" i="123"/>
  <c r="M5" i="123"/>
  <c r="M8" i="123" s="1"/>
  <c r="M9" i="123" s="1"/>
  <c r="M15" i="138"/>
  <c r="M14" i="138"/>
  <c r="M13" i="138"/>
  <c r="M12" i="138"/>
  <c r="M11" i="138"/>
  <c r="M10" i="138"/>
  <c r="M9" i="138"/>
  <c r="M8" i="138"/>
  <c r="M7" i="138"/>
  <c r="M6" i="138"/>
  <c r="M5" i="138"/>
  <c r="M6" i="112"/>
  <c r="K5" i="112"/>
  <c r="M5" i="112" s="1"/>
  <c r="M7" i="112" s="1"/>
  <c r="M8" i="112" s="1"/>
  <c r="M10" i="206"/>
  <c r="M9" i="206"/>
  <c r="M8" i="206"/>
  <c r="M7" i="206"/>
  <c r="M6" i="206"/>
  <c r="M5" i="206"/>
  <c r="M10" i="205"/>
  <c r="M9" i="205"/>
  <c r="M8" i="205"/>
  <c r="M7" i="205"/>
  <c r="M6" i="205"/>
  <c r="M5" i="205"/>
  <c r="K12" i="146"/>
  <c r="M12" i="146" s="1"/>
  <c r="M11" i="146"/>
  <c r="M10" i="146"/>
  <c r="M9" i="146"/>
  <c r="M8" i="146"/>
  <c r="M7" i="146"/>
  <c r="M6" i="146"/>
  <c r="M5" i="146"/>
  <c r="M11" i="145"/>
  <c r="M10" i="145"/>
  <c r="M9" i="145"/>
  <c r="M8" i="145"/>
  <c r="M7" i="145"/>
  <c r="M6" i="145"/>
  <c r="M5" i="145"/>
  <c r="M8" i="109"/>
  <c r="M7" i="109"/>
  <c r="M6" i="109"/>
  <c r="K6" i="109"/>
  <c r="K5" i="109"/>
  <c r="M5" i="109" s="1"/>
  <c r="M10" i="110"/>
  <c r="M9" i="110"/>
  <c r="M8" i="110"/>
  <c r="M7" i="110"/>
  <c r="K7" i="110"/>
  <c r="M6" i="110"/>
  <c r="M5" i="110"/>
  <c r="M11" i="110" s="1"/>
  <c r="M12" i="110" s="1"/>
  <c r="M15" i="199"/>
  <c r="M14" i="199"/>
  <c r="M13" i="199"/>
  <c r="M12" i="199"/>
  <c r="M11" i="199"/>
  <c r="M10" i="199"/>
  <c r="M9" i="199"/>
  <c r="M8" i="199"/>
  <c r="M7" i="199"/>
  <c r="M6" i="199"/>
  <c r="M5" i="199"/>
  <c r="M7" i="116"/>
  <c r="M6" i="116"/>
  <c r="M8" i="116" s="1"/>
  <c r="M9" i="116" s="1"/>
  <c r="M5" i="116"/>
  <c r="M7" i="124"/>
  <c r="M6" i="124"/>
  <c r="M5" i="124"/>
  <c r="M8" i="124" s="1"/>
  <c r="M9" i="124" s="1"/>
  <c r="M6" i="243"/>
  <c r="M5" i="243"/>
  <c r="M7" i="243" s="1"/>
  <c r="M8" i="243" s="1"/>
  <c r="M8" i="108"/>
  <c r="K7" i="108"/>
  <c r="M7" i="108" s="1"/>
  <c r="M6" i="108"/>
  <c r="K6" i="108"/>
  <c r="K5" i="108"/>
  <c r="M5" i="108" s="1"/>
  <c r="M9" i="108" s="1"/>
  <c r="M10" i="108" s="1"/>
  <c r="M12" i="139"/>
  <c r="M11" i="139"/>
  <c r="M10" i="139"/>
  <c r="M9" i="139"/>
  <c r="M8" i="139"/>
  <c r="M7" i="139"/>
  <c r="M13" i="139" s="1"/>
  <c r="M14" i="139" s="1"/>
  <c r="M6" i="139"/>
  <c r="M5" i="139"/>
  <c r="F23" i="256"/>
  <c r="F17" i="256"/>
  <c r="F19" i="256"/>
  <c r="F18" i="256" s="1"/>
  <c r="H14" i="256"/>
  <c r="D21" i="256"/>
  <c r="F21" i="256" s="1"/>
  <c r="F10" i="256"/>
  <c r="F11" i="256" s="1"/>
  <c r="E5" i="256"/>
  <c r="F5" i="256" s="1"/>
  <c r="F6" i="256" s="1"/>
  <c r="K20" i="8" a="1"/>
  <c r="K152" i="8"/>
  <c r="K141" i="8" a="1"/>
  <c r="K154" i="8"/>
  <c r="K120" i="8" a="1"/>
  <c r="K51" i="8" a="1"/>
  <c r="K8" i="8" a="1"/>
  <c r="K140" i="8" a="1"/>
  <c r="K88" i="8" a="1"/>
  <c r="K21" i="8" a="1"/>
  <c r="K9" i="8" a="1"/>
  <c r="K137" i="8" a="1"/>
  <c r="K72" i="8" a="1"/>
  <c r="K147" i="8" a="1"/>
  <c r="K41" i="8" a="1"/>
  <c r="K71" i="8" a="1"/>
  <c r="K143" i="8" a="1"/>
  <c r="K61" i="8" a="1"/>
  <c r="K10" i="8" a="1"/>
  <c r="K142" i="8" a="1"/>
  <c r="K38" i="8" a="1"/>
  <c r="K98" i="8" a="1"/>
  <c r="K93" i="8" a="1"/>
  <c r="K55" i="8" a="1"/>
  <c r="K39" i="8" a="1"/>
  <c r="K122" i="8" a="1"/>
  <c r="K32" i="8" a="1"/>
  <c r="K59" i="8" a="1"/>
  <c r="K56" i="8" a="1"/>
  <c r="K66" i="8" a="1"/>
  <c r="K85" i="8" a="1"/>
  <c r="K126" i="8" a="1"/>
  <c r="K73" i="8" a="1"/>
  <c r="K74" i="8" a="1"/>
  <c r="K127" i="8" a="1"/>
  <c r="K35" i="8" a="1"/>
  <c r="K27" i="8" a="1"/>
  <c r="K36" i="8" a="1"/>
  <c r="K95" i="8" a="1"/>
  <c r="K13" i="8" a="1"/>
  <c r="K150" i="8" a="1"/>
  <c r="K17" i="8" a="1"/>
  <c r="K110" i="8" a="1"/>
  <c r="K43" i="8" a="1"/>
  <c r="K31" i="8" a="1"/>
  <c r="K146" i="8" a="1"/>
  <c r="K117" i="8" a="1"/>
  <c r="K135" i="8" a="1"/>
  <c r="K48" i="8" a="1"/>
  <c r="K153" i="8"/>
  <c r="K52" i="8" a="1"/>
  <c r="K15" i="8" a="1"/>
  <c r="K50" i="8" a="1"/>
  <c r="K144" i="8" a="1"/>
  <c r="K14" i="8" a="1"/>
  <c r="K139" i="8" a="1"/>
  <c r="K75" i="8" a="1"/>
  <c r="K130" i="8" a="1"/>
  <c r="K115" i="8" a="1"/>
  <c r="K145" i="8" a="1"/>
  <c r="K112" i="8" a="1"/>
  <c r="K47" i="8" a="1"/>
  <c r="K40" i="8" a="1"/>
  <c r="K37" i="8" a="1"/>
  <c r="K4" i="8" a="1"/>
  <c r="K148" i="8" a="1"/>
  <c r="K123" i="8" a="1"/>
  <c r="K7" i="8" a="1"/>
  <c r="K92" i="8" a="1"/>
  <c r="K138" i="8" a="1"/>
  <c r="K86" i="8" a="1"/>
  <c r="K49" i="8" a="1"/>
  <c r="K70" i="8" a="1"/>
  <c r="K119" i="8" a="1"/>
  <c r="K133" i="8" a="1"/>
  <c r="K63" i="8" a="1"/>
  <c r="K42" i="8" a="1"/>
  <c r="K65" i="8" a="1"/>
  <c r="K3" i="8" a="1"/>
  <c r="K113" i="8" a="1"/>
  <c r="K96" i="8" a="1"/>
  <c r="K62" i="8" a="1"/>
  <c r="K24" i="8" a="1"/>
  <c r="K23" i="8" a="1"/>
  <c r="K64" i="8" a="1"/>
  <c r="K129" i="8" a="1"/>
  <c r="K99" i="8" a="1"/>
  <c r="K118" i="8" a="1"/>
  <c r="K91" i="8" a="1"/>
  <c r="K89" i="8" a="1"/>
  <c r="K76" i="8" a="1"/>
  <c r="K132" i="8" a="1"/>
  <c r="K136" i="8" a="1"/>
  <c r="K54" i="8" a="1"/>
  <c r="K5" i="8" a="1"/>
  <c r="K53" i="8" a="1"/>
  <c r="K33" i="8" a="1"/>
  <c r="K134" i="8" a="1"/>
  <c r="K6" i="8" a="1"/>
  <c r="K46" i="8" a="1"/>
  <c r="K128" i="8" a="1"/>
  <c r="K44" i="8" a="1"/>
  <c r="K30" i="8" a="1"/>
  <c r="K34" i="8" a="1"/>
  <c r="K97" i="8" a="1"/>
  <c r="K116" i="8" a="1"/>
  <c r="K84" i="8" a="1"/>
  <c r="K131" i="8" a="1"/>
  <c r="M8" i="102" l="1"/>
  <c r="M15" i="122"/>
  <c r="M16" i="122" s="1"/>
  <c r="M21" i="101"/>
  <c r="M22" i="101" s="1"/>
  <c r="M9" i="171"/>
  <c r="M10" i="171" s="1"/>
  <c r="M16" i="166"/>
  <c r="M17" i="166" s="1"/>
  <c r="M10" i="168"/>
  <c r="M11" i="168" s="1"/>
  <c r="M13" i="129"/>
  <c r="M14" i="129" s="1"/>
  <c r="M12" i="133"/>
  <c r="M13" i="133" s="1"/>
  <c r="M13" i="131"/>
  <c r="M14" i="131" s="1"/>
  <c r="M12" i="134"/>
  <c r="M13" i="134" s="1"/>
  <c r="M15" i="143"/>
  <c r="M16" i="143" s="1"/>
  <c r="M12" i="189"/>
  <c r="M13" i="189" s="1"/>
  <c r="M12" i="190"/>
  <c r="M13" i="190" s="1"/>
  <c r="M13" i="238"/>
  <c r="M14" i="238" s="1"/>
  <c r="M12" i="232"/>
  <c r="M13" i="232" s="1"/>
  <c r="M12" i="234"/>
  <c r="M13" i="234" s="1"/>
  <c r="M12" i="194"/>
  <c r="M13" i="194" s="1"/>
  <c r="M12" i="227"/>
  <c r="M13" i="227" s="1"/>
  <c r="M10" i="167"/>
  <c r="K6" i="8"/>
  <c r="K37" i="8"/>
  <c r="K32" i="8"/>
  <c r="K59" i="8"/>
  <c r="K56" i="8"/>
  <c r="K51" i="8"/>
  <c r="K47" i="8"/>
  <c r="K24" i="8"/>
  <c r="K44" i="8"/>
  <c r="K17" i="8"/>
  <c r="K33" i="8"/>
  <c r="K50" i="8"/>
  <c r="K55" i="8"/>
  <c r="K66" i="8"/>
  <c r="K75" i="8"/>
  <c r="K91" i="8"/>
  <c r="K4" i="8"/>
  <c r="K36" i="8"/>
  <c r="K49" i="8"/>
  <c r="K73" i="8"/>
  <c r="K89" i="8"/>
  <c r="K9" i="8"/>
  <c r="K21" i="8"/>
  <c r="K10" i="8"/>
  <c r="K30" i="8"/>
  <c r="K34" i="8"/>
  <c r="K38" i="8"/>
  <c r="K42" i="8"/>
  <c r="K46" i="8"/>
  <c r="K52" i="8"/>
  <c r="K85" i="8"/>
  <c r="K110" i="8"/>
  <c r="K8" i="8"/>
  <c r="K20" i="8"/>
  <c r="K40" i="8"/>
  <c r="K54" i="8"/>
  <c r="K64" i="8"/>
  <c r="K98" i="8"/>
  <c r="K5" i="8"/>
  <c r="K13" i="8"/>
  <c r="K41" i="8"/>
  <c r="K14" i="8"/>
  <c r="K3" i="8"/>
  <c r="K7" i="8"/>
  <c r="K15" i="8"/>
  <c r="K23" i="8"/>
  <c r="K27" i="8"/>
  <c r="K31" i="8"/>
  <c r="K35" i="8"/>
  <c r="K39" i="8"/>
  <c r="K43" i="8"/>
  <c r="K48" i="8"/>
  <c r="K53" i="8"/>
  <c r="K62" i="8"/>
  <c r="K71" i="8"/>
  <c r="K96" i="8"/>
  <c r="K112" i="8"/>
  <c r="K116" i="8"/>
  <c r="K118" i="8"/>
  <c r="K120" i="8"/>
  <c r="K122" i="8"/>
  <c r="K126" i="8"/>
  <c r="K128" i="8"/>
  <c r="K130" i="8"/>
  <c r="K132" i="8"/>
  <c r="K134" i="8"/>
  <c r="K136" i="8"/>
  <c r="K138" i="8"/>
  <c r="K140" i="8"/>
  <c r="K142" i="8"/>
  <c r="K144" i="8"/>
  <c r="K146" i="8"/>
  <c r="K148" i="8"/>
  <c r="K150" i="8"/>
  <c r="K63" i="8"/>
  <c r="K72" i="8"/>
  <c r="K76" i="8"/>
  <c r="K84" i="8"/>
  <c r="K88" i="8"/>
  <c r="K93" i="8"/>
  <c r="K97" i="8"/>
  <c r="K113" i="8"/>
  <c r="K117" i="8"/>
  <c r="K129" i="8"/>
  <c r="K131" i="8"/>
  <c r="K133" i="8"/>
  <c r="K137" i="8"/>
  <c r="K139" i="8"/>
  <c r="K141" i="8"/>
  <c r="K143" i="8"/>
  <c r="K145" i="8"/>
  <c r="K147" i="8"/>
  <c r="K61" i="8"/>
  <c r="K65" i="8"/>
  <c r="K70" i="8"/>
  <c r="K74" i="8"/>
  <c r="K86" i="8"/>
  <c r="K95" i="8"/>
  <c r="K99" i="8"/>
  <c r="K115" i="8"/>
  <c r="K119" i="8"/>
  <c r="K123" i="8"/>
  <c r="K127" i="8"/>
  <c r="K135" i="8"/>
  <c r="K92" i="8"/>
  <c r="M9" i="77"/>
  <c r="M38" i="77"/>
  <c r="M37" i="77" s="1"/>
  <c r="M57" i="77"/>
  <c r="M11" i="77"/>
  <c r="M10" i="77" s="1"/>
  <c r="M69" i="77"/>
  <c r="M223" i="127"/>
  <c r="M176" i="127"/>
  <c r="M232" i="127"/>
  <c r="M77" i="126"/>
  <c r="M48" i="126"/>
  <c r="M18" i="163"/>
  <c r="M12" i="181"/>
  <c r="M13" i="181" s="1"/>
  <c r="M13" i="193"/>
  <c r="M14" i="193" s="1"/>
  <c r="M13" i="183"/>
  <c r="M14" i="183" s="1"/>
  <c r="M13" i="195"/>
  <c r="M14" i="195" s="1"/>
  <c r="M13" i="223"/>
  <c r="M14" i="223" s="1"/>
  <c r="M11" i="228"/>
  <c r="M12" i="228" s="1"/>
  <c r="M13" i="216"/>
  <c r="M14" i="216" s="1"/>
  <c r="M10" i="214"/>
  <c r="M11" i="214" s="1"/>
  <c r="M10" i="220"/>
  <c r="M11" i="220" s="1"/>
  <c r="M10" i="219"/>
  <c r="M11" i="219" s="1"/>
  <c r="M12" i="217"/>
  <c r="M13" i="217" s="1"/>
  <c r="M10" i="132"/>
  <c r="M11" i="132" s="1"/>
  <c r="M17" i="144"/>
  <c r="M18" i="144" s="1"/>
  <c r="M12" i="215"/>
  <c r="M13" i="215" s="1"/>
  <c r="M10" i="157"/>
  <c r="M11" i="157" s="1"/>
  <c r="M10" i="177"/>
  <c r="M11" i="177" s="1"/>
  <c r="M10" i="159"/>
  <c r="M11" i="159" s="1"/>
  <c r="M13" i="187"/>
  <c r="M14" i="187" s="1"/>
  <c r="M15" i="225"/>
  <c r="M16" i="225" s="1"/>
  <c r="M12" i="235"/>
  <c r="M13" i="235" s="1"/>
  <c r="M14" i="239"/>
  <c r="M15" i="239" s="1"/>
  <c r="M14" i="237"/>
  <c r="M15" i="237" s="1"/>
  <c r="M16" i="191"/>
  <c r="M17" i="191" s="1"/>
  <c r="M14" i="188"/>
  <c r="M15" i="188" s="1"/>
  <c r="M12" i="197"/>
  <c r="M13" i="197" s="1"/>
  <c r="M18" i="162"/>
  <c r="M19" i="162" s="1"/>
  <c r="M12" i="135"/>
  <c r="M13" i="135" s="1"/>
  <c r="M13" i="130"/>
  <c r="M14" i="130" s="1"/>
  <c r="M17" i="140"/>
  <c r="M18" i="140" s="1"/>
  <c r="M19" i="100"/>
  <c r="M20" i="100" s="1"/>
  <c r="M10" i="200"/>
  <c r="M11" i="200" s="1"/>
  <c r="M10" i="246"/>
  <c r="M11" i="246" s="1"/>
  <c r="M19" i="160"/>
  <c r="M20" i="160" s="1"/>
  <c r="M9" i="117"/>
  <c r="M10" i="117" s="1"/>
  <c r="M11" i="198"/>
  <c r="M12" i="198" s="1"/>
  <c r="M14" i="247"/>
  <c r="M15" i="247" s="1"/>
  <c r="M9" i="98"/>
  <c r="M10" i="98" s="1"/>
  <c r="M10" i="250"/>
  <c r="M11" i="250" s="1"/>
  <c r="M13" i="252"/>
  <c r="M14" i="252" s="1"/>
  <c r="M10" i="210"/>
  <c r="M11" i="210" s="1"/>
  <c r="M8" i="218"/>
  <c r="M9" i="218" s="1"/>
  <c r="M12" i="142"/>
  <c r="M13" i="142" s="1"/>
  <c r="M7" i="148"/>
  <c r="M8" i="148" s="1"/>
  <c r="M11" i="240"/>
  <c r="M12" i="240" s="1"/>
  <c r="M11" i="149"/>
  <c r="M12" i="149" s="1"/>
  <c r="M10" i="211"/>
  <c r="M11" i="211" s="1"/>
  <c r="M7" i="249"/>
  <c r="M8" i="249" s="1"/>
  <c r="M16" i="170"/>
  <c r="M17" i="170" s="1"/>
  <c r="M14" i="103"/>
  <c r="M15" i="103" s="1"/>
  <c r="M22" i="102"/>
  <c r="M21" i="102"/>
  <c r="M11" i="114"/>
  <c r="M12" i="114" s="1"/>
  <c r="M13" i="180"/>
  <c r="M14" i="180" s="1"/>
  <c r="M16" i="138"/>
  <c r="M17" i="138" s="1"/>
  <c r="M11" i="206"/>
  <c r="M12" i="206" s="1"/>
  <c r="M11" i="205"/>
  <c r="M12" i="205" s="1"/>
  <c r="M13" i="146"/>
  <c r="M14" i="146" s="1"/>
  <c r="M12" i="145"/>
  <c r="M13" i="145" s="1"/>
  <c r="M9" i="109"/>
  <c r="M10" i="109" s="1"/>
  <c r="M16" i="199"/>
  <c r="M17" i="199" s="1"/>
  <c r="F22" i="256"/>
  <c r="H20" i="256" s="1"/>
  <c r="F12" i="256"/>
  <c r="F7" i="256"/>
  <c r="K101" i="8" a="1"/>
  <c r="K111" i="8" a="1"/>
  <c r="K12" i="8" a="1"/>
  <c r="K29" i="8" a="1"/>
  <c r="K22" i="8" a="1"/>
  <c r="K60" i="8" a="1"/>
  <c r="K102" i="8" a="1"/>
  <c r="K103" i="8" a="1"/>
  <c r="K45" i="8" a="1"/>
  <c r="K106" i="8" a="1"/>
  <c r="K125" i="8" a="1"/>
  <c r="K25" i="8" a="1"/>
  <c r="K19" i="8" a="1"/>
  <c r="K82" i="8" a="1"/>
  <c r="K11" i="8" a="1"/>
  <c r="K149" i="8" a="1"/>
  <c r="K77" i="8" a="1"/>
  <c r="K26" i="8" a="1"/>
  <c r="K79" i="8" a="1"/>
  <c r="K58" i="8" a="1"/>
  <c r="K104" i="8" a="1"/>
  <c r="K107" i="8" a="1"/>
  <c r="K105" i="8" a="1"/>
  <c r="K124" i="8" a="1"/>
  <c r="K68" i="8" a="1"/>
  <c r="K81" i="8" a="1"/>
  <c r="K83" i="8" a="1"/>
  <c r="K151" i="8"/>
  <c r="K87" i="8" a="1"/>
  <c r="K90" i="8" a="1"/>
  <c r="K67" i="8" a="1"/>
  <c r="K109" i="8" a="1"/>
  <c r="K94" i="8" a="1"/>
  <c r="K155" i="8"/>
  <c r="K28" i="8" a="1"/>
  <c r="K80" i="8" a="1"/>
  <c r="K16" i="8" a="1"/>
  <c r="K100" i="8" a="1"/>
  <c r="K78" i="8" a="1"/>
  <c r="K108" i="8" a="1"/>
  <c r="K114" i="8" a="1"/>
  <c r="K69" i="8" a="1"/>
  <c r="K18" i="8" a="1"/>
  <c r="K57" i="8" a="1"/>
  <c r="K121" i="8" a="1"/>
  <c r="K11" i="8" l="1"/>
  <c r="K12" i="8"/>
  <c r="K16" i="8"/>
  <c r="K18" i="8"/>
  <c r="K19" i="8"/>
  <c r="K22" i="8"/>
  <c r="K25" i="8"/>
  <c r="K26" i="8"/>
  <c r="K28" i="8"/>
  <c r="K29" i="8"/>
  <c r="K45" i="8"/>
  <c r="K57" i="8"/>
  <c r="K58" i="8"/>
  <c r="K60" i="8"/>
  <c r="K67" i="8"/>
  <c r="K68" i="8"/>
  <c r="K69" i="8"/>
  <c r="K77" i="8"/>
  <c r="K78" i="8"/>
  <c r="K79" i="8"/>
  <c r="K80" i="8"/>
  <c r="K81" i="8"/>
  <c r="K82" i="8"/>
  <c r="K83" i="8"/>
  <c r="K87" i="8"/>
  <c r="K90" i="8"/>
  <c r="K94" i="8"/>
  <c r="K100" i="8"/>
  <c r="K101" i="8"/>
  <c r="K102" i="8"/>
  <c r="K103" i="8"/>
  <c r="K104" i="8"/>
  <c r="K105" i="8"/>
  <c r="K106" i="8"/>
  <c r="K107" i="8"/>
  <c r="K108" i="8"/>
  <c r="K109" i="8"/>
  <c r="K111" i="8"/>
  <c r="K114" i="8"/>
  <c r="K121" i="8"/>
  <c r="K124" i="8"/>
  <c r="K125" i="8"/>
  <c r="K149" i="8"/>
  <c r="M59" i="77"/>
  <c r="M58" i="77" s="1"/>
  <c r="M70" i="77"/>
  <c r="E16" i="256"/>
  <c r="E15" i="256"/>
  <c r="K156" i="8"/>
  <c r="K158" i="8" l="1"/>
  <c r="F16" i="256"/>
  <c r="F15" i="256"/>
  <c r="F7" i="153"/>
  <c r="C9" i="257"/>
  <c r="D10" i="257" a="1"/>
  <c r="K159" i="8" l="1"/>
  <c r="K161" i="8" s="1"/>
  <c r="D10" i="257"/>
  <c r="C8" i="257"/>
  <c r="C7" i="257"/>
  <c r="C6" i="257"/>
  <c r="C3" i="257"/>
  <c r="E10" i="257" a="1"/>
  <c r="C5" i="257"/>
  <c r="D9" i="257" a="1"/>
  <c r="C4" i="257"/>
  <c r="C10" i="257" a="1"/>
  <c r="D9" i="257" l="1"/>
  <c r="E10" i="257"/>
  <c r="C10" i="257"/>
  <c r="E12" i="126" l="1"/>
  <c r="E5" i="101"/>
  <c r="E7" i="103"/>
  <c r="E5" i="103"/>
  <c r="E19" i="102"/>
  <c r="F19" i="102" s="1"/>
  <c r="D190" i="127"/>
  <c r="F40" i="126"/>
  <c r="D40" i="77"/>
  <c r="F196" i="127"/>
  <c r="F197" i="127" s="1"/>
  <c r="N195" i="127" s="1"/>
  <c r="F103" i="127"/>
  <c r="F102" i="127"/>
  <c r="F101" i="127"/>
  <c r="F100" i="127"/>
  <c r="F99" i="127"/>
  <c r="F98" i="127"/>
  <c r="F97" i="127"/>
  <c r="F230" i="127"/>
  <c r="F229" i="127"/>
  <c r="F47" i="126"/>
  <c r="F46" i="126"/>
  <c r="F45" i="126"/>
  <c r="F43" i="126"/>
  <c r="F44" i="126"/>
  <c r="F41" i="126"/>
  <c r="F42" i="126"/>
  <c r="F46" i="77"/>
  <c r="E20" i="77"/>
  <c r="F20" i="77" s="1"/>
  <c r="F19" i="77"/>
  <c r="F18" i="77"/>
  <c r="F55" i="77"/>
  <c r="D50" i="77"/>
  <c r="D51" i="77"/>
  <c r="D64" i="77"/>
  <c r="D63" i="77"/>
  <c r="D62" i="77"/>
  <c r="F14" i="170"/>
  <c r="F13" i="170"/>
  <c r="F14" i="166"/>
  <c r="F13" i="166"/>
  <c r="F12" i="166"/>
  <c r="F11" i="166"/>
  <c r="F10" i="166"/>
  <c r="F11" i="103"/>
  <c r="F12" i="103"/>
  <c r="F18" i="102"/>
  <c r="F19" i="101"/>
  <c r="F18" i="101"/>
  <c r="F17" i="101"/>
  <c r="F16" i="101"/>
  <c r="F17" i="100"/>
  <c r="F16" i="100"/>
  <c r="F15" i="100"/>
  <c r="F14" i="100"/>
  <c r="F13" i="100"/>
  <c r="F5" i="255"/>
  <c r="F6" i="255" s="1"/>
  <c r="F6" i="254"/>
  <c r="F5" i="254"/>
  <c r="F9" i="253"/>
  <c r="F8" i="253"/>
  <c r="F10" i="253" s="1"/>
  <c r="F7" i="253"/>
  <c r="F6" i="253"/>
  <c r="F5" i="253"/>
  <c r="F11" i="252"/>
  <c r="F12" i="252"/>
  <c r="F10" i="252"/>
  <c r="F9" i="252"/>
  <c r="F8" i="252"/>
  <c r="F7" i="252"/>
  <c r="F6" i="252"/>
  <c r="F5" i="252"/>
  <c r="F7" i="235"/>
  <c r="F9" i="250"/>
  <c r="F6" i="250"/>
  <c r="F5" i="250"/>
  <c r="F10" i="250" s="1"/>
  <c r="F8" i="250"/>
  <c r="F7" i="250"/>
  <c r="F6" i="249"/>
  <c r="F5" i="249"/>
  <c r="F7" i="249" s="1"/>
  <c r="F8" i="248"/>
  <c r="F9" i="248" s="1"/>
  <c r="F7" i="248"/>
  <c r="F6" i="248"/>
  <c r="F5" i="248"/>
  <c r="F10" i="247"/>
  <c r="F11" i="247"/>
  <c r="F7" i="247"/>
  <c r="F6" i="247"/>
  <c r="F13" i="247"/>
  <c r="F5" i="247"/>
  <c r="F14" i="247" s="1"/>
  <c r="F12" i="247"/>
  <c r="F9" i="247"/>
  <c r="F8" i="247"/>
  <c r="F9" i="246"/>
  <c r="F8" i="246"/>
  <c r="F7" i="246"/>
  <c r="F6" i="246"/>
  <c r="F5" i="246"/>
  <c r="F6" i="161"/>
  <c r="F7" i="161"/>
  <c r="F8" i="161"/>
  <c r="F9" i="161"/>
  <c r="F5" i="161"/>
  <c r="F6" i="245"/>
  <c r="F7" i="245"/>
  <c r="F8" i="245"/>
  <c r="F5" i="245"/>
  <c r="F226" i="127"/>
  <c r="F225" i="127"/>
  <c r="F217" i="127"/>
  <c r="F218" i="127"/>
  <c r="F219" i="127"/>
  <c r="F220" i="127"/>
  <c r="F221" i="127"/>
  <c r="F222" i="127"/>
  <c r="F216" i="127"/>
  <c r="F6" i="243"/>
  <c r="F5" i="243"/>
  <c r="F6" i="242"/>
  <c r="F5" i="242"/>
  <c r="F6" i="241"/>
  <c r="F5" i="241"/>
  <c r="F6" i="240"/>
  <c r="F7" i="240"/>
  <c r="F8" i="240"/>
  <c r="F9" i="240"/>
  <c r="F10" i="240"/>
  <c r="F5" i="240"/>
  <c r="F6" i="239"/>
  <c r="F7" i="239"/>
  <c r="F8" i="239"/>
  <c r="F9" i="239"/>
  <c r="F10" i="239"/>
  <c r="F11" i="239"/>
  <c r="F12" i="239"/>
  <c r="F13" i="239"/>
  <c r="F5" i="239"/>
  <c r="F6" i="238"/>
  <c r="F7" i="238"/>
  <c r="F8" i="238"/>
  <c r="F9" i="238"/>
  <c r="F10" i="238"/>
  <c r="F11" i="238"/>
  <c r="F12" i="238"/>
  <c r="F5" i="238"/>
  <c r="F6" i="237"/>
  <c r="F7" i="237"/>
  <c r="F8" i="237"/>
  <c r="F9" i="237"/>
  <c r="F10" i="237"/>
  <c r="F11" i="237"/>
  <c r="F12" i="237"/>
  <c r="F13" i="237"/>
  <c r="F5" i="237"/>
  <c r="F5" i="236"/>
  <c r="F6" i="235"/>
  <c r="F8" i="235"/>
  <c r="F9" i="235"/>
  <c r="F10" i="235"/>
  <c r="F11" i="235"/>
  <c r="F5" i="235"/>
  <c r="F12" i="235" s="1"/>
  <c r="F6" i="234"/>
  <c r="F7" i="234"/>
  <c r="F8" i="234"/>
  <c r="F9" i="234"/>
  <c r="F10" i="234"/>
  <c r="F11" i="234"/>
  <c r="F5" i="234"/>
  <c r="F6" i="233"/>
  <c r="F7" i="233"/>
  <c r="F8" i="233"/>
  <c r="F9" i="233"/>
  <c r="F10" i="233"/>
  <c r="F11" i="233"/>
  <c r="F12" i="233"/>
  <c r="F5" i="233"/>
  <c r="F6" i="232"/>
  <c r="F7" i="232"/>
  <c r="F8" i="232"/>
  <c r="F9" i="232"/>
  <c r="F10" i="232"/>
  <c r="F11" i="232"/>
  <c r="F5" i="232"/>
  <c r="F6" i="231"/>
  <c r="F7" i="231"/>
  <c r="F8" i="231"/>
  <c r="F9" i="231"/>
  <c r="F5" i="231"/>
  <c r="F6" i="230"/>
  <c r="F7" i="230"/>
  <c r="F8" i="230"/>
  <c r="F9" i="230"/>
  <c r="F5" i="230"/>
  <c r="F6" i="228"/>
  <c r="F7" i="228"/>
  <c r="F8" i="228"/>
  <c r="F9" i="228"/>
  <c r="F10" i="228"/>
  <c r="F5" i="228"/>
  <c r="F6" i="229"/>
  <c r="F7" i="229"/>
  <c r="F8" i="229"/>
  <c r="F9" i="229"/>
  <c r="F10" i="229"/>
  <c r="F5" i="229"/>
  <c r="F6" i="227"/>
  <c r="F7" i="227"/>
  <c r="F8" i="227"/>
  <c r="F9" i="227"/>
  <c r="F10" i="227"/>
  <c r="F11" i="227"/>
  <c r="F5" i="227"/>
  <c r="F6" i="226"/>
  <c r="F5" i="226"/>
  <c r="F6" i="225"/>
  <c r="F7" i="225"/>
  <c r="F8" i="225"/>
  <c r="F9" i="225"/>
  <c r="F10" i="225"/>
  <c r="F11" i="225"/>
  <c r="F12" i="225"/>
  <c r="F13" i="225"/>
  <c r="F14" i="225"/>
  <c r="F5" i="225"/>
  <c r="F6" i="224"/>
  <c r="F7" i="224"/>
  <c r="F8" i="224"/>
  <c r="F9" i="224"/>
  <c r="F10" i="224"/>
  <c r="F11" i="224"/>
  <c r="F5" i="224"/>
  <c r="F6" i="178"/>
  <c r="F7" i="178"/>
  <c r="F8" i="178"/>
  <c r="F9" i="178"/>
  <c r="F10" i="178"/>
  <c r="F11" i="178"/>
  <c r="F12" i="178"/>
  <c r="F5" i="178"/>
  <c r="F6" i="223"/>
  <c r="F7" i="223"/>
  <c r="F8" i="223"/>
  <c r="F9" i="223"/>
  <c r="F10" i="223"/>
  <c r="F11" i="223"/>
  <c r="F12" i="223"/>
  <c r="F5" i="223"/>
  <c r="F6" i="222"/>
  <c r="F5" i="222"/>
  <c r="F7" i="222" s="1"/>
  <c r="F6" i="221"/>
  <c r="F7" i="221"/>
  <c r="F8" i="221"/>
  <c r="F9" i="221"/>
  <c r="F10" i="221"/>
  <c r="F5" i="221"/>
  <c r="F6" i="220"/>
  <c r="F7" i="220"/>
  <c r="F8" i="220"/>
  <c r="F9" i="220"/>
  <c r="F5" i="220"/>
  <c r="F6" i="219"/>
  <c r="F7" i="219"/>
  <c r="F8" i="219"/>
  <c r="F9" i="219"/>
  <c r="F5" i="219"/>
  <c r="F6" i="218"/>
  <c r="F7" i="218"/>
  <c r="F5" i="218"/>
  <c r="F13" i="252" l="1"/>
  <c r="F7" i="242"/>
  <c r="F7" i="226"/>
  <c r="F7" i="241"/>
  <c r="F7" i="243"/>
  <c r="F10" i="246"/>
  <c r="N4" i="246" s="1"/>
  <c r="F24" i="256"/>
  <c r="F231" i="127"/>
  <c r="N228" i="127" s="1"/>
  <c r="F8" i="218"/>
  <c r="F15" i="225"/>
  <c r="F7" i="255"/>
  <c r="E59" i="8" s="1"/>
  <c r="N4" i="255"/>
  <c r="F7" i="254"/>
  <c r="N4" i="254" s="1"/>
  <c r="F8" i="254"/>
  <c r="N4" i="253"/>
  <c r="F11" i="253"/>
  <c r="N4" i="252"/>
  <c r="F14" i="252"/>
  <c r="E51" i="8" s="1"/>
  <c r="F11" i="250"/>
  <c r="E56" i="8" s="1"/>
  <c r="N4" i="250"/>
  <c r="N4" i="249"/>
  <c r="F8" i="249"/>
  <c r="E37" i="8" s="1"/>
  <c r="N4" i="248"/>
  <c r="F10" i="248"/>
  <c r="E47" i="8" s="1"/>
  <c r="N4" i="247"/>
  <c r="F15" i="247"/>
  <c r="E60" i="8" s="1"/>
  <c r="F10" i="219"/>
  <c r="F11" i="221"/>
  <c r="F12" i="224"/>
  <c r="F13" i="233"/>
  <c r="F13" i="238"/>
  <c r="F12" i="234"/>
  <c r="F11" i="228"/>
  <c r="F10" i="230"/>
  <c r="F14" i="237"/>
  <c r="F9" i="245"/>
  <c r="F10" i="161"/>
  <c r="F10" i="220"/>
  <c r="F12" i="227"/>
  <c r="F12" i="232"/>
  <c r="F13" i="223"/>
  <c r="F13" i="178"/>
  <c r="F10" i="231"/>
  <c r="F14" i="239"/>
  <c r="F11" i="240"/>
  <c r="F227" i="127"/>
  <c r="F11" i="229"/>
  <c r="F223" i="127"/>
  <c r="F6" i="217"/>
  <c r="F7" i="217"/>
  <c r="F8" i="217"/>
  <c r="F9" i="217"/>
  <c r="F10" i="217"/>
  <c r="F11" i="217"/>
  <c r="F5" i="217"/>
  <c r="F6" i="216"/>
  <c r="F7" i="216"/>
  <c r="F8" i="216"/>
  <c r="F9" i="216"/>
  <c r="F10" i="216"/>
  <c r="F11" i="216"/>
  <c r="F12" i="216"/>
  <c r="F5" i="216"/>
  <c r="F6" i="215"/>
  <c r="F7" i="215"/>
  <c r="F8" i="215"/>
  <c r="F9" i="215"/>
  <c r="F10" i="215"/>
  <c r="F11" i="215"/>
  <c r="F5" i="215"/>
  <c r="F6" i="214"/>
  <c r="F7" i="214"/>
  <c r="F8" i="214"/>
  <c r="F9" i="214"/>
  <c r="F5" i="214"/>
  <c r="F6" i="213"/>
  <c r="F7" i="213"/>
  <c r="F8" i="213"/>
  <c r="F9" i="213"/>
  <c r="F10" i="213"/>
  <c r="F11" i="213"/>
  <c r="F12" i="213"/>
  <c r="F5" i="213"/>
  <c r="F212" i="127"/>
  <c r="F6" i="212"/>
  <c r="F7" i="212"/>
  <c r="F8" i="212"/>
  <c r="F5" i="212"/>
  <c r="F6" i="211"/>
  <c r="F7" i="211"/>
  <c r="F8" i="211"/>
  <c r="F9" i="211"/>
  <c r="F5" i="211"/>
  <c r="F6" i="210"/>
  <c r="F7" i="210"/>
  <c r="F8" i="210"/>
  <c r="F9" i="210"/>
  <c r="F5" i="210"/>
  <c r="F6" i="209"/>
  <c r="F7" i="209"/>
  <c r="F8" i="209"/>
  <c r="F9" i="209"/>
  <c r="F5" i="209"/>
  <c r="F8" i="77"/>
  <c r="F7" i="77"/>
  <c r="F5" i="77"/>
  <c r="F31" i="77"/>
  <c r="F28" i="77"/>
  <c r="F24" i="77"/>
  <c r="F17" i="77"/>
  <c r="F41" i="77"/>
  <c r="F42" i="77"/>
  <c r="F43" i="77"/>
  <c r="F44" i="77"/>
  <c r="F45" i="77"/>
  <c r="F47" i="77"/>
  <c r="F53" i="77"/>
  <c r="F54" i="77"/>
  <c r="F56" i="77"/>
  <c r="F40" i="77"/>
  <c r="F65" i="77"/>
  <c r="F66" i="77"/>
  <c r="F67" i="77"/>
  <c r="F68" i="77"/>
  <c r="F15" i="138"/>
  <c r="F6" i="138"/>
  <c r="F7" i="138"/>
  <c r="F8" i="138"/>
  <c r="F9" i="138"/>
  <c r="F10" i="138"/>
  <c r="F11" i="138"/>
  <c r="F12" i="138"/>
  <c r="F13" i="138"/>
  <c r="F14" i="138"/>
  <c r="F5" i="138"/>
  <c r="D12" i="146"/>
  <c r="F6" i="146"/>
  <c r="F7" i="146"/>
  <c r="F8" i="146"/>
  <c r="F9" i="146"/>
  <c r="F10" i="146"/>
  <c r="F11" i="146"/>
  <c r="F12" i="146"/>
  <c r="F5" i="146"/>
  <c r="F20" i="102"/>
  <c r="F17" i="102"/>
  <c r="F16" i="102"/>
  <c r="F15" i="102"/>
  <c r="F14" i="102"/>
  <c r="F13" i="102"/>
  <c r="F10" i="102"/>
  <c r="F11" i="102" s="1"/>
  <c r="F7" i="102"/>
  <c r="F6" i="102"/>
  <c r="F5" i="102"/>
  <c r="F7" i="109"/>
  <c r="F8" i="109"/>
  <c r="F6" i="110"/>
  <c r="F8" i="110"/>
  <c r="F9" i="110"/>
  <c r="F10" i="110"/>
  <c r="F5" i="110"/>
  <c r="F6" i="207"/>
  <c r="F7" i="207"/>
  <c r="F8" i="207"/>
  <c r="F5" i="207"/>
  <c r="F6" i="206"/>
  <c r="F7" i="206"/>
  <c r="F8" i="206"/>
  <c r="F9" i="206"/>
  <c r="F10" i="206"/>
  <c r="F5" i="206"/>
  <c r="F6" i="205"/>
  <c r="F7" i="205"/>
  <c r="F8" i="205"/>
  <c r="F9" i="205"/>
  <c r="F10" i="205"/>
  <c r="F5" i="205"/>
  <c r="F209" i="127"/>
  <c r="F208" i="127"/>
  <c r="F210" i="127" s="1"/>
  <c r="F6" i="204"/>
  <c r="F5" i="204"/>
  <c r="F7" i="204" s="1"/>
  <c r="F7" i="203"/>
  <c r="F6" i="203"/>
  <c r="F5" i="203"/>
  <c r="F6" i="202"/>
  <c r="F5" i="202"/>
  <c r="F6" i="201"/>
  <c r="F7" i="201"/>
  <c r="F5" i="201"/>
  <c r="F6" i="200"/>
  <c r="F7" i="200"/>
  <c r="F8" i="200"/>
  <c r="F9" i="200"/>
  <c r="F5" i="200"/>
  <c r="F6" i="199"/>
  <c r="F7" i="199"/>
  <c r="F8" i="199"/>
  <c r="F9" i="199"/>
  <c r="F10" i="199"/>
  <c r="F11" i="199"/>
  <c r="F12" i="199"/>
  <c r="F13" i="199"/>
  <c r="F14" i="199"/>
  <c r="F15" i="199"/>
  <c r="F5" i="199"/>
  <c r="F6" i="198"/>
  <c r="F7" i="198"/>
  <c r="F8" i="198"/>
  <c r="F9" i="198"/>
  <c r="F10" i="198"/>
  <c r="F5" i="198"/>
  <c r="F6" i="197"/>
  <c r="F7" i="197"/>
  <c r="F8" i="197"/>
  <c r="F9" i="197"/>
  <c r="F10" i="197"/>
  <c r="F11" i="197"/>
  <c r="F5" i="197"/>
  <c r="F6" i="196"/>
  <c r="F7" i="196"/>
  <c r="F8" i="196"/>
  <c r="F9" i="196"/>
  <c r="F10" i="196"/>
  <c r="F11" i="196"/>
  <c r="F5" i="196"/>
  <c r="F6" i="195"/>
  <c r="F7" i="195"/>
  <c r="F8" i="195"/>
  <c r="F9" i="195"/>
  <c r="F10" i="195"/>
  <c r="F11" i="195"/>
  <c r="F12" i="195"/>
  <c r="F5" i="195"/>
  <c r="F6" i="194"/>
  <c r="F7" i="194"/>
  <c r="F8" i="194"/>
  <c r="F9" i="194"/>
  <c r="F10" i="194"/>
  <c r="F11" i="194"/>
  <c r="F5" i="194"/>
  <c r="F6" i="193"/>
  <c r="F7" i="193"/>
  <c r="F8" i="193"/>
  <c r="F9" i="193"/>
  <c r="F10" i="193"/>
  <c r="F11" i="193"/>
  <c r="F12" i="193"/>
  <c r="F5" i="193"/>
  <c r="F6" i="192"/>
  <c r="F7" i="192"/>
  <c r="F8" i="192"/>
  <c r="F9" i="192"/>
  <c r="F10" i="192"/>
  <c r="F11" i="192"/>
  <c r="F5" i="192"/>
  <c r="F11" i="191"/>
  <c r="F6" i="191"/>
  <c r="F7" i="191"/>
  <c r="F8" i="191"/>
  <c r="F9" i="191"/>
  <c r="F10" i="191"/>
  <c r="F12" i="191"/>
  <c r="F13" i="191"/>
  <c r="F14" i="191"/>
  <c r="F15" i="191"/>
  <c r="F5" i="191"/>
  <c r="F6" i="190"/>
  <c r="F7" i="190"/>
  <c r="F8" i="190"/>
  <c r="F9" i="190"/>
  <c r="F10" i="190"/>
  <c r="F11" i="190"/>
  <c r="F5" i="190"/>
  <c r="F6" i="189"/>
  <c r="F7" i="189"/>
  <c r="F8" i="189"/>
  <c r="F9" i="189"/>
  <c r="F10" i="189"/>
  <c r="F11" i="189"/>
  <c r="F5" i="189"/>
  <c r="F6" i="188"/>
  <c r="F7" i="188"/>
  <c r="F8" i="188"/>
  <c r="F9" i="188"/>
  <c r="F10" i="188"/>
  <c r="F11" i="188"/>
  <c r="F12" i="188"/>
  <c r="F13" i="188"/>
  <c r="F5" i="188"/>
  <c r="F6" i="187"/>
  <c r="F7" i="187"/>
  <c r="F8" i="187"/>
  <c r="F9" i="187"/>
  <c r="F10" i="187"/>
  <c r="F11" i="187"/>
  <c r="F12" i="187"/>
  <c r="F5" i="187"/>
  <c r="F6" i="186"/>
  <c r="F7" i="186"/>
  <c r="F8" i="186"/>
  <c r="F9" i="186"/>
  <c r="F10" i="186"/>
  <c r="F5" i="186"/>
  <c r="F6" i="185"/>
  <c r="F5" i="185"/>
  <c r="F6" i="184"/>
  <c r="F7" i="184"/>
  <c r="F8" i="184"/>
  <c r="F9" i="184"/>
  <c r="F10" i="184"/>
  <c r="F11" i="184"/>
  <c r="F12" i="184"/>
  <c r="F5" i="184"/>
  <c r="F6" i="183"/>
  <c r="F7" i="183"/>
  <c r="F8" i="183"/>
  <c r="F9" i="183"/>
  <c r="F10" i="183"/>
  <c r="F11" i="183"/>
  <c r="F12" i="183"/>
  <c r="F5" i="183"/>
  <c r="F6" i="182"/>
  <c r="F7" i="182"/>
  <c r="F5" i="182"/>
  <c r="F6" i="181"/>
  <c r="F7" i="181"/>
  <c r="F8" i="181"/>
  <c r="F9" i="181"/>
  <c r="F10" i="181"/>
  <c r="F11" i="181"/>
  <c r="F5" i="181"/>
  <c r="F6" i="180"/>
  <c r="F7" i="180"/>
  <c r="F8" i="180"/>
  <c r="F9" i="180"/>
  <c r="F10" i="180"/>
  <c r="F11" i="180"/>
  <c r="F12" i="180"/>
  <c r="F5" i="180"/>
  <c r="F5" i="179"/>
  <c r="F200" i="127"/>
  <c r="F201" i="127"/>
  <c r="F202" i="127"/>
  <c r="F203" i="127"/>
  <c r="F204" i="127"/>
  <c r="F205" i="127"/>
  <c r="F199" i="127"/>
  <c r="F6" i="177"/>
  <c r="F7" i="177"/>
  <c r="F8" i="177"/>
  <c r="F9" i="177"/>
  <c r="F5" i="177"/>
  <c r="F5" i="176"/>
  <c r="F5" i="175"/>
  <c r="F5" i="174"/>
  <c r="F5" i="173"/>
  <c r="F6" i="172"/>
  <c r="F5" i="172"/>
  <c r="F6" i="171"/>
  <c r="F7" i="171"/>
  <c r="F8" i="171"/>
  <c r="F5" i="171"/>
  <c r="F6" i="170"/>
  <c r="F7" i="170"/>
  <c r="F8" i="170"/>
  <c r="F9" i="170"/>
  <c r="F10" i="170"/>
  <c r="F11" i="170"/>
  <c r="F12" i="170"/>
  <c r="F15" i="170"/>
  <c r="F5" i="170"/>
  <c r="F5" i="169"/>
  <c r="F6" i="169" s="1"/>
  <c r="F6" i="168"/>
  <c r="F7" i="168"/>
  <c r="F8" i="168"/>
  <c r="F9" i="168"/>
  <c r="F5" i="168"/>
  <c r="F6" i="167"/>
  <c r="F7" i="167"/>
  <c r="F8" i="167"/>
  <c r="F5" i="167"/>
  <c r="F6" i="166"/>
  <c r="F7" i="166"/>
  <c r="F8" i="166"/>
  <c r="F9" i="166"/>
  <c r="F15" i="166"/>
  <c r="F5" i="166"/>
  <c r="F16" i="166" s="1"/>
  <c r="F6" i="164"/>
  <c r="F7" i="164"/>
  <c r="F8" i="164"/>
  <c r="F9" i="164"/>
  <c r="F10" i="164"/>
  <c r="F11" i="164"/>
  <c r="F12" i="164"/>
  <c r="F5" i="164"/>
  <c r="F6" i="163"/>
  <c r="F7" i="163"/>
  <c r="F8" i="163"/>
  <c r="F9" i="163"/>
  <c r="F10" i="163"/>
  <c r="F11" i="163"/>
  <c r="F12" i="163"/>
  <c r="F13" i="163"/>
  <c r="F14" i="163"/>
  <c r="F15" i="163"/>
  <c r="F5" i="163"/>
  <c r="F6" i="162"/>
  <c r="F7" i="162"/>
  <c r="F8" i="162"/>
  <c r="F9" i="162"/>
  <c r="F10" i="162"/>
  <c r="F11" i="162"/>
  <c r="F12" i="162"/>
  <c r="F13" i="162"/>
  <c r="F14" i="162"/>
  <c r="F15" i="162"/>
  <c r="F16" i="162"/>
  <c r="F17" i="162"/>
  <c r="F5" i="162"/>
  <c r="E91" i="8" a="1"/>
  <c r="E127" i="8" a="1"/>
  <c r="D7" i="257" a="1"/>
  <c r="F21" i="102" l="1"/>
  <c r="D7" i="257"/>
  <c r="F8" i="102"/>
  <c r="F22" i="102" s="1"/>
  <c r="E127" i="8"/>
  <c r="E91" i="8"/>
  <c r="F16" i="170"/>
  <c r="F7" i="172"/>
  <c r="N4" i="172" s="1"/>
  <c r="F13" i="187"/>
  <c r="F14" i="188"/>
  <c r="F12" i="190"/>
  <c r="F13" i="195"/>
  <c r="F16" i="199"/>
  <c r="F7" i="202"/>
  <c r="F26" i="256"/>
  <c r="H13" i="256" s="1"/>
  <c r="F13" i="164"/>
  <c r="F10" i="177"/>
  <c r="F8" i="182"/>
  <c r="F7" i="185"/>
  <c r="F16" i="138"/>
  <c r="F10" i="211"/>
  <c r="F9" i="212"/>
  <c r="F8" i="203"/>
  <c r="F11" i="206"/>
  <c r="F11" i="186"/>
  <c r="F12" i="197"/>
  <c r="F8" i="201"/>
  <c r="F12" i="217"/>
  <c r="F9" i="171"/>
  <c r="F13" i="180"/>
  <c r="F12" i="181"/>
  <c r="F12" i="189"/>
  <c r="F13" i="193"/>
  <c r="F12" i="194"/>
  <c r="F10" i="168"/>
  <c r="F12" i="192"/>
  <c r="F11" i="198"/>
  <c r="F13" i="213"/>
  <c r="F10" i="214"/>
  <c r="F13" i="216"/>
  <c r="F13" i="183"/>
  <c r="F13" i="184"/>
  <c r="F16" i="191"/>
  <c r="F12" i="196"/>
  <c r="F10" i="200"/>
  <c r="F11" i="205"/>
  <c r="F9" i="207"/>
  <c r="F10" i="209"/>
  <c r="F10" i="210"/>
  <c r="F12" i="215"/>
  <c r="F13" i="146"/>
  <c r="F206" i="127"/>
  <c r="F17" i="163"/>
  <c r="F18" i="162"/>
  <c r="F9" i="167"/>
  <c r="F11" i="246"/>
  <c r="E69" i="8" s="1"/>
  <c r="F8" i="242"/>
  <c r="F8" i="226"/>
  <c r="F14" i="178" l="1"/>
  <c r="E119" i="8" a="1"/>
  <c r="E48" i="8" a="1"/>
  <c r="E98" i="8" a="1"/>
  <c r="E119" i="8" l="1"/>
  <c r="E98" i="8"/>
  <c r="E48" i="8"/>
  <c r="E35" i="77" l="1"/>
  <c r="F35" i="77" s="1"/>
  <c r="F34" i="77"/>
  <c r="E33" i="77"/>
  <c r="F33" i="77" s="1"/>
  <c r="F32" i="77"/>
  <c r="F63" i="77"/>
  <c r="F62" i="77"/>
  <c r="F6" i="244"/>
  <c r="F5" i="244"/>
  <c r="F7" i="244" s="1"/>
  <c r="F15" i="239"/>
  <c r="F14" i="238"/>
  <c r="F15" i="237"/>
  <c r="F6" i="236"/>
  <c r="F7" i="236" s="1"/>
  <c r="F8" i="236" s="1"/>
  <c r="F13" i="235"/>
  <c r="F13" i="234"/>
  <c r="F14" i="233"/>
  <c r="F13" i="232"/>
  <c r="F11" i="231"/>
  <c r="F11" i="230"/>
  <c r="F12" i="229"/>
  <c r="F12" i="228"/>
  <c r="F13" i="227"/>
  <c r="F16" i="225"/>
  <c r="F8" i="185"/>
  <c r="F15" i="188"/>
  <c r="F13" i="224"/>
  <c r="F14" i="223"/>
  <c r="F12" i="221"/>
  <c r="F11" i="219"/>
  <c r="F11" i="220"/>
  <c r="F13" i="217"/>
  <c r="F14" i="216"/>
  <c r="F13" i="215"/>
  <c r="F11" i="214"/>
  <c r="F14" i="213"/>
  <c r="F213" i="127"/>
  <c r="F214" i="127" s="1"/>
  <c r="F11" i="210"/>
  <c r="F9" i="208"/>
  <c r="F6" i="208"/>
  <c r="F5" i="208"/>
  <c r="F8" i="208"/>
  <c r="F7" i="208"/>
  <c r="F9" i="203"/>
  <c r="F11" i="200"/>
  <c r="E70" i="8" a="1"/>
  <c r="E129" i="8" a="1"/>
  <c r="E108" i="8" a="1"/>
  <c r="E135" i="8" a="1"/>
  <c r="E141" i="8" a="1"/>
  <c r="E138" i="8" a="1"/>
  <c r="E136" i="8" a="1"/>
  <c r="E139" i="8" a="1"/>
  <c r="E133" i="8" a="1"/>
  <c r="E104" i="8" a="1"/>
  <c r="E109" i="8" a="1"/>
  <c r="E106" i="8" a="1"/>
  <c r="E50" i="8" a="1"/>
  <c r="E146" i="8" a="1"/>
  <c r="E100" i="8" a="1"/>
  <c r="E111" i="8" a="1"/>
  <c r="E105" i="8" a="1"/>
  <c r="E134" i="8" a="1"/>
  <c r="E132" i="8" a="1"/>
  <c r="E30" i="8" a="1"/>
  <c r="E130" i="8" a="1"/>
  <c r="E131" i="8" a="1"/>
  <c r="E121" i="8" a="1"/>
  <c r="E120" i="8" a="1"/>
  <c r="E122" i="8" a="1"/>
  <c r="E145" i="8" a="1"/>
  <c r="E128" i="8" a="1"/>
  <c r="E140" i="8" a="1"/>
  <c r="E107" i="8" a="1"/>
  <c r="E129" i="8" l="1"/>
  <c r="F10" i="208"/>
  <c r="F11" i="208" s="1"/>
  <c r="E108" i="8"/>
  <c r="E105" i="8"/>
  <c r="E104" i="8"/>
  <c r="E109" i="8"/>
  <c r="E107" i="8"/>
  <c r="E145" i="8"/>
  <c r="E106" i="8"/>
  <c r="E133" i="8"/>
  <c r="E136" i="8"/>
  <c r="E139" i="8"/>
  <c r="E140" i="8"/>
  <c r="E121" i="8"/>
  <c r="E111" i="8"/>
  <c r="E120" i="8"/>
  <c r="E141" i="8"/>
  <c r="E132" i="8"/>
  <c r="E131" i="8"/>
  <c r="E130" i="8"/>
  <c r="E128" i="8"/>
  <c r="E138" i="8"/>
  <c r="E122" i="8"/>
  <c r="E135" i="8"/>
  <c r="E134" i="8"/>
  <c r="E50" i="8"/>
  <c r="E30" i="8"/>
  <c r="E70" i="8"/>
  <c r="E100" i="8"/>
  <c r="E146" i="8"/>
  <c r="N12" i="102"/>
  <c r="N215" i="127"/>
  <c r="N224" i="127"/>
  <c r="N4" i="245"/>
  <c r="F10" i="245"/>
  <c r="F8" i="244"/>
  <c r="N4" i="244"/>
  <c r="N207" i="127"/>
  <c r="F8" i="243"/>
  <c r="N4" i="243"/>
  <c r="N4" i="242"/>
  <c r="F8" i="241"/>
  <c r="N4" i="241"/>
  <c r="N4" i="240"/>
  <c r="F12" i="240"/>
  <c r="N4" i="239"/>
  <c r="N4" i="238"/>
  <c r="N4" i="237"/>
  <c r="N4" i="236"/>
  <c r="N4" i="235"/>
  <c r="N4" i="234"/>
  <c r="N4" i="233"/>
  <c r="N4" i="232"/>
  <c r="N4" i="231"/>
  <c r="N4" i="230"/>
  <c r="H4" i="229"/>
  <c r="N4" i="228"/>
  <c r="N4" i="227"/>
  <c r="N4" i="226"/>
  <c r="N4" i="225"/>
  <c r="N4" i="222"/>
  <c r="F8" i="222"/>
  <c r="N4" i="221"/>
  <c r="N4" i="220"/>
  <c r="N4" i="218"/>
  <c r="F9" i="218"/>
  <c r="N4" i="216"/>
  <c r="N4" i="215"/>
  <c r="N211" i="127"/>
  <c r="N4" i="212"/>
  <c r="F10" i="212"/>
  <c r="N4" i="211"/>
  <c r="F11" i="211"/>
  <c r="F11" i="209"/>
  <c r="N4" i="207"/>
  <c r="F10" i="207"/>
  <c r="F12" i="206"/>
  <c r="N4" i="206"/>
  <c r="N4" i="205"/>
  <c r="F12" i="205"/>
  <c r="N4" i="204"/>
  <c r="F8" i="204"/>
  <c r="N4" i="203"/>
  <c r="N4" i="202"/>
  <c r="F8" i="202"/>
  <c r="F9" i="201"/>
  <c r="N4" i="201"/>
  <c r="N4" i="200"/>
  <c r="N4" i="199"/>
  <c r="F17" i="199"/>
  <c r="N4" i="198"/>
  <c r="F12" i="198"/>
  <c r="E13" i="8" a="1"/>
  <c r="E44" i="8" a="1"/>
  <c r="E39" i="8" a="1"/>
  <c r="E31" i="8" a="1"/>
  <c r="E99" i="8" a="1"/>
  <c r="E49" i="8" a="1"/>
  <c r="E61" i="8" a="1"/>
  <c r="E92" i="8" a="1"/>
  <c r="E5" i="8" a="1"/>
  <c r="E8" i="8" a="1"/>
  <c r="E40" i="8" a="1"/>
  <c r="E27" i="8" a="1"/>
  <c r="E97" i="8" a="1"/>
  <c r="E72" i="8" a="1"/>
  <c r="E41" i="8" a="1"/>
  <c r="E62" i="8" a="1"/>
  <c r="E123" i="8" a="1"/>
  <c r="E14" i="8" a="1"/>
  <c r="E92" i="8" l="1"/>
  <c r="E99" i="8"/>
  <c r="E61" i="8"/>
  <c r="E27" i="8"/>
  <c r="E5" i="8"/>
  <c r="E40" i="8"/>
  <c r="E41" i="8"/>
  <c r="E44" i="8"/>
  <c r="E49" i="8"/>
  <c r="E39" i="8"/>
  <c r="E123" i="8"/>
  <c r="E72" i="8"/>
  <c r="E14" i="8"/>
  <c r="E13" i="8"/>
  <c r="E97" i="8"/>
  <c r="E31" i="8"/>
  <c r="E8" i="8"/>
  <c r="E62" i="8"/>
  <c r="N4" i="224"/>
  <c r="N4" i="223"/>
  <c r="N4" i="219"/>
  <c r="N4" i="217"/>
  <c r="N4" i="214"/>
  <c r="N4" i="213"/>
  <c r="N4" i="210"/>
  <c r="N4" i="209"/>
  <c r="N4" i="208"/>
  <c r="F14" i="195" l="1"/>
  <c r="F13" i="194"/>
  <c r="F14" i="193"/>
  <c r="F13" i="192"/>
  <c r="F17" i="191"/>
  <c r="F13" i="190"/>
  <c r="F13" i="189"/>
  <c r="F14" i="187"/>
  <c r="F12" i="186"/>
  <c r="F14" i="184"/>
  <c r="F14" i="183"/>
  <c r="E112" i="8" a="1"/>
  <c r="E148" i="8" a="1"/>
  <c r="E144" i="8" a="1"/>
  <c r="E103" i="8" a="1"/>
  <c r="E113" i="8" a="1"/>
  <c r="E114" i="8" a="1"/>
  <c r="E101" i="8" a="1"/>
  <c r="E143" i="8" a="1"/>
  <c r="E142" i="8" a="1"/>
  <c r="E102" i="8" a="1"/>
  <c r="E147" i="8" a="1"/>
  <c r="E142" i="8" l="1"/>
  <c r="E114" i="8"/>
  <c r="E148" i="8"/>
  <c r="E112" i="8"/>
  <c r="E103" i="8"/>
  <c r="E102" i="8"/>
  <c r="E101" i="8"/>
  <c r="E113" i="8"/>
  <c r="E147" i="8"/>
  <c r="E143" i="8"/>
  <c r="E144" i="8"/>
  <c r="N4" i="197"/>
  <c r="F13" i="197"/>
  <c r="N4" i="196"/>
  <c r="F13" i="196"/>
  <c r="N4" i="195"/>
  <c r="N4" i="192"/>
  <c r="N4" i="191"/>
  <c r="N4" i="190"/>
  <c r="N4" i="187"/>
  <c r="N4" i="186"/>
  <c r="N4" i="185"/>
  <c r="N4" i="183"/>
  <c r="N4" i="182"/>
  <c r="F9" i="182"/>
  <c r="E32" i="8" a="1"/>
  <c r="E93" i="8" a="1"/>
  <c r="E94" i="8" a="1"/>
  <c r="E94" i="8" l="1"/>
  <c r="E93" i="8"/>
  <c r="E32" i="8"/>
  <c r="N4" i="194"/>
  <c r="N4" i="193"/>
  <c r="N4" i="189"/>
  <c r="N4" i="188"/>
  <c r="N4" i="184"/>
  <c r="F6" i="179"/>
  <c r="F7" i="179" s="1"/>
  <c r="F187" i="127"/>
  <c r="F186" i="127"/>
  <c r="F11" i="177"/>
  <c r="F6" i="176"/>
  <c r="F7" i="176" s="1"/>
  <c r="N4" i="176" s="1"/>
  <c r="F8" i="176"/>
  <c r="F6" i="175"/>
  <c r="F6" i="174"/>
  <c r="F6" i="173"/>
  <c r="F7" i="173" s="1"/>
  <c r="N4" i="173" s="1"/>
  <c r="F8" i="173"/>
  <c r="F111" i="127"/>
  <c r="F110" i="127"/>
  <c r="F6" i="165"/>
  <c r="F5" i="165"/>
  <c r="F7" i="165" s="1"/>
  <c r="F14" i="164"/>
  <c r="F11" i="161"/>
  <c r="F15" i="160"/>
  <c r="F14" i="160"/>
  <c r="F12" i="160"/>
  <c r="F9" i="160"/>
  <c r="F5" i="160"/>
  <c r="F6" i="160"/>
  <c r="F18" i="160"/>
  <c r="F17" i="160"/>
  <c r="F16" i="160"/>
  <c r="F13" i="160"/>
  <c r="F11" i="160"/>
  <c r="F10" i="160"/>
  <c r="F8" i="160"/>
  <c r="F7" i="160"/>
  <c r="F9" i="159"/>
  <c r="F8" i="159"/>
  <c r="F7" i="159"/>
  <c r="F6" i="159"/>
  <c r="F5" i="159"/>
  <c r="F7" i="158"/>
  <c r="F6" i="158"/>
  <c r="F5" i="158"/>
  <c r="F9" i="157"/>
  <c r="F8" i="157"/>
  <c r="F11" i="134"/>
  <c r="F10" i="134"/>
  <c r="F7" i="157"/>
  <c r="F6" i="157"/>
  <c r="F5" i="157"/>
  <c r="E150" i="8" a="1"/>
  <c r="E137" i="8" a="1"/>
  <c r="E116" i="8" a="1"/>
  <c r="E76" i="8" a="1"/>
  <c r="E74" i="8" a="1"/>
  <c r="F10" i="159" l="1"/>
  <c r="F11" i="159" s="1"/>
  <c r="F8" i="158"/>
  <c r="F9" i="158" s="1"/>
  <c r="F10" i="157"/>
  <c r="F11" i="157" s="1"/>
  <c r="F7" i="175"/>
  <c r="N4" i="175" s="1"/>
  <c r="F7" i="174"/>
  <c r="N4" i="174" s="1"/>
  <c r="N4" i="165"/>
  <c r="F8" i="165"/>
  <c r="F19" i="160"/>
  <c r="F20" i="160" s="1"/>
  <c r="E137" i="8"/>
  <c r="E116" i="8"/>
  <c r="E76" i="8"/>
  <c r="E74" i="8"/>
  <c r="E150" i="8"/>
  <c r="N4" i="178"/>
  <c r="F112" i="127"/>
  <c r="N109" i="127" s="1"/>
  <c r="F188" i="127"/>
  <c r="N185" i="127" s="1"/>
  <c r="N4" i="181"/>
  <c r="F13" i="181"/>
  <c r="N4" i="180"/>
  <c r="F14" i="180"/>
  <c r="F8" i="179"/>
  <c r="N4" i="179"/>
  <c r="N198" i="127"/>
  <c r="F8" i="172"/>
  <c r="N4" i="170"/>
  <c r="F17" i="170"/>
  <c r="N4" i="169"/>
  <c r="F7" i="169"/>
  <c r="N4" i="168"/>
  <c r="F11" i="168"/>
  <c r="F10" i="167"/>
  <c r="N4" i="166"/>
  <c r="F17" i="166"/>
  <c r="N4" i="163"/>
  <c r="F18" i="163"/>
  <c r="N4" i="162"/>
  <c r="F19" i="162"/>
  <c r="N4" i="159"/>
  <c r="F159" i="127"/>
  <c r="F165" i="127"/>
  <c r="E151" i="8"/>
  <c r="E124" i="8" a="1"/>
  <c r="E117" i="8" a="1"/>
  <c r="E90" i="8" a="1"/>
  <c r="E95" i="8" a="1"/>
  <c r="E18" i="8" a="1"/>
  <c r="E33" i="8" a="1"/>
  <c r="E115" i="8" a="1"/>
  <c r="E110" i="8" a="1"/>
  <c r="E118" i="8" a="1"/>
  <c r="E149" i="8" a="1"/>
  <c r="E96" i="8" a="1"/>
  <c r="E68" i="8" a="1"/>
  <c r="E29" i="8" a="1"/>
  <c r="E67" i="8" a="1"/>
  <c r="E57" i="8" a="1"/>
  <c r="N4" i="160" l="1"/>
  <c r="N4" i="158"/>
  <c r="F8" i="174"/>
  <c r="E118" i="8"/>
  <c r="E117" i="8"/>
  <c r="E115" i="8"/>
  <c r="F8" i="175"/>
  <c r="E110" i="8"/>
  <c r="E149" i="8"/>
  <c r="E18" i="8"/>
  <c r="E96" i="8"/>
  <c r="E95" i="8"/>
  <c r="E29" i="8"/>
  <c r="E33" i="8"/>
  <c r="E67" i="8"/>
  <c r="E124" i="8"/>
  <c r="E57" i="8"/>
  <c r="E90" i="8"/>
  <c r="E68" i="8"/>
  <c r="N4" i="177"/>
  <c r="F10" i="171"/>
  <c r="N4" i="171"/>
  <c r="N4" i="167"/>
  <c r="N4" i="164"/>
  <c r="N4" i="161"/>
  <c r="N4" i="157"/>
  <c r="E75" i="8" a="1"/>
  <c r="E88" i="8" a="1"/>
  <c r="E28" i="8" a="1"/>
  <c r="E88" i="8" l="1"/>
  <c r="E75" i="8"/>
  <c r="E28" i="8"/>
  <c r="F143" i="127" l="1"/>
  <c r="F142" i="127"/>
  <c r="F193" i="127"/>
  <c r="F194" i="127" s="1"/>
  <c r="N192" i="127" s="1"/>
  <c r="F190" i="127"/>
  <c r="F191" i="127" s="1"/>
  <c r="N189" i="127" s="1"/>
  <c r="D69" i="127"/>
  <c r="D8" i="127"/>
  <c r="D6" i="127"/>
  <c r="D5" i="127"/>
  <c r="F64" i="77"/>
  <c r="E30" i="77"/>
  <c r="F30" i="77" s="1"/>
  <c r="F29" i="77"/>
  <c r="F183" i="127"/>
  <c r="F178" i="127"/>
  <c r="F179" i="127"/>
  <c r="F182" i="127"/>
  <c r="F181" i="127"/>
  <c r="F180" i="127"/>
  <c r="F175" i="127"/>
  <c r="F173" i="127"/>
  <c r="F172" i="127"/>
  <c r="F171" i="127"/>
  <c r="F170" i="127"/>
  <c r="F174" i="127"/>
  <c r="F169" i="127"/>
  <c r="F168" i="127"/>
  <c r="F167" i="127"/>
  <c r="F166" i="127"/>
  <c r="F164" i="127"/>
  <c r="F163" i="127"/>
  <c r="F162" i="127"/>
  <c r="F161" i="127"/>
  <c r="F160" i="127"/>
  <c r="F75" i="126"/>
  <c r="F72" i="126"/>
  <c r="F74" i="126"/>
  <c r="F73" i="126"/>
  <c r="F156" i="127"/>
  <c r="F155" i="127"/>
  <c r="F150" i="127"/>
  <c r="F154" i="127"/>
  <c r="F153" i="127"/>
  <c r="F152" i="127"/>
  <c r="F151" i="127"/>
  <c r="F121" i="127"/>
  <c r="F120" i="127"/>
  <c r="F6" i="156"/>
  <c r="F5" i="156"/>
  <c r="F6" i="155"/>
  <c r="F5" i="155"/>
  <c r="F7" i="154"/>
  <c r="F6" i="154"/>
  <c r="F5" i="154"/>
  <c r="F8" i="154" s="1"/>
  <c r="F6" i="153"/>
  <c r="F5" i="153"/>
  <c r="F6" i="152"/>
  <c r="F5" i="152"/>
  <c r="F6" i="151"/>
  <c r="F5" i="151"/>
  <c r="F6" i="150"/>
  <c r="F5" i="150"/>
  <c r="F8" i="149"/>
  <c r="F7" i="149"/>
  <c r="F10" i="149"/>
  <c r="F9" i="149"/>
  <c r="F6" i="149"/>
  <c r="F5" i="149"/>
  <c r="F6" i="148"/>
  <c r="F5" i="148"/>
  <c r="F6" i="147"/>
  <c r="F5" i="147"/>
  <c r="F11" i="145"/>
  <c r="F8" i="145"/>
  <c r="F7" i="145"/>
  <c r="F10" i="145"/>
  <c r="F9" i="145"/>
  <c r="F6" i="145"/>
  <c r="F5" i="145"/>
  <c r="F16" i="144"/>
  <c r="F15" i="144"/>
  <c r="F12" i="144"/>
  <c r="F14" i="144"/>
  <c r="F13" i="144"/>
  <c r="F11" i="144"/>
  <c r="F10" i="144"/>
  <c r="F9" i="144"/>
  <c r="F8" i="144"/>
  <c r="F7" i="144"/>
  <c r="F6" i="144"/>
  <c r="F5" i="144"/>
  <c r="F13" i="143"/>
  <c r="F12" i="143"/>
  <c r="F11" i="143"/>
  <c r="F14" i="143"/>
  <c r="F10" i="143"/>
  <c r="F9" i="143"/>
  <c r="F8" i="143"/>
  <c r="F7" i="143"/>
  <c r="F6" i="143"/>
  <c r="F5" i="143"/>
  <c r="F15" i="143" s="1"/>
  <c r="F11" i="142"/>
  <c r="F8" i="142"/>
  <c r="F7" i="142"/>
  <c r="F10" i="142"/>
  <c r="F9" i="142"/>
  <c r="F6" i="142"/>
  <c r="F5" i="142"/>
  <c r="F6" i="141"/>
  <c r="F5" i="141"/>
  <c r="E9" i="257" a="1"/>
  <c r="F7" i="151" l="1"/>
  <c r="E9" i="257"/>
  <c r="F7" i="147"/>
  <c r="N4" i="147" s="1"/>
  <c r="F8" i="153"/>
  <c r="N4" i="153" s="1"/>
  <c r="F12" i="142"/>
  <c r="N4" i="142" s="1"/>
  <c r="F11" i="149"/>
  <c r="F12" i="149" s="1"/>
  <c r="F7" i="156"/>
  <c r="F17" i="144"/>
  <c r="F18" i="144" s="1"/>
  <c r="F12" i="145"/>
  <c r="F76" i="126"/>
  <c r="N71" i="126" s="1"/>
  <c r="F7" i="141"/>
  <c r="F7" i="148"/>
  <c r="N4" i="148" s="1"/>
  <c r="F7" i="150"/>
  <c r="F7" i="152"/>
  <c r="N4" i="152" s="1"/>
  <c r="F7" i="155"/>
  <c r="N4" i="155" s="1"/>
  <c r="N4" i="146"/>
  <c r="F176" i="127"/>
  <c r="N158" i="127" s="1"/>
  <c r="F157" i="127"/>
  <c r="N149" i="127" s="1"/>
  <c r="F184" i="127"/>
  <c r="N177" i="127" s="1"/>
  <c r="F8" i="156"/>
  <c r="N4" i="156"/>
  <c r="F8" i="155"/>
  <c r="N4" i="154"/>
  <c r="F9" i="154"/>
  <c r="F8" i="151"/>
  <c r="N4" i="151"/>
  <c r="N4" i="150"/>
  <c r="F8" i="150"/>
  <c r="F8" i="147"/>
  <c r="F14" i="146"/>
  <c r="N4" i="145"/>
  <c r="F13" i="145"/>
  <c r="N4" i="143"/>
  <c r="F16" i="143"/>
  <c r="F13" i="142"/>
  <c r="N4" i="141"/>
  <c r="F8" i="141"/>
  <c r="F14" i="140"/>
  <c r="F15" i="140"/>
  <c r="F13" i="140"/>
  <c r="F12" i="140"/>
  <c r="F11" i="140"/>
  <c r="F16" i="140"/>
  <c r="F8" i="140"/>
  <c r="F7" i="140"/>
  <c r="F10" i="140"/>
  <c r="F9" i="140"/>
  <c r="F6" i="140"/>
  <c r="F5" i="140"/>
  <c r="F12" i="139"/>
  <c r="F11" i="139"/>
  <c r="F10" i="139"/>
  <c r="F9" i="139"/>
  <c r="F8" i="139"/>
  <c r="F7" i="139"/>
  <c r="F6" i="139"/>
  <c r="F5" i="139"/>
  <c r="F6" i="137"/>
  <c r="F5" i="137"/>
  <c r="F6" i="136"/>
  <c r="F5" i="136"/>
  <c r="F7" i="136" s="1"/>
  <c r="F11" i="135"/>
  <c r="F10" i="135"/>
  <c r="F9" i="135"/>
  <c r="F8" i="135"/>
  <c r="F7" i="135"/>
  <c r="F6" i="135"/>
  <c r="F5" i="135"/>
  <c r="F9" i="134"/>
  <c r="F8" i="134"/>
  <c r="F7" i="134"/>
  <c r="F6" i="134"/>
  <c r="F5" i="134"/>
  <c r="F11" i="133"/>
  <c r="F8" i="133"/>
  <c r="F7" i="133"/>
  <c r="F10" i="133"/>
  <c r="F9" i="133"/>
  <c r="F6" i="133"/>
  <c r="F5" i="133"/>
  <c r="F9" i="132"/>
  <c r="F8" i="132"/>
  <c r="F7" i="132"/>
  <c r="F6" i="132"/>
  <c r="F5" i="132"/>
  <c r="F12" i="131"/>
  <c r="F11" i="131"/>
  <c r="F10" i="131"/>
  <c r="F9" i="131"/>
  <c r="F8" i="131"/>
  <c r="F7" i="131"/>
  <c r="F6" i="131"/>
  <c r="F5" i="131"/>
  <c r="F8" i="130"/>
  <c r="F6" i="130"/>
  <c r="F12" i="130"/>
  <c r="F7" i="130"/>
  <c r="F11" i="130"/>
  <c r="F10" i="130"/>
  <c r="F9" i="130"/>
  <c r="F5" i="130"/>
  <c r="E46" i="8" a="1"/>
  <c r="E35" i="8" a="1"/>
  <c r="E55" i="8" a="1"/>
  <c r="E42" i="8" a="1"/>
  <c r="E11" i="8" a="1"/>
  <c r="E45" i="8" a="1"/>
  <c r="E125" i="8" a="1"/>
  <c r="E53" i="8" a="1"/>
  <c r="E87" i="8" a="1"/>
  <c r="E12" i="8" a="1"/>
  <c r="E36" i="8" a="1"/>
  <c r="E38" i="8" a="1"/>
  <c r="E52" i="8" a="1"/>
  <c r="N4" i="149" l="1"/>
  <c r="F9" i="153"/>
  <c r="E42" i="8"/>
  <c r="F8" i="152"/>
  <c r="F8" i="148"/>
  <c r="F17" i="140"/>
  <c r="F13" i="139"/>
  <c r="N4" i="139" s="1"/>
  <c r="F13" i="130"/>
  <c r="N4" i="130" s="1"/>
  <c r="F12" i="134"/>
  <c r="N4" i="134" s="1"/>
  <c r="E52" i="8"/>
  <c r="E125" i="8"/>
  <c r="E46" i="8"/>
  <c r="E45" i="8"/>
  <c r="E38" i="8"/>
  <c r="E55" i="8"/>
  <c r="E87" i="8"/>
  <c r="E35" i="8"/>
  <c r="E11" i="8"/>
  <c r="E36" i="8"/>
  <c r="E53" i="8"/>
  <c r="F12" i="133"/>
  <c r="N4" i="133" s="1"/>
  <c r="F7" i="137"/>
  <c r="N4" i="137" s="1"/>
  <c r="N4" i="144"/>
  <c r="F10" i="132"/>
  <c r="F11" i="132" s="1"/>
  <c r="F12" i="135"/>
  <c r="N4" i="135" s="1"/>
  <c r="E12" i="8"/>
  <c r="F13" i="131"/>
  <c r="F14" i="131" s="1"/>
  <c r="F18" i="140"/>
  <c r="N4" i="140"/>
  <c r="N4" i="138"/>
  <c r="F17" i="138"/>
  <c r="F8" i="137"/>
  <c r="N4" i="136"/>
  <c r="F8" i="136"/>
  <c r="F13" i="134"/>
  <c r="E16" i="8" a="1"/>
  <c r="E126" i="8" a="1"/>
  <c r="E34" i="8" a="1"/>
  <c r="E84" i="8" a="1"/>
  <c r="E82" i="8" a="1"/>
  <c r="E43" i="8" a="1"/>
  <c r="E81" i="8" a="1"/>
  <c r="E54" i="8" a="1"/>
  <c r="E85" i="8" a="1"/>
  <c r="E79" i="8" a="1"/>
  <c r="N4" i="132" l="1"/>
  <c r="E54" i="8"/>
  <c r="E43" i="8"/>
  <c r="E34" i="8"/>
  <c r="N4" i="131"/>
  <c r="F13" i="133"/>
  <c r="F14" i="139"/>
  <c r="F14" i="130"/>
  <c r="E79" i="8"/>
  <c r="E126" i="8"/>
  <c r="E82" i="8"/>
  <c r="E81" i="8"/>
  <c r="E84" i="8"/>
  <c r="E85" i="8"/>
  <c r="F13" i="135"/>
  <c r="E16" i="8"/>
  <c r="E27" i="77"/>
  <c r="F27" i="77" s="1"/>
  <c r="E26" i="77"/>
  <c r="F26" i="77" s="1"/>
  <c r="E23" i="77"/>
  <c r="F23" i="77" s="1"/>
  <c r="E22" i="77"/>
  <c r="F22" i="77" s="1"/>
  <c r="E16" i="77"/>
  <c r="F16" i="77" s="1"/>
  <c r="E15" i="77"/>
  <c r="E14" i="77"/>
  <c r="F14" i="77" s="1"/>
  <c r="E52" i="77"/>
  <c r="F52" i="77" s="1"/>
  <c r="E51" i="77"/>
  <c r="F51" i="77" s="1"/>
  <c r="E50" i="77"/>
  <c r="F50" i="77" s="1"/>
  <c r="E78" i="8" a="1"/>
  <c r="E80" i="8" a="1"/>
  <c r="E3" i="8" a="1"/>
  <c r="E83" i="8" a="1"/>
  <c r="E80" i="8" l="1"/>
  <c r="E3" i="8"/>
  <c r="E78" i="8"/>
  <c r="E83" i="8"/>
  <c r="F27" i="127"/>
  <c r="F26" i="127"/>
  <c r="F29" i="127"/>
  <c r="F28" i="127"/>
  <c r="F25" i="77" l="1"/>
  <c r="F6" i="77"/>
  <c r="F147" i="127"/>
  <c r="F146" i="127"/>
  <c r="F141" i="127"/>
  <c r="F140" i="127"/>
  <c r="F137" i="127"/>
  <c r="F136" i="127"/>
  <c r="F133" i="127"/>
  <c r="F132" i="127"/>
  <c r="F39" i="126"/>
  <c r="F38" i="126"/>
  <c r="F37" i="126"/>
  <c r="F36" i="126"/>
  <c r="F35" i="126"/>
  <c r="F68" i="126"/>
  <c r="F69" i="126"/>
  <c r="F67" i="126"/>
  <c r="F66" i="126"/>
  <c r="F7" i="126"/>
  <c r="F6" i="126"/>
  <c r="F63" i="126"/>
  <c r="F62" i="126"/>
  <c r="F61" i="126"/>
  <c r="F129" i="127"/>
  <c r="F128" i="127"/>
  <c r="F127" i="127"/>
  <c r="F126" i="127"/>
  <c r="F125" i="127"/>
  <c r="F124" i="127"/>
  <c r="F119" i="127"/>
  <c r="F118" i="127"/>
  <c r="F117" i="127"/>
  <c r="F114" i="127"/>
  <c r="F115" i="127" s="1"/>
  <c r="F107" i="127"/>
  <c r="F108" i="127" s="1"/>
  <c r="N106" i="127" s="1"/>
  <c r="F58" i="126"/>
  <c r="F57" i="126"/>
  <c r="F56" i="126"/>
  <c r="F55" i="126"/>
  <c r="F54" i="126"/>
  <c r="F53" i="126"/>
  <c r="F52" i="126"/>
  <c r="F51" i="126"/>
  <c r="F50" i="126"/>
  <c r="F10" i="125"/>
  <c r="F60" i="127"/>
  <c r="F59" i="127"/>
  <c r="F95" i="127"/>
  <c r="F94" i="127"/>
  <c r="F93" i="127"/>
  <c r="F92" i="127"/>
  <c r="F91" i="127"/>
  <c r="F90" i="127"/>
  <c r="F87" i="127"/>
  <c r="F86" i="127"/>
  <c r="F85" i="127"/>
  <c r="F84" i="127"/>
  <c r="F104" i="127"/>
  <c r="F96" i="127"/>
  <c r="F89" i="127"/>
  <c r="F88" i="127"/>
  <c r="F122" i="127" l="1"/>
  <c r="N116" i="127" s="1"/>
  <c r="F144" i="127"/>
  <c r="N139" i="127" s="1"/>
  <c r="F148" i="127"/>
  <c r="N145" i="127" s="1"/>
  <c r="F138" i="127"/>
  <c r="N135" i="127" s="1"/>
  <c r="F134" i="127"/>
  <c r="N131" i="127" s="1"/>
  <c r="F70" i="126"/>
  <c r="N65" i="126" s="1"/>
  <c r="F130" i="127"/>
  <c r="N123" i="127" s="1"/>
  <c r="F59" i="126"/>
  <c r="N49" i="126" s="1"/>
  <c r="F64" i="126"/>
  <c r="N60" i="126" s="1"/>
  <c r="N113" i="127"/>
  <c r="F77" i="127" l="1"/>
  <c r="F76" i="127"/>
  <c r="F75" i="127"/>
  <c r="F74" i="127"/>
  <c r="F73" i="127"/>
  <c r="F82" i="127"/>
  <c r="F81" i="127"/>
  <c r="F80" i="127"/>
  <c r="F79" i="127"/>
  <c r="F78" i="127"/>
  <c r="F83" i="127"/>
  <c r="F72" i="127"/>
  <c r="N71" i="127" l="1"/>
  <c r="D61" i="77"/>
  <c r="F61" i="77" s="1"/>
  <c r="F69" i="77" s="1"/>
  <c r="E9" i="125"/>
  <c r="E8" i="125" l="1"/>
  <c r="E5" i="114"/>
  <c r="F21" i="77"/>
  <c r="F69" i="127"/>
  <c r="F66" i="127"/>
  <c r="F65" i="127"/>
  <c r="F64" i="127"/>
  <c r="F63" i="127"/>
  <c r="F58" i="127"/>
  <c r="F57" i="127"/>
  <c r="F56" i="127"/>
  <c r="F55" i="127"/>
  <c r="F54" i="127"/>
  <c r="F9" i="129"/>
  <c r="F12" i="129"/>
  <c r="F11" i="129"/>
  <c r="F10" i="129"/>
  <c r="F8" i="129"/>
  <c r="F7" i="129"/>
  <c r="F6" i="129"/>
  <c r="F5" i="129"/>
  <c r="F6" i="128"/>
  <c r="F5" i="128"/>
  <c r="F7" i="128" s="1"/>
  <c r="F45" i="127"/>
  <c r="F44" i="127"/>
  <c r="F43" i="127"/>
  <c r="F42" i="127"/>
  <c r="F41" i="127"/>
  <c r="F40" i="127"/>
  <c r="F70" i="127" l="1"/>
  <c r="N68" i="127" s="1"/>
  <c r="F13" i="129"/>
  <c r="N4" i="129" s="1"/>
  <c r="F61" i="127"/>
  <c r="N53" i="127" s="1"/>
  <c r="F67" i="127"/>
  <c r="N62" i="127" s="1"/>
  <c r="F46" i="127"/>
  <c r="N39" i="127" s="1"/>
  <c r="F14" i="129"/>
  <c r="N4" i="128"/>
  <c r="F8" i="128"/>
  <c r="F51" i="127"/>
  <c r="F50" i="127"/>
  <c r="F49" i="127"/>
  <c r="F48" i="127"/>
  <c r="F37" i="127"/>
  <c r="F36" i="127"/>
  <c r="F35" i="127"/>
  <c r="F34" i="127"/>
  <c r="F33" i="127"/>
  <c r="F32" i="127"/>
  <c r="F23" i="127"/>
  <c r="F22" i="127"/>
  <c r="F25" i="127"/>
  <c r="F24" i="127"/>
  <c r="F21" i="127"/>
  <c r="F20" i="127"/>
  <c r="F11" i="126"/>
  <c r="D15" i="77"/>
  <c r="F15" i="77" s="1"/>
  <c r="F9" i="77"/>
  <c r="E86" i="8" a="1"/>
  <c r="E77" i="8" a="1"/>
  <c r="E77" i="8" l="1"/>
  <c r="E86" i="8"/>
  <c r="F30" i="127"/>
  <c r="N19" i="127" s="1"/>
  <c r="F52" i="127"/>
  <c r="N47" i="127" s="1"/>
  <c r="F38" i="127"/>
  <c r="N31" i="127" s="1"/>
  <c r="D25" i="126"/>
  <c r="F25" i="126" s="1"/>
  <c r="D24" i="126"/>
  <c r="F24" i="126" s="1"/>
  <c r="D5" i="126"/>
  <c r="F5" i="126" s="1"/>
  <c r="F8" i="126" s="1"/>
  <c r="D8" i="121"/>
  <c r="F8" i="121" s="1"/>
  <c r="D6" i="121"/>
  <c r="F6" i="121" s="1"/>
  <c r="D5" i="121"/>
  <c r="F5" i="121" s="1"/>
  <c r="D9" i="100"/>
  <c r="F9" i="100" s="1"/>
  <c r="D5" i="119"/>
  <c r="D5" i="117"/>
  <c r="F5" i="117" s="1"/>
  <c r="D8" i="98"/>
  <c r="F8" i="98" s="1"/>
  <c r="D7" i="98"/>
  <c r="F7" i="98" s="1"/>
  <c r="D5" i="118"/>
  <c r="F5" i="118" s="1"/>
  <c r="D12" i="101"/>
  <c r="F12" i="101" s="1"/>
  <c r="D12" i="122"/>
  <c r="F12" i="122" s="1"/>
  <c r="F8" i="122"/>
  <c r="F7" i="122"/>
  <c r="F9" i="113"/>
  <c r="D9" i="114"/>
  <c r="F9" i="114" s="1"/>
  <c r="D5" i="112"/>
  <c r="D6" i="109"/>
  <c r="F6" i="109" s="1"/>
  <c r="D5" i="109"/>
  <c r="F5" i="109" s="1"/>
  <c r="D7" i="110"/>
  <c r="F7" i="110" s="1"/>
  <c r="F11" i="110" s="1"/>
  <c r="D7" i="108"/>
  <c r="D6" i="108"/>
  <c r="D5" i="108"/>
  <c r="D8" i="125"/>
  <c r="F8" i="125" s="1"/>
  <c r="D5" i="125"/>
  <c r="F5" i="125" s="1"/>
  <c r="E49" i="77"/>
  <c r="F49" i="77" s="1"/>
  <c r="E48" i="77"/>
  <c r="F48" i="77" s="1"/>
  <c r="F57" i="77" s="1"/>
  <c r="F17" i="127"/>
  <c r="F18" i="127" s="1"/>
  <c r="N16" i="127" s="1"/>
  <c r="F13" i="127"/>
  <c r="F11" i="127"/>
  <c r="F14" i="127"/>
  <c r="F12" i="127"/>
  <c r="F8" i="127"/>
  <c r="F7" i="127"/>
  <c r="F6" i="127"/>
  <c r="F5" i="127"/>
  <c r="F33" i="126"/>
  <c r="F32" i="126"/>
  <c r="F31" i="126"/>
  <c r="F30" i="126"/>
  <c r="F29" i="126"/>
  <c r="F22" i="126"/>
  <c r="F21" i="126"/>
  <c r="F34" i="126"/>
  <c r="F28" i="126"/>
  <c r="F26" i="126"/>
  <c r="F27" i="126"/>
  <c r="F23" i="126"/>
  <c r="F18" i="126"/>
  <c r="F17" i="126"/>
  <c r="F10" i="126"/>
  <c r="F16" i="126"/>
  <c r="F15" i="126"/>
  <c r="F14" i="126"/>
  <c r="F13" i="126"/>
  <c r="F12" i="126"/>
  <c r="F7" i="125"/>
  <c r="F11" i="125"/>
  <c r="F9" i="125"/>
  <c r="F7" i="124"/>
  <c r="F6" i="124"/>
  <c r="F5" i="124"/>
  <c r="F7" i="123"/>
  <c r="F6" i="123"/>
  <c r="F5" i="123"/>
  <c r="F9" i="122"/>
  <c r="F14" i="122"/>
  <c r="F11" i="122"/>
  <c r="F10" i="122"/>
  <c r="F5" i="122"/>
  <c r="F13" i="122"/>
  <c r="F11" i="121"/>
  <c r="F7" i="121"/>
  <c r="F10" i="121"/>
  <c r="F9" i="121"/>
  <c r="F5" i="120"/>
  <c r="F6" i="118"/>
  <c r="F8" i="117"/>
  <c r="F7" i="117"/>
  <c r="F6" i="117"/>
  <c r="F7" i="116"/>
  <c r="F6" i="116"/>
  <c r="F5" i="116"/>
  <c r="F7" i="115"/>
  <c r="F9" i="115"/>
  <c r="F8" i="115"/>
  <c r="F12" i="115"/>
  <c r="F6" i="115"/>
  <c r="F5" i="115"/>
  <c r="F11" i="115"/>
  <c r="F10" i="115"/>
  <c r="F8" i="114"/>
  <c r="F7" i="114"/>
  <c r="F6" i="114"/>
  <c r="F10" i="114"/>
  <c r="F5" i="114"/>
  <c r="F8" i="113"/>
  <c r="F10" i="113"/>
  <c r="F7" i="113"/>
  <c r="F6" i="113"/>
  <c r="F18" i="100"/>
  <c r="F12" i="100"/>
  <c r="F11" i="100"/>
  <c r="F10" i="100"/>
  <c r="F8" i="100"/>
  <c r="F20" i="101"/>
  <c r="F15" i="101"/>
  <c r="F14" i="101"/>
  <c r="F13" i="101"/>
  <c r="F11" i="104"/>
  <c r="F10" i="104"/>
  <c r="F9" i="104"/>
  <c r="F13" i="103"/>
  <c r="F10" i="103"/>
  <c r="F9" i="103"/>
  <c r="F6" i="112"/>
  <c r="F7" i="111"/>
  <c r="F6" i="111"/>
  <c r="F5" i="111"/>
  <c r="F8" i="108"/>
  <c r="D6" i="257" a="1"/>
  <c r="D5" i="257" a="1"/>
  <c r="D4" i="257" a="1"/>
  <c r="D8" i="257" a="1"/>
  <c r="D3" i="257" a="1"/>
  <c r="E7" i="257" a="1"/>
  <c r="D5" i="257" l="1"/>
  <c r="F5" i="112"/>
  <c r="D3" i="257"/>
  <c r="D6" i="257"/>
  <c r="E7" i="257"/>
  <c r="D4" i="257"/>
  <c r="F6" i="108"/>
  <c r="F7" i="108"/>
  <c r="F5" i="108"/>
  <c r="F9" i="108" s="1"/>
  <c r="N4" i="108" s="1"/>
  <c r="D8" i="257"/>
  <c r="F5" i="119"/>
  <c r="F48" i="126"/>
  <c r="F9" i="109"/>
  <c r="F9" i="127"/>
  <c r="N60" i="77"/>
  <c r="F8" i="116"/>
  <c r="N4" i="116" s="1"/>
  <c r="F8" i="124"/>
  <c r="N4" i="124" s="1"/>
  <c r="F12" i="125"/>
  <c r="N4" i="125" s="1"/>
  <c r="F6" i="120"/>
  <c r="F9" i="117"/>
  <c r="N4" i="117" s="1"/>
  <c r="F12" i="121"/>
  <c r="N4" i="121" s="1"/>
  <c r="F15" i="122"/>
  <c r="N4" i="122" s="1"/>
  <c r="F13" i="115"/>
  <c r="N4" i="115" s="1"/>
  <c r="F11" i="114"/>
  <c r="N4" i="114" s="1"/>
  <c r="F8" i="123"/>
  <c r="N4" i="123" s="1"/>
  <c r="F19" i="126"/>
  <c r="N9" i="126" s="1"/>
  <c r="N4" i="126"/>
  <c r="F15" i="127"/>
  <c r="F16" i="122"/>
  <c r="F7" i="118"/>
  <c r="F12" i="114"/>
  <c r="F7" i="112"/>
  <c r="F8" i="111"/>
  <c r="F6" i="105"/>
  <c r="F5" i="105"/>
  <c r="F6" i="103"/>
  <c r="F7" i="103"/>
  <c r="F8" i="103"/>
  <c r="F5" i="103"/>
  <c r="F6" i="104"/>
  <c r="F7" i="104"/>
  <c r="F8" i="104"/>
  <c r="F5" i="104"/>
  <c r="F6" i="98"/>
  <c r="F5" i="98"/>
  <c r="F6" i="100"/>
  <c r="F7" i="100"/>
  <c r="F5" i="100"/>
  <c r="F6" i="101"/>
  <c r="F7" i="101"/>
  <c r="F8" i="101"/>
  <c r="F9" i="101"/>
  <c r="F10" i="101"/>
  <c r="F11" i="101"/>
  <c r="F5" i="101"/>
  <c r="N9" i="102"/>
  <c r="E5" i="257" a="1"/>
  <c r="E6" i="257" a="1"/>
  <c r="E25" i="8" a="1"/>
  <c r="E19" i="8" a="1"/>
  <c r="E8" i="257" a="1"/>
  <c r="E4" i="257" a="1"/>
  <c r="E3" i="257" a="1"/>
  <c r="E5" i="257" l="1"/>
  <c r="E4" i="257"/>
  <c r="E6" i="257"/>
  <c r="E3" i="257"/>
  <c r="E8" i="257"/>
  <c r="F6" i="119"/>
  <c r="N5" i="119" s="1"/>
  <c r="F21" i="101"/>
  <c r="N4" i="101" s="1"/>
  <c r="F14" i="103"/>
  <c r="N4" i="103" s="1"/>
  <c r="E19" i="8"/>
  <c r="E25" i="8"/>
  <c r="F10" i="108"/>
  <c r="F9" i="116"/>
  <c r="F13" i="125"/>
  <c r="F14" i="115"/>
  <c r="F10" i="117"/>
  <c r="F9" i="124"/>
  <c r="F13" i="121"/>
  <c r="N4" i="127"/>
  <c r="F232" i="127"/>
  <c r="F8" i="118"/>
  <c r="N4" i="118"/>
  <c r="F7" i="105"/>
  <c r="F7" i="119"/>
  <c r="F9" i="123"/>
  <c r="F9" i="111"/>
  <c r="N4" i="111"/>
  <c r="F10" i="109"/>
  <c r="N4" i="109"/>
  <c r="F12" i="110"/>
  <c r="N4" i="110"/>
  <c r="F8" i="112"/>
  <c r="N4" i="112"/>
  <c r="N10" i="127"/>
  <c r="F77" i="126"/>
  <c r="N20" i="126"/>
  <c r="F11" i="113"/>
  <c r="N4" i="113"/>
  <c r="F7" i="120"/>
  <c r="N4" i="120"/>
  <c r="F12" i="104"/>
  <c r="N4" i="104" s="1"/>
  <c r="F59" i="77"/>
  <c r="F19" i="100"/>
  <c r="N4" i="100" s="1"/>
  <c r="F9" i="98"/>
  <c r="N4" i="98" s="1"/>
  <c r="E154" i="8"/>
  <c r="E63" i="8" a="1"/>
  <c r="E4" i="8" a="1"/>
  <c r="E153" i="8"/>
  <c r="E73" i="8" a="1"/>
  <c r="E10" i="8" a="1"/>
  <c r="E9" i="8" a="1"/>
  <c r="E65" i="8" a="1"/>
  <c r="E66" i="8" a="1"/>
  <c r="E20" i="8" a="1"/>
  <c r="E6" i="8" a="1"/>
  <c r="E152" i="8"/>
  <c r="E15" i="8" a="1"/>
  <c r="E64" i="8" a="1"/>
  <c r="E7" i="8" a="1"/>
  <c r="E17" i="8" a="1"/>
  <c r="E21" i="8" a="1"/>
  <c r="E155" i="8"/>
  <c r="E7" i="8" l="1"/>
  <c r="E64" i="8"/>
  <c r="E4" i="8"/>
  <c r="E6" i="8"/>
  <c r="E21" i="8"/>
  <c r="E15" i="8"/>
  <c r="E63" i="8"/>
  <c r="E65" i="8"/>
  <c r="E66" i="8"/>
  <c r="E20" i="8"/>
  <c r="E17" i="8"/>
  <c r="E73" i="8"/>
  <c r="E10" i="8"/>
  <c r="E9" i="8"/>
  <c r="F8" i="105"/>
  <c r="N4" i="105"/>
  <c r="F13" i="104"/>
  <c r="F58" i="77"/>
  <c r="N39" i="77"/>
  <c r="F13" i="77"/>
  <c r="F36" i="77" s="1"/>
  <c r="E23" i="8" a="1"/>
  <c r="E89" i="8" a="1"/>
  <c r="E89" i="8" l="1"/>
  <c r="E23" i="8"/>
  <c r="F15" i="103"/>
  <c r="F22" i="101"/>
  <c r="F20" i="100"/>
  <c r="E26" i="8" a="1"/>
  <c r="E24" i="8" a="1"/>
  <c r="E71" i="8" a="1"/>
  <c r="E24" i="8" l="1"/>
  <c r="E26" i="8"/>
  <c r="E71" i="8"/>
  <c r="N4" i="102"/>
  <c r="E22" i="8" a="1"/>
  <c r="E22" i="8" l="1"/>
  <c r="F38" i="77"/>
  <c r="F10" i="98"/>
  <c r="E58" i="8" a="1"/>
  <c r="E58" i="8" l="1"/>
  <c r="F37" i="77"/>
  <c r="N12" i="77"/>
  <c r="F11" i="77" l="1"/>
  <c r="N4" i="77" s="1"/>
  <c r="F70" i="77"/>
  <c r="E156" i="8"/>
  <c r="F10" i="77" l="1"/>
  <c r="E158" i="8" l="1"/>
  <c r="E159" i="8" l="1"/>
  <c r="E161" i="8" s="1"/>
  <c r="K163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<sst xmlns="http://schemas.openxmlformats.org/spreadsheetml/2006/main" count="9388" uniqueCount="848">
  <si>
    <r>
      <rPr>
        <b/>
        <sz val="18"/>
        <color theme="1" tint="0.499984740745262"/>
        <rFont val="Calibri"/>
        <family val="2"/>
        <scheme val="minor"/>
      </rPr>
      <t>BAKI</t>
    </r>
    <r>
      <rPr>
        <b/>
        <sz val="18"/>
        <color theme="1"/>
        <rFont val="Calibri"/>
        <family val="2"/>
        <scheme val="minor"/>
      </rPr>
      <t xml:space="preserve"> </t>
    </r>
    <r>
      <rPr>
        <b/>
        <sz val="18"/>
        <color rgb="FF92D050"/>
        <rFont val="Calibri"/>
        <family val="2"/>
        <scheme val="minor"/>
      </rPr>
      <t>ABADLIQ XİDMƏTİ</t>
    </r>
    <r>
      <rPr>
        <b/>
        <sz val="18"/>
        <color theme="1"/>
        <rFont val="Calibri"/>
        <family val="2"/>
        <scheme val="minor"/>
      </rPr>
      <t xml:space="preserve">
</t>
    </r>
    <r>
      <rPr>
        <b/>
        <sz val="18"/>
        <color rgb="FF0070C0"/>
        <rFont val="Calibri"/>
        <family val="2"/>
        <scheme val="minor"/>
      </rPr>
      <t>Narimanov District
A.Gayibov Street
AZ 1029 Baku, Azerbaijan</t>
    </r>
  </si>
  <si>
    <t>№</t>
  </si>
  <si>
    <t>İşlərin adı</t>
  </si>
  <si>
    <t>Ölçü
Vahidi</t>
  </si>
  <si>
    <t>Miqdarı</t>
  </si>
  <si>
    <t>Vahidin
Dəyəri</t>
  </si>
  <si>
    <t>Cəmi</t>
  </si>
  <si>
    <t>Ümumi işlər</t>
  </si>
  <si>
    <t>ADRESS</t>
  </si>
  <si>
    <t>FASADIN
NÖVÜ</t>
  </si>
  <si>
    <t>STATUSU</t>
  </si>
  <si>
    <t>QEYD</t>
  </si>
  <si>
    <t>DƏYƏRİ</t>
  </si>
  <si>
    <t>ÇÖL FASAD</t>
  </si>
  <si>
    <t>-</t>
  </si>
  <si>
    <t>TOTAL</t>
  </si>
  <si>
    <t>CƏMİ</t>
  </si>
  <si>
    <t>CƏRİMƏ</t>
  </si>
  <si>
    <t>TAMAMLANMAYIB</t>
  </si>
  <si>
    <t>m2</t>
  </si>
  <si>
    <t>pm</t>
  </si>
  <si>
    <t>TOPLAM</t>
  </si>
  <si>
    <t>gün</t>
  </si>
  <si>
    <t>Texnika</t>
  </si>
  <si>
    <t>reys</t>
  </si>
  <si>
    <t>LAÇIN 20%</t>
  </si>
  <si>
    <t>nəfər</t>
  </si>
  <si>
    <t>ədəd</t>
  </si>
  <si>
    <t>ÜMUMİ İŞLƏR</t>
  </si>
  <si>
    <t xml:space="preserve">Daşınma xərcləri </t>
  </si>
  <si>
    <t>TIR - 1 reys - 1.500 azn</t>
  </si>
  <si>
    <t xml:space="preserve">6 metrəlik - 1 reys - 1.000 azn </t>
  </si>
  <si>
    <t>KOMIFORES - LAÇIN
THERMOWOOD
EV № 60</t>
  </si>
  <si>
    <t>KOMIFORES - LAÇIN
THERMOWOOD
EV № 57</t>
  </si>
  <si>
    <t>KOMIFORES - LAÇIN
THERMOWOOD
EV № 63</t>
  </si>
  <si>
    <t>KOMIFORES - LAÇIN
THERMOWOOD
EV № 470</t>
  </si>
  <si>
    <t>EV № 57</t>
  </si>
  <si>
    <t>EV № 60</t>
  </si>
  <si>
    <t>EV № 63</t>
  </si>
  <si>
    <t>EV № 470</t>
  </si>
  <si>
    <t>Konteyner  WC- ( 6x2.4x2.5 )</t>
  </si>
  <si>
    <t>KOMIFORES - LAÇIN
THERMOWOOD
ÜMUMİ İŞLƏR</t>
  </si>
  <si>
    <t>Fronton çıxıntısına 2-lik termo üzləmənin vurulması ( yalnız material )</t>
  </si>
  <si>
    <t>Ümumi işlər ( Restoran )</t>
  </si>
  <si>
    <t>Pəncərə ətrafına 2-lik termo üzləmənin vurulması ( yalnız material )</t>
  </si>
  <si>
    <t>Eyvan tumbasına 2-lik termo üzləmənin vurulması ( yalnız material )</t>
  </si>
  <si>
    <t>İstisnad üzərinə 2-lik termo üzləmənin vurulması ( yalnız material )</t>
  </si>
  <si>
    <t>KOMIFORES - LAÇIN
THERMOWOOD
EV № 59</t>
  </si>
  <si>
    <t xml:space="preserve">Fronton fasadına 2-lik termo üzləmənin vurulması ( yalnız material ) </t>
  </si>
  <si>
    <t>Fronton fasadına 2-lik jalüz üzləmənin vurulması ( yalnız işçilik) ( eni=0.35 )</t>
  </si>
  <si>
    <t>KOMIFORES - LAÇIN
THERMOWOOD
EV № 569</t>
  </si>
  <si>
    <t>EV № 59</t>
  </si>
  <si>
    <t>EV № 569</t>
  </si>
  <si>
    <t>Dövlət Təhlükəsizlik Xidməti</t>
  </si>
  <si>
    <t>KOMIFORES - LAÇIN
THERMOWOOD
EV № 10</t>
  </si>
  <si>
    <t>EV № 10</t>
  </si>
  <si>
    <t>metr</t>
  </si>
  <si>
    <t>KOMIFORES - LAÇIN
THERMOWOOD
EV № 24</t>
  </si>
  <si>
    <t>EV № 24</t>
  </si>
  <si>
    <t>KOMIFORES - LAÇIN
THERMOWOOD
EV № 23</t>
  </si>
  <si>
    <t>EV № 23</t>
  </si>
  <si>
    <t>KOMIFORES - LAÇIN
THERMOWOOD
TİNE HOUSE</t>
  </si>
  <si>
    <t>KOMIFORES - LAÇIN
THERMOWOOD
EV № 39</t>
  </si>
  <si>
    <t>EV № 39</t>
  </si>
  <si>
    <t>Köşə vurulması ( 1 metr - 6 azn )</t>
  </si>
  <si>
    <t>Qapı ətrafına termo üzləmənin vurulması ( yalnız material ) ( 1 m2 - 50 azn )</t>
  </si>
  <si>
    <t>KOMIFORES - LAÇIN
THERMOWOOD
EV № 52</t>
  </si>
  <si>
    <t>EV № 52</t>
  </si>
  <si>
    <t>KOMIFORES - LAÇIN
THERMOWOOD
EV № 51</t>
  </si>
  <si>
    <t>Pəncərə ətrafına termo üzləmənin vurulması ( yalnız material ) ( 1 m2 - 50 azn )</t>
  </si>
  <si>
    <t>Qapı ətrafına termo üzləmənin vurulması ( yalnız işçilik ) ( 1 pm - 30 azn )</t>
  </si>
  <si>
    <t>Fronton çıxıntısına termo üzləmənin vurulması ( yalnız material ) ( 1 m2 - 50 azn )</t>
  </si>
  <si>
    <t>EV № 51</t>
  </si>
  <si>
    <t>KOMIFORES - LAÇIN
THERMOWOOD
EV № 55</t>
  </si>
  <si>
    <t>EV № 55</t>
  </si>
  <si>
    <t>Fronton çıxıntısına termo üzləmənin vurulması ( material və işçiliyi ) ( 1 pm - 80 azn )</t>
  </si>
  <si>
    <t>KOMIFORES - LAÇIN
THERMOWOOD
EV № 17</t>
  </si>
  <si>
    <t>Termo perillanın vurulması ( 1 m2 - 150 azn )</t>
  </si>
  <si>
    <t>Divara termo üzləmənin vurulması ( yalnız material ) ( 1 m2 - 50 azn )</t>
  </si>
  <si>
    <t>EV № 17</t>
  </si>
  <si>
    <t>KOMIFORES - LAÇIN
THERMOWOOD
EV № 445</t>
  </si>
  <si>
    <t>EV № 445</t>
  </si>
  <si>
    <t>KOMIFORES - LAÇIN
THERMOWOOD
EV № 441</t>
  </si>
  <si>
    <t>KOMIFORES - LAÇIN
THERMOWOOD
EV № 459</t>
  </si>
  <si>
    <t>EV № 459</t>
  </si>
  <si>
    <t>KOMIFORES - LAÇIN
THERMOWOOD
EV № 458</t>
  </si>
  <si>
    <t>EV № 458</t>
  </si>
  <si>
    <t>KOMIFORES - LAÇIN
THERMOWOOD
EV № 481</t>
  </si>
  <si>
    <t>EV № 481</t>
  </si>
  <si>
    <t>KOMIFORES - LAÇIN
THERMOWOOD
EV № 62</t>
  </si>
  <si>
    <t>Fasada termo üzləmənin vurulması - 5-lik oval ( yalnız material ) ( 1 m2 - 80 azn )</t>
  </si>
  <si>
    <t>EV № 62</t>
  </si>
  <si>
    <t>KOMIFORES - LAÇIN
THERMOWOOD
EV № 43</t>
  </si>
  <si>
    <t>EV № 43</t>
  </si>
  <si>
    <t>KOMIFORES - LAÇIN
THERMOWOOD
EV № 15</t>
  </si>
  <si>
    <t>Fronton çıxıntısına termo üzləmənin vurulması ( yalnız işçilik) ( 1 pm - 30 azn )</t>
  </si>
  <si>
    <t>Fronton fasadına termo üzləmənin vurulması ( yalnız işçilik) ( eni=0.3 sm )</t>
  </si>
  <si>
    <t>EV № 15</t>
  </si>
  <si>
    <t>KOMIFORES - LAÇIN
THERMOWOOD
BERG</t>
  </si>
  <si>
    <t>Pilləkana termo üzləmənin vurulması ( yalnız material ) ( 1 m2 - 80 azn )</t>
  </si>
  <si>
    <t>Pilləkana termo üzləmənin vurulması ( yalnız işçilik ) ( 1 pm - 30 azn )</t>
  </si>
  <si>
    <t>Terrasın yan hissəsinə üzləmənin vurulması ( yalnız material ) ( 1 m2 - 50 azn )</t>
  </si>
  <si>
    <t>Terrasın yan hissəsinə üzləmənin vurulması ( yalnız işçilik ) ( 1 pm - 30 azn )</t>
  </si>
  <si>
    <t xml:space="preserve">KOMIFORES - LAÇIN
THERMOWOOD
ÇAY QIRAĞI </t>
  </si>
  <si>
    <t>İçəri tumbalara üzləmənin vurulması ( yalnız material ) ( 1 m2 - 50 azn )</t>
  </si>
  <si>
    <t>İçəri tumbalara üzləmənin vurulması ( yalnız işçilik ) ( 1 pm - 30 azn )</t>
  </si>
  <si>
    <t>Çöl fasada üzləmənin vurulması ( yalnız material ) ( 1 m2 - 65 azn )</t>
  </si>
  <si>
    <t>Çöl fasada üzləmənin vurulması ( yalnız işçilik ) ( 1 pm - 30 azn )</t>
  </si>
  <si>
    <t>Çöl pəncərəyə üzləmənin vurulması ( yalnız işçilik ) ( 1 pm - 30 azn )</t>
  </si>
  <si>
    <t>Çöl pəncərəyə üzləmənin vurulması ( yalnız material ) ( 1 m2 - 50 azn )</t>
  </si>
  <si>
    <t>KOMIFORES - LAÇIN
THERMOWOOD
ÜMUMİ ƏRAZİ</t>
  </si>
  <si>
    <t>Klips ( 1 ədədi - 0.15 azn )</t>
  </si>
  <si>
    <t>komp</t>
  </si>
  <si>
    <t>dəst</t>
  </si>
  <si>
    <t>litr</t>
  </si>
  <si>
    <t>Generator ( 6.5 KVA, 1 ədəd - 1.650 azn )</t>
  </si>
  <si>
    <t>Generator ( 4 KVA, 1 ədəd - 1.300 azn )</t>
  </si>
  <si>
    <t>Köşə vurulması ( 1 pm - 6 azn )</t>
  </si>
  <si>
    <t>Termo perillanın vurulması ( 1 pm - 150 azn )</t>
  </si>
  <si>
    <t>m3</t>
  </si>
  <si>
    <t>Ümumi işlər - 2</t>
  </si>
  <si>
    <t>Ümumi işlər - 1</t>
  </si>
  <si>
    <t>Emprenye reyka ( 5x3 )</t>
  </si>
  <si>
    <t xml:space="preserve">Ümumi işlər </t>
  </si>
  <si>
    <t xml:space="preserve">Köşə vurulması ( 1 pm - 6 azn )  </t>
  </si>
  <si>
    <t xml:space="preserve">Fasada termo üzləmənin vurulması ( yalnız işçilik ) ( 1 pm - 30 azn )  </t>
  </si>
  <si>
    <t xml:space="preserve">Fasada termo üzləmənin vurulması ( yalnız material ) ( 1 m2 - 50 azn )  </t>
  </si>
  <si>
    <t xml:space="preserve">Fasada termo üzləmənin vurulması ( yalnız material ) ( 1 m2 - 50 azn ) </t>
  </si>
  <si>
    <t>Fasada kalon üzləmənin vurulması - 5-lik oval ( yalnız material )</t>
  </si>
  <si>
    <t xml:space="preserve">Fasada kalon üzləmənin vurulması ( yalnız işçilik ) </t>
  </si>
  <si>
    <t>Köşə vurulması</t>
  </si>
  <si>
    <t xml:space="preserve">Termo perillanın vurulması ( 1 pm - 150 azn )  </t>
  </si>
  <si>
    <t xml:space="preserve">Termo köşənin vurulması ( 1 pm - 6 azn ) </t>
  </si>
  <si>
    <t>EV № 428</t>
  </si>
  <si>
    <t>KOMIFORES - LAÇIN
THERMOWOOD
EV № 428</t>
  </si>
  <si>
    <t>EV № 441</t>
  </si>
  <si>
    <t xml:space="preserve">Pəncərə ətrafına termo üzləmənin vurulması ( yalnız material ) ( 1 m2 - 50 azn ) </t>
  </si>
  <si>
    <t>Çay üstü asma körpünün qurulması ( 71x2,05 )</t>
  </si>
  <si>
    <t xml:space="preserve">Çay qırağı - Asma körpü </t>
  </si>
  <si>
    <t>Emprenye reyka ( 5x7 )</t>
  </si>
  <si>
    <t xml:space="preserve">Çay qırağı - Asma körpünün yanı </t>
  </si>
  <si>
    <t xml:space="preserve">Çay qırağı restoranı </t>
  </si>
  <si>
    <t xml:space="preserve">Dam+ ( Zaur müəllim ) </t>
  </si>
  <si>
    <t xml:space="preserve">İlkin MMC ( Anar müəllim ) - Bakı Abadlıq </t>
  </si>
  <si>
    <t xml:space="preserve">Berg - ( Teymur Protent MMC ) </t>
  </si>
  <si>
    <t>Kran</t>
  </si>
  <si>
    <t xml:space="preserve">TIR - 1 reys - 1.300 azn </t>
  </si>
  <si>
    <t xml:space="preserve">Evakuator </t>
  </si>
  <si>
    <t>21.04.2023-15.06.2023</t>
  </si>
  <si>
    <r>
      <t>Konteyner  Boş- ( 6x2.4x2.5 )</t>
    </r>
    <r>
      <rPr>
        <sz val="18"/>
        <color rgb="FFFF0000"/>
        <rFont val="Times New Roman"/>
        <family val="1"/>
      </rPr>
      <t xml:space="preserve"> </t>
    </r>
  </si>
  <si>
    <r>
      <t>Generator ( 6.5 KVA, 1 ədəd - 1.650 azn )</t>
    </r>
    <r>
      <rPr>
        <sz val="18"/>
        <color rgb="FFFF0000"/>
        <rFont val="Times New Roman"/>
        <family val="1"/>
      </rPr>
      <t xml:space="preserve"> </t>
    </r>
  </si>
  <si>
    <r>
      <t>Generator üçün yanacaq ( 21.01.2023 - 07.06.2023 )</t>
    </r>
    <r>
      <rPr>
        <sz val="18"/>
        <color rgb="FFFF0000"/>
        <rFont val="Times New Roman"/>
        <family val="1"/>
      </rPr>
      <t xml:space="preserve"> </t>
    </r>
  </si>
  <si>
    <r>
      <t>Çay qırağı üçün quyu ( 1 komp - 4000 azn )</t>
    </r>
    <r>
      <rPr>
        <sz val="18"/>
        <color rgb="FFFF0000"/>
        <rFont val="Times New Roman"/>
        <family val="1"/>
      </rPr>
      <t xml:space="preserve"> </t>
    </r>
  </si>
  <si>
    <t>Söhbətgah 1 ( 10x8 )</t>
  </si>
  <si>
    <t>Söhbətgah altına taxta brusların atılması ( 0.15x0.25x8 )</t>
  </si>
  <si>
    <t>Termo məhəccərin vurulması</t>
  </si>
  <si>
    <t>Söhbətgah altı brusların bərkildilməsi üçün dəmir sırğalar ( 1 əd. - 35 azn )</t>
  </si>
  <si>
    <t>Dəmir sırğa yerinin betonlanması ( 40x40; h=50sm )</t>
  </si>
  <si>
    <t>Söhbətgah 3</t>
  </si>
  <si>
    <t>Döşəmə kənarı termonun vurulması ( yalnız işçilik )</t>
  </si>
  <si>
    <t>Döşəmə kənarı termonun vurulması ( yalnız material )</t>
  </si>
  <si>
    <t>Köşənin vurulması</t>
  </si>
  <si>
    <t>Pilləkan - körpü</t>
  </si>
  <si>
    <t>Termo pillənin yığılması ( 3-lük ) - 13 pillə ( yalnız işçilik )</t>
  </si>
  <si>
    <t>Termo pillənin yığılması ( 3-lük ) - 13 pillə ( yalnız material )</t>
  </si>
  <si>
    <t>Pillə kənarlarına termonun vurulması ( h=25sm ) ( yalnız işçilik )</t>
  </si>
  <si>
    <t>Pillə kənarlarına termonun vurulması ( h=25sm ) ( yalnız material )</t>
  </si>
  <si>
    <t>Söhbətgah 4</t>
  </si>
  <si>
    <t>Döşəmə kənarı termonun vurulması ( h=40sm ) ( yalnız material )</t>
  </si>
  <si>
    <t>Döşəmə kənarı termonun vurulması ( h=40sm ) ( yalnız işçilik )</t>
  </si>
  <si>
    <t>KOMIFORES - LAÇIN
THERMOWOOD
EV № 552</t>
  </si>
  <si>
    <t>EV № 552</t>
  </si>
  <si>
    <t>Fronton çıxıntısına termo üzləmənin vurulması ( yalnız işçilik ) ( 1 pm - 30 azn )</t>
  </si>
  <si>
    <t>KOMIFORES - LAÇIN
THERMOWOOD
EV № 516</t>
  </si>
  <si>
    <t>EV № 516</t>
  </si>
  <si>
    <t>Bergin arxası - Ağ çadır</t>
  </si>
  <si>
    <t>Köhnə diktin sökülməsi</t>
  </si>
  <si>
    <t>Pilləyə termonun vurulması ( 3-lük ) ( yalnız işçilik )</t>
  </si>
  <si>
    <t>Pilləyə termonun vurulması ( 3-lük ) ( yalnız material )</t>
  </si>
  <si>
    <t>Domiklər ( 22 )</t>
  </si>
  <si>
    <t>Döşəməyə termonun vurulması ( 3-lük ) - 22 ədəd ( 1 əd. - 20 m2 )</t>
  </si>
  <si>
    <t>Ofisin solu - Yol kənarı</t>
  </si>
  <si>
    <t>Termo məhəccərin vurulması+səki döşəməsinə termo üzləmənin vurulması ( 1 pm - 300 azn; razılaşdırılmış qiymət )</t>
  </si>
  <si>
    <t>16.06.2023-31.07.2023</t>
  </si>
  <si>
    <t xml:space="preserve">6 metrəlik - 1 reys - 680 azn </t>
  </si>
  <si>
    <t>İşçilərin yemək təminatı ( 21.04.2023 - 13.05.2023 )</t>
  </si>
  <si>
    <t>İşçilərin yemək təminatı ( 14.05.2023 - 15.06.2023 )</t>
  </si>
  <si>
    <t>İşçilərin yemək təminatı ( 16.06.2023 - 31.07.2023 )</t>
  </si>
  <si>
    <r>
      <t>Söhbətgah dəstinin qurulması ( Podratçı qiyməti: 1 dəst - 3500 azn )</t>
    </r>
    <r>
      <rPr>
        <sz val="18"/>
        <color rgb="FFFF0000"/>
        <rFont val="Times New Roman"/>
        <family val="1"/>
      </rPr>
      <t xml:space="preserve"> </t>
    </r>
  </si>
  <si>
    <r>
      <t>Söhbətgah üçün stol stul dəsti ( Podratçı qiyməti: 1 dəst - 1000 azn )</t>
    </r>
    <r>
      <rPr>
        <sz val="18"/>
        <color rgb="FFFF0000"/>
        <rFont val="Times New Roman"/>
        <family val="1"/>
      </rPr>
      <t xml:space="preserve"> </t>
    </r>
  </si>
  <si>
    <t>Köşə verilməsi ( 1 pm - 6 azn )</t>
  </si>
  <si>
    <t>Metal ayaqaltının qurulması və sökülməsi</t>
  </si>
  <si>
    <r>
      <t>Termo qapıların qoyulması ( material və quraşdırılması ) ( Podratçı qiyməti: 1 ədəd - 4350 azn )</t>
    </r>
    <r>
      <rPr>
        <sz val="18"/>
        <color rgb="FFFF0000"/>
        <rFont val="Times New Roman"/>
        <family val="1"/>
      </rPr>
      <t xml:space="preserve"> </t>
    </r>
  </si>
  <si>
    <t>Park ( Dönərxananın yanı )</t>
  </si>
  <si>
    <t>Pilləkanıln qutu profillə yığılması ( 40x40 ) ( qalınlıq 3 )</t>
  </si>
  <si>
    <t>Körpü 1 ( Böyük, 23 metr ) ( Podratçı dediyi qiymət 44500 azn )</t>
  </si>
  <si>
    <t>Körpü 2 ( Kiçik,  4 metr ) ( Podratçı dediyi qiymət 3500 azn )</t>
  </si>
  <si>
    <t>Qutu profillə döşəmə yerlərinin yığılması ( 40x40 ) ( qalınlıq 3 sm )</t>
  </si>
  <si>
    <t>Qutu profillə döşəmə yerlərinin yığılması ( 50x100 ) ( qalınlıq 3 sm )</t>
  </si>
  <si>
    <t>Çamaşırxananın yanı</t>
  </si>
  <si>
    <t>Ofisin yuxarısı</t>
  </si>
  <si>
    <t>Aframe evlər ( Arenol - 9 ədəd )</t>
  </si>
  <si>
    <t>Restoran ( Aframe evlərin yanı )</t>
  </si>
  <si>
    <t xml:space="preserve">Çay kənarı Yarmarka </t>
  </si>
  <si>
    <t>Körpü 1 ( 16 metr ) ( Podratçı dediyi qiymət - 32.000 azn )</t>
  </si>
  <si>
    <t>Körpü 2 ( 16 metr ) ( Podratçı dediyi qiymət - 32.000 azn )</t>
  </si>
  <si>
    <t>Körpü 3 ( 33 metr ) ( Podratçı dediyi qiymət - 65.000 azn )</t>
  </si>
  <si>
    <t xml:space="preserve">Çay kənarı </t>
  </si>
  <si>
    <t>Çay kənarı - Hovuz</t>
  </si>
  <si>
    <t>Köşəliyin vurulması</t>
  </si>
  <si>
    <t>Rahat marketin arxasındakı ev</t>
  </si>
  <si>
    <t>584-ün yanındakı ev</t>
  </si>
  <si>
    <t>Ferma - Zerti</t>
  </si>
  <si>
    <t>Yemək qabının yığılması ( keçilər üçün ) ( Podratçı dediyi qiymət 1 ədəd - 480 azn )</t>
  </si>
  <si>
    <t>Su qabının qabının yığılması ( keçilər üçün ) ( Podratçı dediyi qiymət 1 ədəd - 220 azn )</t>
  </si>
  <si>
    <t>Ev 625</t>
  </si>
  <si>
    <t>21.04.2023-31.08.2023</t>
  </si>
  <si>
    <t>Mitsubishi Fuso ( yük maşını ) 90-LO-128</t>
  </si>
  <si>
    <t>Mitsubishi Fuso ( yük maşını ) 90-VF-427</t>
  </si>
  <si>
    <t>01.08.2023-31.08.2023</t>
  </si>
  <si>
    <t>İşçilərin yemək təminatı ( 01.08.2023-31.08.2023 )</t>
  </si>
  <si>
    <t>Tədbir vaxtı fəhlə işləyib ( Gecə növbəsi )</t>
  </si>
  <si>
    <t>Söhbətgah dəstinin qurulması</t>
  </si>
  <si>
    <t>Məhəccər arxası emprenye reykanın vurulması ( 5x3 )</t>
  </si>
  <si>
    <t xml:space="preserve">Termo qapıların qoyulması ( material və quraşdırılması ) </t>
  </si>
  <si>
    <t>KOMIFORES - LAÇIN
THERMOWOOD
EV № 527</t>
  </si>
  <si>
    <t>EV № 527</t>
  </si>
  <si>
    <t>Kalonlara termo üzləmənin vurulması ( yalnız işçilik ) ( 1 pm - 30 azn )</t>
  </si>
  <si>
    <t>Fronton çıxıntısına 5-lik oval termo üzləmənin vurulması ( yalnız işçilik və material )</t>
  </si>
  <si>
    <t>KOMIFORES - LAÇIN
THERMOWOOD
EV № 528</t>
  </si>
  <si>
    <t>EV № 528</t>
  </si>
  <si>
    <t>Kalonlara 2-lik termo üzləmənin vurulması ( yalnız material ) ( 1 m2 - 50 azn )</t>
  </si>
  <si>
    <t>KOMIFORES - LAÇIN
THERMOWOOD
EV № 759</t>
  </si>
  <si>
    <t>EV № 759</t>
  </si>
  <si>
    <t>KOMIFORES - LAÇIN
THERMOWOOD
EV № 522</t>
  </si>
  <si>
    <t>EV № 522</t>
  </si>
  <si>
    <t>KOMIFORES - LAÇIN
THERMOWOOD
EV № 537</t>
  </si>
  <si>
    <t>EV № 537</t>
  </si>
  <si>
    <t>KOMIFORES - LAÇIN
THERMOWOOD
EV № 538</t>
  </si>
  <si>
    <t>EV № 538</t>
  </si>
  <si>
    <t>KOMIFORES - LAÇIN
THERMOWOOD
EV № 550</t>
  </si>
  <si>
    <t>EV № 550</t>
  </si>
  <si>
    <t>KOMIFORES - LAÇIN
THERMOWOOD
EV № 551</t>
  </si>
  <si>
    <t>EV № 551</t>
  </si>
  <si>
    <t>KOMIFORES - LAÇIN
THERMOWOOD
EV № 42</t>
  </si>
  <si>
    <t>EV № 42</t>
  </si>
  <si>
    <t>KOMIFORES - LAÇIN
THERMOWOOD
EV № 3</t>
  </si>
  <si>
    <t>EV № 3</t>
  </si>
  <si>
    <t>KOMIFORES - LAÇIN
THERMOWOOD
EV № 525</t>
  </si>
  <si>
    <t>EV № 525</t>
  </si>
  <si>
    <t>Pilləkan kənarına 2-lik termo üzləmənin vurulması ( yalnız material )</t>
  </si>
  <si>
    <t>Pilləkan altı kalonlara 2-lik termo üzləmənin vurulması ( yalnız material )</t>
  </si>
  <si>
    <t>KOMIFORES - LAÇIN
THERMOWOOD
EV № 351</t>
  </si>
  <si>
    <t>EV № 351</t>
  </si>
  <si>
    <t>KOMIFORES - LAÇIN
THERMOWOOD
EV № 345</t>
  </si>
  <si>
    <t>EV № 345</t>
  </si>
  <si>
    <t>KOMIFORES - LAÇIN
THERMOWOOD
EV № 561</t>
  </si>
  <si>
    <t>EV № 561</t>
  </si>
  <si>
    <t>Termo məhəccərin vurulması ( 1 pm - 150 azn )</t>
  </si>
  <si>
    <t>Eyvan altı kalonlara termo üzləmənin vurulması ( yalnız material - 50 azn )</t>
  </si>
  <si>
    <t>KOMIFORES - LAÇIN
THERMOWOOD
EV № 755</t>
  </si>
  <si>
    <t>EV № 755</t>
  </si>
  <si>
    <t>Meydança kənarına termo üzləmənin vurulması ( yalnız işçilik - 30 azn )</t>
  </si>
  <si>
    <t>Məhəccər kənarı termo üzləmənin vurulması ( yalnız işçilik - 30 azn )</t>
  </si>
  <si>
    <t>KOMIFORES - LAÇIN
THERMOWOOD
EV № 25</t>
  </si>
  <si>
    <t>EV № 25</t>
  </si>
  <si>
    <t>EV № 26</t>
  </si>
  <si>
    <t>KOMIFORES - LAÇIN
THERMOWOOD
EV № 26</t>
  </si>
  <si>
    <t>KOMIFORES - LAÇIN
THERMOWOOD
EV № 260</t>
  </si>
  <si>
    <t>EV № 260</t>
  </si>
  <si>
    <t>KOMIFORES - LAÇIN
THERMOWOOD
EV № 267</t>
  </si>
  <si>
    <t>EV № 267</t>
  </si>
  <si>
    <t>KOMIFORES - LAÇIN
THERMOWOOD
EV № 199</t>
  </si>
  <si>
    <t>EV № 199</t>
  </si>
  <si>
    <t>KOMIFORES - LAÇIN
THERMOWOOD
EV № 187</t>
  </si>
  <si>
    <t>EV № 187</t>
  </si>
  <si>
    <t>KOMIFORES - LAÇIN
THERMOWOOD
EV № 188</t>
  </si>
  <si>
    <t>EV № 188</t>
  </si>
  <si>
    <t>EV № 186</t>
  </si>
  <si>
    <t>KOMIFORES - LAÇIN
THERMOWOOD
EV № 186</t>
  </si>
  <si>
    <t>KOMIFORES - LAÇIN
THERMOWOOD
EV № 375</t>
  </si>
  <si>
    <t>EV № 375</t>
  </si>
  <si>
    <t>KOMIFORES - LAÇIN
THERMOWOOD
EV № 376</t>
  </si>
  <si>
    <t>EV № 376</t>
  </si>
  <si>
    <t>KOMIFORES - LAÇIN
THERMOWOOD
EV № 373</t>
  </si>
  <si>
    <t>EV № 373</t>
  </si>
  <si>
    <t>KOMIFORES - LAÇIN
THERMOWOOD
EV № 374</t>
  </si>
  <si>
    <t>EV № 374</t>
  </si>
  <si>
    <t>Restoran ( Baba )</t>
  </si>
  <si>
    <t>Dam kənarına termo üzləmənin vurulması ( yalnız işçilik ) ( 1 pm - 30 azn )</t>
  </si>
  <si>
    <t>Dam kənarına 2-lik termo üzləmənin vurulması ( yalnız material ) ( 1 m2 - 50 azn )</t>
  </si>
  <si>
    <t>Açıq səhnə ( Çay kənarı )</t>
  </si>
  <si>
    <t>Pilləyə termo üzləmənin vurulması ( yalnız işçilik ) ( 18 pillə )</t>
  </si>
  <si>
    <t>Pilləyə termo üzləmənin vurulması ( yalnız material ) ( 18 pillə )</t>
  </si>
  <si>
    <t>Bina ( Xəstəxananın yanı )</t>
  </si>
  <si>
    <t>Tavan kənarı termo üzləmənin vurulması ( yalnız işçilik )</t>
  </si>
  <si>
    <t>Tavan kənarı 2-lik termo üzləmənin vurulması ( yalnız material )</t>
  </si>
  <si>
    <t>Kalonlara termo üzləmənin vurulması ( yalnız işçilik )</t>
  </si>
  <si>
    <t>Kalonlara 2-lik termo üzləmənin vurulması ( yalnız material )</t>
  </si>
  <si>
    <t>Eyvan kalonlarına 2-lik termo üzləmənin vurulması ( yalnız işçilik )</t>
  </si>
  <si>
    <t>Eyvan kalonlarına 2-lik termo üzləmənin vurulması ( yalnız material )</t>
  </si>
  <si>
    <t>Eyvanın ayaq hissəsinə termo üzləmənin vurulması ( yalnız işçilik )</t>
  </si>
  <si>
    <t>Eyvanın ayaq hissəsinə 2-lik termo üzləmənin vurulması ( yalnız material )</t>
  </si>
  <si>
    <t>Eyvan altı kalonlara termo üzləmənin vurulması ( yalnız işçilik )</t>
  </si>
  <si>
    <t>Eyvan altı kalonlara termo üzləmənin vurulması ( yalnız material )</t>
  </si>
  <si>
    <t xml:space="preserve">Dam kənarına 2-lik termo üzləmənin vurulması ( yalnız işçilik ) </t>
  </si>
  <si>
    <t xml:space="preserve">Dam kənarına 2-lik termo üzləmənin vurulması ( yalnız material ) </t>
  </si>
  <si>
    <t>01.09.2023 - 30.09.2023</t>
  </si>
  <si>
    <t xml:space="preserve">TIR - 1 reys - 1.120 azn </t>
  </si>
  <si>
    <t>İşçilərin yemək təminatı ( 01.09.2023 - 30.09.2023 )</t>
  </si>
  <si>
    <t>Ev 575</t>
  </si>
  <si>
    <t>İt yuvasının termo ilə yığılması ( 1 ədəd - 450 azn )</t>
  </si>
  <si>
    <t>Yemək qabının yığılması ( keçilər üçün ) ( Podratçı dediyi qiymət 1 ədəd - 920 azn ) ( 1 ədəd - 4 pm )</t>
  </si>
  <si>
    <t>Giriş hissələrə şlaqbaumun qoyulması ( 1 ədəd - 1500 azn ) ( L=4 m )</t>
  </si>
  <si>
    <t>Abdallar küçəsi</t>
  </si>
  <si>
    <t>Dəhliz:</t>
  </si>
  <si>
    <t>Eyvanlar:</t>
  </si>
  <si>
    <t>Həyətdə termo yelləncəyin yığılması ( 1 ədəd - 2.200 azn )</t>
  </si>
  <si>
    <t>KOMIFORES - LAÇIN
THERMOWOOD
EV № 728</t>
  </si>
  <si>
    <t>Ev kalonlarına termo üzləmənin vurulması ( yalnız işçilik )</t>
  </si>
  <si>
    <t xml:space="preserve">Ev kalonlarına termo üzləmənin vurulması ( yalnız material ) </t>
  </si>
  <si>
    <t>EV № 728</t>
  </si>
  <si>
    <t>EV № 725</t>
  </si>
  <si>
    <t>KOMIFORES - LAÇIN
THERMOWOOD
EV № 725</t>
  </si>
  <si>
    <t>KOMIFORES - LAÇIN
THERMOWOOD
EV № 723</t>
  </si>
  <si>
    <t>EV № 723</t>
  </si>
  <si>
    <t>KOMIFORES - LAÇIN
THERMOWOOD
EV № 462</t>
  </si>
  <si>
    <t>Pilləkan ətrafı termo üzləmənin vurulması ( yalnız işçilik )</t>
  </si>
  <si>
    <t>Pilləkan ətrafı termo üzləmənin vurulması ( yalnız material )</t>
  </si>
  <si>
    <t>Söhbətgah kalonuna termo üzləmənin vurulması ( yalnız işçilik )</t>
  </si>
  <si>
    <t>Söhbətgah kalonuna termo üzləmənin vurulması( yalnız material )</t>
  </si>
  <si>
    <t>Söhbətgahın arxa kalonlarına termo üzləmənin vurulması ( yalnız işçilik )</t>
  </si>
  <si>
    <t>Söhbətgahın arxa kalonlarına termo üzləmənin vurulması ( yalnız material )</t>
  </si>
  <si>
    <t>Məhəccər kənarı termo üzləmənin vurulması ( yalnız işçilik )</t>
  </si>
  <si>
    <t>Məhəccər kənarı termo üzləmənin vurulması ( yalnız material )</t>
  </si>
  <si>
    <t>EV № 462</t>
  </si>
  <si>
    <t>EV № 787</t>
  </si>
  <si>
    <t>KOMIFORES - LAÇIN
THERMOWOOD
EV № 787</t>
  </si>
  <si>
    <t>KOMIFORES - LAÇIN
THERMOWOOD
EV № 575</t>
  </si>
  <si>
    <t>Hasar kalonuna termo üzləmənin vurulması ( yalnız material )</t>
  </si>
  <si>
    <t>Hasar kalonuna termo üzləmənin vurulması ( yalnız işçilik )</t>
  </si>
  <si>
    <t>Ev kalonuna termo üzləmənin vurulması ( yalnız işçilik )</t>
  </si>
  <si>
    <t>Qapı ətrafı divara termo üzləmənin vurulması ( yalnız işçilik )</t>
  </si>
  <si>
    <t>Qapı ətrafı divara termo üzləmənin vurulması ( yalnız material )</t>
  </si>
  <si>
    <t>EV № 575</t>
  </si>
  <si>
    <t>KOMIFORES - LAÇIN
THERMOWOOD
GİL FABRİKİ VƏ ƏTRAFI</t>
  </si>
  <si>
    <t>Fronton çıxıntısına termo üzləmənin vurulması ( yalnız işçilik )</t>
  </si>
  <si>
    <t>Fronton çıxıntısına termo üzləmənin vurulması ( yalnız material )</t>
  </si>
  <si>
    <t>Kalonlara termo üzləmənin vurulması ( yalnız material )</t>
  </si>
  <si>
    <t>Dairə oturacağa termo üzləmənin vurulması ( yalnız işçilik )</t>
  </si>
  <si>
    <t>Dairə oturacağa termo üzləmənin vurulması ( yalnız material )</t>
  </si>
  <si>
    <t>Məhəccər üstü termo üzləmənin vurulması ( yalnız işçilik )</t>
  </si>
  <si>
    <t>EV № 844</t>
  </si>
  <si>
    <t>KOMIFORES - LAÇIN
THERMOWOOD
EV № 844</t>
  </si>
  <si>
    <t xml:space="preserve">Kalonlara termo üzləmənin vurulması ( yalnız material ) </t>
  </si>
  <si>
    <t xml:space="preserve">Kalonlara termo üzləmənin vurulması ( yalnız işçilik ) </t>
  </si>
  <si>
    <t>KOMIFORES - LAÇIN
THERMOWOOD
EV № 706</t>
  </si>
  <si>
    <t>EV № 706</t>
  </si>
  <si>
    <t>KOMIFORES - LAÇIN
THERMOWOOD
EV № 406</t>
  </si>
  <si>
    <t>EV № 406</t>
  </si>
  <si>
    <t>KOMIFORES - LAÇIN
THERMOWOOD
EV № 751</t>
  </si>
  <si>
    <t>EV № 751</t>
  </si>
  <si>
    <t>KOMIFORES - LAÇIN
THERMOWOOD
EV № 461</t>
  </si>
  <si>
    <t>EV № 461</t>
  </si>
  <si>
    <t>KOMIFORES - LAÇIN
THERMOWOOD
EV № 181</t>
  </si>
  <si>
    <t xml:space="preserve">Termo məhəccər vurulması </t>
  </si>
  <si>
    <t>EV № 181</t>
  </si>
  <si>
    <t>KOMIFORES - LAÇIN
THERMOWOOD
EV № 145</t>
  </si>
  <si>
    <t>EV № 145</t>
  </si>
  <si>
    <t>Çamaşırxana yanı ( Ofis )</t>
  </si>
  <si>
    <t>KOMIFORES - LAÇIN
THERMOWOOD
EV № 81</t>
  </si>
  <si>
    <t>EV № 81</t>
  </si>
  <si>
    <t>EV № 623</t>
  </si>
  <si>
    <t>KOMIFORES - LAÇIN
THERMOWOOD
EV № 623</t>
  </si>
  <si>
    <t>EV № 484</t>
  </si>
  <si>
    <t>KOMIFORES - LAÇIN
THERMOWOOD
EV № 484</t>
  </si>
  <si>
    <t>KOMIFORES - LAÇIN
THERMOWOOD
EV № 562</t>
  </si>
  <si>
    <t>EV № 562</t>
  </si>
  <si>
    <t>KOMIFORES - LAÇIN
THERMOWOOD
EV № 486</t>
  </si>
  <si>
    <t>EV № 486</t>
  </si>
  <si>
    <t>EV № 487</t>
  </si>
  <si>
    <t>KOMIFORES - LAÇIN
THERMOWOOD
EV № 487</t>
  </si>
  <si>
    <t>KOMIFORES - LAÇIN
THERMOWOOD
EV № 724</t>
  </si>
  <si>
    <t>EV № 724</t>
  </si>
  <si>
    <t>KOMIFORES - LAÇIN
THERMOWOOD
EV № 729</t>
  </si>
  <si>
    <t>EV № 729</t>
  </si>
  <si>
    <t>Market ( yol qırağı - parkın yanı )</t>
  </si>
  <si>
    <t xml:space="preserve">Hasar üstünə termo üzləmənin vurulması ( yalnız işçilik ) </t>
  </si>
  <si>
    <t xml:space="preserve">Hasara üstünə termo üzləmənin vurulması ( yalnız material ) </t>
  </si>
  <si>
    <t xml:space="preserve">Termo məhəccərin vurulması </t>
  </si>
  <si>
    <t>Abdallar - Otel</t>
  </si>
  <si>
    <t>KOMIFORES - LAÇIN
THERMOWOOD
EV № 636</t>
  </si>
  <si>
    <t>EV № 636</t>
  </si>
  <si>
    <t xml:space="preserve">Kalonlara 2-lik termo üzləmənin vurulması ( yalnız material ) </t>
  </si>
  <si>
    <t xml:space="preserve">Fronton çıxıntısına termo üzləmənin vurulması ( yalnız işçilik ) </t>
  </si>
  <si>
    <t>EV № 48</t>
  </si>
  <si>
    <t>KOMIFORES - LAÇIN
THERMOWOOD
EV № 48</t>
  </si>
  <si>
    <t>KOMIFORES - LAÇIN
THERMOWOOD
EV № 832</t>
  </si>
  <si>
    <t>EV № 832</t>
  </si>
  <si>
    <t>KOMIFORES - LAÇIN
THERMOWOOD
EV № 177</t>
  </si>
  <si>
    <t>EV № 177</t>
  </si>
  <si>
    <t>KOMIFORES - LAÇIN
THERMOWOOD
EV № 795</t>
  </si>
  <si>
    <t>EV № 795</t>
  </si>
  <si>
    <t>KOMIFORES - LAÇIN
THERMOWOOD
EV № 794</t>
  </si>
  <si>
    <t>EV № 794</t>
  </si>
  <si>
    <t>KOMIFORES - LAÇIN
THERMOWOOD
EV № 797</t>
  </si>
  <si>
    <t>EV № 797</t>
  </si>
  <si>
    <t>KOMIFORES - LAÇIN
THERMOWOOD
EV № 798</t>
  </si>
  <si>
    <t>EV № 798</t>
  </si>
  <si>
    <t>KOMIFORES - LAÇIN
THERMOWOOD
EV № 714</t>
  </si>
  <si>
    <t>EV № 714</t>
  </si>
  <si>
    <t>KOMIFORES - LAÇIN
THERMOWOOD
EV № 691</t>
  </si>
  <si>
    <t xml:space="preserve">Fronton çıxıntısına termo üzləmənin vurulması ( yalnız material ) </t>
  </si>
  <si>
    <t>Fronton üstü termo üzləmənin vurulması ( yalnız işçilik )</t>
  </si>
  <si>
    <t xml:space="preserve">Fronton üstü termo üzləmənin vurulması ( yalnız material ) </t>
  </si>
  <si>
    <t>EV № 691</t>
  </si>
  <si>
    <t>KOMIFORES - LAÇIN
THERMOWOOD
EV № 692</t>
  </si>
  <si>
    <t>EV № 692</t>
  </si>
  <si>
    <t>KOMIFORES - LAÇIN
THERMOWOOD
EV № 693</t>
  </si>
  <si>
    <t>EV № 693</t>
  </si>
  <si>
    <t>EV № 694</t>
  </si>
  <si>
    <t>KOMIFORES - LAÇIN
THERMOWOOD
EV № 694</t>
  </si>
  <si>
    <t>KOMIFORES - LAÇIN
THERMOWOOD
EV № 713</t>
  </si>
  <si>
    <t>EV № 713</t>
  </si>
  <si>
    <t>KOMIFORES - LAÇIN
THERMOWOOD
EV № 799</t>
  </si>
  <si>
    <t>EV № 799</t>
  </si>
  <si>
    <t>EV № 720</t>
  </si>
  <si>
    <t>KOMIFORES - LAÇIN
THERMOWOOD
EV № 720</t>
  </si>
  <si>
    <t>EV № 793</t>
  </si>
  <si>
    <t>KOMIFORES - LAÇIN
THERMOWOOD
EV № 793</t>
  </si>
  <si>
    <t>KOMIFORES - LAÇIN
THERMOWOOD
EV № 609</t>
  </si>
  <si>
    <t>Kalonlara 2-lik termo üzləmənin vurulması ( yalnız işçilik )</t>
  </si>
  <si>
    <t>Kalonlara 2-lik termo üzləmənin vurulması( yalnız material )</t>
  </si>
  <si>
    <t>EV № 609</t>
  </si>
  <si>
    <t>EV № 610</t>
  </si>
  <si>
    <t>KOMIFORES - LAÇIN
THERMOWOOD
EV № 610</t>
  </si>
  <si>
    <t>KOMIFORES - LAÇIN
THERMOWOOD
EV № 437</t>
  </si>
  <si>
    <t>EV № 437</t>
  </si>
  <si>
    <t>EV № 21</t>
  </si>
  <si>
    <t>Kalonlara çıxıntısına termo üzləmənin vurulması ( yalnız material )</t>
  </si>
  <si>
    <t>KOMIFORES - LAÇIN
THERMOWOOD
EV № 21</t>
  </si>
  <si>
    <t xml:space="preserve">Qaraj divarlarına termo üzləmənin vurulması ( yalnız işçilik ) </t>
  </si>
  <si>
    <t>Qaraj divarlarına termo üzləmənin vurulması ( yalnız material )</t>
  </si>
  <si>
    <t xml:space="preserve">Eyvan kalonuna termo üzləmənin vurulması ( yalnız işçilik ) </t>
  </si>
  <si>
    <t xml:space="preserve">Eyvan kalonuna termo üzləmənin vurulması ( yalnız material ) </t>
  </si>
  <si>
    <t>EV № 469</t>
  </si>
  <si>
    <t>KOMIFORES - LAÇIN
THERMOWOOD
EV № 469</t>
  </si>
  <si>
    <t>EV № 176</t>
  </si>
  <si>
    <t>KOMIFORES - LAÇIN
THERMOWOOD
EV № 176</t>
  </si>
  <si>
    <t>KOMIFORES - LAÇIN
THERMOWOOD
EV № 644</t>
  </si>
  <si>
    <t>EV № 644</t>
  </si>
  <si>
    <t>EV № 174</t>
  </si>
  <si>
    <t>KOMIFORES - LAÇIN
THERMOWOOD
EV № 174</t>
  </si>
  <si>
    <t>KOMIFORES - LAÇIN
THERMOWOOD
EV № 601</t>
  </si>
  <si>
    <t>EV № 601</t>
  </si>
  <si>
    <t>Notarius ( Çörək sexinin yanı )</t>
  </si>
  <si>
    <t>KOMIFORES - LAÇIN
THERMOWOOD
EV № 31</t>
  </si>
  <si>
    <t>EV № 31</t>
  </si>
  <si>
    <t>KOMIFORES - LAÇIN
THERMOWOOD
EV № 33</t>
  </si>
  <si>
    <t>EV № 33</t>
  </si>
  <si>
    <t>KOMIFORES - LAÇIN
THERMOWOOD
EV № 472</t>
  </si>
  <si>
    <t>EV № 472</t>
  </si>
  <si>
    <t>KOMIFORES - LAÇIN
THERMOWOOD
EV № 747</t>
  </si>
  <si>
    <t>EV № 749</t>
  </si>
  <si>
    <t>KOMIFORES - LAÇIN
THERMOWOOD
EV № 363</t>
  </si>
  <si>
    <t>EV № 363</t>
  </si>
  <si>
    <t>KOMIFORES - LAÇIN
THERMOWOOD
EV № 200</t>
  </si>
  <si>
    <t>EV № 200</t>
  </si>
  <si>
    <t>A-Frame ev ( Zerti )</t>
  </si>
  <si>
    <t>KOMIFORES - LAÇIN
THERMOWOOD
EV № 779</t>
  </si>
  <si>
    <t>EV № 779</t>
  </si>
  <si>
    <t>EV № 784</t>
  </si>
  <si>
    <t>EV № 746</t>
  </si>
  <si>
    <t>EV № 788</t>
  </si>
  <si>
    <t>KOMIFORES - LAÇIN
THERMOWOOD
EV № 784</t>
  </si>
  <si>
    <t>KOMIFORES - LAÇIN
THERMOWOOD
EV № 746</t>
  </si>
  <si>
    <t>KOMIFORES - LAÇIN
THERMOWOOD
EV № 788</t>
  </si>
  <si>
    <t>EV № 766</t>
  </si>
  <si>
    <t>KOMIFORES - LAÇIN
THERMOWOOD
EV № 766</t>
  </si>
  <si>
    <t>KOMIFORES - LAÇIN
THERMOWOOD
EV № 361</t>
  </si>
  <si>
    <t>EV № 361</t>
  </si>
  <si>
    <t>KOMIFORES - LAÇIN
THERMOWOOD
EV № 769</t>
  </si>
  <si>
    <t>EV № 769</t>
  </si>
  <si>
    <t>EV № 770</t>
  </si>
  <si>
    <t>EV № 772</t>
  </si>
  <si>
    <t>EV № 271</t>
  </si>
  <si>
    <t>KOMIFORES - LAÇIN
THERMOWOOD
EV № 770</t>
  </si>
  <si>
    <t>KOMIFORES - LAÇIN
THERMOWOOD
EV № 772</t>
  </si>
  <si>
    <t>KOMIFORES - LAÇIN
THERMOWOOD
EV № 271</t>
  </si>
  <si>
    <t>EV № 792</t>
  </si>
  <si>
    <t>EV № 735</t>
  </si>
  <si>
    <t>EV № 712</t>
  </si>
  <si>
    <t>EV № 359</t>
  </si>
  <si>
    <t>KOMIFORES - LAÇIN
THERMOWOOD
EV № 792</t>
  </si>
  <si>
    <t>KOMIFORES - LAÇIN
THERMOWOOD
EV № 735</t>
  </si>
  <si>
    <t xml:space="preserve">Fronton çıxıntısına  üzləmənin vurulması ( yalnız material ) </t>
  </si>
  <si>
    <t>Darvaza kalonlara termo üzləmənin vurulması ( yalnız işçilik )</t>
  </si>
  <si>
    <t xml:space="preserve">Darvaza kalonlara termo üzləmənin vurulması ( yalnız material ) </t>
  </si>
  <si>
    <t xml:space="preserve">Bina № 729 </t>
  </si>
  <si>
    <t>KOMIFORES - LAÇIN
THERMOWOOD
EV № 712</t>
  </si>
  <si>
    <t>KOMIFORES - LAÇIN
THERMOWOOD
EV № 359</t>
  </si>
  <si>
    <t>EV № 742</t>
  </si>
  <si>
    <t>EV № 790</t>
  </si>
  <si>
    <t>EV № 789</t>
  </si>
  <si>
    <t>EV № 786</t>
  </si>
  <si>
    <t>EV № 778</t>
  </si>
  <si>
    <t>KOMIFORES - LAÇIN
THERMOWOOD
EV № 742</t>
  </si>
  <si>
    <t>Fronton çıxıntılarına termo üzləmənin vurulması ( yalnız işçilik )</t>
  </si>
  <si>
    <t xml:space="preserve">Fronton çıxıntılarına termo üzləmənin vurulması ( yalnız material ) </t>
  </si>
  <si>
    <t>KOMIFORES - LAÇIN
THERMOWOOD
EV № 790</t>
  </si>
  <si>
    <t>KOMIFORES - LAÇIN
THERMOWOOD
EV № 789</t>
  </si>
  <si>
    <t>KOMIFORES - LAÇIN
THERMOWOOD
EV № 786</t>
  </si>
  <si>
    <t>KOMIFORES - LAÇIN
THERMOWOOD
EV № 778</t>
  </si>
  <si>
    <t>EV № 701</t>
  </si>
  <si>
    <t>EV № 796</t>
  </si>
  <si>
    <t>EV № 702</t>
  </si>
  <si>
    <t>EV № 704</t>
  </si>
  <si>
    <t>EV № 767</t>
  </si>
  <si>
    <t>KOMIFORES - LAÇIN
THERMOWOOD
EV № 701</t>
  </si>
  <si>
    <t>KOMIFORES - LAÇIN
THERMOWOOD
EV № 796</t>
  </si>
  <si>
    <t>KOMIFORES - LAÇIN
THERMOWOOD
EV № 702</t>
  </si>
  <si>
    <t>KOMIFORES - LAÇIN
THERMOWOOD
EV № 704</t>
  </si>
  <si>
    <t>KOMIFORES - LAÇIN
THERMOWOOD
EV № 767</t>
  </si>
  <si>
    <t>EV № 698</t>
  </si>
  <si>
    <t>EV № 699</t>
  </si>
  <si>
    <t>EV № 703</t>
  </si>
  <si>
    <t>EV № 208</t>
  </si>
  <si>
    <t>EV № 207</t>
  </si>
  <si>
    <t>KOMIFORES - LAÇIN
THERMOWOOD
EV № 698</t>
  </si>
  <si>
    <t>Kalonlara tavanına termo üzləmənin vurulması ( yalnız material )</t>
  </si>
  <si>
    <t>KOMIFORES - LAÇIN
THERMOWOOD
EV № 699</t>
  </si>
  <si>
    <t>KOMIFORES - LAÇIN
THERMOWOOD
EV № 703</t>
  </si>
  <si>
    <t>KOMIFORES - LAÇIN
THERMOWOOD
EV № 208</t>
  </si>
  <si>
    <t>KOMIFORES - LAÇIN
THERMOWOOD
EV № 207</t>
  </si>
  <si>
    <t>EV № 659</t>
  </si>
  <si>
    <t>EV № 13</t>
  </si>
  <si>
    <t>EV № 436</t>
  </si>
  <si>
    <t>EV № 79</t>
  </si>
  <si>
    <t>KOMIFORES - LAÇIN
THERMOWOOD
EV № 659</t>
  </si>
  <si>
    <t>KOMIFORES - LAÇIN
THERMOWOOD
EV № 13</t>
  </si>
  <si>
    <t>Xalçaçılıq</t>
  </si>
  <si>
    <t>KOMIFORES - LAÇIN
THERMOWOOD
EV № 436</t>
  </si>
  <si>
    <t>KOMIFORES - LAÇIN
THERMOWOOD
EV № 79</t>
  </si>
  <si>
    <t xml:space="preserve">Ev kalonlarına termo üzləmənin vurulması ( yalnız işçilik ) </t>
  </si>
  <si>
    <t>Ferma - Zabux</t>
  </si>
  <si>
    <t xml:space="preserve">Bostan üçün emprenye bruslardan qapı yığılması ( Podratçı qiyməti: 1 ədəd - 800 azn ) </t>
  </si>
  <si>
    <r>
      <t>Çay qırağı üçün at arabası ( Podratçı qiymət: 1 ədəd - 2000 azn )</t>
    </r>
    <r>
      <rPr>
        <sz val="18"/>
        <color rgb="FFFF0000"/>
        <rFont val="Times New Roman"/>
        <family val="1"/>
      </rPr>
      <t xml:space="preserve"> </t>
    </r>
  </si>
  <si>
    <t xml:space="preserve">Evin kalonlarına termo üzləmənin vurulması ( yalnız işçilik ) </t>
  </si>
  <si>
    <t xml:space="preserve">Evin kalonlarına termo üzləmənin vurulması ( yalnız material ) </t>
  </si>
  <si>
    <t>Pəncərə ətrafı jalüz termo üzləmənin vurulması ( yalnız material )</t>
  </si>
  <si>
    <t>01.10.2023 - 31.10.2023</t>
  </si>
  <si>
    <t>01.11.2023 - 30.11.2023</t>
  </si>
  <si>
    <t>İşçilərin yemək təminatı ( 01.10.2023 - 31.10.2023 )</t>
  </si>
  <si>
    <t>İşçilərin yemək təminatı ( 01.11.2023 - 30.11.2023 )</t>
  </si>
  <si>
    <t>2-lik termo üzləmənin verilməsi ( yalnız material ) ( 1 m2 - 50 azn ) - ARAZ İNŞAAT ( Elgün müəllim )</t>
  </si>
  <si>
    <t>Pəncərə haşiyələrinə termo üzləmənin vurulması ( yalnız material )</t>
  </si>
  <si>
    <t>Pəncərə haşiyələrinə 2-lik termo üzləmənin vurulması ( yalnız material )</t>
  </si>
  <si>
    <t>Fasadın kalon üzləməsi ( yalnız material ) ( 1 m2 - 50 azn )</t>
  </si>
  <si>
    <t>Ev kalonlarına termo üzləmənin vurulması ( yalnız material )</t>
  </si>
  <si>
    <t>Pəncərə haşiyələrinə termo üzləmənin vurulması ( yalnız işçilik )</t>
  </si>
  <si>
    <t>İşıq dirəyinin üzləməsi ( yalnız material ) ( 1 m2 - 50 azn )</t>
  </si>
  <si>
    <t>İşıq dirəyinin üzləməsi ( yalnız işçilik ) ( 1 pm - 30 azn )</t>
  </si>
  <si>
    <t>Qapıların üzləməsi ( yalnız material ) ( 1 m2 - 50 azn )</t>
  </si>
  <si>
    <t>Qapıların üzləməsi ( yalnız işçilik ) ( 1 pm - 30 azn )</t>
  </si>
  <si>
    <t>Fasada termo kalon üzləməsi ( yalnız material ) ( 1 m2 - 50 azn )</t>
  </si>
  <si>
    <t>Ev kalonlara termo üzləmənin vurulması ( yalnız işçilik )</t>
  </si>
  <si>
    <t>Ev kalonlara termo üzləmənin vurulması ( yalnız material )</t>
  </si>
  <si>
    <t xml:space="preserve">Pəncərə haşiyələrinə termo üzləmənin vurulması ( yalnız işçilik ) </t>
  </si>
  <si>
    <t xml:space="preserve">Pəncərə haşiyələrinə termo üzləmənin vurulması ( yalnız material ) </t>
  </si>
  <si>
    <t>Eyvan kalonlarına termo üzləmənin vurulması ( yalnız işçilik )</t>
  </si>
  <si>
    <t>Eyvan kalonlarına termo üzləmənin vurulması ( yalnız material )</t>
  </si>
  <si>
    <t>Eyvan tavanına termo üzləmənin vurulması ( material+işçilik )</t>
  </si>
  <si>
    <t>Eyvan tavanına və pilləkan ətrafına termo üzləmənin vurulması ( material+işçilik )</t>
  </si>
  <si>
    <t>Eyvana termo üzləmənin vurulması ( material+işçilik ) ( 1 m2 - 80 azn )</t>
  </si>
  <si>
    <t>Terras tavanına termo üzləmənin vurulması ( material+işçilik ) ( 1 m2 - 80 azn )</t>
  </si>
  <si>
    <t>Qaraj divarlarına termo üzləmənin vurulması ( material+işçilik )</t>
  </si>
  <si>
    <t>Kalonlara termo üzləmənin vurulması ( material+işçilik )</t>
  </si>
  <si>
    <t>Fronton tavana termo üzləmənin vurulması ( material+işçilik )</t>
  </si>
  <si>
    <t>Qaraj tavanına termo üzləmənin vurulması ( material+işçilik )</t>
  </si>
  <si>
    <t>Fronton tavanına termo üzləmənin vurulması ( material+işçilik )</t>
  </si>
  <si>
    <t>Fronton çıxıntısına termo üzləmənin vurulması ( material+işçilik )</t>
  </si>
  <si>
    <t>Pilləkan ətrafı termo üzləmənin vurulması ( material+işçilik )</t>
  </si>
  <si>
    <t>Tavana termo üzləmənin vurulması ( material+işçilik )</t>
  </si>
  <si>
    <t>Söhbətgah tavanına termo üzləmənin vurulması ( material+işçilik )</t>
  </si>
  <si>
    <t>Söhbətgahın arxa tərəfinə termo üzləmənin vurulması ( material+işçilik )</t>
  </si>
  <si>
    <t>Hasara termo üzləmənin vurulması ( material+işçilik )</t>
  </si>
  <si>
    <t>Çöl tavana ( kaziroka ) termo üzləmənin vurulması ( material+işçilik )</t>
  </si>
  <si>
    <t>Zirzəmi tavanına termo üzləmənin vurulması ( material+işçilik )</t>
  </si>
  <si>
    <t>Kalonlara tavanına termo üzləmənin vurulması ( material+işçilik )</t>
  </si>
  <si>
    <t xml:space="preserve">Fronton çıxıntısına termo üzləmənin vurulması ( material+işçilik ) </t>
  </si>
  <si>
    <t xml:space="preserve">Kalonlara termo üzləmənin vurulması ( material+işçilik ) </t>
  </si>
  <si>
    <t xml:space="preserve">Darvaza kalonlara  termo üzləmənin vurulması ( material+işçilik ) </t>
  </si>
  <si>
    <t xml:space="preserve">Tavana termo üzləmənin vurulması ( material+işçilik ) </t>
  </si>
  <si>
    <t>Döşəməyə  termonun vurulması ( material+işçilik ) ( 3-lük )</t>
  </si>
  <si>
    <t>Terrasın yuxarı hissəsinə üzləmənin vurulması ( material+işçilik ) ( 1 m2 - 80 azn )</t>
  </si>
  <si>
    <t>İşəri tavana üzləmənin vurulması ( material+işçilik ) ( 1 m2 - 80 azn )</t>
  </si>
  <si>
    <t>Mətbəx tavanına üzləmənin vurulması ( material+işçilik ) ( 1 m2 - 80 azn )</t>
  </si>
  <si>
    <t>Dama jalüz termonun vurulması ( material+işçilik ) ( 2-lik )</t>
  </si>
  <si>
    <t>Fasada  termonun vurulması ( material+işçilik ) ( 2-lik )</t>
  </si>
  <si>
    <t>Hovuzun kənarı döşəməyə termonun vurulması ( 3-lük ) ( material+işçilik )</t>
  </si>
  <si>
    <t>Döşəməyə 2-lik termo üzləmənin vurulması ( material+işçilik )</t>
  </si>
  <si>
    <t>Döşəməyə termonun vurulması ( 3-lük ) ( material+işçilik )</t>
  </si>
  <si>
    <t>Su çəni ətrafına termonun vurulması ( material+işçilik ) ( 2-lik )</t>
  </si>
  <si>
    <t>Döşəməyə termonun vurulması ( 2-lik ) ( material+işçilik ) ( 25 m2 x 9 ədəd )</t>
  </si>
  <si>
    <t xml:space="preserve">Döşəməyə termonun vurulması ( 3-lük ) ( material+işçilik ) </t>
  </si>
  <si>
    <t>Döşəməyə 3-lük termo üzləmənin vurulması ( material+işçilik )</t>
  </si>
  <si>
    <t>Döşəmə kənarı termo üzləmənin vurulması ( material+işçilik )</t>
  </si>
  <si>
    <t>Tavana 2-lik termo üzləmənin vurulması ( material+işçilik )</t>
  </si>
  <si>
    <t>Eyvan tavanına 2-lik termo üzləmənin vurulması ( material+işçilik )</t>
  </si>
  <si>
    <t>Eyvanın çöl və iç hissəsinə 2-lik termo üzləmənin vurulması ( material+işçilik )</t>
  </si>
  <si>
    <t>Eyvanın alt hissəsinə termo üzləmənin vurulması ( material+işçilik )</t>
  </si>
  <si>
    <t>Çən ətrafına termo üzləmənin vurulması ( material+işçilik )</t>
  </si>
  <si>
    <t>Döşəməyə termo üzləmənin vurulması ( material+işçilik )</t>
  </si>
  <si>
    <t>2-lik termo üzləmənin verilməsi ( yalnız material ) ( 1 m2 - 50 azn ) - AZƏRİNŞAAT ( Asəf müəllim )</t>
  </si>
  <si>
    <t>Bostan üçün emprenye bruslardan hasarın yığılması ( Podratçı qiyməti material və işçilik: 1 pm - 70 azn )</t>
  </si>
  <si>
    <t>KOMİFORES
THERMOWOOD
22.12.2023</t>
  </si>
  <si>
    <t>KOMIFORES - LAÇIN
THERMOWOOD
EV № 464</t>
  </si>
  <si>
    <t>KOMIFORES - LAÇIN
THERMOWOOD
EV № 434</t>
  </si>
  <si>
    <t>Eyvan sinəliyinə termo üzləmənin vurulması ( yalnız işçilik )</t>
  </si>
  <si>
    <t>Eyvan sinəliyinə termo üzləmənin vurulması ( yalnız material )</t>
  </si>
  <si>
    <t>Arxa eyvana termo üzləmənin vurulması ( material+işçilik )</t>
  </si>
  <si>
    <t>Eyvan eyvan termo üzləmənin vurulması ( yalnız işçilik )</t>
  </si>
  <si>
    <t>Eyvan eyvan termo üzləmənin vurulması ( yalnız material )</t>
  </si>
  <si>
    <t>KOMIFORES - LAÇIN
THERMOWOOD
EV № 355</t>
  </si>
  <si>
    <t>KOMIFORES - LAÇIN
THERMOWOOD
EV № 190</t>
  </si>
  <si>
    <t>KOMIFORES - LAÇIN
THERMOWOOD
EV № 380</t>
  </si>
  <si>
    <t>Kalonlara  termo üzləmənin vurulması ( yalnız material )</t>
  </si>
  <si>
    <t>Kalonlara  termo üzləmənin vurulması ( material+işçilik )</t>
  </si>
  <si>
    <t>KOMIFORES - LAÇIN
THERMOWOOD
EV № 761</t>
  </si>
  <si>
    <t>KOMIFORES - LAÇIN
THERMOWOOD
EV № 577</t>
  </si>
  <si>
    <t>KOMIFORES - LAÇIN
THERMOWOOD
EV № 430</t>
  </si>
  <si>
    <t>Məhəccər üstü termo üzləmənin vurulması ( yalnız material )</t>
  </si>
  <si>
    <t>Bina fasadına termo üzləmənin vurulması ( yalnız işçilik )</t>
  </si>
  <si>
    <t>Bina fasadına termo üzləmənin vurulması ( yalnız material )</t>
  </si>
  <si>
    <t>Pilləkan pilləsinə termo üzləmənin vurulması ( yalnız işçilik )</t>
  </si>
  <si>
    <t>Pilləkan pilləsinə termo üzləmənin vurulması ( yalnız material )</t>
  </si>
  <si>
    <t>PVC su çəni 500litr</t>
  </si>
  <si>
    <t>Evakuator 6 metrəlik</t>
  </si>
  <si>
    <t>Arxa mətbəx:</t>
  </si>
  <si>
    <t xml:space="preserve">Fasada termo üzləmənin vurulması ( material+işçilik ) </t>
  </si>
  <si>
    <t xml:space="preserve">Döşəmə və tavana termo üzləmənin vurulması ( material+işçilik ) </t>
  </si>
  <si>
    <t xml:space="preserve">Məhəccər üstü termo üzləmənin vurulması ( yalnız işçilik ) </t>
  </si>
  <si>
    <t xml:space="preserve">Məhəccər üstü termo üzləmənin vurulması ( yalnız material ) </t>
  </si>
  <si>
    <t>Dəmir profilin termo üzləmənin vurulması ( yalnız işçilik )</t>
  </si>
  <si>
    <t>Dəmir profilin termo üzləmənin vurulması ( yalnız material )</t>
  </si>
  <si>
    <t>Pilləkan termo üzləmənin vurulması ( yalnız işçilik )</t>
  </si>
  <si>
    <t>Pilləkan termo üzləmənin vurulması ( yalnız material )</t>
  </si>
  <si>
    <t xml:space="preserve">Pilləkan meydançasının termo üzləmənin vurulması ( material+işçilik ) </t>
  </si>
  <si>
    <t>Ev 19; 575; 755; 618; 445; 451</t>
  </si>
  <si>
    <t>Ev 211; 448</t>
  </si>
  <si>
    <t>Həyətdə termo yelləncəyin yığılması ( 1 ədəd - 1.600 azn )</t>
  </si>
  <si>
    <t>EV № 464</t>
  </si>
  <si>
    <t>EV № 434</t>
  </si>
  <si>
    <t>EV № 355</t>
  </si>
  <si>
    <t>EV № 190</t>
  </si>
  <si>
    <t>EV № 380</t>
  </si>
  <si>
    <t>EV № 365</t>
  </si>
  <si>
    <t>EV № 761</t>
  </si>
  <si>
    <t>EV № 577</t>
  </si>
  <si>
    <t>EV № 430</t>
  </si>
  <si>
    <t>21.04.2023 - 13.05.2023</t>
  </si>
  <si>
    <t>Zabux yolu - Dəmir söhbətgah</t>
  </si>
  <si>
    <t>HƏFTƏLİK ARTIM</t>
  </si>
  <si>
    <t>KOMIFORES - LAÇIN
THERMOWOOD</t>
  </si>
  <si>
    <t>KOMİFORES
THERMOWOOD</t>
  </si>
  <si>
    <t>İşin adı</t>
  </si>
  <si>
    <t>Sayı
ədəd</t>
  </si>
  <si>
    <t>Ümumi
m2</t>
  </si>
  <si>
    <t>Ümumi dəyəri
AZN</t>
  </si>
  <si>
    <t>Yeni söhbətgahın qurulması ( besedka )</t>
  </si>
  <si>
    <t>3</t>
  </si>
  <si>
    <t>10</t>
  </si>
  <si>
    <t>13</t>
  </si>
  <si>
    <t>15</t>
  </si>
  <si>
    <t>17</t>
  </si>
  <si>
    <t>21</t>
  </si>
  <si>
    <t>23</t>
  </si>
  <si>
    <t>24</t>
  </si>
  <si>
    <t>25</t>
  </si>
  <si>
    <t>26</t>
  </si>
  <si>
    <t>31</t>
  </si>
  <si>
    <t>33</t>
  </si>
  <si>
    <t>39</t>
  </si>
  <si>
    <t>42</t>
  </si>
  <si>
    <t>43</t>
  </si>
  <si>
    <t>48</t>
  </si>
  <si>
    <t>51</t>
  </si>
  <si>
    <t>52</t>
  </si>
  <si>
    <t>55</t>
  </si>
  <si>
    <t>57</t>
  </si>
  <si>
    <t>59</t>
  </si>
  <si>
    <t>Gil fabriki və ətrafı</t>
  </si>
  <si>
    <t>Berg</t>
  </si>
  <si>
    <t>Çay qırağı</t>
  </si>
  <si>
    <t>Tine House</t>
  </si>
  <si>
    <t>Ümumi ərazi</t>
  </si>
  <si>
    <t>Termo üzləmənin vurulması ( yalnız işçilik )</t>
  </si>
  <si>
    <t>Termo üzləmənin vurulması ( yalnız material )</t>
  </si>
  <si>
    <t>Emprenye reyka ( 5x3 ) - m3</t>
  </si>
  <si>
    <t>Termo perilla</t>
  </si>
  <si>
    <t>Fasada jalüz termo üzləmənin vurulması ( material+işçilik ) ( 1 m2 - 95 azn )</t>
  </si>
  <si>
    <t>Fasada jalüz termo üzləmənin vurulması ( material+işçilik ) ( 1 m2 - 80 azn )</t>
  </si>
  <si>
    <t>Fasada termo üzləmənin vurulması ( material+işçilik ) ( 1 m2 - 80 azn )</t>
  </si>
  <si>
    <t>Fronton fasadına 5-lik oval termo üzləmənin vurulması ( material+işçilik )</t>
  </si>
  <si>
    <t>Fronton fasadına 2-lik termo üzləmənin vurulması ( material+işçilik )</t>
  </si>
  <si>
    <t xml:space="preserve">Fronton fasadına 2-lik jalüz termo üzləmənin vurulması ( material+işçilik ) </t>
  </si>
  <si>
    <t>Pəncərə ətrafına 2-lik termo üzləmənin vurulması ( material+işçilik )</t>
  </si>
  <si>
    <t>Eyvan tavanına və döşəməsinə 2-lik termo üzləmənin vurulması ( material+işçilik )</t>
  </si>
  <si>
    <t>Fasada 2-lik termo üzləmənin vurulması ( material+işçilik )</t>
  </si>
  <si>
    <t>Fronton çıxıntısına termo üzləmənin işlənməsi ( yalnız işçilik ) ( eni=0.60 sm )</t>
  </si>
  <si>
    <t>Pəncərə ətrafına termo üzləmənin vurulması ( yalnız işçilik ) ( eni=0.3 sm )</t>
  </si>
  <si>
    <t>Fronton çıxıntısına termo üzləmənin vurulması ( yalnız işçilik ) ( eni=0.60 sm )</t>
  </si>
  <si>
    <t>Pəncərə ətrafına termo üzləmənin vurulması ( yalnız işçilik ) ( eni=30 sm )</t>
  </si>
  <si>
    <t>Tumbaya termo üzləmənin vurulması ( yalnız işçilik ) ( eni=50 sm )</t>
  </si>
  <si>
    <t>Fronton çıxıntısına termo üzləmənin vurulması ( yalnız işçilik ) ( eni=60 sm )</t>
  </si>
  <si>
    <t>İstisnad üzərinə termo üzləmənin vurulması ( yalnız işçilik ) ( eni=70 sm )</t>
  </si>
  <si>
    <t>Pəncərə ətrafına termo üzləmənin vurulması ( yalnız işçilik ) ( eni=0.25 sm )</t>
  </si>
  <si>
    <t>Divara termo üzləmənin vurulması ( yalnız işçilik ) ( 1 pm - 30 azn )</t>
  </si>
  <si>
    <t>Fasada termo üzləmənin vurulması ( yalnız material ) ( 1 pm - 30 azn )</t>
  </si>
  <si>
    <t>Fasada termo üzləmənin vurulması ( 1 pm - 30 azn )</t>
  </si>
  <si>
    <t>Fronton fasada termo üzləmənin vurulması ( material+işçilik ) ( 1 m2 - 80 azn )</t>
  </si>
  <si>
    <t xml:space="preserve">Oval oturacağın termo ilə üzləməsi ( yalnız material ) ( 1 m2 - 50 azn )  </t>
  </si>
  <si>
    <t xml:space="preserve">Oval oturacağın termo ilə üzləməsi ( yalnız işçilik ) ( 1 pm - 30 azn ) </t>
  </si>
  <si>
    <r>
      <t xml:space="preserve">Eyvan tavanına termo üzləmənin vurulması </t>
    </r>
    <r>
      <rPr>
        <sz val="18"/>
        <color rgb="FFFF0000"/>
        <rFont val="Times New Roman"/>
        <family val="1"/>
        <charset val="204"/>
      </rPr>
      <t>( yalnız material )</t>
    </r>
  </si>
  <si>
    <r>
      <t xml:space="preserve">Eyvan döşəməsinə termo taxta üzləmənin vurulması </t>
    </r>
    <r>
      <rPr>
        <sz val="18"/>
        <color rgb="FFFF0000"/>
        <rFont val="Times New Roman"/>
        <family val="1"/>
        <charset val="204"/>
      </rPr>
      <t>( yalnız material )</t>
    </r>
  </si>
  <si>
    <r>
      <t xml:space="preserve">Fronton çıxıntısına termo taxta üzləmənin vurulması 2-lik </t>
    </r>
    <r>
      <rPr>
        <sz val="18"/>
        <color rgb="FFFF0000"/>
        <rFont val="Times New Roman"/>
        <family val="1"/>
        <charset val="204"/>
      </rPr>
      <t>( yalnız işçilik )</t>
    </r>
  </si>
  <si>
    <r>
      <t>Pəncərə haşiyələrinə və ətrafına termo üzləmənin vurulması 2-lik</t>
    </r>
    <r>
      <rPr>
        <sz val="18"/>
        <color rgb="FFFF0000"/>
        <rFont val="Times New Roman"/>
        <family val="1"/>
        <charset val="204"/>
      </rPr>
      <t xml:space="preserve"> ( yalnız işçilik )</t>
    </r>
  </si>
  <si>
    <r>
      <t xml:space="preserve">Fasada karniz termo üzləmənin vurulması - Jalüz 2-lik </t>
    </r>
    <r>
      <rPr>
        <sz val="18"/>
        <color rgb="FFFF0000"/>
        <rFont val="Times New Roman"/>
        <family val="1"/>
        <charset val="204"/>
      </rPr>
      <t>( yalnız material )</t>
    </r>
  </si>
  <si>
    <r>
      <t xml:space="preserve">Fasada karniz termo üzləmənin vurulması - Jalüz 2-lik </t>
    </r>
    <r>
      <rPr>
        <sz val="18"/>
        <color rgb="FFFF0000"/>
        <rFont val="Times New Roman"/>
        <family val="1"/>
        <charset val="204"/>
      </rPr>
      <t>( yalnız işçilik )</t>
    </r>
  </si>
  <si>
    <r>
      <t xml:space="preserve">Fasada 5-lik oval termo üzləmənin vurulması </t>
    </r>
    <r>
      <rPr>
        <sz val="18"/>
        <color rgb="FFFF0000"/>
        <rFont val="Times New Roman"/>
        <family val="1"/>
        <charset val="204"/>
      </rPr>
      <t>( yalnız material )</t>
    </r>
  </si>
  <si>
    <r>
      <t xml:space="preserve">Frontonun çıxıntısına eni 60 sm olan termo üzləmənin vurulması 2-lik </t>
    </r>
    <r>
      <rPr>
        <sz val="18"/>
        <color rgb="FFFF0000"/>
        <rFont val="Times New Roman"/>
        <family val="1"/>
        <charset val="204"/>
      </rPr>
      <t>( yalnız işçilik )</t>
    </r>
  </si>
  <si>
    <t>Fasada termo üzləmənin vurulması ( material+işçilik )</t>
  </si>
  <si>
    <t>Termo məhəccər</t>
  </si>
  <si>
    <t>Termo üzləmənin vurulması ( material+işçilik )</t>
  </si>
  <si>
    <r>
      <t xml:space="preserve">Fronton dam çıxıntısına eni 60 sm olan 2-lik terno taxta üzləmənin vurulması </t>
    </r>
    <r>
      <rPr>
        <sz val="18"/>
        <color rgb="FFFF0000"/>
        <rFont val="Times New Roman"/>
        <family val="1"/>
        <charset val="204"/>
      </rPr>
      <t>( yalnız işçilik )</t>
    </r>
  </si>
  <si>
    <t xml:space="preserve">Oval oturacağın termo ilə üzlənməsi ( yalnız material ) ( 1 m2 - 50 azn )  </t>
  </si>
  <si>
    <t xml:space="preserve">Oval oturacağın termo ilə üzlənməsi ( yalnız işçilik ) ( 1 pm - 30 azn )  </t>
  </si>
  <si>
    <r>
      <t xml:space="preserve">Hasar divarına 2-lik termo taxta üzləmənin vurulması </t>
    </r>
    <r>
      <rPr>
        <sz val="18"/>
        <color rgb="FFFF0000"/>
        <rFont val="Times New Roman"/>
        <family val="1"/>
        <charset val="204"/>
      </rPr>
      <t>( yalnız material )</t>
    </r>
  </si>
  <si>
    <r>
      <t>Hasar üstü taxta üzləmənin vurulması 2-lik</t>
    </r>
    <r>
      <rPr>
        <sz val="18"/>
        <color rgb="FFFF0000"/>
        <rFont val="Times New Roman"/>
        <family val="1"/>
        <charset val="204"/>
      </rPr>
      <t xml:space="preserve"> ( yalnız işçilik )</t>
    </r>
  </si>
  <si>
    <r>
      <t>İstinad divar üstünə termo taxta üzləmənin işlənməsi 2-lik ( eni 70 sm )</t>
    </r>
    <r>
      <rPr>
        <sz val="18"/>
        <color rgb="FFFF0000"/>
        <rFont val="Times New Roman"/>
        <family val="1"/>
        <charset val="204"/>
      </rPr>
      <t xml:space="preserve"> ( yalnız işçilik )</t>
    </r>
  </si>
  <si>
    <r>
      <t>Pilləkan ətrafı termo taxta üzləmənin vurulması</t>
    </r>
    <r>
      <rPr>
        <sz val="18"/>
        <color rgb="FFFF0000"/>
        <rFont val="Times New Roman"/>
        <family val="1"/>
        <charset val="204"/>
      </rPr>
      <t xml:space="preserve"> ( yalnız işçilik )</t>
    </r>
  </si>
  <si>
    <r>
      <t>Pilləkan ətrafı termo taxta üzləmənin vurulması</t>
    </r>
    <r>
      <rPr>
        <sz val="18"/>
        <color rgb="FFFF0000"/>
        <rFont val="Times New Roman"/>
        <family val="1"/>
        <charset val="204"/>
      </rPr>
      <t xml:space="preserve"> ( yalnız material )</t>
    </r>
  </si>
  <si>
    <r>
      <t xml:space="preserve">Fronton çıxıntısına termo üzləmənin vurulması </t>
    </r>
    <r>
      <rPr>
        <sz val="18"/>
        <color rgb="FFFF0000"/>
        <rFont val="Times New Roman"/>
        <family val="1"/>
        <charset val="204"/>
      </rPr>
      <t>( material+işçilik )</t>
    </r>
  </si>
  <si>
    <t>Fronton çıxıntısına 5-lik oval termo üzləmənin vurulması ( material+işçilik )</t>
  </si>
  <si>
    <t>Fronton çıxıntısına 2-lik termo üzləmənin vurulması ( yalnız material ) ( 1 m2 - 50 azn )</t>
  </si>
  <si>
    <t>Qapı ətrafına 2-lik termo üzləmənin vurulması ( yalnız material ) ( 1 m2 - 50 azn )</t>
  </si>
  <si>
    <t>Eyvan altı kalonlara termo üzləmənin vurulması ( yalnız işçilik ) ( 1 pm - 30 azn )</t>
  </si>
  <si>
    <t>Eyvan altı kalonlara termo üzləmənin vurulması ( yalnız material ) ( 1 m2 - 50 azn )</t>
  </si>
  <si>
    <t>Ev kalonuna termo üzləmənin vurulması ( yalnız material )</t>
  </si>
  <si>
    <t>Pilləkan kənarı termo üzləmənin vurulması  ) ( 1 m2 - 50 azn ) ( 1 pm - 80 azn )</t>
  </si>
  <si>
    <t>Pəncərə ətrafına termo üzləmənin vurulması ( yalnız işçilik ) ( 1 pm - 30 azn )</t>
  </si>
  <si>
    <t>Divara termo üzləmənin vurulması ( 1 pm - 30 azn )</t>
  </si>
  <si>
    <t>Döşəməyə 2-lik termo üzləmənin vurulması ( material+işçilik ) ( 1 m2 - 80 azn )</t>
  </si>
  <si>
    <t>Döşəməyə termonun vurulması ( material+işçilik ) ( 3-lük )</t>
  </si>
  <si>
    <t>Döşəməyə 5-lik termo üzləmənin vurulması ( material+işçilik ) ( 1 m2 - 80 azn )</t>
  </si>
  <si>
    <t>İçəri fasada 5-lik termo üzləmənin vurulması ( material+işçilik ) ( 1 m2 - 80 azn )</t>
  </si>
  <si>
    <t xml:space="preserve">Termo brusların qoyulması ( 15x15 ) ( 24 ədəd ) </t>
  </si>
  <si>
    <t>Termodan fermanın yığılması ( 5x10 ) ( yalnız işçilik )</t>
  </si>
  <si>
    <t>Termodan fermanın yığılması ( 5x10 ) ( yalnız material )</t>
  </si>
  <si>
    <t>Körpü kənarlarına termo brusların vurulması ( 40 ədəd, h-1 pm ) ( Podradçı dediyi qiymət - 150 azn ) ( 15x15 )</t>
  </si>
  <si>
    <t>Termo brusların qoyulması ( 15x15 ) ( 20 ədəd ) ( Podratçı dediyi qiymət 1 pm- 150 azn )</t>
  </si>
  <si>
    <t>Rəfin termo üzləmədən vurulması ( yalnız işçilik )</t>
  </si>
  <si>
    <t xml:space="preserve">Rəfin termo üzləmədən vurulması ( yalnız material ) </t>
  </si>
  <si>
    <t>Qapı ətrafına termo üzləmənin vurulması ( yalnız işçilik) ( 1 pm - 30 azn )</t>
  </si>
  <si>
    <t xml:space="preserve">Pəncərə haşiyələrinə termo üzləmənin vurulması ( yalnız işçilik </t>
  </si>
  <si>
    <t>Terrasa termo üzləmənin vurulması ( material+işçilik ) ( 1 m2 - 80 azn )</t>
  </si>
  <si>
    <t>Pəncərə ətrafına termo üzləmənin vurulması ( yalnız işçilik) ( 1 pm - 30 azn )</t>
  </si>
  <si>
    <t>Pəncərə içi termo üzləmənin vurulması ( yalnız işçilik ) ( 1 pm - 30 azn )</t>
  </si>
  <si>
    <t>Fasadın kalon üzləməsi ( yalnız işçilik ) ( 1 pm - 30 azn )</t>
  </si>
  <si>
    <t>Pəncərə ətrafı jalüz termo üzləmənin vurulması ( yalnız işçilik )</t>
  </si>
  <si>
    <t>Ev fasadına termo üzləmənin vurulması ( material+işçilik )</t>
  </si>
  <si>
    <t xml:space="preserve">Pəncərə ətrafına termo üzləmənin vurulması ( yalnız işçilik ) ( 1 pm - 30 azn ) </t>
  </si>
  <si>
    <t>Fasada termo kalon üzləməsi ( yalnız işçilik ) ( 1 pm - 30 azn )</t>
  </si>
  <si>
    <t>Pilləkan kənarına termo üzləmənin vurulması ( yalnız işçilik ) ( 1 pm - 30 azn )</t>
  </si>
  <si>
    <t>Pilləkan altına termo üzləmənin vurulması ( material+işçilik ) ( 1 pm - 80 azn )</t>
  </si>
  <si>
    <t>Pilləkan altı kalonlara termo üzləmənin vurulması ( yalnız işçilik ) ( 1 pm - 30 azn )</t>
  </si>
  <si>
    <t>Pəncərə ətrafına 2-lik termo üzləmənin vurulması ( yalnız material ) ( 1 m2 - 50 azn )</t>
  </si>
  <si>
    <t>Eyvana termo üzləmənin vurulması ( material+işçilik ) ( 1 pm - 80 azn )</t>
  </si>
  <si>
    <t>Tavana termo üzləmənin vurulması ( material+işçilik ) ( 1 pm - 80 azn )</t>
  </si>
  <si>
    <t>Fasada termo üzləmənin vurulması ( material+işçilik ) ( 1 pm - 80 azn )</t>
  </si>
  <si>
    <t>Divara 2-lik termo üzləmənin vurulması ( yalnız material ) ( 1 m2 - 50 azn )</t>
  </si>
  <si>
    <t>Döşəməyə 3-lük termo üzləmənin vurulması ( material+işçilik ) ( 1 m2 - 80 azn )</t>
  </si>
  <si>
    <t>Karnizə termo üzləmənin vurulması ( yalnız material ) ( 1 m2 - 50 azn )</t>
  </si>
  <si>
    <t>Karnizə termo üzləmənin vurulması ( yalnız işçilik ) ( 1 pm - 30 azn )</t>
  </si>
  <si>
    <t>2-lik termo üzləmənin verilməsi ( yalnız material ) ( 1 m2 - 50 azn )</t>
  </si>
  <si>
    <t>3-lük termo üzləmənin verilməsi ( yalnız material ) ( 1 m2 - 55 azn )</t>
  </si>
  <si>
    <t>5-lik termo üzləmənin verilməsi ( yalnız material ) ( 1 m2 - 80 azn )</t>
  </si>
  <si>
    <t xml:space="preserve">Pilləyə termo üzləmənin vurulması ( yalnız işçilik ) </t>
  </si>
  <si>
    <t xml:space="preserve">Pilləyə termo üzləmənin vurulması ( yalnız material ) </t>
  </si>
  <si>
    <t xml:space="preserve">Qapı haşiyələrinə termo üzləmənin vurulması ( material+işçilik ) </t>
  </si>
  <si>
    <t>Termo rəflərinin yığılması ( yalnız işçilik ) ( 3-lük )</t>
  </si>
  <si>
    <t>Termo rəflərinin yığılması ( yalnız material ) ( 3-lük )</t>
  </si>
  <si>
    <t>Rigerlərə termonun vurulması ( 5-lik ) ( yalnız işçilik )</t>
  </si>
  <si>
    <t>Rigerlərə termonun vurulması ( 5-lik ) ( yalnız material )</t>
  </si>
  <si>
    <t>Hovuzun kənarına, üstünə və daxilinə termonun vurulması ( 3-lük ) ( yalnız işçilik )</t>
  </si>
  <si>
    <t>Hovuzun kənarına, üstünə və daxilinə termonun vurulması ( 3-lük ) ( yalnız material )</t>
  </si>
  <si>
    <t>Dairəvi oturacağa termonun vurulması( yalnız material ) ( 1 m2 - 50 azn )</t>
  </si>
  <si>
    <t>Dairəvi oturacağa termonun vurulması ( yalnız işçilik ) ( 1 pm - 30 azn )</t>
  </si>
  <si>
    <t>Söhbətgah döşəməsinin vurulması ( material+işçilik ) ( 3-lük )</t>
  </si>
  <si>
    <t>Pillə kənarına termonun yığılması ( yalnız işçilik ) ( 3-lük )</t>
  </si>
  <si>
    <t>Pillə kənarına termonun yığılması ( yalnız material ) ( 3-lük )</t>
  </si>
  <si>
    <r>
      <t xml:space="preserve">Söhbətgah döşəməsinin vurulması </t>
    </r>
    <r>
      <rPr>
        <sz val="18"/>
        <color rgb="FFFF0000"/>
        <rFont val="Times New Roman"/>
        <family val="1"/>
        <charset val="204"/>
      </rPr>
      <t>( yalnız işçilik )</t>
    </r>
    <r>
      <rPr>
        <sz val="18"/>
        <rFont val="Times New Roman"/>
        <family val="1"/>
      </rPr>
      <t xml:space="preserve"> ( 2-lik )</t>
    </r>
  </si>
  <si>
    <r>
      <t xml:space="preserve">2-lik termo üzləmənin vurulması </t>
    </r>
    <r>
      <rPr>
        <sz val="18"/>
        <color rgb="FFFF0000"/>
        <rFont val="Times New Roman"/>
        <family val="1"/>
        <charset val="204"/>
      </rPr>
      <t xml:space="preserve">( yalnız material ) </t>
    </r>
    <r>
      <rPr>
        <sz val="18"/>
        <rFont val="Times New Roman"/>
        <family val="1"/>
      </rPr>
      <t>( 1 m2 - 50 azn )</t>
    </r>
  </si>
  <si>
    <r>
      <t xml:space="preserve">Döşəməyə termonun vurulması </t>
    </r>
    <r>
      <rPr>
        <sz val="18"/>
        <color rgb="FFFF0000"/>
        <rFont val="Times New Roman"/>
        <family val="1"/>
        <charset val="204"/>
      </rPr>
      <t xml:space="preserve">( material+işçilik ) </t>
    </r>
    <r>
      <rPr>
        <sz val="18"/>
        <rFont val="Times New Roman"/>
        <family val="1"/>
      </rPr>
      <t>( 3-lük )</t>
    </r>
  </si>
  <si>
    <t>Termo pillənin vurulması ( yalnız material ) ( 3-lük )</t>
  </si>
  <si>
    <t xml:space="preserve">Termo pillənin vurulması ( yalnız işçilik ) ( 3-lük ) </t>
  </si>
  <si>
    <t>Döşəmə kənarı termonun vurulması - 22 ədəd ( 3-lük ) ( yalnız material ) ( 1 əd. - 13 pm )</t>
  </si>
  <si>
    <t>Döşəmə kənarı termonun vurulması - 22 ədəd ( 3-lük ) ( yalnız işçilik ) ( 1 əd. - 13 pm )</t>
  </si>
  <si>
    <t>Pilləyə termonun yığılması ( 3-lük ) ( yalnız işçilik )</t>
  </si>
  <si>
    <t>Pilləyə termonun yığılması ( 3-lük ) ( yalnız material ) ( 4 pillə )</t>
  </si>
  <si>
    <t>Pillə kənarına termonun yığılması ( yalnız işçilik )</t>
  </si>
  <si>
    <t>Oturacağa termonun vurulması ( yalnız işçilik ) ( 2-lik )</t>
  </si>
  <si>
    <t>Oturacağa termonun vurulması ( yalnız material ) ( 2-lik )</t>
  </si>
  <si>
    <t>Oturacağa termonun vurulması ( yalnız işçilik ) ( 3-lük )</t>
  </si>
  <si>
    <t>Oturacağa termonun vurulması ( yalnız material ) ( 3-lük )</t>
  </si>
  <si>
    <t>Pilləyə termonun vurulması ( 3-lük ) ( yalnız işçilik ) ( boş yol )</t>
  </si>
  <si>
    <t>Pilləyə termonun vurulması ( 3-lük ) ( yalnız material ) ( 33 pillə )</t>
  </si>
  <si>
    <t>Pillə kənarına termonun vurulması ( yalnızişçilik ) ( 3-lük )</t>
  </si>
  <si>
    <r>
      <t xml:space="preserve">Pillə kənarına termonun vurulması </t>
    </r>
    <r>
      <rPr>
        <sz val="18"/>
        <color rgb="FFFF0000"/>
        <rFont val="Times New Roman"/>
        <family val="1"/>
        <charset val="204"/>
      </rPr>
      <t>( material+işçilik )</t>
    </r>
    <r>
      <rPr>
        <sz val="18"/>
        <rFont val="Times New Roman"/>
        <family val="1"/>
      </rPr>
      <t>( 3-lük )</t>
    </r>
  </si>
  <si>
    <t>Pilləyə termonun vurulması ( Yuxarı yol ) ( yalnız işçilik )</t>
  </si>
  <si>
    <t>Döşəmə kənarı termonun vurulması ( yalnız material ) ( 3-lük )</t>
  </si>
  <si>
    <t>Pilləyə termonun vurulması ( Çay kənarı ) ( yalnız işçilik )</t>
  </si>
  <si>
    <t>Pilləyə termonun vurulması ( yalnız material ) ( 3-lük )</t>
  </si>
  <si>
    <t>Termo brusların qoyulması ( 15x15 ) ( 6 ədəd )</t>
  </si>
  <si>
    <t>Qutu profillə söhbətgah sütununun yığılması ( yalnız işçilik ) ( 5x10 )</t>
  </si>
  <si>
    <t>Döşəmə kənarı termonun vurulması ( 2-lik ) ( yalnız işçilik )</t>
  </si>
  <si>
    <t>Döşəmə kənarı termonun vurulması ( 2-lik ) ( yalnız material )</t>
  </si>
  <si>
    <t>Döşəmə kənarı termonun vurulması ( 3-lük ) ( yalnız işçilik )</t>
  </si>
  <si>
    <t>Döşəmə kənarı termonun vurulması ( 3-lük ) ( yalnız material )</t>
  </si>
  <si>
    <t>Pilləyə termonun vurulması ( 3-lük ) ( yalnız işçilik ) ( 4 pillə )</t>
  </si>
  <si>
    <t>Pəncərə haşiyələrinə termonun vurulması ( yalnız işçilik )</t>
  </si>
  <si>
    <t>Pəncərə haşiyələrinə termonun vurulması ( yalnız material ) ( 2-lik )</t>
  </si>
  <si>
    <t>Pəncərə haşiyələrinə termonun vurulması ( yalnız material )</t>
  </si>
  <si>
    <t>BİNA № 52</t>
  </si>
  <si>
    <t>BİNA № 57</t>
  </si>
  <si>
    <t>KOMIFORES - LAÇIN
THERMOWOOD
EV № 365</t>
  </si>
  <si>
    <t xml:space="preserve">Fronton hissəyə termo üzləmənin vurulması ( material+işçilik ) </t>
  </si>
  <si>
    <t>Ev kolonlarına termo üzləmənin vurulması ( yalnız işçilik )</t>
  </si>
  <si>
    <t>Ev kolonlarına termo üzləmənin vurulması ( yalnız material )</t>
  </si>
  <si>
    <t>Pəncərə ətrafı termo üzləmənin vurulması ( yalnız material )</t>
  </si>
  <si>
    <t>Pəncərə ətrafı termo üzləmənin vurulması ( yalnız işçilik )</t>
  </si>
  <si>
    <t>Sakin icazə vermədi.</t>
  </si>
  <si>
    <t>KOMIFORES - LAÇIN
THERMOWOOD
EV № 195</t>
  </si>
  <si>
    <t>Termo taxta sökülüb əvəzinə alçipan vurulub.</t>
  </si>
  <si>
    <t>KOMIFORES - LAÇIN
THERMOWOOD
EV № 681</t>
  </si>
  <si>
    <t>EV № 681</t>
  </si>
  <si>
    <r>
      <t xml:space="preserve">Termo məhəccərin vurulması ( h=40sm ) </t>
    </r>
    <r>
      <rPr>
        <sz val="18"/>
        <color rgb="FFFF0000"/>
        <rFont val="Times New Roman"/>
        <family val="1"/>
        <charset val="204"/>
      </rPr>
      <t>qiymət razılaşması olsun</t>
    </r>
  </si>
  <si>
    <r>
      <t xml:space="preserve">Su çəni ətrafına termonun vurulması ( material+işçilik ) ( 2-lik ) </t>
    </r>
    <r>
      <rPr>
        <sz val="18"/>
        <color rgb="FFFF0000"/>
        <rFont val="Times New Roman"/>
        <family val="1"/>
        <charset val="204"/>
      </rPr>
      <t>sökülüb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</si>
</sst>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\ \a\z;_(* \(#,##0.00\ \a\z;_(&quot;$&quot;* &quot;-&quot;??_);_(@_)"/>
    <numFmt numFmtId="165" formatCode="_(* #,##0.00\ \a\z;_(* \-\ #,##0.00\ \a\z;_(&quot;$&quot;* &quot;-&quot;??_);_(@_)"/>
    <numFmt numFmtId="166" formatCode="_(* #.##0.00\ \a\z;_(* \(#.##0.00\ \a\z;_(&quot;&quot;* &quot;&quot;??_);_(@_)"/>
    <numFmt numFmtId="167" formatCode="_(* #,##0.00\ \a\z;_(* \(#,##0.00\ \a\z;_(&quot;&quot;* &quot;&quot;??_);_(@_)"/>
    <numFmt numFmtId="168" formatCode="_(* #,##0.00\ \a\z;_(* \-#,##0.00\ \a\z;_(&quot;$&quot;* &quot;-&quot;??_);_(@_)"/>
  </numFmts>
  <fonts count="41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 tint="0.499984740745262"/>
      <name val="Calibri"/>
      <family val="2"/>
      <scheme val="minor"/>
    </font>
    <font>
      <b/>
      <sz val="18"/>
      <color rgb="FF92D05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 Light"/>
      <family val="1"/>
      <scheme val="major"/>
    </font>
    <font>
      <b/>
      <sz val="20"/>
      <color theme="1"/>
      <name val="Calibri"/>
      <family val="2"/>
      <scheme val="minor"/>
    </font>
    <font>
      <b/>
      <sz val="20"/>
      <name val="Calibri Light"/>
      <family val="1"/>
      <scheme val="major"/>
    </font>
    <font>
      <u/>
      <sz val="11"/>
      <color theme="10"/>
      <name val="Calibri"/>
      <family val="2"/>
      <scheme val="minor"/>
    </font>
    <font>
      <b/>
      <sz val="20"/>
      <color theme="1"/>
      <name val="Times New Roman"/>
      <family val="1"/>
    </font>
    <font>
      <b/>
      <sz val="26"/>
      <name val="Calibri"/>
      <family val="2"/>
      <scheme val="minor"/>
    </font>
    <font>
      <b/>
      <sz val="26"/>
      <color theme="1" tint="0.34998626667073579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sz val="18"/>
      <name val="Times New Roman"/>
      <family val="1"/>
    </font>
    <font>
      <sz val="18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20"/>
      <color rgb="FFFF0000"/>
      <name val="Calibri"/>
      <family val="2"/>
      <scheme val="minor"/>
    </font>
    <font>
      <b/>
      <sz val="20"/>
      <color rgb="FFFF0000"/>
      <name val="Calibri Light"/>
      <family val="1"/>
      <scheme val="major"/>
    </font>
    <font>
      <sz val="18"/>
      <color rgb="FFFF0000"/>
      <name val="Times New Roman"/>
      <family val="1"/>
    </font>
    <font>
      <sz val="11"/>
      <color theme="0" tint="-0.34998626667073579"/>
      <name val="Calibri"/>
      <family val="2"/>
      <scheme val="minor"/>
    </font>
    <font>
      <sz val="18"/>
      <color theme="0" tint="-0.34998626667073579"/>
      <name val="Times New Roman"/>
      <family val="1"/>
      <charset val="204"/>
    </font>
    <font>
      <sz val="16"/>
      <color theme="0" tint="-0.34998626667073579"/>
      <name val="Times New Roman"/>
      <family val="1"/>
      <charset val="204"/>
    </font>
    <font>
      <sz val="11"/>
      <color theme="0" tint="-0.34998626667073579"/>
      <name val="Times New Roman"/>
      <family val="1"/>
      <charset val="204"/>
    </font>
    <font>
      <b/>
      <sz val="18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b/>
      <sz val="18"/>
      <color theme="1" tint="0.34998626667073579"/>
      <name val="Calibri"/>
      <family val="2"/>
      <scheme val="minor"/>
    </font>
    <font>
      <b/>
      <sz val="20"/>
      <color rgb="FFFF0000"/>
      <name val="Times New Roman"/>
      <family val="1"/>
    </font>
    <font>
      <sz val="20"/>
      <name val="Times New Roman"/>
      <family val="1"/>
    </font>
    <font>
      <sz val="20"/>
      <color theme="1"/>
      <name val="Times New Roman"/>
      <family val="1"/>
    </font>
    <font>
      <b/>
      <sz val="12"/>
      <color rgb="FF0A0101"/>
      <name val="Arial"/>
      <family val="2"/>
    </font>
    <font>
      <sz val="18"/>
      <color theme="0"/>
      <name val="Calibri"/>
      <family val="2"/>
      <scheme val="minor"/>
    </font>
    <font>
      <sz val="18"/>
      <color rgb="FFFF000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24" fillId="0" borderId="0"/>
  </cellStyleXfs>
  <cellXfs count="197">
    <xf numFmtId="0" fontId="0" fillId="0" borderId="0" xfId="0"/>
    <xf numFmtId="0" fontId="0" fillId="0" borderId="0" xfId="0" applyAlignment="1">
      <alignment horizontal="right" vertical="center"/>
    </xf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right" vertical="center"/>
    </xf>
    <xf numFmtId="164" fontId="15" fillId="3" borderId="15" xfId="0" applyNumberFormat="1" applyFont="1" applyFill="1" applyBorder="1" applyAlignment="1">
      <alignment horizontal="right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164" fontId="11" fillId="2" borderId="11" xfId="0" applyNumberFormat="1" applyFont="1" applyFill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0" fillId="4" borderId="9" xfId="0" applyFont="1" applyFill="1" applyBorder="1" applyAlignment="1">
      <alignment horizontal="center" vertical="center" wrapText="1"/>
    </xf>
    <xf numFmtId="0" fontId="20" fillId="4" borderId="10" xfId="0" applyFont="1" applyFill="1" applyBorder="1" applyAlignment="1">
      <alignment vertical="center" wrapText="1"/>
    </xf>
    <xf numFmtId="0" fontId="20" fillId="4" borderId="11" xfId="0" applyFont="1" applyFill="1" applyBorder="1" applyAlignment="1">
      <alignment vertical="center"/>
    </xf>
    <xf numFmtId="0" fontId="21" fillId="2" borderId="9" xfId="0" applyFont="1" applyFill="1" applyBorder="1" applyAlignment="1">
      <alignment horizontal="center" vertical="center" wrapText="1"/>
    </xf>
    <xf numFmtId="0" fontId="21" fillId="2" borderId="10" xfId="0" applyFont="1" applyFill="1" applyBorder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164" fontId="21" fillId="0" borderId="10" xfId="0" applyNumberFormat="1" applyFont="1" applyBorder="1" applyAlignment="1">
      <alignment horizontal="center" vertical="center" wrapText="1"/>
    </xf>
    <xf numFmtId="164" fontId="21" fillId="0" borderId="11" xfId="0" applyNumberFormat="1" applyFont="1" applyBorder="1" applyAlignment="1">
      <alignment vertical="center"/>
    </xf>
    <xf numFmtId="0" fontId="22" fillId="2" borderId="10" xfId="0" applyFont="1" applyFill="1" applyBorder="1" applyAlignment="1">
      <alignment vertical="center" wrapText="1"/>
    </xf>
    <xf numFmtId="0" fontId="22" fillId="0" borderId="10" xfId="0" applyFont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 wrapText="1"/>
    </xf>
    <xf numFmtId="164" fontId="20" fillId="5" borderId="11" xfId="0" applyNumberFormat="1" applyFont="1" applyFill="1" applyBorder="1" applyAlignment="1">
      <alignment vertical="center"/>
    </xf>
    <xf numFmtId="164" fontId="20" fillId="5" borderId="13" xfId="0" applyNumberFormat="1" applyFont="1" applyFill="1" applyBorder="1" applyAlignment="1">
      <alignment vertical="center"/>
    </xf>
    <xf numFmtId="0" fontId="22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/>
    </xf>
    <xf numFmtId="0" fontId="21" fillId="0" borderId="14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0" fillId="0" borderId="12" xfId="0" applyFont="1" applyBorder="1" applyAlignment="1">
      <alignment horizontal="right" vertical="center" wrapText="1"/>
    </xf>
    <xf numFmtId="0" fontId="18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vertical="center" wrapText="1"/>
    </xf>
    <xf numFmtId="0" fontId="6" fillId="0" borderId="10" xfId="0" applyFont="1" applyBorder="1" applyAlignment="1">
      <alignment horizontal="right" vertical="center" wrapText="1"/>
    </xf>
    <xf numFmtId="0" fontId="7" fillId="0" borderId="9" xfId="0" applyFont="1" applyBorder="1" applyAlignment="1">
      <alignment vertical="center" wrapText="1"/>
    </xf>
    <xf numFmtId="0" fontId="0" fillId="0" borderId="0" xfId="0" applyAlignment="1">
      <alignment vertical="center"/>
    </xf>
    <xf numFmtId="14" fontId="1" fillId="0" borderId="3" xfId="0" applyNumberFormat="1" applyFont="1" applyBorder="1" applyAlignment="1">
      <alignment horizontal="right" vertical="center" wrapText="1"/>
    </xf>
    <xf numFmtId="0" fontId="18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3" fontId="7" fillId="0" borderId="10" xfId="0" applyNumberFormat="1" applyFont="1" applyBorder="1" applyAlignment="1">
      <alignment horizontal="center" vertical="center"/>
    </xf>
    <xf numFmtId="164" fontId="7" fillId="0" borderId="10" xfId="0" applyNumberFormat="1" applyFont="1" applyBorder="1" applyAlignment="1">
      <alignment horizontal="center" vertical="center"/>
    </xf>
    <xf numFmtId="0" fontId="18" fillId="0" borderId="18" xfId="0" applyFont="1" applyBorder="1" applyAlignment="1">
      <alignment vertical="center"/>
    </xf>
    <xf numFmtId="0" fontId="18" fillId="0" borderId="16" xfId="0" applyFont="1" applyBorder="1" applyAlignment="1">
      <alignment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right" vertical="center"/>
    </xf>
    <xf numFmtId="0" fontId="20" fillId="2" borderId="10" xfId="0" applyFont="1" applyFill="1" applyBorder="1" applyAlignment="1">
      <alignment vertical="center" wrapText="1"/>
    </xf>
    <xf numFmtId="164" fontId="21" fillId="3" borderId="10" xfId="0" applyNumberFormat="1" applyFont="1" applyFill="1" applyBorder="1" applyAlignment="1">
      <alignment horizontal="center" vertical="center" wrapText="1"/>
    </xf>
    <xf numFmtId="0" fontId="23" fillId="2" borderId="9" xfId="1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center" vertical="center"/>
    </xf>
    <xf numFmtId="166" fontId="21" fillId="0" borderId="11" xfId="0" applyNumberFormat="1" applyFont="1" applyBorder="1" applyAlignment="1">
      <alignment vertical="center"/>
    </xf>
    <xf numFmtId="165" fontId="13" fillId="3" borderId="8" xfId="0" applyNumberFormat="1" applyFont="1" applyFill="1" applyBorder="1" applyAlignment="1">
      <alignment horizontal="right" vertical="center"/>
    </xf>
    <xf numFmtId="165" fontId="13" fillId="3" borderId="11" xfId="0" applyNumberFormat="1" applyFont="1" applyFill="1" applyBorder="1" applyAlignment="1">
      <alignment horizontal="right" vertical="center"/>
    </xf>
    <xf numFmtId="165" fontId="26" fillId="3" borderId="11" xfId="0" applyNumberFormat="1" applyFont="1" applyFill="1" applyBorder="1" applyAlignment="1">
      <alignment horizontal="right" vertical="center"/>
    </xf>
    <xf numFmtId="165" fontId="13" fillId="3" borderId="13" xfId="0" applyNumberFormat="1" applyFont="1" applyFill="1" applyBorder="1" applyAlignment="1">
      <alignment horizontal="right" vertical="center"/>
    </xf>
    <xf numFmtId="0" fontId="22" fillId="2" borderId="10" xfId="0" applyFont="1" applyFill="1" applyBorder="1" applyAlignment="1">
      <alignment vertical="center"/>
    </xf>
    <xf numFmtId="0" fontId="21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horizontal="right" vertical="center" wrapText="1"/>
    </xf>
    <xf numFmtId="0" fontId="21" fillId="0" borderId="9" xfId="0" applyFont="1" applyBorder="1" applyAlignment="1">
      <alignment vertical="center" wrapText="1"/>
    </xf>
    <xf numFmtId="0" fontId="22" fillId="0" borderId="10" xfId="0" applyFont="1" applyBorder="1" applyAlignment="1">
      <alignment vertical="center"/>
    </xf>
    <xf numFmtId="0" fontId="15" fillId="0" borderId="19" xfId="0" applyFont="1" applyBorder="1" applyAlignment="1">
      <alignment vertical="center"/>
    </xf>
    <xf numFmtId="0" fontId="15" fillId="0" borderId="20" xfId="0" applyFont="1" applyBorder="1" applyAlignment="1">
      <alignment vertical="center"/>
    </xf>
    <xf numFmtId="0" fontId="15" fillId="0" borderId="20" xfId="0" applyFont="1" applyBorder="1" applyAlignment="1">
      <alignment horizontal="right" vertical="center"/>
    </xf>
    <xf numFmtId="0" fontId="22" fillId="3" borderId="10" xfId="0" applyFont="1" applyFill="1" applyBorder="1" applyAlignment="1">
      <alignment vertical="center"/>
    </xf>
    <xf numFmtId="164" fontId="21" fillId="2" borderId="10" xfId="0" applyNumberFormat="1" applyFont="1" applyFill="1" applyBorder="1" applyAlignment="1">
      <alignment horizontal="center" vertical="center" wrapText="1"/>
    </xf>
    <xf numFmtId="0" fontId="15" fillId="0" borderId="4" xfId="0" applyFont="1" applyBorder="1" applyAlignment="1">
      <alignment vertical="center"/>
    </xf>
    <xf numFmtId="0" fontId="15" fillId="0" borderId="5" xfId="0" applyFont="1" applyBorder="1" applyAlignment="1">
      <alignment vertical="center"/>
    </xf>
    <xf numFmtId="0" fontId="15" fillId="0" borderId="5" xfId="0" applyFont="1" applyBorder="1" applyAlignment="1">
      <alignment horizontal="right" vertical="center"/>
    </xf>
    <xf numFmtId="164" fontId="7" fillId="3" borderId="10" xfId="0" applyNumberFormat="1" applyFont="1" applyFill="1" applyBorder="1" applyAlignment="1">
      <alignment horizontal="center" vertical="center"/>
    </xf>
    <xf numFmtId="9" fontId="6" fillId="0" borderId="10" xfId="0" applyNumberFormat="1" applyFont="1" applyBorder="1" applyAlignment="1">
      <alignment horizontal="right" vertical="center" wrapText="1"/>
    </xf>
    <xf numFmtId="0" fontId="18" fillId="2" borderId="9" xfId="0" applyFont="1" applyFill="1" applyBorder="1" applyAlignment="1">
      <alignment horizontal="left" vertical="center"/>
    </xf>
    <xf numFmtId="0" fontId="28" fillId="0" borderId="0" xfId="0" applyFont="1"/>
    <xf numFmtId="0" fontId="29" fillId="0" borderId="0" xfId="0" applyFont="1"/>
    <xf numFmtId="164" fontId="29" fillId="0" borderId="0" xfId="0" applyNumberFormat="1" applyFont="1"/>
    <xf numFmtId="0" fontId="30" fillId="0" borderId="0" xfId="0" applyFont="1"/>
    <xf numFmtId="0" fontId="31" fillId="0" borderId="0" xfId="0" applyFont="1"/>
    <xf numFmtId="164" fontId="30" fillId="0" borderId="0" xfId="0" applyNumberFormat="1" applyFont="1"/>
    <xf numFmtId="0" fontId="22" fillId="2" borderId="10" xfId="0" applyFont="1" applyFill="1" applyBorder="1" applyAlignment="1">
      <alignment horizontal="center" vertical="center"/>
    </xf>
    <xf numFmtId="3" fontId="7" fillId="2" borderId="10" xfId="0" applyNumberFormat="1" applyFont="1" applyFill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164" fontId="21" fillId="3" borderId="16" xfId="0" applyNumberFormat="1" applyFont="1" applyFill="1" applyBorder="1" applyAlignment="1">
      <alignment horizontal="center" vertical="center" wrapText="1"/>
    </xf>
    <xf numFmtId="164" fontId="21" fillId="0" borderId="17" xfId="0" applyNumberFormat="1" applyFont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vertical="center" wrapText="1"/>
    </xf>
    <xf numFmtId="0" fontId="6" fillId="5" borderId="23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 wrapText="1"/>
    </xf>
    <xf numFmtId="0" fontId="6" fillId="5" borderId="25" xfId="0" applyFont="1" applyFill="1" applyBorder="1" applyAlignment="1">
      <alignment horizontal="center" vertical="center"/>
    </xf>
    <xf numFmtId="0" fontId="20" fillId="4" borderId="6" xfId="0" applyFont="1" applyFill="1" applyBorder="1" applyAlignment="1">
      <alignment horizontal="center" vertical="center" wrapText="1"/>
    </xf>
    <xf numFmtId="0" fontId="20" fillId="4" borderId="7" xfId="0" applyFont="1" applyFill="1" applyBorder="1" applyAlignment="1">
      <alignment vertical="center" wrapText="1"/>
    </xf>
    <xf numFmtId="0" fontId="20" fillId="4" borderId="8" xfId="0" applyFont="1" applyFill="1" applyBorder="1" applyAlignment="1">
      <alignment vertical="center"/>
    </xf>
    <xf numFmtId="164" fontId="21" fillId="0" borderId="11" xfId="0" applyNumberFormat="1" applyFont="1" applyBorder="1" applyAlignment="1">
      <alignment horizontal="center" vertical="center"/>
    </xf>
    <xf numFmtId="0" fontId="8" fillId="6" borderId="0" xfId="0" applyFont="1" applyFill="1"/>
    <xf numFmtId="0" fontId="30" fillId="6" borderId="0" xfId="0" applyFont="1" applyFill="1"/>
    <xf numFmtId="0" fontId="8" fillId="6" borderId="0" xfId="0" applyFont="1" applyFill="1" applyAlignment="1">
      <alignment horizontal="right" vertical="center"/>
    </xf>
    <xf numFmtId="164" fontId="21" fillId="2" borderId="11" xfId="0" applyNumberFormat="1" applyFont="1" applyFill="1" applyBorder="1" applyAlignment="1">
      <alignment vertical="center"/>
    </xf>
    <xf numFmtId="0" fontId="32" fillId="2" borderId="10" xfId="0" applyFont="1" applyFill="1" applyBorder="1" applyAlignment="1">
      <alignment horizontal="center" vertical="top"/>
    </xf>
    <xf numFmtId="167" fontId="21" fillId="0" borderId="11" xfId="0" applyNumberFormat="1" applyFont="1" applyBorder="1" applyAlignment="1">
      <alignment vertical="center"/>
    </xf>
    <xf numFmtId="0" fontId="21" fillId="2" borderId="9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20" fillId="6" borderId="9" xfId="0" applyFont="1" applyFill="1" applyBorder="1" applyAlignment="1">
      <alignment horizontal="center" vertical="center" wrapText="1"/>
    </xf>
    <xf numFmtId="0" fontId="20" fillId="6" borderId="10" xfId="0" applyFont="1" applyFill="1" applyBorder="1" applyAlignment="1">
      <alignment vertical="center" wrapText="1"/>
    </xf>
    <xf numFmtId="0" fontId="20" fillId="6" borderId="11" xfId="0" applyFont="1" applyFill="1" applyBorder="1" applyAlignment="1">
      <alignment vertical="center"/>
    </xf>
    <xf numFmtId="0" fontId="21" fillId="6" borderId="9" xfId="0" applyFont="1" applyFill="1" applyBorder="1" applyAlignment="1">
      <alignment horizontal="center" vertical="center" wrapText="1"/>
    </xf>
    <xf numFmtId="0" fontId="22" fillId="6" borderId="10" xfId="0" applyFont="1" applyFill="1" applyBorder="1" applyAlignment="1">
      <alignment horizontal="center" vertical="center"/>
    </xf>
    <xf numFmtId="0" fontId="32" fillId="2" borderId="10" xfId="0" applyFont="1" applyFill="1" applyBorder="1" applyAlignment="1">
      <alignment vertical="center"/>
    </xf>
    <xf numFmtId="0" fontId="33" fillId="0" borderId="0" xfId="0" applyFont="1"/>
    <xf numFmtId="164" fontId="21" fillId="6" borderId="10" xfId="0" applyNumberFormat="1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right" vertical="center" wrapText="1"/>
    </xf>
    <xf numFmtId="0" fontId="34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/>
    </xf>
    <xf numFmtId="14" fontId="1" fillId="0" borderId="3" xfId="0" applyNumberFormat="1" applyFont="1" applyBorder="1" applyAlignment="1">
      <alignment horizontal="right"/>
    </xf>
    <xf numFmtId="0" fontId="15" fillId="0" borderId="27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right" vertical="center"/>
    </xf>
    <xf numFmtId="0" fontId="35" fillId="0" borderId="20" xfId="0" applyFont="1" applyBorder="1" applyAlignment="1">
      <alignment horizontal="right" vertical="center"/>
    </xf>
    <xf numFmtId="0" fontId="0" fillId="0" borderId="0" xfId="0" applyAlignment="1">
      <alignment horizontal="left"/>
    </xf>
    <xf numFmtId="0" fontId="15" fillId="5" borderId="6" xfId="0" applyFont="1" applyFill="1" applyBorder="1" applyAlignment="1">
      <alignment horizontal="center" vertical="center"/>
    </xf>
    <xf numFmtId="0" fontId="15" fillId="5" borderId="7" xfId="0" applyFont="1" applyFill="1" applyBorder="1" applyAlignment="1">
      <alignment horizontal="center" vertical="center" wrapText="1"/>
    </xf>
    <xf numFmtId="0" fontId="15" fillId="5" borderId="8" xfId="0" applyFont="1" applyFill="1" applyBorder="1" applyAlignment="1">
      <alignment horizontal="center" vertical="center" wrapText="1"/>
    </xf>
    <xf numFmtId="0" fontId="36" fillId="0" borderId="9" xfId="1" applyFont="1" applyBorder="1" applyAlignment="1">
      <alignment horizontal="center" vertical="center"/>
    </xf>
    <xf numFmtId="0" fontId="37" fillId="0" borderId="10" xfId="0" applyFont="1" applyBorder="1" applyAlignment="1">
      <alignment horizontal="center" vertical="center"/>
    </xf>
    <xf numFmtId="4" fontId="37" fillId="0" borderId="10" xfId="0" applyNumberFormat="1" applyFont="1" applyBorder="1" applyAlignment="1">
      <alignment horizontal="center" vertical="center"/>
    </xf>
    <xf numFmtId="164" fontId="37" fillId="2" borderId="11" xfId="0" applyNumberFormat="1" applyFont="1" applyFill="1" applyBorder="1" applyAlignment="1">
      <alignment horizontal="center" vertical="center"/>
    </xf>
    <xf numFmtId="0" fontId="37" fillId="0" borderId="16" xfId="0" applyFont="1" applyBorder="1" applyAlignment="1">
      <alignment horizontal="center" vertical="center"/>
    </xf>
    <xf numFmtId="4" fontId="37" fillId="0" borderId="16" xfId="0" applyNumberFormat="1" applyFont="1" applyBorder="1" applyAlignment="1">
      <alignment horizontal="center" vertical="center"/>
    </xf>
    <xf numFmtId="164" fontId="37" fillId="2" borderId="17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left"/>
    </xf>
    <xf numFmtId="0" fontId="37" fillId="0" borderId="14" xfId="0" applyFont="1" applyBorder="1" applyAlignment="1">
      <alignment horizontal="center" vertical="center"/>
    </xf>
    <xf numFmtId="0" fontId="37" fillId="0" borderId="12" xfId="0" applyFont="1" applyBorder="1" applyAlignment="1">
      <alignment horizontal="center" vertical="center"/>
    </xf>
    <xf numFmtId="0" fontId="37" fillId="0" borderId="13" xfId="0" applyFont="1" applyBorder="1" applyAlignment="1">
      <alignment horizontal="center" vertical="center"/>
    </xf>
    <xf numFmtId="0" fontId="18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49" fontId="39" fillId="0" borderId="0" xfId="0" applyNumberFormat="1" applyFont="1" applyAlignment="1">
      <alignment horizontal="left"/>
    </xf>
    <xf numFmtId="0" fontId="39" fillId="0" borderId="0" xfId="0" applyFont="1" applyAlignment="1">
      <alignment horizontal="left"/>
    </xf>
    <xf numFmtId="0" fontId="7" fillId="6" borderId="10" xfId="0" applyFont="1" applyFill="1" applyBorder="1" applyAlignment="1">
      <alignment horizontal="center" vertical="center"/>
    </xf>
    <xf numFmtId="168" fontId="21" fillId="0" borderId="11" xfId="0" applyNumberFormat="1" applyFont="1" applyBorder="1" applyAlignment="1">
      <alignment vertical="center"/>
    </xf>
    <xf numFmtId="168" fontId="20" fillId="5" borderId="11" xfId="0" applyNumberFormat="1" applyFont="1" applyFill="1" applyBorder="1" applyAlignment="1">
      <alignment vertical="center"/>
    </xf>
    <xf numFmtId="168" fontId="20" fillId="5" borderId="13" xfId="0" applyNumberFormat="1" applyFont="1" applyFill="1" applyBorder="1" applyAlignment="1">
      <alignment vertical="center"/>
    </xf>
    <xf numFmtId="168" fontId="15" fillId="3" borderId="15" xfId="0" applyNumberFormat="1" applyFont="1" applyFill="1" applyBorder="1" applyAlignment="1">
      <alignment horizontal="right" vertical="center"/>
    </xf>
    <xf numFmtId="168" fontId="15" fillId="3" borderId="30" xfId="0" applyNumberFormat="1" applyFont="1" applyFill="1" applyBorder="1" applyAlignment="1">
      <alignment horizontal="right" vertical="center"/>
    </xf>
    <xf numFmtId="0" fontId="15" fillId="3" borderId="30" xfId="0" applyFont="1" applyFill="1" applyBorder="1" applyAlignment="1">
      <alignment horizontal="center" vertical="center"/>
    </xf>
    <xf numFmtId="168" fontId="7" fillId="3" borderId="10" xfId="0" applyNumberFormat="1" applyFont="1" applyFill="1" applyBorder="1" applyAlignment="1">
      <alignment horizontal="center" vertical="center"/>
    </xf>
    <xf numFmtId="0" fontId="22" fillId="6" borderId="10" xfId="0" applyFont="1" applyFill="1" applyBorder="1" applyAlignment="1">
      <alignment vertical="center" wrapText="1"/>
    </xf>
    <xf numFmtId="0" fontId="21" fillId="6" borderId="10" xfId="0" applyFont="1" applyFill="1" applyBorder="1" applyAlignment="1">
      <alignment horizontal="center" vertical="center"/>
    </xf>
    <xf numFmtId="0" fontId="22" fillId="6" borderId="10" xfId="0" applyFont="1" applyFill="1" applyBorder="1" applyAlignment="1">
      <alignment vertical="center"/>
    </xf>
    <xf numFmtId="0" fontId="21" fillId="2" borderId="18" xfId="0" applyFont="1" applyFill="1" applyBorder="1" applyAlignment="1">
      <alignment horizontal="center" vertical="center" wrapText="1"/>
    </xf>
    <xf numFmtId="0" fontId="22" fillId="2" borderId="16" xfId="0" applyFont="1" applyFill="1" applyBorder="1" applyAlignment="1">
      <alignment vertical="center"/>
    </xf>
    <xf numFmtId="164" fontId="21" fillId="0" borderId="17" xfId="0" applyNumberFormat="1" applyFont="1" applyBorder="1" applyAlignment="1">
      <alignment vertical="center"/>
    </xf>
    <xf numFmtId="0" fontId="21" fillId="6" borderId="18" xfId="0" applyFont="1" applyFill="1" applyBorder="1" applyAlignment="1">
      <alignment horizontal="center" vertical="center" wrapText="1"/>
    </xf>
    <xf numFmtId="0" fontId="21" fillId="6" borderId="10" xfId="0" applyFont="1" applyFill="1" applyBorder="1" applyAlignment="1">
      <alignment horizontal="center" vertical="center" wrapText="1"/>
    </xf>
    <xf numFmtId="3" fontId="7" fillId="6" borderId="10" xfId="0" applyNumberFormat="1" applyFont="1" applyFill="1" applyBorder="1" applyAlignment="1">
      <alignment horizontal="center" vertical="center"/>
    </xf>
    <xf numFmtId="0" fontId="40" fillId="0" borderId="0" xfId="0" applyFont="1"/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right" vertical="center"/>
    </xf>
    <xf numFmtId="0" fontId="12" fillId="0" borderId="7" xfId="0" applyFont="1" applyBorder="1" applyAlignment="1">
      <alignment horizontal="right" vertical="center"/>
    </xf>
    <xf numFmtId="0" fontId="12" fillId="0" borderId="9" xfId="0" applyFont="1" applyBorder="1" applyAlignment="1">
      <alignment horizontal="right" vertical="center"/>
    </xf>
    <xf numFmtId="0" fontId="12" fillId="0" borderId="10" xfId="0" applyFont="1" applyBorder="1" applyAlignment="1">
      <alignment horizontal="right" vertical="center"/>
    </xf>
    <xf numFmtId="0" fontId="25" fillId="0" borderId="9" xfId="1" applyFont="1" applyBorder="1" applyAlignment="1">
      <alignment horizontal="right" vertical="center"/>
    </xf>
    <xf numFmtId="0" fontId="25" fillId="0" borderId="10" xfId="1" applyFont="1" applyBorder="1" applyAlignment="1">
      <alignment horizontal="right" vertical="center"/>
    </xf>
    <xf numFmtId="0" fontId="12" fillId="0" borderId="14" xfId="0" applyFont="1" applyBorder="1" applyAlignment="1">
      <alignment horizontal="right" vertical="center"/>
    </xf>
    <xf numFmtId="0" fontId="12" fillId="0" borderId="12" xfId="0" applyFont="1" applyBorder="1" applyAlignment="1">
      <alignment horizontal="right" vertical="center"/>
    </xf>
    <xf numFmtId="0" fontId="16" fillId="0" borderId="1" xfId="0" applyFont="1" applyBorder="1" applyAlignment="1">
      <alignment horizontal="right" vertical="center" wrapText="1"/>
    </xf>
    <xf numFmtId="0" fontId="17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/>
    </xf>
    <xf numFmtId="0" fontId="22" fillId="0" borderId="16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164" fontId="21" fillId="3" borderId="16" xfId="0" applyNumberFormat="1" applyFont="1" applyFill="1" applyBorder="1" applyAlignment="1">
      <alignment horizontal="center" vertical="center" wrapText="1"/>
    </xf>
    <xf numFmtId="164" fontId="21" fillId="3" borderId="21" xfId="0" applyNumberFormat="1" applyFont="1" applyFill="1" applyBorder="1" applyAlignment="1">
      <alignment horizontal="center" vertical="center" wrapText="1"/>
    </xf>
    <xf numFmtId="164" fontId="21" fillId="0" borderId="17" xfId="0" applyNumberFormat="1" applyFont="1" applyBorder="1" applyAlignment="1">
      <alignment horizontal="center" vertical="center"/>
    </xf>
    <xf numFmtId="164" fontId="21" fillId="0" borderId="22" xfId="0" applyNumberFormat="1" applyFont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/>
    </xf>
    <xf numFmtId="0" fontId="22" fillId="6" borderId="21" xfId="0" applyFont="1" applyFill="1" applyBorder="1" applyAlignment="1">
      <alignment horizontal="center" vertical="center"/>
    </xf>
    <xf numFmtId="0" fontId="16" fillId="0" borderId="19" xfId="0" applyFont="1" applyBorder="1" applyAlignment="1">
      <alignment horizontal="right" vertical="center" wrapText="1"/>
    </xf>
    <xf numFmtId="0" fontId="16" fillId="0" borderId="20" xfId="0" applyFont="1" applyBorder="1" applyAlignment="1">
      <alignment horizontal="right" vertical="center" wrapText="1"/>
    </xf>
    <xf numFmtId="0" fontId="1" fillId="0" borderId="20" xfId="0" applyFont="1" applyBorder="1" applyAlignment="1">
      <alignment horizontal="right" vertical="center" wrapText="1"/>
    </xf>
    <xf numFmtId="0" fontId="1" fillId="0" borderId="26" xfId="0" applyFont="1" applyBorder="1" applyAlignment="1">
      <alignment horizontal="right" vertical="center" wrapText="1"/>
    </xf>
    <xf numFmtId="0" fontId="15" fillId="0" borderId="28" xfId="0" applyFont="1" applyBorder="1" applyAlignment="1">
      <alignment horizontal="right" vertical="center"/>
    </xf>
    <xf numFmtId="0" fontId="15" fillId="0" borderId="29" xfId="0" applyFont="1" applyBorder="1" applyAlignment="1">
      <alignment horizontal="right" vertical="center"/>
    </xf>
    <xf numFmtId="0" fontId="15" fillId="0" borderId="31" xfId="0" applyFont="1" applyBorder="1" applyAlignment="1">
      <alignment horizontal="right" vertical="center"/>
    </xf>
    <xf numFmtId="0" fontId="15" fillId="0" borderId="32" xfId="0" applyFont="1" applyBorder="1" applyAlignment="1">
      <alignment horizontal="right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Обычный 2" xfId="2" xr:uid="{F2EEF7B8-C15D-4ED8-8179-A7D08E7E9D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theme" Target="theme/theme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styles" Target="styles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sheetMetadata" Target="metadata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calcChain" Target="calcChain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606136</xdr:colOff>
      <xdr:row>0</xdr:row>
      <xdr:rowOff>155863</xdr:rowOff>
    </xdr:from>
    <xdr:to>
      <xdr:col>0</xdr:col>
      <xdr:colOff>3895405</xdr:colOff>
      <xdr:row>0</xdr:row>
      <xdr:rowOff>1558636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136" y="155863"/>
          <a:ext cx="3289269" cy="1402773"/>
        </a:xfrm>
        <a:prstGeom prst="rect">
          <a:avLst/>
        </a:prstGeom>
      </xdr:spPr>
    </xdr:pic>
    <xdr:clientData/>
  </xdr:twoCellAnchor>
  <xdr:oneCellAnchor>
    <xdr:from>
      <xdr:col>6</xdr:col>
      <xdr:colOff>606136</xdr:colOff>
      <xdr:row>0</xdr:row>
      <xdr:rowOff>155863</xdr:rowOff>
    </xdr:from>
    <xdr:ext cx="3289269" cy="1402773"/>
    <xdr:pic>
      <xdr:nvPicPr>
        <xdr:cNvPr id="2" name="Рисунок 3">
          <a:extLst>
            <a:ext uri="{FF2B5EF4-FFF2-40B4-BE49-F238E27FC236}">
              <a16:creationId xmlns:a16="http://schemas.microsoft.com/office/drawing/2014/main" id="{97829EE1-101C-47A8-B36E-C37A46D26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136" y="155863"/>
          <a:ext cx="3289269" cy="140277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</xdr:colOff>
      <xdr:row>0</xdr:row>
      <xdr:rowOff>173180</xdr:rowOff>
    </xdr:from>
    <xdr:ext cx="2718954" cy="1422223"/>
    <xdr:pic>
      <xdr:nvPicPr>
        <xdr:cNvPr id="2" name="Рисунок 3">
          <a:extLst>
            <a:ext uri="{FF2B5EF4-FFF2-40B4-BE49-F238E27FC236}">
              <a16:creationId xmlns:a16="http://schemas.microsoft.com/office/drawing/2014/main" id="{EF305FC9-8206-49DA-B0FF-8D719BE46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1" y="173180"/>
          <a:ext cx="2718954" cy="1422223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1A28D3A-F9F3-4A81-B708-F8E1933DA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5E23173-1C16-43AC-9CF8-E55423904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7185FD2-0AA7-40F6-B95B-7FD6B7A5B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AA684D4-3B9C-4D8D-9FA7-FA2EB4993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4EFCCF56-9EFE-4A9B-94AB-A42D0841C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78CF5DEB-67D0-4CD5-86CD-7610E01A8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F38F2A5C-5045-474F-BE52-E2C2649D4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1A7F34C1-F4A3-4E06-9622-E3288CFF5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D97A418-B851-40CB-A738-77C9104EB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6A1D9DF-3B55-46DA-8B32-C1457C5A6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AF611A4-0FC1-4380-9C30-D9EC9B911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5299B06-1AF7-4FF1-9541-F2BB09730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EBC92743-D4A2-48F2-8D30-468B7CC0E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B3F8D1F3-8F84-4FAB-AC37-695FEF44A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3C02DC90-29E0-473A-8CA1-EA92E591E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931DDE9A-4793-4B22-B725-5FCE413E4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5D0E7B1-C278-45DC-B6C4-1E2E45DFE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4E4EFFC-9916-402C-AD78-CBACB5F6A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4C6BB1C-717D-4B1D-B269-7D00D3AC2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7EEFA05-0F0D-43D4-9497-7131EC063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A15078E0-4303-48CF-BD51-E82767C4D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4C0B3DC1-E90D-494C-9C4F-92F7067C6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78A75408-39C5-4EEF-9694-0858469BC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6F5194CA-0332-48F5-B411-A369B5C34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4ABAA35-FE96-4C96-A829-DF8E889E6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34ED590-B226-4592-8447-6255229D2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9607A57-797D-47F7-BE60-F2B372DF9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20EB30A-E6A6-4E4E-B026-0985E3E80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D7C226E2-2B32-4C88-B20C-D9484F3AF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F7C3AD2D-F19C-44C0-AA4B-6DEFD27ED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4B266A7E-F656-4C2D-84C5-43A7756CF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5D842A6B-5137-40B7-9BF4-6C8A7C549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EDE09EF-D42B-41E1-9880-C4D1C845E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28BECBE-40A9-424E-AE1B-CF4189D9C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36EB5E5-447E-4A39-B5A6-464012D34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23FBE1D-521F-468D-9956-7D7967819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56C7331D-A501-422A-B655-1D4ED53C3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3E5E27BD-7859-411B-9537-E698BC631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95E3563A-A81F-43FC-8577-FD1BE1FFB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DF06F350-A5B3-4097-8834-8CA02A02D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718B061-28D9-4A96-89A9-AAD601F4A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0E2F11D-DCFF-46B7-B5E6-5D2172D3A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3838A1D-D185-4903-918E-F28446631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6D2CB80A-2F6E-45B9-B80F-8569EA2EA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A26A45C7-F397-4EB3-A0EB-1613C6C7E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884761A1-900F-4DB9-AA79-606F6A0BF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C4F792B2-2A06-4064-B1EE-8BFFB747B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83D93BB2-568E-4B3D-8E6C-332F8E825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742EEFB-0DFC-4DB6-80D6-38D275B6A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C3FF182-34E6-47D1-8509-964548C54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F829626-5DAC-4A1E-ADDE-34E07B56A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CE18A72-9603-4B5D-B6C5-80FAD9A31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F35B3EBD-6E24-4106-9190-563868EF6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177EA8ED-7A27-4A80-A54E-7355A2800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519F39A9-A1A1-41A2-811E-53F65DC0F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0BAFA9A8-DF9E-49BD-8341-C3FF50784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9F01FA6-E340-4D37-ADD3-65F543C86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7DB88D4-F2D7-4285-95E6-302500618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F8FC4DA-7DA2-4B84-87FD-5205FDA36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64C0A54-D37A-4969-8F0A-741539588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63FDEF5D-0CC5-4DE3-97D2-5944C09AB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59A525DE-946D-47DC-A539-5E9EBF0FC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3C281352-2C15-4FBD-BC4E-B929F6761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B2B362CD-3764-4DD7-A8EF-F46BFE5A9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8A38F4C-4F45-4DDF-AAFE-054A93B25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3249EE8-6C9A-4C91-A9AF-20C11D165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0535312-509B-48B8-B0D9-CA505A9C7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903F5F0-2327-4ACB-A49E-78F85AD7E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DD01289E-A9C4-4688-8198-697032C79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55E60DE5-B0B6-4278-8973-FA17D6533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59EE9C57-C61E-448A-A1EA-3BBC99C8C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E9DB030D-C1BC-4CC1-852A-DBD87F7E1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60BAF12-808A-4A4A-9125-13854389A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498F83E-85CD-49FE-9F05-3F438A906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DC5BF90-3520-4E3F-82BF-724079FE3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EDB1B1BF-61C9-404C-9C9A-80D089568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0DB70C00-C265-46F1-B180-3615E0313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2E5853B5-DF25-442E-8C94-6CF519716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6715865A-A16D-4366-A187-3DDDB787C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30E9B094-699A-491B-8635-F3E6DEE18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C0152C6-1E8E-454A-B539-14390EE0A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9B0CCB9-01EA-4E3D-A1D5-470F62EC4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947030E-AB75-4C69-BAD5-9608EAAD9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A8E2C7-A36D-4784-A429-A64F5DC7F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7D345B84-15AB-416D-849D-7289A107C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B0DC14EF-282F-4903-A25E-8D59D9275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4BC81674-3F09-489B-9444-61D12468D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BD27F2AA-CA95-400E-B9F2-BB40061EE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359388D-D76C-4ABB-B3DE-F7CF8C2D2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2C45C64-77A0-45B2-AED4-A6CF5624A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7C34773-8D09-4F12-8F31-C27474917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C1B9D772-90E1-4815-8AAE-0F669B74A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3597A591-C6F8-42C6-9AF5-62FF25E82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373176F4-263B-4E12-9C40-7004230D8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4A8ABC12-4F3E-404E-8B44-497EFFFFA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F7F87302-9B55-4D67-9260-B5902ADCD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5D07B20-DE57-4FF8-B100-65BC23977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3D0AB90-13A8-4F4C-978F-D7E48ED8D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A7B2E0C-F9D9-43DC-8BD2-6A1A81982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6EA08F7-B409-4C47-866B-51CE383A5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E1B8E53E-A164-49A4-B127-CBDCAB8BE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3ADDCF49-F917-4D46-A717-A4DA64D9C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9DD83EC7-5DC6-477E-B27E-8D9925F69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355285B3-0DEB-4AC6-9DA5-D25310EFE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50F5C7-4205-45A2-BD69-6BAC8E511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A47465F-0083-4B28-94C7-CA9BED9AA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C1C6078-A552-42AF-A2D5-6D7F9ADF4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EF7B2B8F-FCE9-49F3-A6BC-511B32354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97845C19-BEE2-41AC-BB1F-DDE50CBEA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545FE43A-A83C-4FA3-AE9F-968506FC5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0787EC8F-CE4A-4B9B-85D9-83C8EEC75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4D8EAC57-2BAB-47C8-B38C-E1E591990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3440FE0-908D-41B3-A16D-AB234C778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477D049-DAA5-470C-B50B-1F9318B03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7BEF80A-0837-493F-94D3-E736CEBEB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CA13091-BBC2-4308-9F5C-F99B04730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F05DBE1B-09E4-4566-9DAC-1E411F509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F973D4AF-2B2E-4CCD-B3BF-03C3C5E8C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D42677F3-23A8-4C52-BBFA-9CFD8E51E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BD1990B1-D99D-4B0A-ACD2-E57787DA1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468B48A-4314-49CF-892D-30DCED9F8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7AA3CEE-0545-4887-880F-870B6A98B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CBDA9B1-543F-45D0-B682-54C728D9D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E497DB1-AA96-4943-9A0F-8887C06F8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0580B097-7C51-44C8-8856-0D65A4FDB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D27C7A4D-65E9-4005-852A-83C05F66F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68CE799E-7EC8-4629-BE22-1C8704307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9635EF5B-62F5-4F45-BE1D-8A6D6B975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806526A-331F-47FE-BA9D-A5E3CE0B8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1B51CBE-4979-4A54-98BF-1B6C82DF8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E6E00A8-0380-45B5-A953-A06438666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42377DC-71DC-4B67-B519-59D3AABAA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6110313A-D429-4DB5-A6DF-CC43C7848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DB697053-077A-4C79-8A1B-F15814698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59E5BB46-B523-4720-95E8-4A847C57F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AC77432A-E784-487E-B04B-105E465D5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C1D35B5-4B53-4F2C-BE50-F9EA3950B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4E8D9E0-0C40-4A89-A8FF-D9185A241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DECF2B7-4934-4F07-B275-CCE398093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35466E0-C044-4815-BFFE-EE019AB2F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BA17A86F-1880-4CC0-9783-E19B6E2A1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6731240D-1135-4A9F-AF07-D88B6830B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BAA217B2-A84C-42E2-B138-1B4EFACDE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28BF5F7F-FD73-407D-AA45-7E91F2E85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2AA7FC1-0142-418A-8E2F-3DD6B68EF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AA97BC3-CD3E-4C47-973D-8537B8256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8CD6706-3539-459F-8DEB-BC2B3A964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9EBD356-15BF-4595-8635-35ADD08A6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DF5BE2F9-9328-4E01-9E57-9AAA8D7B9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7BE6CD05-B002-4176-9C83-3D83068D4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39FB2717-36DD-45DB-8E5D-E7CAFAC83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F396A101-A5C4-4FB5-B07B-2F210E5E5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9C23FD6-65EA-460A-9A6E-B7599D865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DD15AC2-E8D8-48B7-91E7-234C6FD4E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A6E27C5-CE3C-4B6F-9CBC-71D617A2A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0272168-D75E-462E-8135-E0F8BAE9B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353ACE92-664E-4527-8018-E18A97FA6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83A689B0-E549-4DB8-B13C-663239BA8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B808EF18-0057-49D4-975A-D41F69C71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66479CEE-B759-4F6D-95AB-B94AD594E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E370F13-6014-4987-9475-6AD9FE9EB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89BA68C-21BE-4357-BF27-EE6E47FB1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19A2DA2-817B-4298-B245-86548FECD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883DF11-973F-4928-9B48-D7D701253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4754A143-CBF0-4DD4-AF25-31D947818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D081226C-6BFE-49C2-A2A2-2941C5D1D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E78CB40B-1C6B-4E08-A90F-1F2E595CE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69E37487-5FC4-4691-B0CE-7DD41B4E8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62F0BF3-92F5-4402-B345-3E867CB0B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CD83BD0-E002-4500-8876-CBAAFA941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086481A-B2F2-4C48-A75F-BBEAA20B2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4D66C2F-73CC-4823-A8A7-3C410BFDF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C4173D83-3D10-4938-AA1E-06B5EEB4A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A7C3BE88-2027-48E1-880D-9D71309DE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BD597471-3BF2-454A-9EF5-6CFA87FE4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8E316C36-CC60-4D76-9DE5-538F66B80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1E83DA3-0963-420E-B377-2A02BA651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9DD4B36-586C-407F-ADA4-12C6DED23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2F5DD7B-4C3B-4244-A2AB-F0B7DA71A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858FED7-B0FB-4C54-AA54-17A77D9B1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152535C7-BFA8-4D3E-A420-F63F6DF9F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7BEA0CFF-E7A0-47CD-B1D0-37E394EDC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9B970FC9-AD23-4F3C-83CE-C8E492A8C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3BFD8878-2DF3-4738-9A44-C83444F30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4F8D703-B3CE-42B6-AA71-D39AC02BE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4A99B2B-AC0C-4706-98D2-6F3A16021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49B7966-B24C-47E4-AAA0-A6749DCCC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7A17DC9-2ADF-4C3E-A4FD-168C6F309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03DC5947-79B9-40F1-81C8-1A3FBA9BA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FCA9E718-18E1-491D-8CE6-01A0E2D39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8B91044A-7CC3-4621-87A8-215355BF9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40E972FA-E1DC-4B15-9AA9-A81DB04C0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C78C29F-D60A-40C2-AD1B-9D39FA0EF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EFF458F-12F3-4618-9138-EA494FB0B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3EF1EE9-919B-40E6-9828-369B61510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E9B7CC45-46F4-4337-B78E-64B8A386A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537D1414-6D73-41D9-B706-F84792FB1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81E24D04-6E3A-4B26-B414-FB89817FF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FDA6ADAD-9E2C-4242-9B70-FC4DACDC6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0D9337D6-543D-46B6-9083-65C6236BC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0DA669A-1388-4730-AC92-7F2F2D050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6A7B995-ED2E-41BB-B661-47455206D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DC420F3-B4F4-4421-9FBF-3AA541B36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3BE45C4-8CD6-4A35-A868-A0453ADB2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E8D6844E-CF95-40EB-A03B-BD3BCF160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26856C29-5802-4FDF-833A-FD7419B99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27D14BA8-645C-4B41-99A3-ADDA930BD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F9FC2B8F-9F4F-4885-A837-27B359671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BC2E17D-ACE8-4872-944A-BAA47BA3A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A68E95D-7922-45B1-9C8B-CEA49E4E3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B1B8293-A098-4471-B2F8-DE0EF2EE8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5CE0BA0-E0FF-4046-A8D3-0FF952D14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CB965FA3-78C6-456B-BDD0-DF81E3690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388F3506-C45B-4BF5-A4AA-17491B945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F595238D-65F7-4B54-A4DA-388D11BD4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686EC855-FF00-439D-992D-CECDF9BFF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3DC2F04-323C-4546-B91D-F55231406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D38A121-DA1E-4554-825F-CC86BB90A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D755F27-C764-456B-8FDF-B715AF5A3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E83B330-3756-494D-9BDC-90F4766C2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6D837DE0-C162-4C2B-B3FE-A2B3433C9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6BD737A9-C650-46D2-836E-54FBDBE21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2FE1858C-EF62-4F7A-A25D-061A722D3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9C56D8E7-2FEA-406F-9D5D-A0CE7E391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1064C7E-3096-4294-9E25-425247DD3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F6B7D70-E957-48EA-B856-142A93553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9E7D7FC-2008-4911-81DE-F3DD33E96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CD8D2562-E7F5-442F-93C7-2CB4CAFE5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224A5FE5-55CC-4DEB-9BCE-2BEFE4D07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98A75A2F-8005-4883-8AB4-E78177F5D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99F8C77E-66F4-4ECF-B915-1388EF179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4CD356EE-FDA2-4C48-8B24-2D5CF4962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B27A20A-49EA-4A5B-A9BC-853C4046C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3CBD25C-7879-436C-BFDD-BF693D16A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C48B0C1-B4EC-46F6-A135-98B9F724C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9ED59C6-33C0-48BB-A5DA-4D77EF9F9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6BAC2925-A9F5-4E1E-B10F-933B264D8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1CE5645B-5520-4003-AE90-FB75F4266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D63E4FD8-70CE-4046-8828-BB366E35F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D5E58B82-E5A5-4E20-8D91-C2F026447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38F80E0-2AC5-4145-A01C-0609A6016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AA44A1E-584E-45B0-904F-37747ACA8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3F47458-213F-4E0F-A7CD-25E4E400F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EF9EED0-A5D4-4744-BA4A-ECBA2C418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2BC82BD9-445E-40FC-AF60-8913E1E01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3110FFC6-A77C-47B2-8C41-0B50CA25A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ED002822-E13B-44CE-82E8-2514CEBDA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685395CA-D412-4F19-B6CD-E9E40FF74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971D0B5-3B3C-47B1-B31F-D72462CA6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26B682E-45F9-410F-9B92-D18FEDC5E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FB92275-44C5-48C3-AB6E-6A66C909E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90E59AA-D1C3-4F1E-BED5-9E0F8952B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160A97A7-CE4F-4133-93B0-D78CBA572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77E18144-FD39-40BD-9D44-BD5D354B6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BE835D02-BDAC-459C-914A-A3AD912FE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676972B7-07F8-4EB3-A0C7-00DEBDC9A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5F50C41-11C1-47D0-9C9C-CFE929B21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4C58059-25AE-41C4-85C5-BC9F61174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6C317FB-4EE3-40D9-B457-EBA30377E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69A42EC6-70FF-4FFE-8EF1-23DF467C0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5CB69967-560E-4C39-87FE-7E15C2EF9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1242B075-BB1C-4F4A-99CC-21FCB8A11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7B7990BD-22FD-4E23-9920-2510F0CC8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5E852A67-8756-43E3-9433-57D8ADE24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1DF5E6E-A18E-4163-85DB-44E04D91D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5AE006D-21CF-4C7E-8743-24E5DE419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C3CEE94-CF1D-41BA-AF02-6BB02275F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2CEB569-B9CA-4C80-A563-24EF08B97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F14F1633-400A-4D2A-AE6A-45DE1AEE7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62305501-C8AC-4EE0-80BC-5FF1C3210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DFD50682-87A2-4986-83A5-177C72565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A38D8AE2-2749-459A-8265-A519F81BE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19F4516-C7D3-46CE-AF76-F9252F45E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B2A857C-63F7-49E9-A344-2C0C3266A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0602609-1D51-4C02-A604-F0EF66538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5B6F916-FF67-4CBA-AA8A-BBC95EF27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C97B52AF-EB47-483E-B10C-186DCE929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86E0F1A9-43EC-437C-8776-AC54F908B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0552AF82-7186-4CD8-86DD-A95302F81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A8573504-47B6-4B47-AD1C-3E96BE41E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5625D40-66C9-4120-BD44-A6F7DCB2C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73AB763-D743-43D1-89EE-98E8CBB6E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B9C6038-6340-4C2F-BCFE-0340CE7AF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2DFF882-057C-45FD-893D-92053455C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0D48DFF0-7153-403D-AB0B-4219EE653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071A2F8F-CFBB-4604-9088-B0FFEBE46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2B880BC3-CE55-4871-B65D-FD8113722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1CA1A7F6-5EE8-46A8-90C0-D15619653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00F9EBA-690D-49FB-B131-71ACA9EAA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5C27C68-B0F5-4BD4-8032-5B58DE3B8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56E6A32-9747-4C35-8A52-004F087D1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18BF856-0C73-4707-8F99-4C8778AEE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7B8B8DDE-DD5B-4E4E-8BDC-674FD94AF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BCB3CFB1-0AD9-49FF-A4A4-FC33CA1B0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F6C4E50D-5F72-45C9-ADC1-956F2487D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5774005F-3569-4024-969D-AE4CA28A7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8818B07-1D06-424B-9056-00C09534C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1072CFB-3999-4C28-8E8B-561C29CD2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3B29397-1B7E-41B2-B8F9-C424046D6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62B579E0-E9A5-4E04-A944-FF78A6BA0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1856554F-C86D-49A8-8D4D-8D9180428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1A0AAEF9-5C3F-4C7A-9780-83CCC5836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C64B7CF8-B431-4C73-805B-0B3E83150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B121F79E-6626-4929-B28F-6130A7FE4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312FCDD-53D1-4EC5-A897-8E90475A0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9A557D9-7936-450B-8AEA-81985E7D5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9CA6C77-13A3-4DAE-A564-D490521D1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E55B492-320A-455E-B0BD-F1A75A273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6238FE74-2C0C-452C-AA41-C4C67BD4B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5D014607-01BE-47D1-BBD0-84AD2F3DC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66D6A14A-15D6-4997-8F56-24F0DE0BA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CEB3D7A6-8C96-4F82-99CC-2EB1C35FA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FC7A91C-1EA6-42B2-B175-7EF2C2565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584D926-DBDC-4D62-AFC9-3F4D3D8D8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C07429F-E6CA-4E2C-B8CC-62659C9A9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70F95F8-F89C-4A5A-92DA-C63ADC58A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DE3886A7-686B-4114-AF20-CCD844956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355C2C33-F061-434B-A141-0C6426286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E2639285-A3FA-4D8E-B22F-8BAF2D7C7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E15137EF-48E9-4FB7-A56C-D93AFC7B3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00030B3-48B0-42C1-8ADE-FA359C847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3FC04E4-46E1-42A2-A498-5BBB14965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A342E25-BC09-4A47-8640-1D0E87F6D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9FA289D-A549-4C41-8320-D87D1E62A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4E0059D8-BAE6-4EB3-9F1F-3B3BB182B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2AE606ED-2E7A-441F-9DDF-F3EDF49C6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A8B5CD0B-9AD9-4CA1-B629-89C6F2FB4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5CDC3414-BEC2-4AFE-B642-5DDBAD62F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06E048A-05DE-4C98-A499-70FD17B7F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816924C-3F72-48ED-8BDD-927CA45CD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302E4F7-1B38-475C-AC61-576D94CCE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CF1688E-2745-4F36-B1AB-FDA1712D4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27EA7EF0-7E14-4F16-A46B-AB737B880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54D175FF-7489-47A2-B951-019EE1319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47D3FAFD-66FF-462E-9C49-229A8DB92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9286478E-E7B8-4A2D-AB39-6BFE6D19E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7CC42EE-66A5-4950-92A6-2EF7EF6A1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A731629-26F4-4D5C-A8D0-7A7D350CB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25073C2-2197-4E50-A601-E23A223BE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0AD2B41-B8F9-4593-B9B3-4707FD483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23384D57-D10B-4D70-8A2B-595B241C4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030718CE-2A2D-422C-B378-72F5E82DE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7B135CC9-CEC4-4946-8753-4F85B6E40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982874D1-728F-4E61-AAB1-3A7CBFD2F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357F89C-2B74-4D53-B6A8-5697CE7E1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F2CAA55-FD22-4ABD-BC6F-248B3742C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7ED8A63-E004-47E3-8B7E-69423D028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599968E-35A2-45AA-AB20-AB548A644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67AFCFE0-24A5-4855-9E7B-529067613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328407C2-230A-42D3-8026-9643C4037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B4CC7BCF-FC4B-4C8A-BCF6-872E18402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1BC7E784-BDB4-4682-B95F-7C5C033C8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52F669A-E838-4EFC-A763-9E41C1C49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7691D3D-88CC-4778-9065-E8F579773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62B6A9F-30EC-4CDE-85A4-FB24975F0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6EBA3D-F3EB-42C5-A469-09A4A75F0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27ED8F20-0C7D-420B-A7F8-72E352F23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BEDB5812-16F4-4441-BB46-2572DBC01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D9C41557-9AB5-4AE4-BBF5-0DA0DBDFB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A1A1BA6A-03C2-4B74-9564-303AB1B19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258F36A-D10F-45F0-9512-EA29E40C9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121011B-1922-4F75-9B88-124303CE6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0354F49-2778-4905-B32E-90E1F1AA6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C909243-8D57-4A5E-B221-158C8F91B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CAB1B8E1-8531-4D5D-95AA-C985E9C01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468F63D5-C3E2-43B2-8238-3D1F2BA01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445E40B2-AE21-41E0-A1F1-4763142A8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8B31165C-491C-48FE-8384-B44564570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E0A01CE-1168-4089-B33F-1B60A86D9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C16BE1E-5C3D-4DAA-8718-3633C817D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EB3D25C-FC7E-43F9-93F7-74244E152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1867A3D-78C3-4CAD-9066-6FA3F3F26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1F0A9FA1-6A17-430F-B615-910CF0C89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9D8BEC88-35CA-4702-86EF-E5701920E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8F9BB206-EDA3-4739-8834-2B8889802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AF932F0A-6B70-44B6-B276-AC08AC6E5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B42BA70-04EB-4C52-8A4C-F90390FDE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DFAFD90-6438-4FC9-89DE-EF9F44678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3664C1F-5B87-4455-962C-CED335B31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4080702-A2A2-4F38-A978-00B88EEC5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7FD21427-B39F-4EC8-AF1B-AA8981EDC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0F6C6E9E-989A-452F-8D46-69B6891AD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5C42728E-1478-46A7-B22B-61A57B2F4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F0F3E629-2376-4217-AF96-F493CAF21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E8B94F4-FF0E-45BD-A6FD-C1AE8B540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98112A6-920B-4C89-A0B7-81C0A73FD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CCF272F-5E49-4A34-82CC-A9B052702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245F90E-CFF5-4A88-99AB-CFC9633AD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2972989C-F6CF-4670-A917-868517E3F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2E1B1380-02EB-49CF-8B47-A78D937BD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1403B7E1-7BF2-4D2E-A5ED-E9E1E77DE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23D4395F-73AA-4E29-8873-FD83C7AF0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E064E12-C76C-4E68-96BB-7ED7558BC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77D6454-B307-42A7-9598-890B4719E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773C097-E301-40F7-81F5-144CEAB81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C5B2A11-8CB8-42CF-9B32-02FEA28CD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9EF342C2-0DB0-418C-8F00-3CC21FF56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EAB78E1E-B623-412B-8C40-8626B2F57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A1F6B52A-3ED5-4D90-A90E-8ECAAD96A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0C00DB43-D85A-429D-ADD5-F1E0A13D9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D7E62F5-6229-455E-90C2-8FA587FD6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F761A44-9204-44AB-A19D-77AA8A6BE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6E2FFE9-8835-49FC-846B-967D7EE41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A17832E-4A57-43F9-8876-EF76E23AA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76B3821A-64D2-48C7-BCC7-D34BCE97A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16B112D2-C64F-4E6F-9886-D3BF66A7C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DC0309F3-F9EE-4495-9514-B35B6FF3A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46EC131B-0C2F-4F8E-A656-2C1F44555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E2B2678-A199-4C10-AA54-CC929BB5A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010218B-ABBA-4ADD-AAF9-E9860B979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03CFD18-DFC6-4034-9FD5-D12237D74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E3453F1D-AF5B-4A1A-944F-E3DCA455E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31BF1D61-8506-40DA-8C95-BD2586C9F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1054D185-27C1-41A1-875C-CA58313DA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2CB4A6DB-4886-4D08-AE74-A412652EF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3357F432-C893-4D40-AADA-D0FAFF73D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23C4CCB-F41A-4861-8F82-886717D49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7B13DDE-F2FF-4492-A715-536B4CC7D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CB8F0C9-5081-4D76-956D-020A748B5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DDFB324-E279-46D6-A5B4-B24ABF05D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9971FF8B-4820-4DD1-97A6-EB132D3EA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1E586634-6A12-4ADD-AEFB-044456405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518780AF-C20D-4FED-BAF3-604A3DBF8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8B6BA156-EB35-4B4B-B9FF-7760B60D8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261AC55-F990-4DF8-9FA8-D672382FD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165FF60-415B-40C6-9DB4-E284F6A6C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A23CD38-822B-4514-A0E1-F0181D6B0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A6541DC-C9D6-4359-96A6-B4D875207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1D2FE4F7-DB04-4AB0-ABCF-626B60738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84488419-DCF4-4534-9B69-E2179F2FB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AF627B47-182D-4E32-8ED3-2635BC221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DB79ECCC-F78D-43E6-A8A5-FCB83C7E1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88CFE56-B3D1-43AC-B6D1-4E3D6534A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6B9D82E-6DB7-4226-8877-9DAB4F931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9E465E3-6D0A-4E6A-AFAC-F78178765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C60BC03C-D12D-4865-AD1D-3627D0123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D169E803-605D-4176-A9D7-3338984FA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81DFA0A0-FDB8-4970-BB9B-560D59D9D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CA062FB0-921B-4EA2-9214-5A7B2253C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0A6BD8C1-C701-4770-849D-4181165E2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DFF6414-BEB7-422E-84AB-26C6FD249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5680EFA-159F-4BED-84DF-224CB2245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481BB33-4ED2-4080-B3EE-73F02F363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5048D59-F456-4734-9627-0CB6EB2FB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77B51B43-BE55-42B9-A05F-BCA7E9A8E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6E969987-76B5-4E60-95C8-82A79F119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5B5ACDC7-733C-4676-AEE9-5C20CF64F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045B6222-E8A6-4C14-A285-F8D832B48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1621F90-1F29-4243-BE0D-615492E5F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9CAA35F-0705-4689-8F3E-E19EE2D15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4" name="Рисунок 1">
          <a:extLst>
            <a:ext uri="{FF2B5EF4-FFF2-40B4-BE49-F238E27FC236}">
              <a16:creationId xmlns:a16="http://schemas.microsoft.com/office/drawing/2014/main" id="{4F31E236-097D-4B55-961C-B1D1FD5A9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5" name="Рисунок 2">
          <a:extLst>
            <a:ext uri="{FF2B5EF4-FFF2-40B4-BE49-F238E27FC236}">
              <a16:creationId xmlns:a16="http://schemas.microsoft.com/office/drawing/2014/main" id="{CB2F2E90-DC1B-4A9A-8221-9AF7BE2C4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2A7B270-DD04-4A40-BA1F-6D4304D4E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9092B84-709A-489D-8286-108BD7DA7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06FF90E-2C06-4232-9294-ECA40C64E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7F35D94-E198-43FF-BEF2-20009644A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DB9B366F-1DFE-405D-9032-FC52B5B58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C67BC92C-A4BE-4A91-93F1-C8F83EF20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D63ECF01-468E-4AB2-9C3E-050C0BCBA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8DFEB695-9F41-48B1-804C-6A6547F55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89FA208-2ECB-4BB3-B6B8-CDE9D9898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5325A4E-B8A3-4BF6-84A6-DB85B1B33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190EBFC-6CFF-46A5-BEE5-E2E877655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F2EC33C-0963-43B9-9A70-6BA00FBF1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537DD1ED-36F8-43F0-B6A1-BEEFDD9AB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7E237DF2-37E9-48D6-8A69-9942C2000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F0803D2B-DEA2-4F47-92DC-BB34320B7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D87A15C7-5E81-438F-93D0-8A705DC70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F810C7A-4C0E-47FF-B2B2-F98DDA8BC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868CF17-C3D7-426B-8649-E6EE70095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583890D-6D3D-4FBB-9D0A-88232B945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9DEC7D8-85FB-4702-A3D0-13DE0008D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97DEF4E7-EFEB-4C42-A1A2-933C16CD7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6B95F208-8F11-4278-ACBC-E862A56FA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DCDE0163-C983-4809-AB91-55AB0BF0A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E403CA9B-832E-47C7-A66A-821E401DB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681D23B-67F2-4A9E-BF4B-CA5142263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56638E4-0DC4-475C-B702-94904172D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7C0B0E8-1788-46C9-BE36-9FAC43874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1096AA5-123E-4AD6-819E-385E924F7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3FF75F3A-F05F-4E9A-B5CB-63504AD5F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CE562CE9-48B3-49A5-9F24-96F1B9978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6FD9A107-395B-4766-9972-9CE1A8953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738718DE-FCEA-4341-8FC6-D2716E63E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B0E7CE5-9E36-412A-9AE2-7E82D50D9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8EA5075-7DDD-431A-82FD-48BCCB74E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35FE309-1BE9-436F-878C-42EAD3BA9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1F742D5-026B-4D48-B729-29EC84834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9CAAA64F-D8B9-4EA3-9EEF-0B8883167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59DDF5ED-29EA-4AFB-92C0-98AFE75DA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AE227E0C-E072-427D-BE3A-4C82C9322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A9D3AAA0-8E64-45CB-9C40-E2824C585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6663911-EA8C-4DB6-B919-D0FC4522B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84708A1-46E7-4AD6-9FE5-CCCEA1EC3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18E425A-1859-4D99-BF93-FE68D528D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B174855-554C-4525-9D97-BE29392E7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81EB4C07-F6D4-44AF-B5A0-D41D34FA4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292E0FFB-8BA2-45E0-9D1B-929C74108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81353758-D56F-4300-A4F0-93C0086FB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2188C2C3-2F8D-491F-9645-93531A20F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781B6FE-1108-4010-86C8-067620081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093F1E2-63F2-4700-9518-6964B74FD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EA5CFC6-4E00-494D-AC5E-50906DC62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50BFD90-91DB-44B0-BC73-2C6AE2993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F6F8BCC5-38AC-4814-91AF-3DBBF9159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3254E56C-CF5A-455E-A50E-45CB54DD5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7E208583-5054-4033-BB31-9E08F6F35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18E94F48-C387-449C-A969-AA605F09B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6A05CAF-BDFB-4C97-8DC1-347A7D8D0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EC48A74-67E3-4EA7-84BE-F212BA886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20D4FE0-7520-4F8E-BF00-3E570BEB6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102AECA-A2FC-43EA-BDB1-09A277ED1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07B49F7D-824C-4BD3-983C-61A5EA18D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02BCFD93-03E2-447A-9575-6628E0AEE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5EACE990-D168-4959-B41C-CBFE446E4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07C29248-73DB-4998-BA82-FA8844CE3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DB750E8-95D9-4CE2-908B-B8B35DBF0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2D3285F-D3CB-4149-9543-6B41D87B8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392B4DC-E906-4ED9-BF66-E00607055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04ED95C-E806-486C-B62D-E9879633D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393E5C11-248A-4EE4-B567-6ADC85646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29754946-56AF-47DB-83C2-7EF834B08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F4967DF8-0887-4F2F-9CDB-B1DBE4175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F73B963B-E4AC-443A-813D-54CD1F747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2B4BF4E-9FEA-482D-AC3B-A71A8EF8E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A1C5150-E4E6-4A60-98DA-3F6767B19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CD8D907-372A-4C92-82FA-FEAF7FF1E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458EE82-8E99-4BE6-A0BD-08AA14CD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27174493-EFDF-4E22-B93B-39EE15A80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45101626-1EEF-447E-9EAA-1EEC840F4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CE4CCF1A-B673-44DA-BB3C-C0613A41F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F3B82502-9975-488C-9ABA-D1EF59024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25A2B43-C772-47B2-9B1B-4501E10E8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50F7615-A22E-4F93-8A90-38930667D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D43083D-3CE6-4AD6-89E4-A652911D7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AF6E515-B36E-49A9-BC27-556893073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A8E23312-9C36-469F-99C9-700C7785A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91C082B9-ED71-4B1F-AE26-1388D8878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7999E29A-9FC7-4318-8216-246430B38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097BCD9F-0675-4D9B-833F-54BB448B3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854E996-A7E3-472A-9BE5-FBCA6251A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67B3B62-936E-4984-B98D-B470BCE7C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329DC22-A675-4571-80E8-A8A57A503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289C718-1CFE-4C97-BCC9-040D13E89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BA8F10D9-8DA2-472D-AA3F-B2F6E9714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67F4ADA0-ECFC-480E-A357-BEFB9673F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CA654935-A4EB-49F3-BA7D-1384F2FDB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94EA0C64-FA7B-464E-84C7-47BB70A39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650FEFC-D02C-4F03-B229-F5488A831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353A136-0734-4CB8-94D5-F4E0E40AB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A3D2B3E-52C6-4D6D-8014-AD97DA91B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E7963797-EC32-417E-A022-CBA2BF3CD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ACF74D78-C2B2-4B77-A70A-6EAED429E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719788BC-D1E0-46D9-AA2B-9F3480EEC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305C0A4E-1F6C-4F46-9127-82E9BB64D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046944ED-4826-478B-91AC-CA2219332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395BBE1-240A-48BA-A077-78CE64CE3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4AB3AF4-54C0-4A0E-97F6-4F4451A7F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E452999-B12B-49CB-BB94-3F1086CFC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68A138B6-37CD-4460-9E7D-7C4FC3D83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BDF46F0C-FE9A-4698-8067-68C9EC11C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360D18B9-3961-4A66-A1DF-3F12D777D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6515D68D-5ACB-412C-8F65-269654708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8EFB38C6-B194-4573-A46C-55E8541F4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114DFB6-E4FA-4EFC-9296-1D6C5C937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9BC8BC4-3810-4E68-B8B3-4251DAD0F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5C99735-B696-4FC6-9259-E2E715929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A3FE8009-6F5A-405A-A10A-B59BB5342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BF6997EE-6B2F-4C3B-B187-610A64DB7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8E1F88C9-CACB-4474-AA3F-5DA15BFE7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86F23CD9-0DEC-4BD2-BD25-1B2CB14DE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18AA4910-2B10-42FF-AE91-2B66C1CE3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1D5BC66-A9E7-47E2-B395-6E88A91A4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A45B9DA-67B6-4B6B-9992-EA6F4256D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7B74B2C-13B4-407D-BB7F-E35184870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6F5099F-CC02-4BD5-B14C-9F5DDC53B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859278F1-329E-434A-B811-F72D0CB32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554E43F0-65D2-40A7-AC6E-38FE4E383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9A637C5D-0F6D-4050-BD2F-32A3DD515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40C07A0A-3D7C-422F-9BE3-4A4AB2D9D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A0942AC-9DD5-4D35-BACD-AFA512166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97997EB-03EC-4B41-A16C-4B478BBB2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C9CF9BA-FEC2-41DC-87FA-D6E2CF716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5F6A845-CB25-45B6-A150-FB67CB14C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4FE63BC2-D460-4C50-9F67-6B47D0FB5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53C013D0-E25B-4C9C-8D24-B77E21B8F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0812EC61-F143-445A-AD78-4AB6195CC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84B0F8BF-1F2F-40D3-B030-8AC3A3E8F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872DAD8-2CB7-446F-B424-3F0D2D768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0C8FE19-42A9-4390-8D9B-B61E970CB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9B7B8DD-7A6D-4175-8E56-1C37951DB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FE7329E-F9BB-46D0-9F5E-162900882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EB4CCA39-C27C-40B2-8E34-2AA2D2535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386E931D-7D15-4414-85B1-61ACB1746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58A958B1-59B2-4A72-A4E1-096E4A8C5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6544D82C-72CF-472D-832E-9C9215176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DF9132F-2BF0-4FE5-8010-809982BB1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6C3FED3-9270-4F09-9E25-FF2EC22A5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2A90154-324A-4E0D-B6BD-349C7D9E5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B262085-15A5-4DEF-A0B7-999E030B4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E0D8B150-CFE3-417F-A104-C5E2EA70D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A384838E-23C1-4920-AF48-660239150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3716F5BD-0DFF-4126-B7CA-01C5E3E10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F11175CA-9781-4C82-833A-38E247352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05B850B-D2EA-45F2-87E6-EDAEA10E6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71ED7AE-9523-4D0A-BD34-07B231109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580DA48-E864-4FC5-92C3-BEAC6248D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E2A26931-F77F-457B-9470-E2D0A34FE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FDD3527A-A04B-44DD-9271-76C640412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D91361F4-A775-4767-8D0D-F28556462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36D8A862-049A-4322-A8B4-008C010E3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8E84DBBB-9533-49F3-AEC2-CCCB2BC38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898F41D-9DFB-43DD-91C1-C0C153F87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C46FC28-11DC-4E5F-82FB-EE0C84BFF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2359FD7-BEBF-4394-89E3-E324806FA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D34E43D-A3A1-4A14-AA59-858122AEF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48D7C8C1-EA4C-4677-A1E7-027C54E85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19FDE6E0-EB43-486F-ADCF-356BBF66A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43CEA199-789A-44A5-ADEC-6F0C7FEE7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9110CCBC-69A5-4878-A4DD-193A4BCB0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61E15A0-41F6-4143-80C6-B83DAE5AD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ACB1E90-A6DF-40CE-9FE1-08384C812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29F1331-4B12-49D8-A529-E19E3ACCE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44EB170-E274-4E2B-8CFA-1016CAFC0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27330E01-B8A2-489F-BDD4-8E4F8D741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4E95B694-CCF8-47AD-82A8-87D0BE651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CA073FD6-2613-44FF-8895-FD3BA574D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B0283EFC-5271-4140-A131-D80469032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8EE2F2F-2D9F-4C41-B0DC-CDB2294EF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8CE88FA-8BF7-4EA5-88DD-9CEB12A2A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3238CF1-6CFB-4952-A870-99D9289B9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A8C70476-5499-404A-AFFC-1C8025E8C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716F9D2D-CB66-4720-B405-63E2F2D7B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D0060145-5C27-40EB-A295-59C8A621E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DB764988-6D80-4CB2-8FCA-707C4485C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5237EBBE-5FFD-41AF-A95B-9BD64D028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C1A2350-107E-4A2E-BDFE-0278314C9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E41749C-7E92-48A7-B08E-8EE2141B0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A5253CF-7EE7-4869-A81A-3DA472AF9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45CFD1E-305C-4E63-89A0-46B9F487B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E4375CE3-6E6E-44BA-961C-A8E3D4450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3E4DB64A-CFF8-4C60-927B-EC7648623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B0E2B4BF-1DFB-474A-BA30-8E3A392D1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9E6C3F7A-45CF-4249-9738-A82A7726B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0C636CE-FDBD-495F-BB63-86BA41EB9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E4E52AC-69F9-4B47-B565-1061F2374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CBE6592-76D9-4F21-82E6-DD8C1D592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D624ACA-5414-45C6-9963-8B2B683D2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831DF1F4-2368-4E71-96F2-7CBD1400F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67EF0A57-18A6-442A-B37A-4FF271406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8E86C16B-164B-43F5-963C-8125E6354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ACB2716E-68E0-4E20-8D63-D1F3AF593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1575BE7-1F87-4C02-A40F-2BE31F392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C0D17AE-0B5A-44DA-91C1-ABAB5068A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BDB547F-1817-4981-95B8-519DD3975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1403506-0904-4D0C-B5DC-B8381E7E7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DBAE72D9-A8E1-4759-A614-97CC008CB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FD6D3BB2-5F80-4A89-BEBC-032CD27C5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50CC62CF-4EA4-4F94-B1EE-29236C2B1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E5525A5E-3590-449A-8D78-241DC8433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7621242-13C9-4892-ACE7-79A092C26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148E7DE-F730-42CC-A56D-D7065EB00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4A77961-55ED-40D0-8E38-0E45380DC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FCA0FE1-714E-45B0-BCE4-114EB4D30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F0D143E7-1EAC-48C8-A656-7AF3D0E95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4C2CCCB2-7C79-40C7-8B1B-C834A2C72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381B193C-30FD-4E1B-AD4F-5CA7FB1E9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C772378B-8722-470F-B6B5-9FE532F24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2A1BD3B-9886-44EE-9B33-F60B2EC6C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639DB8C-CD7D-4FC9-85EC-CFA07D1EE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5E8F571-0905-4FB4-AC26-68FB85546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1495829-C55E-4A33-A9FE-62226A7E2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B7E9AF8A-C58B-47A8-8865-CDC3F8ED0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D5A50010-C49C-4F99-A212-E54AEC146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26BA4690-1CEF-49B6-9DE3-5871645A4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BB649686-1F21-4744-969A-DE17E1A9A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AE297AE-A9BC-4F0A-8417-871714C15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C96B131-58C2-4032-B4EF-22515B1EB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610D79B-D7F6-40DE-AC67-CB8F3C76F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758529D-1F1B-4E0C-83CA-458AB8DC3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EE3A94E2-0D48-4592-84AC-3A7AB5ED2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DCDC2982-5FD0-4102-8BE3-036A694F1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EF1E0B4D-1189-488B-B9F0-E42663BC5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1F56F67D-C3CA-460A-94A4-E1312330D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ACA3E55-37EB-4B6A-AF3F-EA1EEBE40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4B2309C-3FA1-4959-9ACE-81BC6C1C6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14337FC-0E6A-4044-AA72-EA0CBA3D6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AC521908-09F4-4BE3-8BAC-585E133EF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F37DB3D3-6935-4995-B562-F57EA4F40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70846F5C-E9A6-4BB5-9BBD-BB4CD71CD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AF382A04-B865-4363-99FA-5E08DA549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A2AF4413-22FC-407C-AC5F-B7C678C07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F6EBA89-6775-4DC4-BFAC-1DABC5572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B61028E-BD2E-4581-A941-814A69395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6DD2C65-BA34-4031-B1F1-611AC7243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2A78C08-9423-4E11-AA0D-32496F8AA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81F1A84D-BED0-4CF1-883C-990DE3674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B5B03793-064A-4C2B-A952-BA8E9002E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304AC5BA-21EF-4A7D-A30C-0A701EB82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305C7C64-626D-4C90-AB73-E644C915F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CB73441-3B3E-4C2A-8A3B-1139EA156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55EA452-4845-4D35-A8F3-F5D989B6B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0B85412-02E5-448D-B21A-E14583F91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B088435-118E-4922-822D-D4CE28219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5CED62FA-70D9-4A59-8367-05855C742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4193DCF1-614E-496B-9770-E5DEFC6CD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CEFCF4C5-20B5-4AAD-A69E-F28731C14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8AB83AFB-FDD1-40EB-B12C-8BF711687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6A212A6-A6EE-4E5E-B9A3-986E43FD9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C99D922-EB0E-4C10-B45C-3D309CFF2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F966D0-6B69-4AE5-A072-A48539286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FB7F357-2889-4CC8-B515-980987A6F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C51704E9-6D3C-4346-AEA2-1C24C9D49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5E434BF3-035D-4C56-AB19-30EC000DB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5CEC616E-CCA1-41D9-B9AC-FD0B3EB16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2A8903BD-51BC-403F-84CE-E5B3A015E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5D02E4E-236C-4AC6-AAC5-B45AFE33A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A1D22F4-3718-4597-B518-335C0DD70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72E4804-D408-42EA-A88D-7CEEEBB4E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86D7AB2-6824-4BDC-8E40-F62DD4C94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13765BA5-4E24-4575-8460-388BAB894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BEF77A3C-39E9-40C5-8B32-60ADC80D9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8E636010-9E48-4DDA-B035-8B7AB2D4C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1D10E597-B012-4C0E-87EF-FBE323570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364DCEE-8A18-4FCE-8BD0-AA1A16623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0CA4965-F496-4BF5-BB13-EB8E170D5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F3AC0FD-7AC3-4D5B-A74A-E732F40E2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EB88F5A0-FD99-4DAF-8118-43D375DE9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4E2B6636-8F94-4883-8E86-82711B7E6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BE383A87-75A6-4366-A7E4-76AAAC557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290CA8E0-DBD7-4204-9943-74138E833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EBABC13D-72F6-4030-B461-035AB2FDC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6E2C164-0EFD-404C-9EA7-8CA2F591E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CDBEF92-9636-437F-8E57-F8D2F0264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5EBEEF3-1AFB-4399-8B75-B134FF8EE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F36B0C0-8C6D-47DD-8243-B66F7E67D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02D809A3-5E65-4E3A-8425-9020F76E9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AF42A0A3-7377-47B2-A4EA-B53BC7C46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A419CFF3-73C3-46A6-9151-5DAF018E6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B5B7C126-1D31-425E-9A57-472EF69A1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C34001D-AAC3-44E0-8FB8-C3E5EA8D7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4C4EA6F-2F1F-4AB1-BDC0-40891CFD1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A4BA6CC-A093-4B22-9043-B433D1C2E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A305CB6-D576-4BAF-A74D-A459D0501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CBCE1DDF-4BBB-4FE0-8020-ECE00A65E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56F51FE4-2D40-433E-AC9A-4EAFD5495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0490885A-0FA7-4A7B-A384-7F237F0E1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9E06CA54-01B4-41D9-A81D-858DD3A83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474DAB0-2FA1-4B46-8AC2-B347468D4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E4DDBCC-FE61-454A-9D5B-5215BB057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F20FC44-E131-445A-A71F-000B8EDF2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AD6C170A-A3E9-4007-8C1B-10E40A544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A9E5F879-57DE-4CBB-85BB-12140FA57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009DCC14-896D-417D-ADC6-5E25CF310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F4DC04BA-06FA-4BEB-8C67-4A9BEE9FC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260D3833-837E-499C-B6C0-891974B3A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C6E2805-F6EF-40CE-9502-1FD9BCC63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BE44B5D-23F4-4585-9F31-A9A50C116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391ED11-DC86-49D4-9707-8645847C9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3CF6BA9-44C3-4550-A11A-B18F91D55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46185A21-B0CB-4EA8-834D-B5D0990AA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4B40E87C-D385-4C9F-9CB6-F774F9A1D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17BE4113-08AB-49BA-86ED-725840A36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08472547-75C1-415C-9FBB-83E33DFAF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426C73E-B6B9-4736-9C6E-513F37894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A752CEF-3261-410B-97A9-E5D63A898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BDB3C4D-5B0D-484B-AA41-C0BE7EB54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6BB54B2-1A9A-4F1B-8642-E8F6ACC20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C51FCDD6-39FB-4B78-8CC2-B920AC06C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9968E015-34F0-4C4B-B724-C120C9133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6E9F5F6A-CA7A-42CB-BA84-082862F7F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1C2E3AA7-49CA-4F61-B190-D740625E5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6F32C25-F215-4946-A63C-2B53490DA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6A4C623-C50C-4269-AC1C-C6AC840A1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AEE6360-E16C-4674-997E-09BE4F6F2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F53AAB8-C9B6-441F-A840-29CE4201D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79127F81-C888-47ED-A252-4C70FF773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A813C078-F2E1-4B31-B55C-9E4B6E1D2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E0D4446C-EEE5-4376-85C1-936993DFA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F29788E6-ED21-4973-BF58-4103043F2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11E0059-3A2A-49C7-8649-2DA4E212C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563ABB6-2C55-4269-ABDB-E61F4F17B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CF3A2B9-CABD-4290-ADF3-F56355A4D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E73CA6E3-508E-4CF7-BF8F-0B058CA46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ECCA4D55-AD99-469C-BCF8-FB0B10DDC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CF5E5CEF-5EF6-49C1-B601-58759FA14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24999906-BD4E-4324-8BC5-4F49AA6C1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3F5461DE-4EDB-4A4C-9A6D-264D4A224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8040CD3-8538-462B-A8D9-843E187D4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A1EB664-4471-4469-8BB8-367A3D59F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8C9E457-3EF7-41A3-BB80-B6E6CE21D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A5C4B12E-4AF4-4D07-8803-80D017F00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9F533DE5-AA4B-4123-942B-B07D8F924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F02E4AD4-BE21-4B02-AC05-9A979723C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CF8A0A62-73F9-497F-8B0E-64F1DC962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852E71F1-45A5-4B51-A2D8-F57B09478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AD243A8-84DB-40D2-97EB-485120935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B0670D8-C230-4742-8708-D32C7049B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CD3DE61-6926-4AEA-B9D7-D966AB1D3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6DDB7FA3-4609-4E64-BC78-783EA4283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62DFD871-8871-42BA-BAA9-68CEA1769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8C4ECC3C-97A2-4CFD-A667-BB1D28672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51C1B1A5-6DD0-49B1-92C0-D6D301C4C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898BDB46-D2C6-4EE2-9403-1C958DC12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F61CA95-A5B7-4B76-9CAD-53F564F03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E70D402-F02D-4BAA-8C81-F9E7502E5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049A518-9320-41A0-BEF1-4EF90B1AA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B5F5652-D2F8-43A3-A1E2-057CE89DA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7B63C56F-1A8C-41E1-9DD6-6BE0CCB46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E45E663E-E099-41E6-8BBF-90DFD6624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1B840B2C-43EE-480F-825C-1AAA5634E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DD70B729-ACD7-4674-8A98-A493F217B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FA94425-B54F-4CBD-881F-45D7D24C8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0632052-1553-491D-8927-7B0D01AE2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B98FA5A-BA10-4676-A9A6-3E9C17698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4396ECA-B813-414F-978C-CCD01EE69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FA083924-2A40-448A-A487-9FCD897B6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BABC65A4-0A35-4A9F-993B-9589E5346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79A11D0C-16A3-4983-8C41-3502E361C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232DDCBA-0E7D-4C35-8042-0C07CBBA8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0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ADA716F-A5D1-423D-9F7E-425CB7069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BC6A00C-0217-4B6C-AC0B-B2964A429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8D06500-CF17-4389-B19C-B36BDBCA5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F1C7417-9F24-4967-BF2A-4DE22E4A2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72F5D948-707D-410C-8D30-377104EB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8E74C2FD-2A44-4270-839C-C5A34B87B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ADF218B0-DBA0-431B-BC61-A4F706FF2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CBEB4AD5-DC1A-402E-8635-B5E8B1103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0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0B46332-88EC-42B3-9253-700885FCB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E3A7F4A-C925-468A-91EA-A3E91F251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21EB8FF-A501-4BFE-B8A1-54DE6EA1A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80BA9E5-1F28-4BBA-B9D8-9B1A4A4ED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4880187B-94B5-4786-BAAD-AFD09FFCF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55B153CC-6A50-4548-AE68-49A858A16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CD672A9A-8EBA-46D0-9B81-F08265DBE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C3C961A5-06F0-4DD9-B3F1-6232EC22F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0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88C0697-9469-4A07-A289-1FB976EA6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B452622-FBDF-45D4-8E9F-5E7A6B8DB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5E60821-CBA3-4C52-A0BF-AB60DD5FD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83D36DD-67F1-4095-BE2A-C88C75259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12CE556D-7387-4FA4-84AA-144336480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0008553E-FBF1-4312-8D4A-A8DD68476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C37E5EBD-4401-407E-B802-91C6A756D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7A6BBE39-4BCE-4A59-A5C2-14F550DFF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0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24D275D-006C-49DB-891D-4F15A111F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B7357F2-CDE4-48D0-8C70-017B0CCC0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F9B1C42-B086-4E18-AB52-C77C7A436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6B390C44-816C-4229-B132-0498A9DD7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1BCD5463-8366-4BD8-9B15-E01EBC3C2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6C8EA5FB-9D7A-404E-97EB-C6E7EC895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9F9BCE2C-FE47-4C9D-AB84-628B5F08C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7BD92724-316E-4A6C-941C-ECFE9FEF9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CC46BC0-C30A-449C-B821-37D026712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3D52FDF-62EA-4699-93E3-2AD5D1BF8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622BF52-5CE9-49BB-A3E0-25559D699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2EE35D8-A335-45A1-A3ED-8DEE1369B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EF9DE490-56A3-4F6B-880C-3D218C453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F1629FDC-43CB-4632-B4DB-AD7785027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B5C47051-3129-4018-8C1A-11EFF752D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5E71B283-4514-4F43-ABE9-C2170FFEC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D498E5F-9EA3-4CB0-ABDC-87680C0DC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8B410D8-E321-4E2D-94F3-041CEF42F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A6362C4-1BA7-4441-8311-0D32A799E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6C633AEF-E663-4EE3-A6EA-77D973D83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A4935F7C-B576-4AED-9FF2-332695C91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4286F310-5365-4F3D-ADC9-3DBE84546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CA6A7150-03E4-4276-929E-343ACEB5E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7112836E-2AF3-4E95-9BBE-551EA6E16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D931C74-7E1F-4EF1-93DF-EE575DE42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C880407-F1AA-403F-824B-516E408DE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A704355-6FE8-4AF1-AC04-0AC39FC0E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600D077-0433-4E34-98F9-1D47C2455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E8212684-458F-4EB4-8E0F-7B8636C2F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F1E4AEC5-3E12-4198-B639-9A9B8D094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9E402EE2-D138-4AFD-97C1-844A366D9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6A4E4B8C-5C2C-4987-9BEF-680AE3C63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6FE2D55-9A9B-448D-AD60-3BF418E28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41357E-3616-4B1F-B4AA-D901C9958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06AFF64-A3E3-409A-92E2-8E3A07371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E4CF24D-986C-4E81-93E3-B22A9FBFE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D236D288-8A94-4BB1-974A-21ACB3777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04C3B718-6D2D-481D-A78E-F0BF2365C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0AF26772-CD6B-400E-834D-8728E04EF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5F715B9E-3959-4ECC-82CC-3C2494153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EFAA884-ACBC-40B0-927A-BB9A336E6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CEBE8AE-87FC-40B3-96E1-E2743BD4E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CFD5D05-7800-4FEF-92F8-4EBDA01B0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A75BA93-5FA8-4C02-88A0-AEFCF82B1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C56EB498-3F0A-4BA7-BD43-5C4109892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62DDDC29-5E71-4B58-8A26-FC4834406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8812A57E-2855-4C10-9A65-59E390F59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27BC7E72-F007-4CFB-8590-17C212539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8A9E232-83F4-44C0-BA24-EF26616EF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988D07D-D5D3-4524-BC81-83CA9524B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B1EB4B2-70E8-46BE-A801-91839EFCD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A2574B4-FE1B-4029-83BA-E652E3C9E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9D51317D-DD63-48DD-A25B-4AAFF588E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B3E49BB1-5AE4-40F1-8540-1F0818A41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A8A8095E-27F6-4C71-80F5-65E89B3B4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9262A2CB-7545-43D2-AA2E-C155EFA50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AECC884-51C4-4BDC-9E0B-CDA3075D1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43D02AD-CF19-4A68-B9A1-20E80A9D0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0CDCEBF-398F-4A78-B1CB-AC0284F44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6AD4A290-0591-423D-914A-8A901F592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36B8AE8B-5F8A-49CF-8CD0-35B48EA5F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49EA5A8D-890D-4EDF-ADE6-1403915F3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8BB3C25F-528E-4D30-B389-D2B6654CA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044BC7BA-D974-4E8E-8A30-D8CB6537F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2D2BBE8-97C7-48E4-8E73-51601D328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5E4D0F1-B9C3-4545-8673-1A3823EE4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5014275-FE10-4B25-9CC2-AF62029CB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AA08A89-6B86-433B-96F7-5FCF6C659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F2AE2240-20C3-4A54-A101-B2F045088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2008D442-68B7-4AA7-85DB-A8F2B4B57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A5B4DF5E-2379-4057-B9BB-7667F14A0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D9B57F20-AF21-440A-8CEA-4C7813C65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CD8527B-7103-4820-BD12-5AA671306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705587B-60F3-427A-98B3-85C7D67A0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73931F7-8D38-4F71-82B2-4D6DD1C06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A02FF991-3A4C-4F0F-B099-0765534BE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822118E7-4337-4C15-8E91-37ABDA461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1FEE9C33-2058-433E-A667-47F8D559D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EE122989-B50D-4270-B512-33DBB4D5F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0A11248D-A2A5-4BA8-97D1-B048A0398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28C4AA1-3443-4987-9612-AFAFD25AE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6C9FA1C-4841-4472-93F7-A408E4095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E1E444D-A4A3-4149-BBC0-8AE1268D0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A0FEE4AF-BE68-4E5F-B587-77FE12732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7958DD55-E9CB-4B78-8004-8CDAB6C14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0369854D-21D0-4AF0-90A5-7D42AE58D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F08A2FDF-9A30-4D2D-B73B-FDE838C0F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E1776EEC-BBE8-42B0-8B9E-EE20836A4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746D353-109E-4166-908C-903F225F6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A9CFB6E-A4B9-4A69-AC91-67BDCDB9D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EFA87DA-E2BC-4D1F-81B8-B57EE49D7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3250AED-F8FE-4C76-A40B-84279FD5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DCFD643A-B0EE-4E0B-9FD8-9A216AB18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A9EC448B-2D31-469E-A02E-53F73C915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CFC1A4BC-743A-4803-8882-AED77AE0A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FF6A8A5F-B276-4EFE-9C92-112211210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3F0BA70-7162-4250-A107-611B1E29D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B33B3C4-1E60-42D7-8848-F1C0222C1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7ED0D91-ED94-4F45-91FB-B981CAA4D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A75980E-8F43-4939-A603-7FCB419A1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59613A64-63BA-44BA-B547-136B0B132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357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6FAF600B-2695-4165-9A7F-F07B3060D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6F60C622-6F2A-4E07-A381-E33413BB7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357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A0D33D68-3C42-4923-97D7-4B139B2B9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597A719-1D36-41FF-B016-966C6511F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AEB180C-39D6-4C50-9B24-30F468F9F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BDBD18B-8BC5-43F1-A439-8427FAE77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ADC07B2-4413-453E-9FBB-A642C2025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5B69593B-4CF2-4EE9-B783-F5DD7DC6B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C7F03AEC-52F8-4CAE-B996-BE0A180F2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B056977B-4D3E-404B-B4C5-CF3CFEC64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029606DE-6431-481D-9531-83A6F1EC2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F8D0492-1D70-4F15-9E8D-EA82DD3C3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8CF8BF2-369B-4EF8-9AE0-41B14C8B2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2BFB384-B54A-42F6-A98A-B64C9D22D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2D52254-D29D-4C85-B785-1B8692C65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05526FAB-C703-42E7-B2D9-DAC33603E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A37F0DE2-7A56-4547-9897-96B846FB6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F5179460-DAC0-4538-A221-50EC67989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47EEE3DE-74E7-4B80-987A-3664BC0A2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BF4C34F-7E18-4485-B4AF-21A932F60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ED8A492-3415-45C2-8C66-EB3699B65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30DEFC3-C54C-4E96-9232-A11EBF2AE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A76472E4-9B3A-4BC2-A7D9-396390C81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0A17A908-86C5-408A-A2C2-30AE6A9A9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BB8E8A3B-8E30-4DBF-8F82-B1A2856FE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68B49527-028E-4FCC-9DC0-713EBD1D3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37A284AA-7261-4CF6-83FD-AE7186899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86D202D-A2EC-4D28-A364-30C158BAE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4F41AFF-9635-4508-B3E8-381CDEDA2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5734F18-1F21-407C-B082-1AB15AB25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DC3F33F-6CA1-4459-88D3-31FB0DA3B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82569073-549E-427E-B80A-02F7D0A00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512DE4B6-08F3-4EE1-AFFB-49BE98C48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2564C2C0-1D74-44A7-B6CD-946DEC02B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17481AB5-9DFE-47DF-B9E8-A8C431F33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7B6B3F2-37B0-478C-BEB7-5DEA6BAF6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CB85FA9-D694-4D32-BD28-73A9C9AEB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9258BB5-0DB7-4CAF-8804-441D85BAF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7A02A46-EDFD-4834-A796-BF0446BF8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DA3620DD-75E3-4C9C-9737-D91393879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05DE23B2-56FF-49C7-8989-EDCFBB99A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BC5E06E2-125C-4F94-B998-81341DCA5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C7CE4900-03B6-48DC-9436-B682F83C4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BE6C5C3-9DF1-4BF2-B9F5-47548A6F6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DB53516-5EDA-4192-B3F4-FAFFEE272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5DEB456-44BF-4894-972D-536B1E2DE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3168B59-2C70-423C-8638-E2AF0B6D7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5E6AF595-0747-48C5-AEAB-362D20965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4325277D-3B41-46E1-A043-8E3378925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5C628911-1C07-4819-9F45-AD2645B84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D8E7A55E-872D-4E97-B69F-CBE2C5447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3691D73-0106-4E63-845C-B1FDDF394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96EDF13-C985-4FC5-968A-56B3C79E2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7DDC6D1-C05F-437C-A9C1-C0FBA16A2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E49017EC-6041-4810-9ABF-792F41C25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A3EF1C8E-FE66-4D5B-8D3F-05EAA6678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09CD9754-EBA4-4426-B898-AC9B7297E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A3046320-1A4C-4C6F-86EE-22A894E4E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A91D6BB1-1002-4DDB-B080-00AC1A470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79057BC-2F78-456D-AB40-E8FE60637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4334774-113C-473B-A683-F67D2DCF1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1792C44-FDCF-4605-A706-91B9E2822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482FDFE-EBC4-4EC4-9C61-D395D8951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28DD3D02-1656-4E2C-AA27-A33150F18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99F2388F-A7CA-453E-8804-11519DCEF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B4591743-9820-4984-99EE-EBED67798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F228E04B-C8E0-4ADE-950B-283B59F6C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6DA80BC-A207-4C50-A513-A91DCCCB3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D4480EC-CBCB-47D5-B60A-C5C21C452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C42D1E3-FCD2-4256-9FBF-944A93AD1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A25FCBA-47A5-4100-BDA9-4C22CF911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06C3E6BE-C3F7-44C2-AE67-97883AFB5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263CC6E6-3E27-47DC-8448-2E3017E40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E3D2B6F0-ABD3-442D-99FB-030B78261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F23C98BF-E261-4064-8509-C4543DCA7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263176F-7138-4528-9A84-673E76AAD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B4516E2-68F2-4915-8520-64FF842C1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8AB10B0-A3A6-4FC1-BCD0-7120D3470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6CB4336-E035-4079-BC83-9503E0C24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0D275681-C73C-4C4A-B3CB-9DD4892EB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2A15DCDF-1D43-495A-9435-A9B534DA5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78C5C7DD-2F64-4718-9F89-FD0C18E35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8132814C-F110-4FC1-B24E-AA15374B8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91D713C-575A-4EC2-88BF-7B9F5A318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055DBFF-BCFA-4B0B-A415-940D5E030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34E53B6-FF52-4AFE-BB89-731BA7EF9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E32C9B5-3C19-4E01-B86A-F2FE74970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B907A51D-27B4-4DFA-B7E1-AE6AAADD7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EAF6DB60-D309-4D00-AF07-E6777CBD5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644AB213-4123-41CC-813F-C2DC8197C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C31A46AE-1504-424F-93F5-19BB7917E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6D654E4-0CC4-40F7-B542-F3BA9CC8B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A6C2316-CBA7-495F-9412-912A779B4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71D3064-165D-46DB-A4B2-9E376D487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8C17B18-BE4D-40F2-A01E-E58F9B42E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36D1204C-31FC-43E1-B57C-A1A3588D8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83BB632B-6C48-499D-8686-50DC1A551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1D929DCB-47E5-48A5-A800-54EAB1333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2B03A956-8723-4863-84B7-E4378A8AB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1E13D64-4301-49DD-91F3-AC9BB3D91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7D04162-C73D-4252-A6DD-CB85CFF77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1EFBA42-896F-4FF8-9660-A36B0A8AC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92F6AB7-F834-49A9-9488-9A4D0CB86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BDD9D140-D099-42EF-B4E5-C49A4EF27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15118500-7878-488D-98A3-E216F015F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A5059EB2-949A-4D18-BF6B-147599127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95A1BC41-921F-40E8-843D-9788641D1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BB7E3F3-35B3-41C4-BB7F-669E99F18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77BFF65-BA2B-4857-96EA-DE55609D6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10654D2-160B-4DDC-B1EF-0D0AB179A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83B117B-4442-4155-8DA6-043FA86DF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C638A6AD-1084-43F9-80D0-1D5B79686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F8F3D78B-04E2-4C4F-A6B5-F71F5159A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35B32EEE-1A7A-4157-A95D-427D1DFC4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36C8852B-12FF-4CB2-AD34-678BF0F92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BCFEA91-EFE3-42BC-9E72-4538590C0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939ABFA-1BCC-490F-A06E-20D3D5797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717A90C-51F2-4A09-BD32-09F3FC9BD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512C83C-ED8D-4529-896E-6C4ECDEDA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2753CAD8-79C3-4018-950C-DAF0E5A57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31C01887-5038-4E77-ADF0-8EE7F2C00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B01CAE8D-1136-4079-8E66-8AF4D9DC1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2B7430E4-2E6C-4F77-8900-286FD4F3F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6D156DF-DE98-4A54-A51A-767655121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534303C-8951-417F-9EF4-BF0D06C1E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C139CAE-0DD1-4A26-A436-C96A79885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5311676-2163-4EAE-9F8A-C212BA67B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9DCBBCF1-5865-4FDE-87E1-F3677DA0B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AB79D2E9-A529-4CD1-83CE-9C4FAAEE0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EC54E4DB-68C8-49C5-A09B-770A4E9F0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E5CB23EA-FDD2-4FB9-9552-3A1DDC178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9096849-1690-46B6-8BEB-936C9A3CA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3E0BD0E-3E3D-48E1-BAC4-BA9866E97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7B58E0B-93C2-4EF9-82CE-48038C69E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85FF69C-839E-4994-A578-F029BE892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B0080FA0-F7E0-43A2-9629-05B2880A5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96C7CBF5-4F0C-4B51-8EA6-890D447C3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EC6D5DD6-177B-472E-BBBD-5E622AFC8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A8E694DB-C2C3-478D-BA58-842A1F7BB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3019DB2-256D-46A3-85AA-A0E0EFEAC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04B71E2-6772-4BC5-9270-251353FD9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98E01FE-398E-4F6F-91AE-D1CE61142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A55C2C8-E0CA-4A7D-8865-8A6B8597F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2513AEE0-D5AC-409D-A644-7F613730D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33DF8892-8CAE-4148-8362-617E3835D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E4370956-0C9D-460D-9CCE-7485A4FB3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1B78641E-F088-4C00-BBE3-A4358EC42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922BD58-A634-4842-B1E9-D9637CE88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89849F7-728D-4D8E-A2FA-CC3BC2F27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7DCAC2A-EC9E-4704-BC01-0EC994132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6BB2BBC7-3233-4741-A723-7A5BBBC21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CA7545BB-8193-4BA6-AF6A-5A1664CE3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99DC3C91-1795-4C19-A7AA-CB1A1791C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BB731027-A106-4BCA-937F-4E3A07708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BAA05C02-A0F6-43DB-9D85-BBD0724D1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059BB0B-1903-4342-86A9-1FE797933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875654F-B69F-45D1-BE3A-10DA08843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A88C90F-49A7-4753-9A2A-72125B18B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62912CD-42ED-4555-A42A-C039C8975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</xdr:wsDr>
</file>

<file path=xl/drawings/drawing1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44C5A26-2CBF-4146-A54E-D86B83EE9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FC8DC1B-2B38-4784-9C14-B304B6C4E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C8C18D7-CB52-45F5-ADC2-8D9C099F4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235357A-48DF-4193-BAE6-A4874AB3B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F417C4FF-1693-4508-8A48-502C4CE16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B3590E4F-294D-41ED-A1E6-745C8F58F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2A0711F3-5F65-4ADC-935E-206CA7CF8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FA73BA53-F71E-4CEB-86F6-D9B797395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92CB0E8-1031-472F-944F-0F7AB8914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9C82072-1E86-40D7-BF39-513E4B702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1CAB352-D559-463B-AD82-D585FCCD0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33E7701-39C6-4CBE-AE38-6A8C58910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49A2E665-46BF-4A73-A632-5C1FA4D24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5406B7A5-9A17-401B-8010-FC538D439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0A3DDE20-10DA-47ED-BB69-C73143274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65A72544-EE8B-4907-8482-36BF65AEF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BD6F8C4-EC65-4CE4-A374-2BD715DB0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A600AD4-54FB-448E-9349-61F92F76D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6DF63E3-A6E1-4ABF-A180-6061EEE52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4BE3648-05F6-416A-BC28-EC791C0CF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5CCB2247-B80B-4797-B6AB-CE5252A3B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E5F0F54F-5BAF-4D4A-B7AE-6FFE04BA9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3646384C-F390-4193-ADBE-55F4E8153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F3E294BA-4F50-43D0-A8C4-1776CC96A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8D3AD24-2C10-43F2-97F4-1895A6F10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7C22588-F214-45F6-865D-8D6F94680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AE5228B-E1AB-46A2-8420-BD0D274BB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3CD3251-E3EF-4020-ACD7-06343BDB0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A3D53704-9B58-46C2-94C5-5E83A99DD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DC275FBB-0896-4A31-896B-EDD1B0DE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A0FF7C5B-4938-4BAE-B15A-CE2FED26D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D440BEFA-390F-454E-B7F6-53A1811AD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3CB2648-C69B-46A6-B9BF-9255044A9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C83C631-F021-4089-93EF-38D07F935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C531A1-B9ED-434F-A322-0BF79CF5A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3BFD0FA-21E5-47DB-9139-FF82CC662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3208E616-A59D-4DDC-9DCB-A55199674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1B296BF8-A287-4F34-8419-18715FCF1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D1FBF62A-C20E-404D-993A-B86CF8D33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3E34EF30-82CE-43FA-B56D-05DC2EC02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BC91438-B876-4FF6-9502-C5FDF6987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8FC1754-30E3-4E51-8556-FD2047A6A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4E5B97D-3578-4CD8-9676-1A070C5AF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EAC868D-164A-43FB-A1DE-CC0AAD21E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CC12ED9B-ECFB-47AF-9C34-E9FD4EDA7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9EFCE18F-BF46-47AC-A52B-BAF1171FD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A2B95271-BD99-417E-926F-328E0521A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871EBF9F-FA9F-46FA-AE27-457F3D372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9EC939E-7F3C-4DF1-BB7E-6559F5611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DED2373-B249-45FB-8CB3-B1D5F6695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D2F6FC5-113F-412F-9C74-7DF1083AD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09B528B-2A67-4B26-A6DB-22E4E932D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2F07B622-A4DC-435A-A1D9-A8F9EEBF5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0693F49A-8AA2-4E88-BAB4-5236FAF02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289B2AE1-57DC-40E7-938E-07CD5291D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7786AE65-99EC-4E34-9175-2355FC943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3B861C0-F9FE-4AE7-853A-B10EE0F48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1D17D77-B2D9-4900-8948-2614080A5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D2EC115-43C7-4771-8A19-BFD6B013F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81A0328-042B-4347-882F-97EC412F5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A2C2C0DB-35B2-4CD7-9FED-DBA58F43B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97B68333-8B92-4661-9D80-9A980E37B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F984F93F-4F4D-49F5-B9E4-4BC01E508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BA820BD1-589E-49A4-AB18-33B92AA39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B36FF9B-7F6C-4DED-83CB-BFD56F5CF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9ABE7DC-E76B-406D-B204-A4CC6CDA3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823DB52-7500-4A8D-8617-FD5DC0E58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E4F1286B-B07F-4F02-A9F3-D198D4718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C1F7CFBA-D56D-4772-99DC-C3A0391DE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932046CE-E655-4191-B113-20ABBA6FE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A7C3308C-0B78-416B-8C4A-ADFA13ACF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15BA7938-F2BE-4A3C-8062-8DDD97675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E33C5B2-AE7A-49F4-9363-6B4B2D34D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C7E7BBA-3B6F-426A-B5C6-72A500060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E08F5CA-9CD9-4F90-965C-27776DBB5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37E3350-D69F-4C09-B320-398244C3A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F6375266-CEC1-4B20-87C8-32FD1471B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466E8D22-73E0-4FDB-B4E1-125521A8A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C9A57569-2252-4A52-AED2-94814570F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045E9125-9CAA-4739-85E6-9B0191DF2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ED2EE9A-39C0-412D-B248-2008BB8BD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1D57376-C7CD-4886-83BE-CC2EC78A3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24BBA24-F399-4DD6-B56A-CD9083D91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1145E7C-CE09-425F-BA1D-860419C42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BB34064E-F755-42A4-966A-1F69C0560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13758292-225F-47BC-8708-2C58F641F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7E81CE33-720A-4767-BC5C-4CEBB80C8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B7596597-51B7-4247-B972-BEABB4B31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4B2FA92-68D6-4DDB-8890-2529993F1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B5F8777-1566-4B30-99EE-3A9460890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CCFA96B-17D3-438D-8B12-F194B1C1A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AFEF528-4C8C-4268-AB24-DC87FBA16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E5D86755-2A1F-411C-B5C1-AC33348FB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20171DE0-9A0C-41D3-8A78-205B57DA0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D3EBCC84-EF83-4853-BEBC-4199CC5CD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8F197CA7-FEFD-4FEB-B894-E73D34D4C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5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13D535F-8769-4027-B3D1-1DF730B01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D045292-E9C9-4E56-BE34-FDEDB8508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F4CA37F-76AA-481F-BE54-0D48EB511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A2E4F7D5-7CE2-4A61-BD27-0CD1539E9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14E81211-1A40-4092-97AF-D662BA044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D5F840AF-5DFE-4A46-A184-1E8A0B4F9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9BEE1746-625E-40F1-A696-D4FBA7C64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68EFEB7C-A738-47E5-B9FB-51B70C9AF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5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184AF51-3C47-4C76-9B3B-E15155FBA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8FB9B5D-1825-4DD5-A4DE-847375019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902650D-F393-4035-8BE5-849F3109C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0AA6B27-EC61-4851-8529-B4094FDBA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780D7D15-C542-47E1-84E3-BDE4EEDEC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296140D1-2199-4F1E-8431-A9C1D9C98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48F494E8-788E-4A4F-BDE6-E47F06B97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9D8042CD-9A52-4555-BA8A-CD111A9EE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2F14B56-A203-4334-9BD1-8AA110094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299B46F-A429-402F-8B5A-6B82313E9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3B79469-0A74-4D9B-AF56-D15B54F0E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A0EF46A-D964-4206-AB9C-7FF20E1D2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6" name="Рисунок 1">
          <a:extLst>
            <a:ext uri="{FF2B5EF4-FFF2-40B4-BE49-F238E27FC236}">
              <a16:creationId xmlns:a16="http://schemas.microsoft.com/office/drawing/2014/main" id="{8887FB61-664A-4060-B9F5-D72BA2F1A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7" name="Рисунок 2">
          <a:extLst>
            <a:ext uri="{FF2B5EF4-FFF2-40B4-BE49-F238E27FC236}">
              <a16:creationId xmlns:a16="http://schemas.microsoft.com/office/drawing/2014/main" id="{50330AA4-1DFB-491A-B8C0-AC288B678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8" name="Рисунок 3">
          <a:extLst>
            <a:ext uri="{FF2B5EF4-FFF2-40B4-BE49-F238E27FC236}">
              <a16:creationId xmlns:a16="http://schemas.microsoft.com/office/drawing/2014/main" id="{2399FE61-769B-4926-847F-3D9F6D6CF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39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9" name="Рисунок 4">
          <a:extLst>
            <a:ext uri="{FF2B5EF4-FFF2-40B4-BE49-F238E27FC236}">
              <a16:creationId xmlns:a16="http://schemas.microsoft.com/office/drawing/2014/main" id="{6F6BFC30-824A-4C3E-AA46-593C9F72B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21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5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50084</xdr:colOff>
      <xdr:row>0</xdr:row>
      <xdr:rowOff>190471</xdr:rowOff>
    </xdr:from>
    <xdr:to>
      <xdr:col>1</xdr:col>
      <xdr:colOff>2595252</xdr:colOff>
      <xdr:row>0</xdr:row>
      <xdr:rowOff>1602874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1F43A88-B740-423A-A755-DCB98CDD6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709" y="190471"/>
          <a:ext cx="2545168" cy="1412403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</xdr:colOff>
      <xdr:row>0</xdr:row>
      <xdr:rowOff>242426</xdr:rowOff>
    </xdr:from>
    <xdr:to>
      <xdr:col>1</xdr:col>
      <xdr:colOff>2577934</xdr:colOff>
      <xdr:row>0</xdr:row>
      <xdr:rowOff>1654829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8002738-06B0-4E82-BD8E-1F6BA1439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391" y="242426"/>
          <a:ext cx="2545168" cy="1412403"/>
        </a:xfrm>
        <a:prstGeom prst="rect">
          <a:avLst/>
        </a:prstGeom>
      </xdr:spPr>
    </xdr:pic>
    <xdr:clientData/>
  </xdr:twoCellAnchor>
  <xdr:oneCellAnchor>
    <xdr:from>
      <xdr:col>8</xdr:col>
      <xdr:colOff>50084</xdr:colOff>
      <xdr:row>0</xdr:row>
      <xdr:rowOff>190471</xdr:rowOff>
    </xdr:from>
    <xdr:ext cx="2545168" cy="1412403"/>
    <xdr:pic>
      <xdr:nvPicPr>
        <xdr:cNvPr id="4" name="Рисунок 1">
          <a:extLst>
            <a:ext uri="{FF2B5EF4-FFF2-40B4-BE49-F238E27FC236}">
              <a16:creationId xmlns:a16="http://schemas.microsoft.com/office/drawing/2014/main" id="{643E7B42-2053-4245-80BD-EA8A22F06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993" y="190471"/>
          <a:ext cx="2545168" cy="1412403"/>
        </a:xfrm>
        <a:prstGeom prst="rect">
          <a:avLst/>
        </a:prstGeom>
      </xdr:spPr>
    </xdr:pic>
    <xdr:clientData/>
  </xdr:oneCellAnchor>
  <xdr:oneCellAnchor>
    <xdr:from>
      <xdr:col>8</xdr:col>
      <xdr:colOff>32766</xdr:colOff>
      <xdr:row>0</xdr:row>
      <xdr:rowOff>242426</xdr:rowOff>
    </xdr:from>
    <xdr:ext cx="2545168" cy="1412403"/>
    <xdr:pic>
      <xdr:nvPicPr>
        <xdr:cNvPr id="5" name="Рисунок 2">
          <a:extLst>
            <a:ext uri="{FF2B5EF4-FFF2-40B4-BE49-F238E27FC236}">
              <a16:creationId xmlns:a16="http://schemas.microsoft.com/office/drawing/2014/main" id="{D077599B-B05A-4DC7-B0EC-E1DA503E2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675" y="242426"/>
          <a:ext cx="2545168" cy="1412403"/>
        </a:xfrm>
        <a:prstGeom prst="rect">
          <a:avLst/>
        </a:prstGeom>
      </xdr:spPr>
    </xdr:pic>
    <xdr:clientData/>
  </xdr:oneCellAnchor>
</xdr:wsDr>
</file>

<file path=xl/drawings/drawing15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136675</xdr:colOff>
      <xdr:row>0</xdr:row>
      <xdr:rowOff>207788</xdr:rowOff>
    </xdr:from>
    <xdr:ext cx="2545168" cy="1412403"/>
    <xdr:pic>
      <xdr:nvPicPr>
        <xdr:cNvPr id="2" name="Рисунок 1">
          <a:extLst>
            <a:ext uri="{FF2B5EF4-FFF2-40B4-BE49-F238E27FC236}">
              <a16:creationId xmlns:a16="http://schemas.microsoft.com/office/drawing/2014/main" id="{C89262D7-0669-4FCB-9B37-2A11A0FE7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825" y="207788"/>
          <a:ext cx="2545168" cy="141240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4.xml"/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6.xml"/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7.xml"/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8.xml"/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9.xml"/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0.xml"/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2.xml"/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3.xml"/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4.xml"/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5.xml"/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6.xml"/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7.xml"/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8.xml"/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9.xml"/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0.xml"/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1.xml"/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2.xml"/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3.xml"/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4.xml"/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5.xml"/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6.xml"/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7.xml"/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8.xml"/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9.xml"/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0.xml"/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1.xml"/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2.xml"/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3.xml"/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4.xml"/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5.xml"/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6.xml"/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7.xml"/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8.xml"/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9.xml"/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0.xml"/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1.xml"/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2.xml"/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3.xml"/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4.xml"/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5.xml"/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6.xml"/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7.xml"/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8.xml"/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9.xml"/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0.xml"/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1.xml"/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2.xml"/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3.xml"/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4.xml"/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5.xml"/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6.xml"/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7.xml"/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8.xml"/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9.xml"/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0.xml"/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1.xml"/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2.xml"/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3.xml"/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4.xml"/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5.xml"/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6.xml"/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7.xml"/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8.xml"/><Relationship Id="rId1" Type="http://schemas.openxmlformats.org/officeDocument/2006/relationships/printerSettings" Target="../printerSettings/printerSettings15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V_r_q1">
    <pageSetUpPr fitToPage="1"/>
  </sheetPr>
  <dimension ref="A1:K163"/>
  <sheetViews>
    <sheetView tabSelected="1" topLeftCell="D1" zoomScale="55" zoomScaleNormal="55" workbookViewId="0">
      <pane ySplit="2" topLeftCell="A135" activePane="bottomLeft" state="frozen"/>
      <selection activeCell="G5" sqref="G5"/>
      <selection pane="bottomLeft" activeCell="K161" sqref="K161"/>
    </sheetView>
  </sheetViews>
  <sheetFormatPr defaultColWidth="9.140625" defaultRowHeight="15" x14ac:dyDescent="0.25"/>
  <cols>
    <col min="1" max="1" width="67.7109375" style="45" customWidth="1"/>
    <col min="2" max="2" width="22.28515625" style="45" bestFit="1" customWidth="1"/>
    <col min="3" max="3" width="27" style="45" customWidth="1"/>
    <col min="4" max="4" width="17.5703125" style="45" customWidth="1"/>
    <col min="5" max="5" width="34.7109375" style="45" bestFit="1" customWidth="1"/>
    <col min="6" max="6" width="9.140625" style="45"/>
    <col min="7" max="7" width="67.7109375" style="45" customWidth="1"/>
    <col min="8" max="8" width="22.28515625" style="45" bestFit="1" customWidth="1"/>
    <col min="9" max="9" width="27" style="45" customWidth="1"/>
    <col min="10" max="10" width="17.5703125" style="45" customWidth="1"/>
    <col min="11" max="11" width="34.7109375" style="45" bestFit="1" customWidth="1"/>
    <col min="12" max="16384" width="9.140625" style="45"/>
  </cols>
  <sheetData>
    <row r="1" spans="1:11" ht="138.75" customHeight="1" thickBot="1" x14ac:dyDescent="0.3">
      <c r="A1" s="21"/>
      <c r="B1" s="164" t="s">
        <v>615</v>
      </c>
      <c r="C1" s="164"/>
      <c r="D1" s="164"/>
      <c r="E1" s="165"/>
      <c r="G1" s="21"/>
      <c r="H1" s="164" t="s">
        <v>615</v>
      </c>
      <c r="I1" s="164"/>
      <c r="J1" s="164"/>
      <c r="K1" s="165"/>
    </row>
    <row r="2" spans="1:11" ht="46.5" x14ac:dyDescent="0.25">
      <c r="A2" s="7" t="s">
        <v>8</v>
      </c>
      <c r="B2" s="8" t="s">
        <v>9</v>
      </c>
      <c r="C2" s="9" t="s">
        <v>10</v>
      </c>
      <c r="D2" s="9" t="s">
        <v>11</v>
      </c>
      <c r="E2" s="22" t="s">
        <v>12</v>
      </c>
      <c r="G2" s="7" t="s">
        <v>8</v>
      </c>
      <c r="H2" s="8" t="s">
        <v>9</v>
      </c>
      <c r="I2" s="9" t="s">
        <v>10</v>
      </c>
      <c r="J2" s="9" t="s">
        <v>11</v>
      </c>
      <c r="K2" s="22" t="s">
        <v>12</v>
      </c>
    </row>
    <row r="3" spans="1:11" ht="23.25" x14ac:dyDescent="0.25">
      <c r="A3" s="58" t="s">
        <v>247</v>
      </c>
      <c r="B3" s="41" t="s">
        <v>13</v>
      </c>
      <c r="C3" s="41" t="s">
        <v>18</v>
      </c>
      <c r="D3" s="41" t="s">
        <v>14</v>
      </c>
      <c r="E3" s="20" cm="1">
        <f t="array" aca="1" ref="E3" ca="1">SUMPRODUCT(SUMIF(INDIRECT("'"&amp;RIGHT(A3,LEN(A3)-MIN(FIND({0;1;2;3;4;5;6;7;8;9},A3&amp;"0123456789"))+1)&amp;"'!E1:E200000"),"*TOPLAM*",INDIRECT("'"&amp;RIGHT(A3,LEN(A3)-MIN(FIND({0;1;2;3;4;5;6;7;8;9},A3&amp;"0123456789"))+1)&amp;"'!F1:F200000")))</f>
        <v>7988</v>
      </c>
      <c r="G3" s="58" t="s">
        <v>247</v>
      </c>
      <c r="H3" s="41" t="s">
        <v>13</v>
      </c>
      <c r="I3" s="41" t="s">
        <v>18</v>
      </c>
      <c r="J3" s="41" t="s">
        <v>14</v>
      </c>
      <c r="K3" s="20" cm="1">
        <f t="array" aca="1" ref="K3" ca="1">SUMPRODUCT(SUMIF(INDIRECT("'"&amp;RIGHT(G3,LEN(G3)-MIN(FIND({0;1;2;3;4;5;6;7;8;9},G3&amp;"0123456789"))+1)&amp;"'!E1:E200000"),"*TOPLAM*",INDIRECT("'"&amp;RIGHT(G3,LEN(G3)-MIN(FIND({0;1;2;3;4;5;6;7;8;9},G3&amp;"0123456789"))+1)&amp;"'!M1:M200000")))</f>
        <v>7583</v>
      </c>
    </row>
    <row r="4" spans="1:11" ht="23.25" x14ac:dyDescent="0.25">
      <c r="A4" s="58" t="s">
        <v>55</v>
      </c>
      <c r="B4" s="41" t="s">
        <v>13</v>
      </c>
      <c r="C4" s="41" t="s">
        <v>18</v>
      </c>
      <c r="D4" s="41" t="s">
        <v>14</v>
      </c>
      <c r="E4" s="20" cm="1">
        <f t="array" aca="1" ref="E4" ca="1">SUMPRODUCT(SUMIF(INDIRECT("'"&amp;RIGHT(A4,LEN(A4)-MIN(FIND({0;1;2;3;4;5;6;7;8;9},A4&amp;"0123456789"))+1)&amp;"'!E1:E200000"),"*TOPLAM*",INDIRECT("'"&amp;RIGHT(A4,LEN(A4)-MIN(FIND({0;1;2;3;4;5;6;7;8;9},A4&amp;"0123456789"))+1)&amp;"'!F1:F200000")))</f>
        <v>2086.6</v>
      </c>
      <c r="G4" s="58" t="s">
        <v>55</v>
      </c>
      <c r="H4" s="41" t="s">
        <v>13</v>
      </c>
      <c r="I4" s="41" t="s">
        <v>18</v>
      </c>
      <c r="J4" s="41" t="s">
        <v>14</v>
      </c>
      <c r="K4" s="20" cm="1">
        <f t="array" aca="1" ref="K4" ca="1">SUMPRODUCT(SUMIF(INDIRECT("'"&amp;RIGHT(G4,LEN(G4)-MIN(FIND({0;1;2;3;4;5;6;7;8;9},G4&amp;"0123456789"))+1)&amp;"'!E1:E200000"),"*TOPLAM*",INDIRECT("'"&amp;RIGHT(G4,LEN(G4)-MIN(FIND({0;1;2;3;4;5;6;7;8;9},G4&amp;"0123456789"))+1)&amp;"'!M1:M200000")))</f>
        <v>2086.6</v>
      </c>
    </row>
    <row r="5" spans="1:11" ht="23.25" x14ac:dyDescent="0.25">
      <c r="A5" s="58" t="s">
        <v>535</v>
      </c>
      <c r="B5" s="41" t="s">
        <v>13</v>
      </c>
      <c r="C5" s="41" t="s">
        <v>18</v>
      </c>
      <c r="D5" s="41" t="s">
        <v>14</v>
      </c>
      <c r="E5" s="20" cm="1">
        <f t="array" aca="1" ref="E5" ca="1">SUMPRODUCT(SUMIF(INDIRECT("'"&amp;RIGHT(A5,LEN(A5)-MIN(FIND({0;1;2;3;4;5;6;7;8;9},A5&amp;"0123456789"))+1)&amp;"'!E1:E200000"),"*TOPLAM*",INDIRECT("'"&amp;RIGHT(A5,LEN(A5)-MIN(FIND({0;1;2;3;4;5;6;7;8;9},A5&amp;"0123456789"))+1)&amp;"'!F1:F200000")))</f>
        <v>2084</v>
      </c>
      <c r="G5" s="58" t="s">
        <v>535</v>
      </c>
      <c r="H5" s="41" t="s">
        <v>13</v>
      </c>
      <c r="I5" s="41" t="s">
        <v>18</v>
      </c>
      <c r="J5" s="41" t="s">
        <v>14</v>
      </c>
      <c r="K5" s="20" cm="1">
        <f t="array" aca="1" ref="K5" ca="1">SUMPRODUCT(SUMIF(INDIRECT("'"&amp;RIGHT(G5,LEN(G5)-MIN(FIND({0;1;2;3;4;5;6;7;8;9},G5&amp;"0123456789"))+1)&amp;"'!E1:E200000"),"*TOPLAM*",INDIRECT("'"&amp;RIGHT(G5,LEN(G5)-MIN(FIND({0;1;2;3;4;5;6;7;8;9},G5&amp;"0123456789"))+1)&amp;"'!M1:M200000")))</f>
        <v>2084</v>
      </c>
    </row>
    <row r="6" spans="1:11" ht="23.25" x14ac:dyDescent="0.25">
      <c r="A6" s="58" t="s">
        <v>97</v>
      </c>
      <c r="B6" s="41" t="s">
        <v>13</v>
      </c>
      <c r="C6" s="41" t="s">
        <v>18</v>
      </c>
      <c r="D6" s="41" t="s">
        <v>14</v>
      </c>
      <c r="E6" s="20" cm="1">
        <f t="array" aca="1" ref="E6" ca="1">SUMPRODUCT(SUMIF(INDIRECT("'"&amp;RIGHT(A6,LEN(A6)-MIN(FIND({0;1;2;3;4;5;6;7;8;9},A6&amp;"0123456789"))+1)&amp;"'!E1:E200000"),"*TOPLAM*",INDIRECT("'"&amp;RIGHT(A6,LEN(A6)-MIN(FIND({0;1;2;3;4;5;6;7;8;9},A6&amp;"0123456789"))+1)&amp;"'!F1:F200000")))</f>
        <v>4650</v>
      </c>
      <c r="G6" s="58" t="s">
        <v>97</v>
      </c>
      <c r="H6" s="41" t="s">
        <v>13</v>
      </c>
      <c r="I6" s="41" t="s">
        <v>18</v>
      </c>
      <c r="J6" s="41" t="s">
        <v>14</v>
      </c>
      <c r="K6" s="20" cm="1">
        <f t="array" aca="1" ref="K6" ca="1">SUMPRODUCT(SUMIF(INDIRECT("'"&amp;RIGHT(G6,LEN(G6)-MIN(FIND({0;1;2;3;4;5;6;7;8;9},G6&amp;"0123456789"))+1)&amp;"'!E1:E200000"),"*TOPLAM*",INDIRECT("'"&amp;RIGHT(G6,LEN(G6)-MIN(FIND({0;1;2;3;4;5;6;7;8;9},G6&amp;"0123456789"))+1)&amp;"'!M1:M200000")))</f>
        <v>0</v>
      </c>
    </row>
    <row r="7" spans="1:11" ht="23.25" x14ac:dyDescent="0.25">
      <c r="A7" s="58" t="s">
        <v>79</v>
      </c>
      <c r="B7" s="41" t="s">
        <v>13</v>
      </c>
      <c r="C7" s="41" t="s">
        <v>18</v>
      </c>
      <c r="D7" s="41" t="s">
        <v>14</v>
      </c>
      <c r="E7" s="20" cm="1">
        <f t="array" aca="1" ref="E7" ca="1">SUMPRODUCT(SUMIF(INDIRECT("'"&amp;RIGHT(A7,LEN(A7)-MIN(FIND({0;1;2;3;4;5;6;7;8;9},A7&amp;"0123456789"))+1)&amp;"'!E1:E200000"),"*TOPLAM*",INDIRECT("'"&amp;RIGHT(A7,LEN(A7)-MIN(FIND({0;1;2;3;4;5;6;7;8;9},A7&amp;"0123456789"))+1)&amp;"'!F1:F200000")))</f>
        <v>5670</v>
      </c>
      <c r="G7" s="58" t="s">
        <v>79</v>
      </c>
      <c r="H7" s="41" t="s">
        <v>13</v>
      </c>
      <c r="I7" s="41" t="s">
        <v>18</v>
      </c>
      <c r="J7" s="41" t="s">
        <v>14</v>
      </c>
      <c r="K7" s="20" cm="1">
        <f t="array" aca="1" ref="K7" ca="1">SUMPRODUCT(SUMIF(INDIRECT("'"&amp;RIGHT(G7,LEN(G7)-MIN(FIND({0;1;2;3;4;5;6;7;8;9},G7&amp;"0123456789"))+1)&amp;"'!E1:E200000"),"*TOPLAM*",INDIRECT("'"&amp;RIGHT(G7,LEN(G7)-MIN(FIND({0;1;2;3;4;5;6;7;8;9},G7&amp;"0123456789"))+1)&amp;"'!M1:M200000")))</f>
        <v>5670</v>
      </c>
    </row>
    <row r="8" spans="1:11" ht="23.25" x14ac:dyDescent="0.25">
      <c r="A8" s="58" t="s">
        <v>438</v>
      </c>
      <c r="B8" s="41" t="s">
        <v>13</v>
      </c>
      <c r="C8" s="41" t="s">
        <v>18</v>
      </c>
      <c r="D8" s="41" t="s">
        <v>14</v>
      </c>
      <c r="E8" s="20" cm="1">
        <f t="array" aca="1" ref="E8" ca="1">SUMPRODUCT(SUMIF(INDIRECT("'"&amp;RIGHT(A8,LEN(A8)-MIN(FIND({0;1;2;3;4;5;6;7;8;9},A8&amp;"0123456789"))+1)&amp;"'!E1:E200000"),"*TOPLAM*",INDIRECT("'"&amp;RIGHT(A8,LEN(A8)-MIN(FIND({0;1;2;3;4;5;6;7;8;9},A8&amp;"0123456789"))+1)&amp;"'!F1:F200000")))</f>
        <v>19212</v>
      </c>
      <c r="G8" s="58" t="s">
        <v>438</v>
      </c>
      <c r="H8" s="41" t="s">
        <v>13</v>
      </c>
      <c r="I8" s="41" t="s">
        <v>18</v>
      </c>
      <c r="J8" s="41" t="s">
        <v>14</v>
      </c>
      <c r="K8" s="20" cm="1">
        <f t="array" aca="1" ref="K8" ca="1">SUMPRODUCT(SUMIF(INDIRECT("'"&amp;RIGHT(G8,LEN(G8)-MIN(FIND({0;1;2;3;4;5;6;7;8;9},G8&amp;"0123456789"))+1)&amp;"'!E1:E200000"),"*TOPLAM*",INDIRECT("'"&amp;RIGHT(G8,LEN(G8)-MIN(FIND({0;1;2;3;4;5;6;7;8;9},G8&amp;"0123456789"))+1)&amp;"'!M1:M200000")))</f>
        <v>16140</v>
      </c>
    </row>
    <row r="9" spans="1:11" ht="23.25" x14ac:dyDescent="0.25">
      <c r="A9" s="58" t="s">
        <v>60</v>
      </c>
      <c r="B9" s="41" t="s">
        <v>13</v>
      </c>
      <c r="C9" s="41" t="s">
        <v>18</v>
      </c>
      <c r="D9" s="41" t="s">
        <v>14</v>
      </c>
      <c r="E9" s="20" cm="1">
        <f t="array" aca="1" ref="E9" ca="1">SUMPRODUCT(SUMIF(INDIRECT("'"&amp;RIGHT(A9,LEN(A9)-MIN(FIND({0;1;2;3;4;5;6;7;8;9},A9&amp;"0123456789"))+1)&amp;"'!E1:E200000"),"*TOPLAM*",INDIRECT("'"&amp;RIGHT(A9,LEN(A9)-MIN(FIND({0;1;2;3;4;5;6;7;8;9},A9&amp;"0123456789"))+1)&amp;"'!F1:F200000")))</f>
        <v>13008</v>
      </c>
      <c r="G9" s="58" t="s">
        <v>60</v>
      </c>
      <c r="H9" s="41" t="s">
        <v>13</v>
      </c>
      <c r="I9" s="41" t="s">
        <v>18</v>
      </c>
      <c r="J9" s="41" t="s">
        <v>14</v>
      </c>
      <c r="K9" s="20" cm="1">
        <f t="array" aca="1" ref="K9" ca="1">SUMPRODUCT(SUMIF(INDIRECT("'"&amp;RIGHT(G9,LEN(G9)-MIN(FIND({0;1;2;3;4;5;6;7;8;9},G9&amp;"0123456789"))+1)&amp;"'!E1:E200000"),"*TOPLAM*",INDIRECT("'"&amp;RIGHT(G9,LEN(G9)-MIN(FIND({0;1;2;3;4;5;6;7;8;9},G9&amp;"0123456789"))+1)&amp;"'!M1:M200000")))</f>
        <v>12238</v>
      </c>
    </row>
    <row r="10" spans="1:11" ht="23.25" x14ac:dyDescent="0.25">
      <c r="A10" s="58" t="s">
        <v>58</v>
      </c>
      <c r="B10" s="41" t="s">
        <v>13</v>
      </c>
      <c r="C10" s="41" t="s">
        <v>18</v>
      </c>
      <c r="D10" s="41" t="s">
        <v>14</v>
      </c>
      <c r="E10" s="20" cm="1">
        <f t="array" aca="1" ref="E10" ca="1">SUMPRODUCT(SUMIF(INDIRECT("'"&amp;RIGHT(A10,LEN(A10)-MIN(FIND({0;1;2;3;4;5;6;7;8;9},A10&amp;"0123456789"))+1)&amp;"'!E1:E200000"),"*TOPLAM*",INDIRECT("'"&amp;RIGHT(A10,LEN(A10)-MIN(FIND({0;1;2;3;4;5;6;7;8;9},A10&amp;"0123456789"))+1)&amp;"'!F1:F200000")))</f>
        <v>5420</v>
      </c>
      <c r="G10" s="58" t="s">
        <v>58</v>
      </c>
      <c r="H10" s="41" t="s">
        <v>13</v>
      </c>
      <c r="I10" s="41" t="s">
        <v>18</v>
      </c>
      <c r="J10" s="41" t="s">
        <v>14</v>
      </c>
      <c r="K10" s="20" cm="1">
        <f t="array" aca="1" ref="K10" ca="1">SUMPRODUCT(SUMIF(INDIRECT("'"&amp;RIGHT(G10,LEN(G10)-MIN(FIND({0;1;2;3;4;5;6;7;8;9},G10&amp;"0123456789"))+1)&amp;"'!E1:E200000"),"*TOPLAM*",INDIRECT("'"&amp;RIGHT(G10,LEN(G10)-MIN(FIND({0;1;2;3;4;5;6;7;8;9},G10&amp;"0123456789"))+1)&amp;"'!M1:M200000")))</f>
        <v>4680</v>
      </c>
    </row>
    <row r="11" spans="1:11" ht="23.25" x14ac:dyDescent="0.25">
      <c r="A11" s="58" t="s">
        <v>265</v>
      </c>
      <c r="B11" s="41" t="s">
        <v>13</v>
      </c>
      <c r="C11" s="41" t="s">
        <v>18</v>
      </c>
      <c r="D11" s="41" t="s">
        <v>14</v>
      </c>
      <c r="E11" s="20" cm="1">
        <f t="array" aca="1" ref="E11" ca="1">SUMPRODUCT(SUMIF(INDIRECT("'"&amp;RIGHT(A11,LEN(A11)-MIN(FIND({0;1;2;3;4;5;6;7;8;9},A11&amp;"0123456789"))+1)&amp;"'!E1:E200000"),"*TOPLAM*",INDIRECT("'"&amp;RIGHT(A11,LEN(A11)-MIN(FIND({0;1;2;3;4;5;6;7;8;9},A11&amp;"0123456789"))+1)&amp;"'!F1:F200000")))</f>
        <v>10114.4</v>
      </c>
      <c r="G11" s="58" t="s">
        <v>265</v>
      </c>
      <c r="H11" s="41" t="s">
        <v>13</v>
      </c>
      <c r="I11" s="41" t="s">
        <v>18</v>
      </c>
      <c r="J11" s="41" t="s">
        <v>14</v>
      </c>
      <c r="K11" s="20" cm="1">
        <f t="array" aca="1" ref="K11" ca="1">SUMPRODUCT(SUMIF(INDIRECT("'"&amp;RIGHT(G11,LEN(G11)-MIN(FIND({0;1;2;3;4;5;6;7;8;9},G11&amp;"0123456789"))+1)&amp;"'!E1:E200000"),"*TOPLAM*",INDIRECT("'"&amp;RIGHT(G11,LEN(G11)-MIN(FIND({0;1;2;3;4;5;6;7;8;9},G11&amp;"0123456789"))+1)&amp;"'!M1:M200000")))</f>
        <v>6691.4</v>
      </c>
    </row>
    <row r="12" spans="1:11" ht="23.25" x14ac:dyDescent="0.25">
      <c r="A12" s="58" t="s">
        <v>266</v>
      </c>
      <c r="B12" s="41" t="s">
        <v>13</v>
      </c>
      <c r="C12" s="41" t="s">
        <v>18</v>
      </c>
      <c r="D12" s="41" t="s">
        <v>14</v>
      </c>
      <c r="E12" s="20" cm="1">
        <f t="array" aca="1" ref="E12" ca="1">SUMPRODUCT(SUMIF(INDIRECT("'"&amp;RIGHT(A12,LEN(A12)-MIN(FIND({0;1;2;3;4;5;6;7;8;9},A12&amp;"0123456789"))+1)&amp;"'!E1:E200000"),"*TOPLAM*",INDIRECT("'"&amp;RIGHT(A12,LEN(A12)-MIN(FIND({0;1;2;3;4;5;6;7;8;9},A12&amp;"0123456789"))+1)&amp;"'!F1:F200000")))</f>
        <v>7497</v>
      </c>
      <c r="G12" s="58" t="s">
        <v>266</v>
      </c>
      <c r="H12" s="41" t="s">
        <v>13</v>
      </c>
      <c r="I12" s="41" t="s">
        <v>18</v>
      </c>
      <c r="J12" s="41" t="s">
        <v>14</v>
      </c>
      <c r="K12" s="20" cm="1">
        <f t="array" aca="1" ref="K12" ca="1">SUMPRODUCT(SUMIF(INDIRECT("'"&amp;RIGHT(G12,LEN(G12)-MIN(FIND({0;1;2;3;4;5;6;7;8;9},G12&amp;"0123456789"))+1)&amp;"'!E1:E200000"),"*TOPLAM*",INDIRECT("'"&amp;RIGHT(G12,LEN(G12)-MIN(FIND({0;1;2;3;4;5;6;7;8;9},G12&amp;"0123456789"))+1)&amp;"'!M1:M200000")))</f>
        <v>5455</v>
      </c>
    </row>
    <row r="13" spans="1:11" ht="23.25" x14ac:dyDescent="0.25">
      <c r="A13" s="58" t="s">
        <v>457</v>
      </c>
      <c r="B13" s="41" t="s">
        <v>13</v>
      </c>
      <c r="C13" s="41" t="s">
        <v>18</v>
      </c>
      <c r="D13" s="41" t="s">
        <v>14</v>
      </c>
      <c r="E13" s="20" cm="1">
        <f t="array" aca="1" ref="E13" ca="1">SUMPRODUCT(SUMIF(INDIRECT("'"&amp;RIGHT(A13,LEN(A13)-MIN(FIND({0;1;2;3;4;5;6;7;8;9},A13&amp;"0123456789"))+1)&amp;"'!E1:E200000"),"*TOPLAM*",INDIRECT("'"&amp;RIGHT(A13,LEN(A13)-MIN(FIND({0;1;2;3;4;5;6;7;8;9},A13&amp;"0123456789"))+1)&amp;"'!F1:F200000")))</f>
        <v>3281.4</v>
      </c>
      <c r="G13" s="58" t="s">
        <v>457</v>
      </c>
      <c r="H13" s="41" t="s">
        <v>13</v>
      </c>
      <c r="I13" s="41" t="s">
        <v>18</v>
      </c>
      <c r="J13" s="41" t="s">
        <v>14</v>
      </c>
      <c r="K13" s="20" cm="1">
        <f t="array" aca="1" ref="K13" ca="1">SUMPRODUCT(SUMIF(INDIRECT("'"&amp;RIGHT(G13,LEN(G13)-MIN(FIND({0;1;2;3;4;5;6;7;8;9},G13&amp;"0123456789"))+1)&amp;"'!E1:E200000"),"*TOPLAM*",INDIRECT("'"&amp;RIGHT(G13,LEN(G13)-MIN(FIND({0;1;2;3;4;5;6;7;8;9},G13&amp;"0123456789"))+1)&amp;"'!M1:M200000")))</f>
        <v>3146.4</v>
      </c>
    </row>
    <row r="14" spans="1:11" ht="23.25" x14ac:dyDescent="0.25">
      <c r="A14" s="58" t="s">
        <v>459</v>
      </c>
      <c r="B14" s="41" t="s">
        <v>13</v>
      </c>
      <c r="C14" s="41" t="s">
        <v>18</v>
      </c>
      <c r="D14" s="41" t="s">
        <v>14</v>
      </c>
      <c r="E14" s="20" cm="1">
        <f t="array" aca="1" ref="E14" ca="1">SUMPRODUCT(SUMIF(INDIRECT("'"&amp;RIGHT(A14,LEN(A14)-MIN(FIND({0;1;2;3;4;5;6;7;8;9},A14&amp;"0123456789"))+1)&amp;"'!E1:E200000"),"*TOPLAM*",INDIRECT("'"&amp;RIGHT(A14,LEN(A14)-MIN(FIND({0;1;2;3;4;5;6;7;8;9},A14&amp;"0123456789"))+1)&amp;"'!F1:F200000")))</f>
        <v>2633.2</v>
      </c>
      <c r="G14" s="58" t="s">
        <v>459</v>
      </c>
      <c r="H14" s="41" t="s">
        <v>13</v>
      </c>
      <c r="I14" s="41" t="s">
        <v>18</v>
      </c>
      <c r="J14" s="41" t="s">
        <v>14</v>
      </c>
      <c r="K14" s="20" cm="1">
        <f t="array" aca="1" ref="K14" ca="1">SUMPRODUCT(SUMIF(INDIRECT("'"&amp;RIGHT(G14,LEN(G14)-MIN(FIND({0;1;2;3;4;5;6;7;8;9},G14&amp;"0123456789"))+1)&amp;"'!E1:E200000"),"*TOPLAM*",INDIRECT("'"&amp;RIGHT(G14,LEN(G14)-MIN(FIND({0;1;2;3;4;5;6;7;8;9},G14&amp;"0123456789"))+1)&amp;"'!M1:M200000")))</f>
        <v>2537.1999999999998</v>
      </c>
    </row>
    <row r="15" spans="1:11" ht="23.25" x14ac:dyDescent="0.25">
      <c r="A15" s="58" t="s">
        <v>63</v>
      </c>
      <c r="B15" s="41" t="s">
        <v>13</v>
      </c>
      <c r="C15" s="41" t="s">
        <v>18</v>
      </c>
      <c r="D15" s="41" t="s">
        <v>14</v>
      </c>
      <c r="E15" s="20" cm="1">
        <f t="array" aca="1" ref="E15" ca="1">SUMPRODUCT(SUMIF(INDIRECT("'"&amp;RIGHT(A15,LEN(A15)-MIN(FIND({0;1;2;3;4;5;6;7;8;9},A15&amp;"0123456789"))+1)&amp;"'!E1:E200000"),"*TOPLAM*",INDIRECT("'"&amp;RIGHT(A15,LEN(A15)-MIN(FIND({0;1;2;3;4;5;6;7;8;9},A15&amp;"0123456789"))+1)&amp;"'!F1:F200000")))</f>
        <v>9619.2000000000007</v>
      </c>
      <c r="G15" s="58" t="s">
        <v>63</v>
      </c>
      <c r="H15" s="41" t="s">
        <v>13</v>
      </c>
      <c r="I15" s="41" t="s">
        <v>18</v>
      </c>
      <c r="J15" s="41" t="s">
        <v>14</v>
      </c>
      <c r="K15" s="20" cm="1">
        <f t="array" aca="1" ref="K15" ca="1">SUMPRODUCT(SUMIF(INDIRECT("'"&amp;RIGHT(G15,LEN(G15)-MIN(FIND({0;1;2;3;4;5;6;7;8;9},G15&amp;"0123456789"))+1)&amp;"'!E1:E200000"),"*TOPLAM*",INDIRECT("'"&amp;RIGHT(G15,LEN(G15)-MIN(FIND({0;1;2;3;4;5;6;7;8;9},G15&amp;"0123456789"))+1)&amp;"'!M1:M200000")))</f>
        <v>3233.7</v>
      </c>
    </row>
    <row r="16" spans="1:11" ht="23.25" x14ac:dyDescent="0.25">
      <c r="A16" s="58" t="s">
        <v>245</v>
      </c>
      <c r="B16" s="41" t="s">
        <v>13</v>
      </c>
      <c r="C16" s="41" t="s">
        <v>18</v>
      </c>
      <c r="D16" s="41" t="s">
        <v>14</v>
      </c>
      <c r="E16" s="20" cm="1">
        <f t="array" aca="1" ref="E16" ca="1">SUMPRODUCT(SUMIF(INDIRECT("'"&amp;RIGHT(A16,LEN(A16)-MIN(FIND({0;1;2;3;4;5;6;7;8;9},A16&amp;"0123456789"))+1)&amp;"'!E1:E200000"),"*TOPLAM*",INDIRECT("'"&amp;RIGHT(A16,LEN(A16)-MIN(FIND({0;1;2;3;4;5;6;7;8;9},A16&amp;"0123456789"))+1)&amp;"'!F1:F200000")))</f>
        <v>11723</v>
      </c>
      <c r="G16" s="58" t="s">
        <v>245</v>
      </c>
      <c r="H16" s="41" t="s">
        <v>13</v>
      </c>
      <c r="I16" s="41" t="s">
        <v>18</v>
      </c>
      <c r="J16" s="41" t="s">
        <v>14</v>
      </c>
      <c r="K16" s="20" cm="1">
        <f t="array" aca="1" ref="K16" ca="1">SUMPRODUCT(SUMIF(INDIRECT("'"&amp;RIGHT(G16,LEN(G16)-MIN(FIND({0;1;2;3;4;5;6;7;8;9},G16&amp;"0123456789"))+1)&amp;"'!E1:E200000"),"*TOPLAM*",INDIRECT("'"&amp;RIGHT(G16,LEN(G16)-MIN(FIND({0;1;2;3;4;5;6;7;8;9},G16&amp;"0123456789"))+1)&amp;"'!M1:M200000")))</f>
        <v>6215</v>
      </c>
    </row>
    <row r="17" spans="1:11" ht="23.25" x14ac:dyDescent="0.25">
      <c r="A17" s="58" t="s">
        <v>93</v>
      </c>
      <c r="B17" s="41" t="s">
        <v>13</v>
      </c>
      <c r="C17" s="41" t="s">
        <v>18</v>
      </c>
      <c r="D17" s="41" t="s">
        <v>14</v>
      </c>
      <c r="E17" s="20" cm="1">
        <f t="array" aca="1" ref="E17" ca="1">SUMPRODUCT(SUMIF(INDIRECT("'"&amp;RIGHT(A17,LEN(A17)-MIN(FIND({0;1;2;3;4;5;6;7;8;9},A17&amp;"0123456789"))+1)&amp;"'!E1:E200000"),"*TOPLAM*",INDIRECT("'"&amp;RIGHT(A17,LEN(A17)-MIN(FIND({0;1;2;3;4;5;6;7;8;9},A17&amp;"0123456789"))+1)&amp;"'!F1:F200000")))</f>
        <v>3375.2</v>
      </c>
      <c r="G17" s="58" t="s">
        <v>93</v>
      </c>
      <c r="H17" s="41" t="s">
        <v>13</v>
      </c>
      <c r="I17" s="41" t="s">
        <v>18</v>
      </c>
      <c r="J17" s="41" t="s">
        <v>14</v>
      </c>
      <c r="K17" s="20" cm="1">
        <f t="array" aca="1" ref="K17" ca="1">SUMPRODUCT(SUMIF(INDIRECT("'"&amp;RIGHT(G17,LEN(G17)-MIN(FIND({0;1;2;3;4;5;6;7;8;9},G17&amp;"0123456789"))+1)&amp;"'!E1:E200000"),"*TOPLAM*",INDIRECT("'"&amp;RIGHT(G17,LEN(G17)-MIN(FIND({0;1;2;3;4;5;6;7;8;9},G17&amp;"0123456789"))+1)&amp;"'!M1:M200000")))</f>
        <v>3375.2</v>
      </c>
    </row>
    <row r="18" spans="1:11" ht="23.25" x14ac:dyDescent="0.25">
      <c r="A18" s="58" t="s">
        <v>395</v>
      </c>
      <c r="B18" s="41" t="s">
        <v>13</v>
      </c>
      <c r="C18" s="41" t="s">
        <v>18</v>
      </c>
      <c r="D18" s="41" t="s">
        <v>14</v>
      </c>
      <c r="E18" s="20" cm="1">
        <f t="array" aca="1" ref="E18" ca="1">SUMPRODUCT(SUMIF(INDIRECT("'"&amp;RIGHT(A18,LEN(A18)-MIN(FIND({0;1;2;3;4;5;6;7;8;9},A18&amp;"0123456789"))+1)&amp;"'!E1:E200000"),"*TOPLAM*",INDIRECT("'"&amp;RIGHT(A18,LEN(A18)-MIN(FIND({0;1;2;3;4;5;6;7;8;9},A18&amp;"0123456789"))+1)&amp;"'!F1:F200000")))</f>
        <v>8101.2</v>
      </c>
      <c r="G18" s="58" t="s">
        <v>395</v>
      </c>
      <c r="H18" s="41" t="s">
        <v>13</v>
      </c>
      <c r="I18" s="41" t="s">
        <v>18</v>
      </c>
      <c r="J18" s="41" t="s">
        <v>14</v>
      </c>
      <c r="K18" s="20" cm="1">
        <f t="array" aca="1" ref="K18" ca="1">SUMPRODUCT(SUMIF(INDIRECT("'"&amp;RIGHT(G18,LEN(G18)-MIN(FIND({0;1;2;3;4;5;6;7;8;9},G18&amp;"0123456789"))+1)&amp;"'!E1:E200000"),"*TOPLAM*",INDIRECT("'"&amp;RIGHT(G18,LEN(G18)-MIN(FIND({0;1;2;3;4;5;6;7;8;9},G18&amp;"0123456789"))+1)&amp;"'!M1:M200000")))</f>
        <v>4090.2</v>
      </c>
    </row>
    <row r="19" spans="1:11" ht="23.25" x14ac:dyDescent="0.25">
      <c r="A19" s="58" t="s">
        <v>72</v>
      </c>
      <c r="B19" s="41" t="s">
        <v>13</v>
      </c>
      <c r="C19" s="41" t="s">
        <v>18</v>
      </c>
      <c r="D19" s="41" t="s">
        <v>14</v>
      </c>
      <c r="E19" s="20" cm="1">
        <f t="array" aca="1" ref="E19" ca="1">SUMPRODUCT(SUMIF(INDIRECT("'"&amp;RIGHT(A19,LEN(A19)-MIN(FIND({0;1;2;3;4;5;6;7;8;9},A19&amp;"0123456789"))+1)&amp;"'!E1:E200000"),"*TOPLAM*",INDIRECT("'"&amp;RIGHT(A19,LEN(A19)-MIN(FIND({0;1;2;3;4;5;6;7;8;9},A19&amp;"0123456789"))+1)&amp;"'!F1:F200000")))</f>
        <v>24032</v>
      </c>
      <c r="G19" s="58" t="s">
        <v>72</v>
      </c>
      <c r="H19" s="41" t="s">
        <v>13</v>
      </c>
      <c r="I19" s="41" t="s">
        <v>18</v>
      </c>
      <c r="J19" s="41" t="s">
        <v>14</v>
      </c>
      <c r="K19" s="20" cm="1">
        <f t="array" aca="1" ref="K19" ca="1">SUMPRODUCT(SUMIF(INDIRECT("'"&amp;RIGHT(G19,LEN(G19)-MIN(FIND({0;1;2;3;4;5;6;7;8;9},G19&amp;"0123456789"))+1)&amp;"'!E1:E200000"),"*TOPLAM*",INDIRECT("'"&amp;RIGHT(G19,LEN(G19)-MIN(FIND({0;1;2;3;4;5;6;7;8;9},G19&amp;"0123456789"))+1)&amp;"'!M1:M200000")))</f>
        <v>22102</v>
      </c>
    </row>
    <row r="20" spans="1:11" ht="23.25" x14ac:dyDescent="0.25">
      <c r="A20" s="58" t="s">
        <v>67</v>
      </c>
      <c r="B20" s="41" t="s">
        <v>13</v>
      </c>
      <c r="C20" s="41" t="s">
        <v>18</v>
      </c>
      <c r="D20" s="41" t="s">
        <v>14</v>
      </c>
      <c r="E20" s="20" cm="1">
        <f t="array" aca="1" ref="E20" ca="1">SUMPRODUCT(SUMIF(INDIRECT("'"&amp;RIGHT(A20,LEN(A20)-MIN(FIND({0;1;2;3;4;5;6;7;8;9},A20&amp;"0123456789"))+1)&amp;"'!E1:E200000"),"*TOPLAM*",INDIRECT("'"&amp;RIGHT(A20,LEN(A20)-MIN(FIND({0;1;2;3;4;5;6;7;8;9},A20&amp;"0123456789"))+1)&amp;"'!F1:F200000")))</f>
        <v>5749.8</v>
      </c>
      <c r="G20" s="58" t="s">
        <v>67</v>
      </c>
      <c r="H20" s="41" t="s">
        <v>13</v>
      </c>
      <c r="I20" s="41" t="s">
        <v>18</v>
      </c>
      <c r="J20" s="41" t="s">
        <v>14</v>
      </c>
      <c r="K20" s="20" cm="1">
        <f t="array" aca="1" ref="K20" ca="1">SUMPRODUCT(SUMIF(INDIRECT("'"&amp;RIGHT(G20,LEN(G20)-MIN(FIND({0;1;2;3;4;5;6;7;8;9},G20&amp;"0123456789"))+1)&amp;"'!E1:E200000"),"*TOPLAM*",INDIRECT("'"&amp;RIGHT(G20,LEN(G20)-MIN(FIND({0;1;2;3;4;5;6;7;8;9},G20&amp;"0123456789"))+1)&amp;"'!M1:M200000")))</f>
        <v>5749.8</v>
      </c>
    </row>
    <row r="21" spans="1:11" ht="23.25" x14ac:dyDescent="0.25">
      <c r="A21" s="58" t="s">
        <v>74</v>
      </c>
      <c r="B21" s="41" t="s">
        <v>13</v>
      </c>
      <c r="C21" s="41" t="s">
        <v>18</v>
      </c>
      <c r="D21" s="41" t="s">
        <v>14</v>
      </c>
      <c r="E21" s="20" cm="1">
        <f t="array" aca="1" ref="E21" ca="1">SUMPRODUCT(SUMIF(INDIRECT("'"&amp;RIGHT(A21,LEN(A21)-MIN(FIND({0;1;2;3;4;5;6;7;8;9},A21&amp;"0123456789"))+1)&amp;"'!E1:E200000"),"*TOPLAM*",INDIRECT("'"&amp;RIGHT(A21,LEN(A21)-MIN(FIND({0;1;2;3;4;5;6;7;8;9},A21&amp;"0123456789"))+1)&amp;"'!F1:F200000")))</f>
        <v>13932.6</v>
      </c>
      <c r="G21" s="58" t="s">
        <v>74</v>
      </c>
      <c r="H21" s="41" t="s">
        <v>13</v>
      </c>
      <c r="I21" s="41" t="s">
        <v>18</v>
      </c>
      <c r="J21" s="41" t="s">
        <v>14</v>
      </c>
      <c r="K21" s="20" cm="1">
        <f t="array" aca="1" ref="K21" ca="1">SUMPRODUCT(SUMIF(INDIRECT("'"&amp;RIGHT(G21,LEN(G21)-MIN(FIND({0;1;2;3;4;5;6;7;8;9},G21&amp;"0123456789"))+1)&amp;"'!E1:E200000"),"*TOPLAM*",INDIRECT("'"&amp;RIGHT(G21,LEN(G21)-MIN(FIND({0;1;2;3;4;5;6;7;8;9},G21&amp;"0123456789"))+1)&amp;"'!M1:M200000")))</f>
        <v>10672.6</v>
      </c>
    </row>
    <row r="22" spans="1:11" ht="23.25" x14ac:dyDescent="0.25">
      <c r="A22" s="58" t="s">
        <v>36</v>
      </c>
      <c r="B22" s="41" t="s">
        <v>13</v>
      </c>
      <c r="C22" s="41" t="s">
        <v>18</v>
      </c>
      <c r="D22" s="41" t="s">
        <v>14</v>
      </c>
      <c r="E22" s="20" cm="1">
        <f t="array" aca="1" ref="E22" ca="1">SUMPRODUCT(SUMIF(INDIRECT("'"&amp;RIGHT(A22,LEN(A22)-MIN(FIND({0;1;2;3;4;5;6;7;8;9},A22&amp;"0123456789"))+1)&amp;"'!E1:E200000"),"*TOPLAM*",INDIRECT("'"&amp;RIGHT(A22,LEN(A22)-MIN(FIND({0;1;2;3;4;5;6;7;8;9},A22&amp;"0123456789"))+1)&amp;"'!F1:F200000")))</f>
        <v>13951</v>
      </c>
      <c r="G22" s="58" t="s">
        <v>36</v>
      </c>
      <c r="H22" s="41" t="s">
        <v>13</v>
      </c>
      <c r="I22" s="41" t="s">
        <v>18</v>
      </c>
      <c r="J22" s="41" t="s">
        <v>14</v>
      </c>
      <c r="K22" s="20" cm="1">
        <f t="array" aca="1" ref="K22" ca="1">SUMPRODUCT(SUMIF(INDIRECT("'"&amp;RIGHT(G22,LEN(G22)-MIN(FIND({0;1;2;3;4;5;6;7;8;9},G22&amp;"0123456789"))+1)&amp;"'!E1:E200000"),"*TOPLAM*",INDIRECT("'"&amp;RIGHT(G22,LEN(G22)-MIN(FIND({0;1;2;3;4;5;6;7;8;9},G22&amp;"0123456789"))+1)&amp;"'!M1:M200000")))</f>
        <v>10814</v>
      </c>
    </row>
    <row r="23" spans="1:11" ht="23.25" x14ac:dyDescent="0.25">
      <c r="A23" s="58" t="s">
        <v>51</v>
      </c>
      <c r="B23" s="41" t="s">
        <v>13</v>
      </c>
      <c r="C23" s="41" t="s">
        <v>18</v>
      </c>
      <c r="D23" s="41" t="s">
        <v>14</v>
      </c>
      <c r="E23" s="20" cm="1">
        <f t="array" aca="1" ref="E23" ca="1">SUMPRODUCT(SUMIF(INDIRECT("'"&amp;RIGHT(A23,LEN(A23)-MIN(FIND({0;1;2;3;4;5;6;7;8;9},A23&amp;"0123456789"))+1)&amp;"'!E1:E200000"),"*TOPLAM*",INDIRECT("'"&amp;RIGHT(A23,LEN(A23)-MIN(FIND({0;1;2;3;4;5;6;7;8;9},A23&amp;"0123456789"))+1)&amp;"'!F1:F200000")))</f>
        <v>7109</v>
      </c>
      <c r="G23" s="58" t="s">
        <v>51</v>
      </c>
      <c r="H23" s="41" t="s">
        <v>13</v>
      </c>
      <c r="I23" s="41" t="s">
        <v>18</v>
      </c>
      <c r="J23" s="41" t="s">
        <v>14</v>
      </c>
      <c r="K23" s="20" cm="1">
        <f t="array" aca="1" ref="K23" ca="1">SUMPRODUCT(SUMIF(INDIRECT("'"&amp;RIGHT(G23,LEN(G23)-MIN(FIND({0;1;2;3;4;5;6;7;8;9},G23&amp;"0123456789"))+1)&amp;"'!E1:E200000"),"*TOPLAM*",INDIRECT("'"&amp;RIGHT(G23,LEN(G23)-MIN(FIND({0;1;2;3;4;5;6;7;8;9},G23&amp;"0123456789"))+1)&amp;"'!M1:M200000")))</f>
        <v>7109</v>
      </c>
    </row>
    <row r="24" spans="1:11" ht="23.25" x14ac:dyDescent="0.25">
      <c r="A24" s="58" t="s">
        <v>37</v>
      </c>
      <c r="B24" s="41" t="s">
        <v>13</v>
      </c>
      <c r="C24" s="41" t="s">
        <v>18</v>
      </c>
      <c r="D24" s="41" t="s">
        <v>14</v>
      </c>
      <c r="E24" s="20" cm="1">
        <f t="array" aca="1" ref="E24" ca="1">SUMPRODUCT(SUMIF(INDIRECT("'"&amp;RIGHT(A24,LEN(A24)-MIN(FIND({0;1;2;3;4;5;6;7;8;9},A24&amp;"0123456789"))+1)&amp;"'!E1:E200000"),"*TOPLAM*",INDIRECT("'"&amp;RIGHT(A24,LEN(A24)-MIN(FIND({0;1;2;3;4;5;6;7;8;9},A24&amp;"0123456789"))+1)&amp;"'!F1:F200000")))</f>
        <v>12268</v>
      </c>
      <c r="G24" s="58" t="s">
        <v>37</v>
      </c>
      <c r="H24" s="41" t="s">
        <v>13</v>
      </c>
      <c r="I24" s="41" t="s">
        <v>18</v>
      </c>
      <c r="J24" s="41" t="s">
        <v>14</v>
      </c>
      <c r="K24" s="20" cm="1">
        <f t="array" aca="1" ref="K24" ca="1">SUMPRODUCT(SUMIF(INDIRECT("'"&amp;RIGHT(G24,LEN(G24)-MIN(FIND({0;1;2;3;4;5;6;7;8;9},G24&amp;"0123456789"))+1)&amp;"'!E1:E200000"),"*TOPLAM*",INDIRECT("'"&amp;RIGHT(G24,LEN(G24)-MIN(FIND({0;1;2;3;4;5;6;7;8;9},G24&amp;"0123456789"))+1)&amp;"'!M1:M200000")))</f>
        <v>7083</v>
      </c>
    </row>
    <row r="25" spans="1:11" ht="23.25" x14ac:dyDescent="0.25">
      <c r="A25" s="58" t="s">
        <v>91</v>
      </c>
      <c r="B25" s="41" t="s">
        <v>13</v>
      </c>
      <c r="C25" s="41" t="s">
        <v>18</v>
      </c>
      <c r="D25" s="41" t="s">
        <v>14</v>
      </c>
      <c r="E25" s="20" cm="1">
        <f t="array" aca="1" ref="E25" ca="1">SUMPRODUCT(SUMIF(INDIRECT("'"&amp;RIGHT(A25,LEN(A25)-MIN(FIND({0;1;2;3;4;5;6;7;8;9},A25&amp;"0123456789"))+1)&amp;"'!E1:E200000"),"*TOPLAM*",INDIRECT("'"&amp;RIGHT(A25,LEN(A25)-MIN(FIND({0;1;2;3;4;5;6;7;8;9},A25&amp;"0123456789"))+1)&amp;"'!F1:F200000")))</f>
        <v>9666.4</v>
      </c>
      <c r="G25" s="58" t="s">
        <v>91</v>
      </c>
      <c r="H25" s="41" t="s">
        <v>13</v>
      </c>
      <c r="I25" s="41" t="s">
        <v>18</v>
      </c>
      <c r="J25" s="41" t="s">
        <v>14</v>
      </c>
      <c r="K25" s="20" cm="1">
        <f t="array" aca="1" ref="K25" ca="1">SUMPRODUCT(SUMIF(INDIRECT("'"&amp;RIGHT(G25,LEN(G25)-MIN(FIND({0;1;2;3;4;5;6;7;8;9},G25&amp;"0123456789"))+1)&amp;"'!E1:E200000"),"*TOPLAM*",INDIRECT("'"&amp;RIGHT(G25,LEN(G25)-MIN(FIND({0;1;2;3;4;5;6;7;8;9},G25&amp;"0123456789"))+1)&amp;"'!M1:M200000")))</f>
        <v>7761.4</v>
      </c>
    </row>
    <row r="26" spans="1:11" ht="23.25" x14ac:dyDescent="0.25">
      <c r="A26" s="58" t="s">
        <v>38</v>
      </c>
      <c r="B26" s="41" t="s">
        <v>13</v>
      </c>
      <c r="C26" s="41" t="s">
        <v>18</v>
      </c>
      <c r="D26" s="41" t="s">
        <v>14</v>
      </c>
      <c r="E26" s="20" cm="1">
        <f t="array" aca="1" ref="E26" ca="1">SUMPRODUCT(SUMIF(INDIRECT("'"&amp;RIGHT(A26,LEN(A26)-MIN(FIND({0;1;2;3;4;5;6;7;8;9},A26&amp;"0123456789"))+1)&amp;"'!E1:E200000"),"*TOPLAM*",INDIRECT("'"&amp;RIGHT(A26,LEN(A26)-MIN(FIND({0;1;2;3;4;5;6;7;8;9},A26&amp;"0123456789"))+1)&amp;"'!F1:F200000")))</f>
        <v>26101</v>
      </c>
      <c r="G26" s="58" t="s">
        <v>38</v>
      </c>
      <c r="H26" s="41" t="s">
        <v>13</v>
      </c>
      <c r="I26" s="41" t="s">
        <v>18</v>
      </c>
      <c r="J26" s="41" t="s">
        <v>14</v>
      </c>
      <c r="K26" s="20" cm="1">
        <f t="array" aca="1" ref="K26" ca="1">SUMPRODUCT(SUMIF(INDIRECT("'"&amp;RIGHT(G26,LEN(G26)-MIN(FIND({0;1;2;3;4;5;6;7;8;9},G26&amp;"0123456789"))+1)&amp;"'!E1:E200000"),"*TOPLAM*",INDIRECT("'"&amp;RIGHT(G26,LEN(G26)-MIN(FIND({0;1;2;3;4;5;6;7;8;9},G26&amp;"0123456789"))+1)&amp;"'!M1:M200000")))</f>
        <v>24641</v>
      </c>
    </row>
    <row r="27" spans="1:11" ht="23.25" x14ac:dyDescent="0.25">
      <c r="A27" s="58" t="s">
        <v>537</v>
      </c>
      <c r="B27" s="41" t="s">
        <v>13</v>
      </c>
      <c r="C27" s="41" t="s">
        <v>18</v>
      </c>
      <c r="D27" s="41" t="s">
        <v>14</v>
      </c>
      <c r="E27" s="20" cm="1">
        <f t="array" aca="1" ref="E27" ca="1">SUMPRODUCT(SUMIF(INDIRECT("'"&amp;RIGHT(A27,LEN(A27)-MIN(FIND({0;1;2;3;4;5;6;7;8;9},A27&amp;"0123456789"))+1)&amp;"'!E1:E200000"),"*TOPLAM*",INDIRECT("'"&amp;RIGHT(A27,LEN(A27)-MIN(FIND({0;1;2;3;4;5;6;7;8;9},A27&amp;"0123456789"))+1)&amp;"'!F1:F200000")))</f>
        <v>3347</v>
      </c>
      <c r="G27" s="58" t="s">
        <v>537</v>
      </c>
      <c r="H27" s="41" t="s">
        <v>13</v>
      </c>
      <c r="I27" s="41" t="s">
        <v>18</v>
      </c>
      <c r="J27" s="41" t="s">
        <v>14</v>
      </c>
      <c r="K27" s="20" cm="1">
        <f t="array" aca="1" ref="K27" ca="1">SUMPRODUCT(SUMIF(INDIRECT("'"&amp;RIGHT(G27,LEN(G27)-MIN(FIND({0;1;2;3;4;5;6;7;8;9},G27&amp;"0123456789"))+1)&amp;"'!E1:E200000"),"*TOPLAM*",INDIRECT("'"&amp;RIGHT(G27,LEN(G27)-MIN(FIND({0;1;2;3;4;5;6;7;8;9},G27&amp;"0123456789"))+1)&amp;"'!M1:M200000")))</f>
        <v>2957</v>
      </c>
    </row>
    <row r="28" spans="1:11" ht="23.25" x14ac:dyDescent="0.25">
      <c r="A28" s="58" t="s">
        <v>371</v>
      </c>
      <c r="B28" s="41" t="s">
        <v>13</v>
      </c>
      <c r="C28" s="41" t="s">
        <v>18</v>
      </c>
      <c r="D28" s="41" t="s">
        <v>14</v>
      </c>
      <c r="E28" s="20" cm="1">
        <f t="array" aca="1" ref="E28" ca="1">SUMPRODUCT(SUMIF(INDIRECT("'"&amp;RIGHT(A28,LEN(A28)-MIN(FIND({0;1;2;3;4;5;6;7;8;9},A28&amp;"0123456789"))+1)&amp;"'!E1:E200000"),"*TOPLAM*",INDIRECT("'"&amp;RIGHT(A28,LEN(A28)-MIN(FIND({0;1;2;3;4;5;6;7;8;9},A28&amp;"0123456789"))+1)&amp;"'!F1:F200000")))</f>
        <v>3302</v>
      </c>
      <c r="G28" s="58" t="s">
        <v>371</v>
      </c>
      <c r="H28" s="41" t="s">
        <v>13</v>
      </c>
      <c r="I28" s="41" t="s">
        <v>18</v>
      </c>
      <c r="J28" s="41" t="s">
        <v>14</v>
      </c>
      <c r="K28" s="20" cm="1">
        <f t="array" aca="1" ref="K28" ca="1">SUMPRODUCT(SUMIF(INDIRECT("'"&amp;RIGHT(G28,LEN(G28)-MIN(FIND({0;1;2;3;4;5;6;7;8;9},G28&amp;"0123456789"))+1)&amp;"'!E1:E200000"),"*TOPLAM*",INDIRECT("'"&amp;RIGHT(G28,LEN(G28)-MIN(FIND({0;1;2;3;4;5;6;7;8;9},G28&amp;"0123456789"))+1)&amp;"'!M1:M200000")))</f>
        <v>2957</v>
      </c>
    </row>
    <row r="29" spans="1:11" ht="23.25" x14ac:dyDescent="0.25">
      <c r="A29" s="58" t="s">
        <v>368</v>
      </c>
      <c r="B29" s="41" t="s">
        <v>13</v>
      </c>
      <c r="C29" s="41" t="s">
        <v>18</v>
      </c>
      <c r="D29" s="41" t="s">
        <v>14</v>
      </c>
      <c r="E29" s="20" cm="1">
        <f t="array" aca="1" ref="E29" ca="1">SUMPRODUCT(SUMIF(INDIRECT("'"&amp;RIGHT(A29,LEN(A29)-MIN(FIND({0;1;2;3;4;5;6;7;8;9},A29&amp;"0123456789"))+1)&amp;"'!E1:E200000"),"*TOPLAM*",INDIRECT("'"&amp;RIGHT(A29,LEN(A29)-MIN(FIND({0;1;2;3;4;5;6;7;8;9},A29&amp;"0123456789"))+1)&amp;"'!F1:F200000")))</f>
        <v>33005</v>
      </c>
      <c r="G29" s="58" t="s">
        <v>368</v>
      </c>
      <c r="H29" s="41" t="s">
        <v>13</v>
      </c>
      <c r="I29" s="41" t="s">
        <v>18</v>
      </c>
      <c r="J29" s="41" t="s">
        <v>14</v>
      </c>
      <c r="K29" s="20" cm="1">
        <f t="array" aca="1" ref="K29" ca="1">SUMPRODUCT(SUMIF(INDIRECT("'"&amp;RIGHT(G29,LEN(G29)-MIN(FIND({0;1;2;3;4;5;6;7;8;9},G29&amp;"0123456789"))+1)&amp;"'!E1:E200000"),"*TOPLAM*",INDIRECT("'"&amp;RIGHT(G29,LEN(G29)-MIN(FIND({0;1;2;3;4;5;6;7;8;9},G29&amp;"0123456789"))+1)&amp;"'!M1:M200000")))</f>
        <v>18067</v>
      </c>
    </row>
    <row r="30" spans="1:11" ht="23.25" x14ac:dyDescent="0.25">
      <c r="A30" s="58" t="s">
        <v>451</v>
      </c>
      <c r="B30" s="41" t="s">
        <v>13</v>
      </c>
      <c r="C30" s="41" t="s">
        <v>18</v>
      </c>
      <c r="D30" s="41" t="s">
        <v>14</v>
      </c>
      <c r="E30" s="20" cm="1">
        <f t="array" aca="1" ref="E30" ca="1">SUMPRODUCT(SUMIF(INDIRECT("'"&amp;RIGHT(A30,LEN(A30)-MIN(FIND({0;1;2;3;4;5;6;7;8;9},A30&amp;"0123456789"))+1)&amp;"'!E1:E200000"),"*TOPLAM*",INDIRECT("'"&amp;RIGHT(A30,LEN(A30)-MIN(FIND({0;1;2;3;4;5;6;7;8;9},A30&amp;"0123456789"))+1)&amp;"'!F1:F200000")))</f>
        <v>8960</v>
      </c>
      <c r="G30" s="58" t="s">
        <v>451</v>
      </c>
      <c r="H30" s="41" t="s">
        <v>13</v>
      </c>
      <c r="I30" s="41" t="s">
        <v>18</v>
      </c>
      <c r="J30" s="41" t="s">
        <v>14</v>
      </c>
      <c r="K30" s="20" cm="1">
        <f t="array" aca="1" ref="K30" ca="1">SUMPRODUCT(SUMIF(INDIRECT("'"&amp;RIGHT(G30,LEN(G30)-MIN(FIND({0;1;2;3;4;5;6;7;8;9},G30&amp;"0123456789"))+1)&amp;"'!E1:E200000"),"*TOPLAM*",INDIRECT("'"&amp;RIGHT(G30,LEN(G30)-MIN(FIND({0;1;2;3;4;5;6;7;8;9},G30&amp;"0123456789"))+1)&amp;"'!M1:M200000")))</f>
        <v>7985</v>
      </c>
    </row>
    <row r="31" spans="1:11" ht="23.25" x14ac:dyDescent="0.25">
      <c r="A31" s="58" t="s">
        <v>447</v>
      </c>
      <c r="B31" s="41" t="s">
        <v>13</v>
      </c>
      <c r="C31" s="41" t="s">
        <v>18</v>
      </c>
      <c r="D31" s="41" t="s">
        <v>14</v>
      </c>
      <c r="E31" s="20" cm="1">
        <f t="array" aca="1" ref="E31" ca="1">SUMPRODUCT(SUMIF(INDIRECT("'"&amp;RIGHT(A31,LEN(A31)-MIN(FIND({0;1;2;3;4;5;6;7;8;9},A31&amp;"0123456789"))+1)&amp;"'!E1:E200000"),"*TOPLAM*",INDIRECT("'"&amp;RIGHT(A31,LEN(A31)-MIN(FIND({0;1;2;3;4;5;6;7;8;9},A31&amp;"0123456789"))+1)&amp;"'!F1:F200000")))</f>
        <v>5860</v>
      </c>
      <c r="G31" s="58" t="s">
        <v>447</v>
      </c>
      <c r="H31" s="41" t="s">
        <v>13</v>
      </c>
      <c r="I31" s="41" t="s">
        <v>18</v>
      </c>
      <c r="J31" s="41" t="s">
        <v>14</v>
      </c>
      <c r="K31" s="20" cm="1">
        <f t="array" aca="1" ref="K31" ca="1">SUMPRODUCT(SUMIF(INDIRECT("'"&amp;RIGHT(G31,LEN(G31)-MIN(FIND({0;1;2;3;4;5;6;7;8;9},G31&amp;"0123456789"))+1)&amp;"'!E1:E200000"),"*TOPLAM*",INDIRECT("'"&amp;RIGHT(G31,LEN(G31)-MIN(FIND({0;1;2;3;4;5;6;7;8;9},G31&amp;"0123456789"))+1)&amp;"'!M1:M200000")))</f>
        <v>2725</v>
      </c>
    </row>
    <row r="32" spans="1:11" ht="23.25" x14ac:dyDescent="0.25">
      <c r="A32" s="58" t="s">
        <v>400</v>
      </c>
      <c r="B32" s="41" t="s">
        <v>13</v>
      </c>
      <c r="C32" s="41" t="s">
        <v>18</v>
      </c>
      <c r="D32" s="41" t="s">
        <v>14</v>
      </c>
      <c r="E32" s="20" cm="1">
        <f t="array" aca="1" ref="E32" ca="1">SUMPRODUCT(SUMIF(INDIRECT("'"&amp;RIGHT(A32,LEN(A32)-MIN(FIND({0;1;2;3;4;5;6;7;8;9},A32&amp;"0123456789"))+1)&amp;"'!E1:E200000"),"*TOPLAM*",INDIRECT("'"&amp;RIGHT(A32,LEN(A32)-MIN(FIND({0;1;2;3;4;5;6;7;8;9},A32&amp;"0123456789"))+1)&amp;"'!F1:F200000")))</f>
        <v>3989.8</v>
      </c>
      <c r="G32" s="58" t="s">
        <v>400</v>
      </c>
      <c r="H32" s="41" t="s">
        <v>13</v>
      </c>
      <c r="I32" s="41" t="s">
        <v>18</v>
      </c>
      <c r="J32" s="41" t="s">
        <v>14</v>
      </c>
      <c r="K32" s="20" cm="1">
        <f t="array" aca="1" ref="K32" ca="1">SUMPRODUCT(SUMIF(INDIRECT("'"&amp;RIGHT(G32,LEN(G32)-MIN(FIND({0;1;2;3;4;5;6;7;8;9},G32&amp;"0123456789"))+1)&amp;"'!E1:E200000"),"*TOPLAM*",INDIRECT("'"&amp;RIGHT(G32,LEN(G32)-MIN(FIND({0;1;2;3;4;5;6;7;8;9},G32&amp;"0123456789"))+1)&amp;"'!M1:M200000")))</f>
        <v>0</v>
      </c>
    </row>
    <row r="33" spans="1:11" ht="23.25" x14ac:dyDescent="0.25">
      <c r="A33" s="58" t="s">
        <v>366</v>
      </c>
      <c r="B33" s="41" t="s">
        <v>13</v>
      </c>
      <c r="C33" s="41" t="s">
        <v>18</v>
      </c>
      <c r="D33" s="41" t="s">
        <v>14</v>
      </c>
      <c r="E33" s="20" cm="1">
        <f t="array" aca="1" ref="E33" ca="1">SUMPRODUCT(SUMIF(INDIRECT("'"&amp;RIGHT(A33,LEN(A33)-MIN(FIND({0;1;2;3;4;5;6;7;8;9},A33&amp;"0123456789"))+1)&amp;"'!E1:E200000"),"*TOPLAM*",INDIRECT("'"&amp;RIGHT(A33,LEN(A33)-MIN(FIND({0;1;2;3;4;5;6;7;8;9},A33&amp;"0123456789"))+1)&amp;"'!F1:F200000")))</f>
        <v>1050</v>
      </c>
      <c r="G33" s="58" t="s">
        <v>366</v>
      </c>
      <c r="H33" s="41" t="s">
        <v>13</v>
      </c>
      <c r="I33" s="41" t="s">
        <v>18</v>
      </c>
      <c r="J33" s="41" t="s">
        <v>14</v>
      </c>
      <c r="K33" s="20" cm="1">
        <f t="array" aca="1" ref="K33" ca="1">SUMPRODUCT(SUMIF(INDIRECT("'"&amp;RIGHT(G33,LEN(G33)-MIN(FIND({0;1;2;3;4;5;6;7;8;9},G33&amp;"0123456789"))+1)&amp;"'!E1:E200000"),"*TOPLAM*",INDIRECT("'"&amp;RIGHT(G33,LEN(G33)-MIN(FIND({0;1;2;3;4;5;6;7;8;9},G33&amp;"0123456789"))+1)&amp;"'!M1:M200000")))</f>
        <v>0</v>
      </c>
    </row>
    <row r="34" spans="1:11" ht="23.25" x14ac:dyDescent="0.25">
      <c r="A34" s="58" t="s">
        <v>278</v>
      </c>
      <c r="B34" s="41" t="s">
        <v>13</v>
      </c>
      <c r="C34" s="41" t="s">
        <v>18</v>
      </c>
      <c r="D34" s="41" t="s">
        <v>14</v>
      </c>
      <c r="E34" s="20" cm="1">
        <f t="array" aca="1" ref="E34" ca="1">SUMPRODUCT(SUMIF(INDIRECT("'"&amp;RIGHT(A34,LEN(A34)-MIN(FIND({0;1;2;3;4;5;6;7;8;9},A34&amp;"0123456789"))+1)&amp;"'!E1:E200000"),"*TOPLAM*",INDIRECT("'"&amp;RIGHT(A34,LEN(A34)-MIN(FIND({0;1;2;3;4;5;6;7;8;9},A34&amp;"0123456789"))+1)&amp;"'!F1:F200000")))</f>
        <v>1922</v>
      </c>
      <c r="G34" s="58" t="s">
        <v>278</v>
      </c>
      <c r="H34" s="41" t="s">
        <v>13</v>
      </c>
      <c r="I34" s="41" t="s">
        <v>18</v>
      </c>
      <c r="J34" s="41" t="s">
        <v>14</v>
      </c>
      <c r="K34" s="20" cm="1">
        <f t="array" aca="1" ref="K34" ca="1">SUMPRODUCT(SUMIF(INDIRECT("'"&amp;RIGHT(G34,LEN(G34)-MIN(FIND({0;1;2;3;4;5;6;7;8;9},G34&amp;"0123456789"))+1)&amp;"'!E1:E200000"),"*TOPLAM*",INDIRECT("'"&amp;RIGHT(G34,LEN(G34)-MIN(FIND({0;1;2;3;4;5;6;7;8;9},G34&amp;"0123456789"))+1)&amp;"'!M1:M200000")))</f>
        <v>1922</v>
      </c>
    </row>
    <row r="35" spans="1:11" ht="23.25" x14ac:dyDescent="0.25">
      <c r="A35" s="58" t="s">
        <v>275</v>
      </c>
      <c r="B35" s="41" t="s">
        <v>13</v>
      </c>
      <c r="C35" s="41" t="s">
        <v>18</v>
      </c>
      <c r="D35" s="41" t="s">
        <v>14</v>
      </c>
      <c r="E35" s="20" cm="1">
        <f t="array" aca="1" ref="E35" ca="1">SUMPRODUCT(SUMIF(INDIRECT("'"&amp;RIGHT(A35,LEN(A35)-MIN(FIND({0;1;2;3;4;5;6;7;8;9},A35&amp;"0123456789"))+1)&amp;"'!E1:E200000"),"*TOPLAM*",INDIRECT("'"&amp;RIGHT(A35,LEN(A35)-MIN(FIND({0;1;2;3;4;5;6;7;8;9},A35&amp;"0123456789"))+1)&amp;"'!F1:F200000")))</f>
        <v>2681</v>
      </c>
      <c r="G35" s="58" t="s">
        <v>275</v>
      </c>
      <c r="H35" s="41" t="s">
        <v>13</v>
      </c>
      <c r="I35" s="41" t="s">
        <v>18</v>
      </c>
      <c r="J35" s="41" t="s">
        <v>14</v>
      </c>
      <c r="K35" s="20" cm="1">
        <f t="array" aca="1" ref="K35" ca="1">SUMPRODUCT(SUMIF(INDIRECT("'"&amp;RIGHT(G35,LEN(G35)-MIN(FIND({0;1;2;3;4;5;6;7;8;9},G35&amp;"0123456789"))+1)&amp;"'!E1:E200000"),"*TOPLAM*",INDIRECT("'"&amp;RIGHT(G35,LEN(G35)-MIN(FIND({0;1;2;3;4;5;6;7;8;9},G35&amp;"0123456789"))+1)&amp;"'!M1:M200000")))</f>
        <v>2681</v>
      </c>
    </row>
    <row r="36" spans="1:11" ht="23.25" x14ac:dyDescent="0.25">
      <c r="A36" s="58" t="s">
        <v>277</v>
      </c>
      <c r="B36" s="41" t="s">
        <v>13</v>
      </c>
      <c r="C36" s="41" t="s">
        <v>18</v>
      </c>
      <c r="D36" s="41" t="s">
        <v>14</v>
      </c>
      <c r="E36" s="20" cm="1">
        <f t="array" aca="1" ref="E36" ca="1">SUMPRODUCT(SUMIF(INDIRECT("'"&amp;RIGHT(A36,LEN(A36)-MIN(FIND({0;1;2;3;4;5;6;7;8;9},A36&amp;"0123456789"))+1)&amp;"'!E1:E200000"),"*TOPLAM*",INDIRECT("'"&amp;RIGHT(A36,LEN(A36)-MIN(FIND({0;1;2;3;4;5;6;7;8;9},A36&amp;"0123456789"))+1)&amp;"'!F1:F200000")))</f>
        <v>3429</v>
      </c>
      <c r="G36" s="58" t="s">
        <v>277</v>
      </c>
      <c r="H36" s="41" t="s">
        <v>13</v>
      </c>
      <c r="I36" s="41" t="s">
        <v>18</v>
      </c>
      <c r="J36" s="41" t="s">
        <v>14</v>
      </c>
      <c r="K36" s="20" cm="1">
        <f t="array" aca="1" ref="K36" ca="1">SUMPRODUCT(SUMIF(INDIRECT("'"&amp;RIGHT(G36,LEN(G36)-MIN(FIND({0;1;2;3;4;5;6;7;8;9},G36&amp;"0123456789"))+1)&amp;"'!E1:E200000"),"*TOPLAM*",INDIRECT("'"&amp;RIGHT(G36,LEN(G36)-MIN(FIND({0;1;2;3;4;5;6;7;8;9},G36&amp;"0123456789"))+1)&amp;"'!M1:M200000")))</f>
        <v>3429</v>
      </c>
    </row>
    <row r="37" spans="1:11" ht="23.25" x14ac:dyDescent="0.25">
      <c r="A37" s="58" t="s">
        <v>654</v>
      </c>
      <c r="B37" s="41" t="s">
        <v>13</v>
      </c>
      <c r="C37" s="41" t="s">
        <v>18</v>
      </c>
      <c r="D37" s="41" t="s">
        <v>14</v>
      </c>
      <c r="E37" s="20">
        <f>'190'!F8</f>
        <v>2422</v>
      </c>
      <c r="G37" s="58" t="s">
        <v>654</v>
      </c>
      <c r="H37" s="41" t="s">
        <v>13</v>
      </c>
      <c r="I37" s="41" t="s">
        <v>18</v>
      </c>
      <c r="J37" s="41" t="s">
        <v>14</v>
      </c>
      <c r="K37" s="20" cm="1">
        <f t="array" aca="1" ref="K37" ca="1">SUMPRODUCT(SUMIF(INDIRECT("'"&amp;RIGHT(G37,LEN(G37)-MIN(FIND({0;1;2;3;4;5;6;7;8;9},G37&amp;"0123456789"))+1)&amp;"'!E1:E200000"),"*TOPLAM*",INDIRECT("'"&amp;RIGHT(G37,LEN(G37)-MIN(FIND({0;1;2;3;4;5;6;7;8;9},G37&amp;"0123456789"))+1)&amp;"'!M1:M200000")))</f>
        <v>1750</v>
      </c>
    </row>
    <row r="38" spans="1:11" ht="23.25" x14ac:dyDescent="0.25">
      <c r="A38" s="58" t="s">
        <v>273</v>
      </c>
      <c r="B38" s="41" t="s">
        <v>13</v>
      </c>
      <c r="C38" s="41" t="s">
        <v>18</v>
      </c>
      <c r="D38" s="41" t="s">
        <v>14</v>
      </c>
      <c r="E38" s="20" cm="1">
        <f t="array" aca="1" ref="E38" ca="1">SUMPRODUCT(SUMIF(INDIRECT("'"&amp;RIGHT(A38,LEN(A38)-MIN(FIND({0;1;2;3;4;5;6;7;8;9},A38&amp;"0123456789"))+1)&amp;"'!E1:E200000"),"*TOPLAM*",INDIRECT("'"&amp;RIGHT(A38,LEN(A38)-MIN(FIND({0;1;2;3;4;5;6;7;8;9},A38&amp;"0123456789"))+1)&amp;"'!F1:F200000")))</f>
        <v>4242</v>
      </c>
      <c r="G38" s="58" t="s">
        <v>273</v>
      </c>
      <c r="H38" s="41" t="s">
        <v>13</v>
      </c>
      <c r="I38" s="41" t="s">
        <v>18</v>
      </c>
      <c r="J38" s="41" t="s">
        <v>14</v>
      </c>
      <c r="K38" s="20" cm="1">
        <f t="array" aca="1" ref="K38" ca="1">SUMPRODUCT(SUMIF(INDIRECT("'"&amp;RIGHT(G38,LEN(G38)-MIN(FIND({0;1;2;3;4;5;6;7;8;9},G38&amp;"0123456789"))+1)&amp;"'!E1:E200000"),"*TOPLAM*",INDIRECT("'"&amp;RIGHT(G38,LEN(G38)-MIN(FIND({0;1;2;3;4;5;6;7;8;9},G38&amp;"0123456789"))+1)&amp;"'!M1:M200000")))</f>
        <v>3546</v>
      </c>
    </row>
    <row r="39" spans="1:11" ht="23.25" x14ac:dyDescent="0.25">
      <c r="A39" s="58" t="s">
        <v>467</v>
      </c>
      <c r="B39" s="41" t="s">
        <v>13</v>
      </c>
      <c r="C39" s="41" t="s">
        <v>18</v>
      </c>
      <c r="D39" s="41" t="s">
        <v>14</v>
      </c>
      <c r="E39" s="20" cm="1">
        <f t="array" aca="1" ref="E39" ca="1">SUMPRODUCT(SUMIF(INDIRECT("'"&amp;RIGHT(A39,LEN(A39)-MIN(FIND({0;1;2;3;4;5;6;7;8;9},A39&amp;"0123456789"))+1)&amp;"'!E1:E200000"),"*TOPLAM*",INDIRECT("'"&amp;RIGHT(A39,LEN(A39)-MIN(FIND({0;1;2;3;4;5;6;7;8;9},A39&amp;"0123456789"))+1)&amp;"'!F1:F200000")))</f>
        <v>4451</v>
      </c>
      <c r="G39" s="58" t="s">
        <v>467</v>
      </c>
      <c r="H39" s="41" t="s">
        <v>13</v>
      </c>
      <c r="I39" s="41" t="s">
        <v>18</v>
      </c>
      <c r="J39" s="41" t="s">
        <v>14</v>
      </c>
      <c r="K39" s="20" cm="1">
        <f t="array" aca="1" ref="K39" ca="1">SUMPRODUCT(SUMIF(INDIRECT("'"&amp;RIGHT(G39,LEN(G39)-MIN(FIND({0;1;2;3;4;5;6;7;8;9},G39&amp;"0123456789"))+1)&amp;"'!E1:E200000"),"*TOPLAM*",INDIRECT("'"&amp;RIGHT(G39,LEN(G39)-MIN(FIND({0;1;2;3;4;5;6;7;8;9},G39&amp;"0123456789"))+1)&amp;"'!M1:M200000")))</f>
        <v>3824</v>
      </c>
    </row>
    <row r="40" spans="1:11" ht="23.25" x14ac:dyDescent="0.25">
      <c r="A40" s="58" t="s">
        <v>527</v>
      </c>
      <c r="B40" s="41" t="s">
        <v>13</v>
      </c>
      <c r="C40" s="41" t="s">
        <v>18</v>
      </c>
      <c r="D40" s="41" t="s">
        <v>14</v>
      </c>
      <c r="E40" s="20" cm="1">
        <f t="array" aca="1" ref="E40" ca="1">SUMPRODUCT(SUMIF(INDIRECT("'"&amp;RIGHT(A40,LEN(A40)-MIN(FIND({0;1;2;3;4;5;6;7;8;9},A40&amp;"0123456789"))+1)&amp;"'!E1:E200000"),"*TOPLAM*",INDIRECT("'"&amp;RIGHT(A40,LEN(A40)-MIN(FIND({0;1;2;3;4;5;6;7;8;9},A40&amp;"0123456789"))+1)&amp;"'!F1:F200000")))</f>
        <v>4222</v>
      </c>
      <c r="G40" s="58" t="s">
        <v>527</v>
      </c>
      <c r="H40" s="41" t="s">
        <v>13</v>
      </c>
      <c r="I40" s="41" t="s">
        <v>18</v>
      </c>
      <c r="J40" s="41" t="s">
        <v>14</v>
      </c>
      <c r="K40" s="20" cm="1">
        <f t="array" aca="1" ref="K40" ca="1">SUMPRODUCT(SUMIF(INDIRECT("'"&amp;RIGHT(G40,LEN(G40)-MIN(FIND({0;1;2;3;4;5;6;7;8;9},G40&amp;"0123456789"))+1)&amp;"'!E1:E200000"),"*TOPLAM*",INDIRECT("'"&amp;RIGHT(G40,LEN(G40)-MIN(FIND({0;1;2;3;4;5;6;7;8;9},G40&amp;"0123456789"))+1)&amp;"'!M1:M200000")))</f>
        <v>4222</v>
      </c>
    </row>
    <row r="41" spans="1:11" ht="23.25" x14ac:dyDescent="0.25">
      <c r="A41" s="58" t="s">
        <v>526</v>
      </c>
      <c r="B41" s="41" t="s">
        <v>13</v>
      </c>
      <c r="C41" s="41" t="s">
        <v>18</v>
      </c>
      <c r="D41" s="41" t="s">
        <v>14</v>
      </c>
      <c r="E41" s="20" cm="1">
        <f t="array" aca="1" ref="E41" ca="1">SUMPRODUCT(SUMIF(INDIRECT("'"&amp;RIGHT(A41,LEN(A41)-MIN(FIND({0;1;2;3;4;5;6;7;8;9},A41&amp;"0123456789"))+1)&amp;"'!E1:E200000"),"*TOPLAM*",INDIRECT("'"&amp;RIGHT(A41,LEN(A41)-MIN(FIND({0;1;2;3;4;5;6;7;8;9},A41&amp;"0123456789"))+1)&amp;"'!F1:F200000")))</f>
        <v>16648.8</v>
      </c>
      <c r="G41" s="58" t="s">
        <v>526</v>
      </c>
      <c r="H41" s="41" t="s">
        <v>13</v>
      </c>
      <c r="I41" s="41" t="s">
        <v>18</v>
      </c>
      <c r="J41" s="41" t="s">
        <v>14</v>
      </c>
      <c r="K41" s="20" cm="1">
        <f t="array" aca="1" ref="K41" ca="1">SUMPRODUCT(SUMIF(INDIRECT("'"&amp;RIGHT(G41,LEN(G41)-MIN(FIND({0;1;2;3;4;5;6;7;8;9},G41&amp;"0123456789"))+1)&amp;"'!E1:E200000"),"*TOPLAM*",INDIRECT("'"&amp;RIGHT(G41,LEN(G41)-MIN(FIND({0;1;2;3;4;5;6;7;8;9},G41&amp;"0123456789"))+1)&amp;"'!M1:M200000")))</f>
        <v>15952.8</v>
      </c>
    </row>
    <row r="42" spans="1:11" ht="23.25" x14ac:dyDescent="0.25">
      <c r="A42" s="58" t="s">
        <v>269</v>
      </c>
      <c r="B42" s="41" t="s">
        <v>13</v>
      </c>
      <c r="C42" s="41" t="s">
        <v>18</v>
      </c>
      <c r="D42" s="41" t="s">
        <v>14</v>
      </c>
      <c r="E42" s="20" cm="1">
        <f t="array" aca="1" ref="E42" ca="1">SUMPRODUCT(SUMIF(INDIRECT("'"&amp;RIGHT(A42,LEN(A42)-MIN(FIND({0;1;2;3;4;5;6;7;8;9},A42&amp;"0123456789"))+1)&amp;"'!E1:E200000"),"*TOPLAM*",INDIRECT("'"&amp;RIGHT(A42,LEN(A42)-MIN(FIND({0;1;2;3;4;5;6;7;8;9},A42&amp;"0123456789"))+1)&amp;"'!F1:F200000")))</f>
        <v>2075</v>
      </c>
      <c r="G42" s="58" t="s">
        <v>269</v>
      </c>
      <c r="H42" s="41" t="s">
        <v>13</v>
      </c>
      <c r="I42" s="41" t="s">
        <v>18</v>
      </c>
      <c r="J42" s="41" t="s">
        <v>14</v>
      </c>
      <c r="K42" s="20" cm="1">
        <f t="array" aca="1" ref="K42" ca="1">SUMPRODUCT(SUMIF(INDIRECT("'"&amp;RIGHT(G42,LEN(G42)-MIN(FIND({0;1;2;3;4;5;6;7;8;9},G42&amp;"0123456789"))+1)&amp;"'!E1:E200000"),"*TOPLAM*",INDIRECT("'"&amp;RIGHT(G42,LEN(G42)-MIN(FIND({0;1;2;3;4;5;6;7;8;9},G42&amp;"0123456789"))+1)&amp;"'!M1:M200000")))</f>
        <v>2075</v>
      </c>
    </row>
    <row r="43" spans="1:11" ht="23.25" x14ac:dyDescent="0.25">
      <c r="A43" s="58" t="s">
        <v>271</v>
      </c>
      <c r="B43" s="41" t="s">
        <v>13</v>
      </c>
      <c r="C43" s="41" t="s">
        <v>18</v>
      </c>
      <c r="D43" s="41" t="s">
        <v>14</v>
      </c>
      <c r="E43" s="20" cm="1">
        <f t="array" aca="1" ref="E43" ca="1">SUMPRODUCT(SUMIF(INDIRECT("'"&amp;RIGHT(A43,LEN(A43)-MIN(FIND({0;1;2;3;4;5;6;7;8;9},A43&amp;"0123456789"))+1)&amp;"'!E1:E200000"),"*TOPLAM*",INDIRECT("'"&amp;RIGHT(A43,LEN(A43)-MIN(FIND({0;1;2;3;4;5;6;7;8;9},A43&amp;"0123456789"))+1)&amp;"'!F1:F200000")))</f>
        <v>2075</v>
      </c>
      <c r="G43" s="58" t="s">
        <v>271</v>
      </c>
      <c r="H43" s="41" t="s">
        <v>13</v>
      </c>
      <c r="I43" s="41" t="s">
        <v>18</v>
      </c>
      <c r="J43" s="41" t="s">
        <v>14</v>
      </c>
      <c r="K43" s="20" cm="1">
        <f t="array" aca="1" ref="K43" ca="1">SUMPRODUCT(SUMIF(INDIRECT("'"&amp;RIGHT(G43,LEN(G43)-MIN(FIND({0;1;2;3;4;5;6;7;8;9},G43&amp;"0123456789"))+1)&amp;"'!E1:E200000"),"*TOPLAM*",INDIRECT("'"&amp;RIGHT(G43,LEN(G43)-MIN(FIND({0;1;2;3;4;5;6;7;8;9},G43&amp;"0123456789"))+1)&amp;"'!M1:M200000")))</f>
        <v>1850</v>
      </c>
    </row>
    <row r="44" spans="1:11" ht="23.25" x14ac:dyDescent="0.25">
      <c r="A44" s="58" t="s">
        <v>485</v>
      </c>
      <c r="B44" s="41" t="s">
        <v>13</v>
      </c>
      <c r="C44" s="41" t="s">
        <v>18</v>
      </c>
      <c r="D44" s="41" t="s">
        <v>14</v>
      </c>
      <c r="E44" s="20" cm="1">
        <f t="array" aca="1" ref="E44" ca="1">SUMPRODUCT(SUMIF(INDIRECT("'"&amp;RIGHT(A44,LEN(A44)-MIN(FIND({0;1;2;3;4;5;6;7;8;9},A44&amp;"0123456789"))+1)&amp;"'!E1:E200000"),"*TOPLAM*",INDIRECT("'"&amp;RIGHT(A44,LEN(A44)-MIN(FIND({0;1;2;3;4;5;6;7;8;9},A44&amp;"0123456789"))+1)&amp;"'!F1:F200000")))</f>
        <v>1717</v>
      </c>
      <c r="G44" s="58" t="s">
        <v>485</v>
      </c>
      <c r="H44" s="41" t="s">
        <v>13</v>
      </c>
      <c r="I44" s="41" t="s">
        <v>18</v>
      </c>
      <c r="J44" s="41" t="s">
        <v>14</v>
      </c>
      <c r="K44" s="20" cm="1">
        <f t="array" aca="1" ref="K44" ca="1">SUMPRODUCT(SUMIF(INDIRECT("'"&amp;RIGHT(G44,LEN(G44)-MIN(FIND({0;1;2;3;4;5;6;7;8;9},G44&amp;"0123456789"))+1)&amp;"'!E1:E200000"),"*TOPLAM*",INDIRECT("'"&amp;RIGHT(G44,LEN(G44)-MIN(FIND({0;1;2;3;4;5;6;7;8;9},G44&amp;"0123456789"))+1)&amp;"'!M1:M200000")))</f>
        <v>1717</v>
      </c>
    </row>
    <row r="45" spans="1:11" ht="23.25" x14ac:dyDescent="0.25">
      <c r="A45" s="58" t="s">
        <v>255</v>
      </c>
      <c r="B45" s="41" t="s">
        <v>13</v>
      </c>
      <c r="C45" s="41" t="s">
        <v>18</v>
      </c>
      <c r="D45" s="41" t="s">
        <v>14</v>
      </c>
      <c r="E45" s="20" cm="1">
        <f t="array" aca="1" ref="E45" ca="1">SUMPRODUCT(SUMIF(INDIRECT("'"&amp;RIGHT(A45,LEN(A45)-MIN(FIND({0;1;2;3;4;5;6;7;8;9},A45&amp;"0123456789"))+1)&amp;"'!E1:E200000"),"*TOPLAM*",INDIRECT("'"&amp;RIGHT(A45,LEN(A45)-MIN(FIND({0;1;2;3;4;5;6;7;8;9},A45&amp;"0123456789"))+1)&amp;"'!F1:F200000")))</f>
        <v>5182.2</v>
      </c>
      <c r="G45" s="58" t="s">
        <v>255</v>
      </c>
      <c r="H45" s="41" t="s">
        <v>13</v>
      </c>
      <c r="I45" s="41" t="s">
        <v>18</v>
      </c>
      <c r="J45" s="41" t="s">
        <v>14</v>
      </c>
      <c r="K45" s="20" cm="1">
        <f t="array" aca="1" ref="K45" ca="1">SUMPRODUCT(SUMIF(INDIRECT("'"&amp;RIGHT(G45,LEN(G45)-MIN(FIND({0;1;2;3;4;5;6;7;8;9},G45&amp;"0123456789"))+1)&amp;"'!E1:E200000"),"*TOPLAM*",INDIRECT("'"&amp;RIGHT(G45,LEN(G45)-MIN(FIND({0;1;2;3;4;5;6;7;8;9},G45&amp;"0123456789"))+1)&amp;"'!M1:M200000")))</f>
        <v>3419.2</v>
      </c>
    </row>
    <row r="46" spans="1:11" ht="23.25" x14ac:dyDescent="0.25">
      <c r="A46" s="58" t="s">
        <v>253</v>
      </c>
      <c r="B46" s="41" t="s">
        <v>13</v>
      </c>
      <c r="C46" s="41" t="s">
        <v>18</v>
      </c>
      <c r="D46" s="41" t="s">
        <v>14</v>
      </c>
      <c r="E46" s="20" cm="1">
        <f t="array" aca="1" ref="E46" ca="1">SUMPRODUCT(SUMIF(INDIRECT("'"&amp;RIGHT(A46,LEN(A46)-MIN(FIND({0;1;2;3;4;5;6;7;8;9},A46&amp;"0123456789"))+1)&amp;"'!E1:E200000"),"*TOPLAM*",INDIRECT("'"&amp;RIGHT(A46,LEN(A46)-MIN(FIND({0;1;2;3;4;5;6;7;8;9},A46&amp;"0123456789"))+1)&amp;"'!F1:F200000")))</f>
        <v>2667</v>
      </c>
      <c r="G46" s="58" t="s">
        <v>253</v>
      </c>
      <c r="H46" s="41" t="s">
        <v>13</v>
      </c>
      <c r="I46" s="41" t="s">
        <v>18</v>
      </c>
      <c r="J46" s="41" t="s">
        <v>14</v>
      </c>
      <c r="K46" s="20" cm="1">
        <f t="array" aca="1" ref="K46" ca="1">SUMPRODUCT(SUMIF(INDIRECT("'"&amp;RIGHT(G46,LEN(G46)-MIN(FIND({0;1;2;3;4;5;6;7;8;9},G46&amp;"0123456789"))+1)&amp;"'!E1:E200000"),"*TOPLAM*",INDIRECT("'"&amp;RIGHT(G46,LEN(G46)-MIN(FIND({0;1;2;3;4;5;6;7;8;9},G46&amp;"0123456789"))+1)&amp;"'!M1:M200000")))</f>
        <v>2667</v>
      </c>
    </row>
    <row r="47" spans="1:11" ht="23.25" x14ac:dyDescent="0.25">
      <c r="A47" s="58" t="s">
        <v>653</v>
      </c>
      <c r="B47" s="41" t="s">
        <v>13</v>
      </c>
      <c r="C47" s="41" t="s">
        <v>18</v>
      </c>
      <c r="D47" s="41" t="s">
        <v>14</v>
      </c>
      <c r="E47" s="20">
        <f>'355'!F10</f>
        <v>3590</v>
      </c>
      <c r="G47" s="58" t="s">
        <v>653</v>
      </c>
      <c r="H47" s="41" t="s">
        <v>13</v>
      </c>
      <c r="I47" s="41" t="s">
        <v>18</v>
      </c>
      <c r="J47" s="41" t="s">
        <v>14</v>
      </c>
      <c r="K47" s="20" cm="1">
        <f t="array" aca="1" ref="K47" ca="1">SUMPRODUCT(SUMIF(INDIRECT("'"&amp;RIGHT(G47,LEN(G47)-MIN(FIND({0;1;2;3;4;5;6;7;8;9},G47&amp;"0123456789"))+1)&amp;"'!E1:E200000"),"*TOPLAM*",INDIRECT("'"&amp;RIGHT(G47,LEN(G47)-MIN(FIND({0;1;2;3;4;5;6;7;8;9},G47&amp;"0123456789"))+1)&amp;"'!M1:M200000")))</f>
        <v>3365</v>
      </c>
    </row>
    <row r="48" spans="1:11" ht="23.25" x14ac:dyDescent="0.25">
      <c r="A48" s="58" t="s">
        <v>492</v>
      </c>
      <c r="B48" s="41" t="s">
        <v>13</v>
      </c>
      <c r="C48" s="41" t="s">
        <v>18</v>
      </c>
      <c r="D48" s="41" t="s">
        <v>14</v>
      </c>
      <c r="E48" s="20" cm="1">
        <f t="array" aca="1" ref="E48" ca="1">SUMPRODUCT(SUMIF(INDIRECT("'"&amp;RIGHT(A48,LEN(A48)-MIN(FIND({0;1;2;3;4;5;6;7;8;9},A48&amp;"0123456789"))+1)&amp;"'!E1:E200000"),"*TOPLAM*",INDIRECT("'"&amp;RIGHT(A48,LEN(A48)-MIN(FIND({0;1;2;3;4;5;6;7;8;9},A48&amp;"0123456789"))+1)&amp;"'!F1:F200000")))</f>
        <v>3895</v>
      </c>
      <c r="G48" s="58" t="s">
        <v>492</v>
      </c>
      <c r="H48" s="41" t="s">
        <v>13</v>
      </c>
      <c r="I48" s="41" t="s">
        <v>18</v>
      </c>
      <c r="J48" s="41" t="s">
        <v>14</v>
      </c>
      <c r="K48" s="20" cm="1">
        <f t="array" aca="1" ref="K48" ca="1">SUMPRODUCT(SUMIF(INDIRECT("'"&amp;RIGHT(G48,LEN(G48)-MIN(FIND({0;1;2;3;4;5;6;7;8;9},G48&amp;"0123456789"))+1)&amp;"'!E1:E200000"),"*TOPLAM*",INDIRECT("'"&amp;RIGHT(G48,LEN(G48)-MIN(FIND({0;1;2;3;4;5;6;7;8;9},G48&amp;"0123456789"))+1)&amp;"'!M1:M200000")))</f>
        <v>3895</v>
      </c>
    </row>
    <row r="49" spans="1:11" ht="23.25" x14ac:dyDescent="0.25">
      <c r="A49" s="58" t="s">
        <v>480</v>
      </c>
      <c r="B49" s="41" t="s">
        <v>13</v>
      </c>
      <c r="C49" s="41" t="s">
        <v>18</v>
      </c>
      <c r="D49" s="41" t="s">
        <v>14</v>
      </c>
      <c r="E49" s="20" cm="1">
        <f t="array" aca="1" ref="E49" ca="1">SUMPRODUCT(SUMIF(INDIRECT("'"&amp;RIGHT(A49,LEN(A49)-MIN(FIND({0;1;2;3;4;5;6;7;8;9},A49&amp;"0123456789"))+1)&amp;"'!E1:E200000"),"*TOPLAM*",INDIRECT("'"&amp;RIGHT(A49,LEN(A49)-MIN(FIND({0;1;2;3;4;5;6;7;8;9},A49&amp;"0123456789"))+1)&amp;"'!F1:F200000")))</f>
        <v>3613.6</v>
      </c>
      <c r="G49" s="58" t="s">
        <v>480</v>
      </c>
      <c r="H49" s="41" t="s">
        <v>13</v>
      </c>
      <c r="I49" s="41" t="s">
        <v>18</v>
      </c>
      <c r="J49" s="41" t="s">
        <v>14</v>
      </c>
      <c r="K49" s="20" cm="1">
        <f t="array" aca="1" ref="K49" ca="1">SUMPRODUCT(SUMIF(INDIRECT("'"&amp;RIGHT(G49,LEN(G49)-MIN(FIND({0;1;2;3;4;5;6;7;8;9},G49&amp;"0123456789"))+1)&amp;"'!E1:E200000"),"*TOPLAM*",INDIRECT("'"&amp;RIGHT(G49,LEN(G49)-MIN(FIND({0;1;2;3;4;5;6;7;8;9},G49&amp;"0123456789"))+1)&amp;"'!M1:M200000")))</f>
        <v>2353.6</v>
      </c>
    </row>
    <row r="50" spans="1:11" ht="23.25" x14ac:dyDescent="0.25">
      <c r="A50" s="58" t="s">
        <v>465</v>
      </c>
      <c r="B50" s="41" t="s">
        <v>13</v>
      </c>
      <c r="C50" s="41" t="s">
        <v>18</v>
      </c>
      <c r="D50" s="41" t="s">
        <v>14</v>
      </c>
      <c r="E50" s="20" cm="1">
        <f t="array" aca="1" ref="E50" ca="1">SUMPRODUCT(SUMIF(INDIRECT("'"&amp;RIGHT(A50,LEN(A50)-MIN(FIND({0;1;2;3;4;5;6;7;8;9},A50&amp;"0123456789"))+1)&amp;"'!E1:E200000"),"*TOPLAM*",INDIRECT("'"&amp;RIGHT(A50,LEN(A50)-MIN(FIND({0;1;2;3;4;5;6;7;8;9},A50&amp;"0123456789"))+1)&amp;"'!F1:F200000")))</f>
        <v>4971.2</v>
      </c>
      <c r="G50" s="58" t="s">
        <v>465</v>
      </c>
      <c r="H50" s="41" t="s">
        <v>13</v>
      </c>
      <c r="I50" s="41" t="s">
        <v>18</v>
      </c>
      <c r="J50" s="41" t="s">
        <v>14</v>
      </c>
      <c r="K50" s="20" cm="1">
        <f t="array" aca="1" ref="K50" ca="1">SUMPRODUCT(SUMIF(INDIRECT("'"&amp;RIGHT(G50,LEN(G50)-MIN(FIND({0;1;2;3;4;5;6;7;8;9},G50&amp;"0123456789"))+1)&amp;"'!E1:E200000"),"*TOPLAM*",INDIRECT("'"&amp;RIGHT(G50,LEN(G50)-MIN(FIND({0;1;2;3;4;5;6;7;8;9},G50&amp;"0123456789"))+1)&amp;"'!M1:M200000")))</f>
        <v>4515.2</v>
      </c>
    </row>
    <row r="51" spans="1:11" ht="23.25" x14ac:dyDescent="0.25">
      <c r="A51" s="58" t="s">
        <v>656</v>
      </c>
      <c r="B51" s="41" t="s">
        <v>13</v>
      </c>
      <c r="C51" s="41" t="s">
        <v>18</v>
      </c>
      <c r="D51" s="41" t="s">
        <v>14</v>
      </c>
      <c r="E51" s="20">
        <f>'365'!F14</f>
        <v>7371</v>
      </c>
      <c r="G51" s="58" t="s">
        <v>656</v>
      </c>
      <c r="H51" s="41" t="s">
        <v>13</v>
      </c>
      <c r="I51" s="41" t="s">
        <v>18</v>
      </c>
      <c r="J51" s="41" t="s">
        <v>14</v>
      </c>
      <c r="K51" s="20" cm="1">
        <f t="array" aca="1" ref="K51" ca="1">SUMPRODUCT(SUMIF(INDIRECT("'"&amp;RIGHT(G51,LEN(G51)-MIN(FIND({0;1;2;3;4;5;6;7;8;9},G51&amp;"0123456789"))+1)&amp;"'!E1:E200000"),"*TOPLAM*",INDIRECT("'"&amp;RIGHT(G51,LEN(G51)-MIN(FIND({0;1;2;3;4;5;6;7;8;9},G51&amp;"0123456789"))+1)&amp;"'!M1:M200000")))</f>
        <v>6360</v>
      </c>
    </row>
    <row r="52" spans="1:11" ht="23.25" x14ac:dyDescent="0.25">
      <c r="A52" s="58" t="s">
        <v>285</v>
      </c>
      <c r="B52" s="41" t="s">
        <v>13</v>
      </c>
      <c r="C52" s="41" t="s">
        <v>18</v>
      </c>
      <c r="D52" s="41" t="s">
        <v>14</v>
      </c>
      <c r="E52" s="20" cm="1">
        <f t="array" aca="1" ref="E52" ca="1">SUMPRODUCT(SUMIF(INDIRECT("'"&amp;RIGHT(A52,LEN(A52)-MIN(FIND({0;1;2;3;4;5;6;7;8;9},A52&amp;"0123456789"))+1)&amp;"'!E1:E200000"),"*TOPLAM*",INDIRECT("'"&amp;RIGHT(A52,LEN(A52)-MIN(FIND({0;1;2;3;4;5;6;7;8;9},A52&amp;"0123456789"))+1)&amp;"'!F1:F200000")))</f>
        <v>2319</v>
      </c>
      <c r="G52" s="58" t="s">
        <v>285</v>
      </c>
      <c r="H52" s="41" t="s">
        <v>13</v>
      </c>
      <c r="I52" s="41" t="s">
        <v>18</v>
      </c>
      <c r="J52" s="41" t="s">
        <v>14</v>
      </c>
      <c r="K52" s="20" cm="1">
        <f t="array" aca="1" ref="K52" ca="1">SUMPRODUCT(SUMIF(INDIRECT("'"&amp;RIGHT(G52,LEN(G52)-MIN(FIND({0;1;2;3;4;5;6;7;8;9},G52&amp;"0123456789"))+1)&amp;"'!E1:E200000"),"*TOPLAM*",INDIRECT("'"&amp;RIGHT(G52,LEN(G52)-MIN(FIND({0;1;2;3;4;5;6;7;8;9},G52&amp;"0123456789"))+1)&amp;"'!M1:M200000")))</f>
        <v>2319</v>
      </c>
    </row>
    <row r="53" spans="1:11" ht="23.25" x14ac:dyDescent="0.25">
      <c r="A53" s="58" t="s">
        <v>287</v>
      </c>
      <c r="B53" s="41" t="s">
        <v>13</v>
      </c>
      <c r="C53" s="41" t="s">
        <v>18</v>
      </c>
      <c r="D53" s="41" t="s">
        <v>14</v>
      </c>
      <c r="E53" s="20" cm="1">
        <f t="array" aca="1" ref="E53" ca="1">SUMPRODUCT(SUMIF(INDIRECT("'"&amp;RIGHT(A53,LEN(A53)-MIN(FIND({0;1;2;3;4;5;6;7;8;9},A53&amp;"0123456789"))+1)&amp;"'!E1:E200000"),"*TOPLAM*",INDIRECT("'"&amp;RIGHT(A53,LEN(A53)-MIN(FIND({0;1;2;3;4;5;6;7;8;9},A53&amp;"0123456789"))+1)&amp;"'!F1:F200000")))</f>
        <v>2729</v>
      </c>
      <c r="G53" s="58" t="s">
        <v>287</v>
      </c>
      <c r="H53" s="41" t="s">
        <v>13</v>
      </c>
      <c r="I53" s="41" t="s">
        <v>18</v>
      </c>
      <c r="J53" s="41" t="s">
        <v>14</v>
      </c>
      <c r="K53" s="20" cm="1">
        <f t="array" aca="1" ref="K53" ca="1">SUMPRODUCT(SUMIF(INDIRECT("'"&amp;RIGHT(G53,LEN(G53)-MIN(FIND({0;1;2;3;4;5;6;7;8;9},G53&amp;"0123456789"))+1)&amp;"'!E1:E200000"),"*TOPLAM*",INDIRECT("'"&amp;RIGHT(G53,LEN(G53)-MIN(FIND({0;1;2;3;4;5;6;7;8;9},G53&amp;"0123456789"))+1)&amp;"'!M1:M200000")))</f>
        <v>2729</v>
      </c>
    </row>
    <row r="54" spans="1:11" ht="21.75" customHeight="1" x14ac:dyDescent="0.25">
      <c r="A54" s="58" t="s">
        <v>281</v>
      </c>
      <c r="B54" s="41" t="s">
        <v>13</v>
      </c>
      <c r="C54" s="41" t="s">
        <v>18</v>
      </c>
      <c r="D54" s="41" t="s">
        <v>14</v>
      </c>
      <c r="E54" s="20" cm="1">
        <f t="array" aca="1" ref="E54" ca="1">SUMPRODUCT(SUMIF(INDIRECT("'"&amp;RIGHT(A54,LEN(A54)-MIN(FIND({0;1;2;3;4;5;6;7;8;9},A54&amp;"0123456789"))+1)&amp;"'!E1:E200000"),"*TOPLAM*",INDIRECT("'"&amp;RIGHT(A54,LEN(A54)-MIN(FIND({0;1;2;3;4;5;6;7;8;9},A54&amp;"0123456789"))+1)&amp;"'!F1:F200000")))</f>
        <v>9747</v>
      </c>
      <c r="G54" s="58" t="s">
        <v>281</v>
      </c>
      <c r="H54" s="41" t="s">
        <v>13</v>
      </c>
      <c r="I54" s="41" t="s">
        <v>18</v>
      </c>
      <c r="J54" s="41" t="s">
        <v>14</v>
      </c>
      <c r="K54" s="20" cm="1">
        <f t="array" aca="1" ref="K54" ca="1">SUMPRODUCT(SUMIF(INDIRECT("'"&amp;RIGHT(G54,LEN(G54)-MIN(FIND({0;1;2;3;4;5;6;7;8;9},G54&amp;"0123456789"))+1)&amp;"'!E1:E200000"),"*TOPLAM*",INDIRECT("'"&amp;RIGHT(G54,LEN(G54)-MIN(FIND({0;1;2;3;4;5;6;7;8;9},G54&amp;"0123456789"))+1)&amp;"'!M1:M200000")))</f>
        <v>9747</v>
      </c>
    </row>
    <row r="55" spans="1:11" ht="23.25" x14ac:dyDescent="0.25">
      <c r="A55" s="58" t="s">
        <v>283</v>
      </c>
      <c r="B55" s="41" t="s">
        <v>13</v>
      </c>
      <c r="C55" s="41" t="s">
        <v>18</v>
      </c>
      <c r="D55" s="41" t="s">
        <v>14</v>
      </c>
      <c r="E55" s="20" cm="1">
        <f t="array" aca="1" ref="E55" ca="1">SUMPRODUCT(SUMIF(INDIRECT("'"&amp;RIGHT(A55,LEN(A55)-MIN(FIND({0;1;2;3;4;5;6;7;8;9},A55&amp;"0123456789"))+1)&amp;"'!E1:E200000"),"*TOPLAM*",INDIRECT("'"&amp;RIGHT(A55,LEN(A55)-MIN(FIND({0;1;2;3;4;5;6;7;8;9},A55&amp;"0123456789"))+1)&amp;"'!F1:F200000")))</f>
        <v>4204</v>
      </c>
      <c r="G55" s="58" t="s">
        <v>283</v>
      </c>
      <c r="H55" s="41" t="s">
        <v>13</v>
      </c>
      <c r="I55" s="41" t="s">
        <v>18</v>
      </c>
      <c r="J55" s="41" t="s">
        <v>14</v>
      </c>
      <c r="K55" s="20" cm="1">
        <f t="array" aca="1" ref="K55" ca="1">SUMPRODUCT(SUMIF(INDIRECT("'"&amp;RIGHT(G55,LEN(G55)-MIN(FIND({0;1;2;3;4;5;6;7;8;9},G55&amp;"0123456789"))+1)&amp;"'!E1:E200000"),"*TOPLAM*",INDIRECT("'"&amp;RIGHT(G55,LEN(G55)-MIN(FIND({0;1;2;3;4;5;6;7;8;9},G55&amp;"0123456789"))+1)&amp;"'!M1:M200000")))</f>
        <v>4204</v>
      </c>
    </row>
    <row r="56" spans="1:11" ht="23.25" x14ac:dyDescent="0.25">
      <c r="A56" s="58" t="s">
        <v>655</v>
      </c>
      <c r="B56" s="41" t="s">
        <v>13</v>
      </c>
      <c r="C56" s="41" t="s">
        <v>18</v>
      </c>
      <c r="D56" s="41" t="s">
        <v>14</v>
      </c>
      <c r="E56" s="20">
        <f>'380'!F11</f>
        <v>4321</v>
      </c>
      <c r="G56" s="58" t="s">
        <v>655</v>
      </c>
      <c r="H56" s="41" t="s">
        <v>13</v>
      </c>
      <c r="I56" s="41" t="s">
        <v>18</v>
      </c>
      <c r="J56" s="41" t="s">
        <v>14</v>
      </c>
      <c r="K56" s="20" cm="1">
        <f t="array" aca="1" ref="K56" ca="1">SUMPRODUCT(SUMIF(INDIRECT("'"&amp;RIGHT(G56,LEN(G56)-MIN(FIND({0;1;2;3;4;5;6;7;8;9},G56&amp;"0123456789"))+1)&amp;"'!E1:E200000"),"*TOPLAM*",INDIRECT("'"&amp;RIGHT(G56,LEN(G56)-MIN(FIND({0;1;2;3;4;5;6;7;8;9},G56&amp;"0123456789"))+1)&amp;"'!M1:M200000")))</f>
        <v>3991</v>
      </c>
    </row>
    <row r="57" spans="1:11" ht="23.25" x14ac:dyDescent="0.25">
      <c r="A57" s="58" t="s">
        <v>359</v>
      </c>
      <c r="B57" s="41" t="s">
        <v>13</v>
      </c>
      <c r="C57" s="41" t="s">
        <v>18</v>
      </c>
      <c r="D57" s="41" t="s">
        <v>14</v>
      </c>
      <c r="E57" s="20" cm="1">
        <f t="array" aca="1" ref="E57" ca="1">SUMPRODUCT(SUMIF(INDIRECT("'"&amp;RIGHT(A57,LEN(A57)-MIN(FIND({0;1;2;3;4;5;6;7;8;9},A57&amp;"0123456789"))+1)&amp;"'!E1:E200000"),"*TOPLAM*",INDIRECT("'"&amp;RIGHT(A57,LEN(A57)-MIN(FIND({0;1;2;3;4;5;6;7;8;9},A57&amp;"0123456789"))+1)&amp;"'!F1:F200000")))</f>
        <v>25712</v>
      </c>
      <c r="G57" s="58" t="s">
        <v>359</v>
      </c>
      <c r="H57" s="41" t="s">
        <v>13</v>
      </c>
      <c r="I57" s="41" t="s">
        <v>18</v>
      </c>
      <c r="J57" s="41" t="s">
        <v>14</v>
      </c>
      <c r="K57" s="20" cm="1">
        <f t="array" aca="1" ref="K57" ca="1">SUMPRODUCT(SUMIF(INDIRECT("'"&amp;RIGHT(G57,LEN(G57)-MIN(FIND({0;1;2;3;4;5;6;7;8;9},G57&amp;"0123456789"))+1)&amp;"'!E1:E200000"),"*TOPLAM*",INDIRECT("'"&amp;RIGHT(G57,LEN(G57)-MIN(FIND({0;1;2;3;4;5;6;7;8;9},G57&amp;"0123456789"))+1)&amp;"'!M1:M200000")))</f>
        <v>18432</v>
      </c>
    </row>
    <row r="58" spans="1:11" ht="23.25" x14ac:dyDescent="0.25">
      <c r="A58" s="58" t="s">
        <v>133</v>
      </c>
      <c r="B58" s="41" t="s">
        <v>13</v>
      </c>
      <c r="C58" s="41" t="s">
        <v>18</v>
      </c>
      <c r="D58" s="41" t="s">
        <v>14</v>
      </c>
      <c r="E58" s="20" cm="1">
        <f t="array" aca="1" ref="E58" ca="1">SUMPRODUCT(SUMIF(INDIRECT("'"&amp;RIGHT(A58,LEN(A58)-MIN(FIND({0;1;2;3;4;5;6;7;8;9},A58&amp;"0123456789"))+1)&amp;"'!E1:E200000"),"*TOPLAM*",INDIRECT("'"&amp;RIGHT(A58,LEN(A58)-MIN(FIND({0;1;2;3;4;5;6;7;8;9},A58&amp;"0123456789"))+1)&amp;"'!F1:F200000")))</f>
        <v>6240</v>
      </c>
      <c r="G58" s="58" t="s">
        <v>133</v>
      </c>
      <c r="H58" s="41" t="s">
        <v>13</v>
      </c>
      <c r="I58" s="41" t="s">
        <v>18</v>
      </c>
      <c r="J58" s="41" t="s">
        <v>14</v>
      </c>
      <c r="K58" s="20" cm="1">
        <f t="array" aca="1" ref="K58" ca="1">SUMPRODUCT(SUMIF(INDIRECT("'"&amp;RIGHT(G58,LEN(G58)-MIN(FIND({0;1;2;3;4;5;6;7;8;9},G58&amp;"0123456789"))+1)&amp;"'!E1:E200000"),"*TOPLAM*",INDIRECT("'"&amp;RIGHT(G58,LEN(G58)-MIN(FIND({0;1;2;3;4;5;6;7;8;9},G58&amp;"0123456789"))+1)&amp;"'!M1:M200000")))</f>
        <v>3865</v>
      </c>
    </row>
    <row r="59" spans="1:11" ht="23.25" x14ac:dyDescent="0.25">
      <c r="A59" s="58" t="s">
        <v>659</v>
      </c>
      <c r="B59" s="41" t="s">
        <v>13</v>
      </c>
      <c r="C59" s="41" t="s">
        <v>18</v>
      </c>
      <c r="D59" s="41" t="s">
        <v>14</v>
      </c>
      <c r="E59" s="20">
        <f>'430'!F7</f>
        <v>1380</v>
      </c>
      <c r="G59" s="58" t="s">
        <v>659</v>
      </c>
      <c r="H59" s="41" t="s">
        <v>13</v>
      </c>
      <c r="I59" s="41" t="s">
        <v>18</v>
      </c>
      <c r="J59" s="41" t="s">
        <v>14</v>
      </c>
      <c r="K59" s="20" cm="1">
        <f t="array" aca="1" ref="K59" ca="1">SUMPRODUCT(SUMIF(INDIRECT("'"&amp;RIGHT(G59,LEN(G59)-MIN(FIND({0;1;2;3;4;5;6;7;8;9},G59&amp;"0123456789"))+1)&amp;"'!E1:E200000"),"*TOPLAM*",INDIRECT("'"&amp;RIGHT(G59,LEN(G59)-MIN(FIND({0;1;2;3;4;5;6;7;8;9},G59&amp;"0123456789"))+1)&amp;"'!M1:M200000")))</f>
        <v>1380</v>
      </c>
    </row>
    <row r="60" spans="1:11" ht="23.25" x14ac:dyDescent="0.25">
      <c r="A60" s="58" t="s">
        <v>652</v>
      </c>
      <c r="B60" s="41" t="s">
        <v>13</v>
      </c>
      <c r="C60" s="41" t="s">
        <v>18</v>
      </c>
      <c r="D60" s="41" t="s">
        <v>14</v>
      </c>
      <c r="E60" s="20">
        <f>'434'!F15</f>
        <v>12568</v>
      </c>
      <c r="G60" s="58" t="s">
        <v>652</v>
      </c>
      <c r="H60" s="41" t="s">
        <v>13</v>
      </c>
      <c r="I60" s="41" t="s">
        <v>18</v>
      </c>
      <c r="J60" s="41" t="s">
        <v>14</v>
      </c>
      <c r="K60" s="20" cm="1">
        <f t="array" aca="1" ref="K60" ca="1">SUMPRODUCT(SUMIF(INDIRECT("'"&amp;RIGHT(G60,LEN(G60)-MIN(FIND({0;1;2;3;4;5;6;7;8;9},G60&amp;"0123456789"))+1)&amp;"'!E1:E200000"),"*TOPLAM*",INDIRECT("'"&amp;RIGHT(G60,LEN(G60)-MIN(FIND({0;1;2;3;4;5;6;7;8;9},G60&amp;"0123456789"))+1)&amp;"'!M1:M200000")))</f>
        <v>8669.5</v>
      </c>
    </row>
    <row r="61" spans="1:11" ht="23.25" x14ac:dyDescent="0.25">
      <c r="A61" s="58" t="s">
        <v>536</v>
      </c>
      <c r="B61" s="41" t="s">
        <v>13</v>
      </c>
      <c r="C61" s="41" t="s">
        <v>18</v>
      </c>
      <c r="D61" s="41" t="s">
        <v>14</v>
      </c>
      <c r="E61" s="20" cm="1">
        <f t="array" aca="1" ref="E61" ca="1">SUMPRODUCT(SUMIF(INDIRECT("'"&amp;RIGHT(A61,LEN(A61)-MIN(FIND({0;1;2;3;4;5;6;7;8;9},A61&amp;"0123456789"))+1)&amp;"'!E1:E200000"),"*TOPLAM*",INDIRECT("'"&amp;RIGHT(A61,LEN(A61)-MIN(FIND({0;1;2;3;4;5;6;7;8;9},A61&amp;"0123456789"))+1)&amp;"'!F1:F200000")))</f>
        <v>4241</v>
      </c>
      <c r="G61" s="58" t="s">
        <v>536</v>
      </c>
      <c r="H61" s="41" t="s">
        <v>13</v>
      </c>
      <c r="I61" s="41" t="s">
        <v>18</v>
      </c>
      <c r="J61" s="41" t="s">
        <v>14</v>
      </c>
      <c r="K61" s="20" cm="1">
        <f t="array" aca="1" ref="K61" ca="1">SUMPRODUCT(SUMIF(INDIRECT("'"&amp;RIGHT(G61,LEN(G61)-MIN(FIND({0;1;2;3;4;5;6;7;8;9},G61&amp;"0123456789"))+1)&amp;"'!E1:E200000"),"*TOPLAM*",INDIRECT("'"&amp;RIGHT(G61,LEN(G61)-MIN(FIND({0;1;2;3;4;5;6;7;8;9},G61&amp;"0123456789"))+1)&amp;"'!M1:M200000")))</f>
        <v>3800</v>
      </c>
    </row>
    <row r="62" spans="1:11" ht="23.25" x14ac:dyDescent="0.25">
      <c r="A62" s="58" t="s">
        <v>437</v>
      </c>
      <c r="B62" s="41" t="s">
        <v>13</v>
      </c>
      <c r="C62" s="41" t="s">
        <v>18</v>
      </c>
      <c r="D62" s="41" t="s">
        <v>14</v>
      </c>
      <c r="E62" s="20" cm="1">
        <f t="array" aca="1" ref="E62" ca="1">SUMPRODUCT(SUMIF(INDIRECT("'"&amp;RIGHT(A62,LEN(A62)-MIN(FIND({0;1;2;3;4;5;6;7;8;9},A62&amp;"0123456789"))+1)&amp;"'!E1:E200000"),"*TOPLAM*",INDIRECT("'"&amp;RIGHT(A62,LEN(A62)-MIN(FIND({0;1;2;3;4;5;6;7;8;9},A62&amp;"0123456789"))+1)&amp;"'!F1:F200000")))</f>
        <v>15768.6</v>
      </c>
      <c r="G62" s="58" t="s">
        <v>437</v>
      </c>
      <c r="H62" s="41" t="s">
        <v>13</v>
      </c>
      <c r="I62" s="41" t="s">
        <v>18</v>
      </c>
      <c r="J62" s="41" t="s">
        <v>14</v>
      </c>
      <c r="K62" s="20" cm="1">
        <f t="array" aca="1" ref="K62" ca="1">SUMPRODUCT(SUMIF(INDIRECT("'"&amp;RIGHT(G62,LEN(G62)-MIN(FIND({0;1;2;3;4;5;6;7;8;9},G62&amp;"0123456789"))+1)&amp;"'!E1:E200000"),"*TOPLAM*",INDIRECT("'"&amp;RIGHT(G62,LEN(G62)-MIN(FIND({0;1;2;3;4;5;6;7;8;9},G62&amp;"0123456789"))+1)&amp;"'!M1:M200000")))</f>
        <v>14549.6</v>
      </c>
    </row>
    <row r="63" spans="1:11" ht="23.25" x14ac:dyDescent="0.25">
      <c r="A63" s="58" t="s">
        <v>135</v>
      </c>
      <c r="B63" s="41" t="s">
        <v>13</v>
      </c>
      <c r="C63" s="41" t="s">
        <v>18</v>
      </c>
      <c r="D63" s="41" t="s">
        <v>14</v>
      </c>
      <c r="E63" s="20" cm="1">
        <f t="array" aca="1" ref="E63" ca="1">SUMPRODUCT(SUMIF(INDIRECT("'"&amp;RIGHT(A63,LEN(A63)-MIN(FIND({0;1;2;3;4;5;6;7;8;9},A63&amp;"0123456789"))+1)&amp;"'!E1:E200000"),"*TOPLAM*",INDIRECT("'"&amp;RIGHT(A63,LEN(A63)-MIN(FIND({0;1;2;3;4;5;6;7;8;9},A63&amp;"0123456789"))+1)&amp;"'!F1:F200000")))</f>
        <v>220</v>
      </c>
      <c r="G63" s="58" t="s">
        <v>135</v>
      </c>
      <c r="H63" s="41" t="s">
        <v>13</v>
      </c>
      <c r="I63" s="41" t="s">
        <v>18</v>
      </c>
      <c r="J63" s="41" t="s">
        <v>14</v>
      </c>
      <c r="K63" s="20" cm="1">
        <f t="array" aca="1" ref="K63" ca="1">SUMPRODUCT(SUMIF(INDIRECT("'"&amp;RIGHT(G63,LEN(G63)-MIN(FIND({0;1;2;3;4;5;6;7;8;9},G63&amp;"0123456789"))+1)&amp;"'!E1:E200000"),"*TOPLAM*",INDIRECT("'"&amp;RIGHT(G63,LEN(G63)-MIN(FIND({0;1;2;3;4;5;6;7;8;9},G63&amp;"0123456789"))+1)&amp;"'!M1:M200000")))</f>
        <v>220</v>
      </c>
    </row>
    <row r="64" spans="1:11" ht="23.25" x14ac:dyDescent="0.25">
      <c r="A64" s="58" t="s">
        <v>81</v>
      </c>
      <c r="B64" s="41" t="s">
        <v>13</v>
      </c>
      <c r="C64" s="41" t="s">
        <v>18</v>
      </c>
      <c r="D64" s="41" t="s">
        <v>14</v>
      </c>
      <c r="E64" s="20" cm="1">
        <f t="array" aca="1" ref="E64" ca="1">SUMPRODUCT(SUMIF(INDIRECT("'"&amp;RIGHT(A64,LEN(A64)-MIN(FIND({0;1;2;3;4;5;6;7;8;9},A64&amp;"0123456789"))+1)&amp;"'!E1:E200000"),"*TOPLAM*",INDIRECT("'"&amp;RIGHT(A64,LEN(A64)-MIN(FIND({0;1;2;3;4;5;6;7;8;9},A64&amp;"0123456789"))+1)&amp;"'!F1:F200000")))</f>
        <v>1840</v>
      </c>
      <c r="G64" s="58" t="s">
        <v>81</v>
      </c>
      <c r="H64" s="41" t="s">
        <v>13</v>
      </c>
      <c r="I64" s="41" t="s">
        <v>18</v>
      </c>
      <c r="J64" s="41" t="s">
        <v>14</v>
      </c>
      <c r="K64" s="20" cm="1">
        <f t="array" aca="1" ref="K64" ca="1">SUMPRODUCT(SUMIF(INDIRECT("'"&amp;RIGHT(G64,LEN(G64)-MIN(FIND({0;1;2;3;4;5;6;7;8;9},G64&amp;"0123456789"))+1)&amp;"'!E1:E200000"),"*TOPLAM*",INDIRECT("'"&amp;RIGHT(G64,LEN(G64)-MIN(FIND({0;1;2;3;4;5;6;7;8;9},G64&amp;"0123456789"))+1)&amp;"'!M1:M200000")))</f>
        <v>1640</v>
      </c>
    </row>
    <row r="65" spans="1:11" ht="23.25" x14ac:dyDescent="0.25">
      <c r="A65" s="58" t="s">
        <v>86</v>
      </c>
      <c r="B65" s="41" t="s">
        <v>13</v>
      </c>
      <c r="C65" s="41" t="s">
        <v>18</v>
      </c>
      <c r="D65" s="41" t="s">
        <v>14</v>
      </c>
      <c r="E65" s="20" cm="1">
        <f t="array" aca="1" ref="E65" ca="1">SUMPRODUCT(SUMIF(INDIRECT("'"&amp;RIGHT(A65,LEN(A65)-MIN(FIND({0;1;2;3;4;5;6;7;8;9},A65&amp;"0123456789"))+1)&amp;"'!E1:E200000"),"*TOPLAM*",INDIRECT("'"&amp;RIGHT(A65,LEN(A65)-MIN(FIND({0;1;2;3;4;5;6;7;8;9},A65&amp;"0123456789"))+1)&amp;"'!F1:F200000")))</f>
        <v>6000</v>
      </c>
      <c r="G65" s="58" t="s">
        <v>86</v>
      </c>
      <c r="H65" s="41" t="s">
        <v>13</v>
      </c>
      <c r="I65" s="41" t="s">
        <v>18</v>
      </c>
      <c r="J65" s="41" t="s">
        <v>14</v>
      </c>
      <c r="K65" s="20" cm="1">
        <f t="array" aca="1" ref="K65" ca="1">SUMPRODUCT(SUMIF(INDIRECT("'"&amp;RIGHT(G65,LEN(G65)-MIN(FIND({0;1;2;3;4;5;6;7;8;9},G65&amp;"0123456789"))+1)&amp;"'!E1:E200000"),"*TOPLAM*",INDIRECT("'"&amp;RIGHT(G65,LEN(G65)-MIN(FIND({0;1;2;3;4;5;6;7;8;9},G65&amp;"0123456789"))+1)&amp;"'!M1:M200000")))</f>
        <v>3750</v>
      </c>
    </row>
    <row r="66" spans="1:11" ht="23.25" x14ac:dyDescent="0.25">
      <c r="A66" s="58" t="s">
        <v>84</v>
      </c>
      <c r="B66" s="41" t="s">
        <v>13</v>
      </c>
      <c r="C66" s="41" t="s">
        <v>18</v>
      </c>
      <c r="D66" s="41" t="s">
        <v>14</v>
      </c>
      <c r="E66" s="20" cm="1">
        <f t="array" aca="1" ref="E66" ca="1">SUMPRODUCT(SUMIF(INDIRECT("'"&amp;RIGHT(A66,LEN(A66)-MIN(FIND({0;1;2;3;4;5;6;7;8;9},A66&amp;"0123456789"))+1)&amp;"'!E1:E200000"),"*TOPLAM*",INDIRECT("'"&amp;RIGHT(A66,LEN(A66)-MIN(FIND({0;1;2;3;4;5;6;7;8;9},A66&amp;"0123456789"))+1)&amp;"'!F1:F200000")))</f>
        <v>4950</v>
      </c>
      <c r="G66" s="58" t="s">
        <v>84</v>
      </c>
      <c r="H66" s="41" t="s">
        <v>13</v>
      </c>
      <c r="I66" s="41" t="s">
        <v>18</v>
      </c>
      <c r="J66" s="41" t="s">
        <v>14</v>
      </c>
      <c r="K66" s="20" cm="1">
        <f t="array" aca="1" ref="K66" ca="1">SUMPRODUCT(SUMIF(INDIRECT("'"&amp;RIGHT(G66,LEN(G66)-MIN(FIND({0;1;2;3;4;5;6;7;8;9},G66&amp;"0123456789"))+1)&amp;"'!E1:E200000"),"*TOPLAM*",INDIRECT("'"&amp;RIGHT(G66,LEN(G66)-MIN(FIND({0;1;2;3;4;5;6;7;8;9},G66&amp;"0123456789"))+1)&amp;"'!M1:M200000")))</f>
        <v>4950</v>
      </c>
    </row>
    <row r="67" spans="1:11" ht="23.25" x14ac:dyDescent="0.25">
      <c r="A67" s="58" t="s">
        <v>363</v>
      </c>
      <c r="B67" s="41" t="s">
        <v>13</v>
      </c>
      <c r="C67" s="41" t="s">
        <v>18</v>
      </c>
      <c r="D67" s="41" t="s">
        <v>14</v>
      </c>
      <c r="E67" s="20" cm="1">
        <f t="array" aca="1" ref="E67" ca="1">SUMPRODUCT(SUMIF(INDIRECT("'"&amp;RIGHT(A67,LEN(A67)-MIN(FIND({0;1;2;3;4;5;6;7;8;9},A67&amp;"0123456789"))+1)&amp;"'!E1:E200000"),"*TOPLAM*",INDIRECT("'"&amp;RIGHT(A67,LEN(A67)-MIN(FIND({0;1;2;3;4;5;6;7;8;9},A67&amp;"0123456789"))+1)&amp;"'!F1:F200000")))</f>
        <v>4961.3999999999996</v>
      </c>
      <c r="G67" s="58" t="s">
        <v>363</v>
      </c>
      <c r="H67" s="41" t="s">
        <v>13</v>
      </c>
      <c r="I67" s="41" t="s">
        <v>18</v>
      </c>
      <c r="J67" s="41" t="s">
        <v>14</v>
      </c>
      <c r="K67" s="20" cm="1">
        <f t="array" aca="1" ref="K67" ca="1">SUMPRODUCT(SUMIF(INDIRECT("'"&amp;RIGHT(G67,LEN(G67)-MIN(FIND({0;1;2;3;4;5;6;7;8;9},G67&amp;"0123456789"))+1)&amp;"'!E1:E200000"),"*TOPLAM*",INDIRECT("'"&amp;RIGHT(G67,LEN(G67)-MIN(FIND({0;1;2;3;4;5;6;7;8;9},G67&amp;"0123456789"))+1)&amp;"'!M1:M200000")))</f>
        <v>3506.4</v>
      </c>
    </row>
    <row r="68" spans="1:11" ht="23.25" x14ac:dyDescent="0.25">
      <c r="A68" s="58" t="s">
        <v>335</v>
      </c>
      <c r="B68" s="41" t="s">
        <v>13</v>
      </c>
      <c r="C68" s="41" t="s">
        <v>18</v>
      </c>
      <c r="D68" s="41" t="s">
        <v>14</v>
      </c>
      <c r="E68" s="20" cm="1">
        <f t="array" aca="1" ref="E68" ca="1">SUMPRODUCT(SUMIF(INDIRECT("'"&amp;RIGHT(A68,LEN(A68)-MIN(FIND({0;1;2;3;4;5;6;7;8;9},A68&amp;"0123456789"))+1)&amp;"'!E1:E200000"),"*TOPLAM*",INDIRECT("'"&amp;RIGHT(A68,LEN(A68)-MIN(FIND({0;1;2;3;4;5;6;7;8;9},A68&amp;"0123456789"))+1)&amp;"'!F1:F200000")))</f>
        <v>12816.2</v>
      </c>
      <c r="G68" s="58" t="s">
        <v>335</v>
      </c>
      <c r="H68" s="41" t="s">
        <v>13</v>
      </c>
      <c r="I68" s="41" t="s">
        <v>18</v>
      </c>
      <c r="J68" s="41" t="s">
        <v>14</v>
      </c>
      <c r="K68" s="20" cm="1">
        <f t="array" aca="1" ref="K68" ca="1">SUMPRODUCT(SUMIF(INDIRECT("'"&amp;RIGHT(G68,LEN(G68)-MIN(FIND({0;1;2;3;4;5;6;7;8;9},G68&amp;"0123456789"))+1)&amp;"'!E1:E200000"),"*TOPLAM*",INDIRECT("'"&amp;RIGHT(G68,LEN(G68)-MIN(FIND({0;1;2;3;4;5;6;7;8;9},G68&amp;"0123456789"))+1)&amp;"'!M1:M200000")))</f>
        <v>9846.7000000000007</v>
      </c>
    </row>
    <row r="69" spans="1:11" ht="23.25" x14ac:dyDescent="0.25">
      <c r="A69" s="58" t="s">
        <v>651</v>
      </c>
      <c r="B69" s="41" t="s">
        <v>13</v>
      </c>
      <c r="C69" s="41" t="s">
        <v>18</v>
      </c>
      <c r="D69" s="41" t="s">
        <v>14</v>
      </c>
      <c r="E69" s="20">
        <f>'464'!F11</f>
        <v>8338</v>
      </c>
      <c r="G69" s="58" t="s">
        <v>651</v>
      </c>
      <c r="H69" s="41" t="s">
        <v>13</v>
      </c>
      <c r="I69" s="41" t="s">
        <v>18</v>
      </c>
      <c r="J69" s="41" t="s">
        <v>14</v>
      </c>
      <c r="K69" s="20" cm="1">
        <f t="array" aca="1" ref="K69" ca="1">SUMPRODUCT(SUMIF(INDIRECT("'"&amp;RIGHT(G69,LEN(G69)-MIN(FIND({0;1;2;3;4;5;6;7;8;9},G69&amp;"0123456789"))+1)&amp;"'!E1:E200000"),"*TOPLAM*",INDIRECT("'"&amp;RIGHT(G69,LEN(G69)-MIN(FIND({0;1;2;3;4;5;6;7;8;9},G69&amp;"0123456789"))+1)&amp;"'!M1:M200000")))</f>
        <v>146</v>
      </c>
    </row>
    <row r="70" spans="1:11" ht="23.25" x14ac:dyDescent="0.25">
      <c r="A70" s="58" t="s">
        <v>445</v>
      </c>
      <c r="B70" s="41" t="s">
        <v>13</v>
      </c>
      <c r="C70" s="41" t="s">
        <v>18</v>
      </c>
      <c r="D70" s="41" t="s">
        <v>14</v>
      </c>
      <c r="E70" s="20" cm="1">
        <f t="array" aca="1" ref="E70" ca="1">SUMPRODUCT(SUMIF(INDIRECT("'"&amp;RIGHT(A70,LEN(A70)-MIN(FIND({0;1;2;3;4;5;6;7;8;9},A70&amp;"0123456789"))+1)&amp;"'!E1:E200000"),"*TOPLAM*",INDIRECT("'"&amp;RIGHT(A70,LEN(A70)-MIN(FIND({0;1;2;3;4;5;6;7;8;9},A70&amp;"0123456789"))+1)&amp;"'!F1:F200000")))</f>
        <v>4236</v>
      </c>
      <c r="G70" s="58" t="s">
        <v>445</v>
      </c>
      <c r="H70" s="41" t="s">
        <v>13</v>
      </c>
      <c r="I70" s="41" t="s">
        <v>18</v>
      </c>
      <c r="J70" s="41" t="s">
        <v>14</v>
      </c>
      <c r="K70" s="20" cm="1">
        <f t="array" aca="1" ref="K70" ca="1">SUMPRODUCT(SUMIF(INDIRECT("'"&amp;RIGHT(G70,LEN(G70)-MIN(FIND({0;1;2;3;4;5;6;7;8;9},G70&amp;"0123456789"))+1)&amp;"'!E1:E200000"),"*TOPLAM*",INDIRECT("'"&amp;RIGHT(G70,LEN(G70)-MIN(FIND({0;1;2;3;4;5;6;7;8;9},G70&amp;"0123456789"))+1)&amp;"'!M1:M200000")))</f>
        <v>3660</v>
      </c>
    </row>
    <row r="71" spans="1:11" ht="23.25" x14ac:dyDescent="0.25">
      <c r="A71" s="58" t="s">
        <v>39</v>
      </c>
      <c r="B71" s="41" t="s">
        <v>13</v>
      </c>
      <c r="C71" s="41" t="s">
        <v>18</v>
      </c>
      <c r="D71" s="41" t="s">
        <v>14</v>
      </c>
      <c r="E71" s="20" cm="1">
        <f t="array" aca="1" ref="E71" ca="1">SUMPRODUCT(SUMIF(INDIRECT("'"&amp;RIGHT(A71,LEN(A71)-MIN(FIND({0;1;2;3;4;5;6;7;8;9},A71&amp;"0123456789"))+1)&amp;"'!E1:E200000"),"*TOPLAM*",INDIRECT("'"&amp;RIGHT(A71,LEN(A71)-MIN(FIND({0;1;2;3;4;5;6;7;8;9},A71&amp;"0123456789"))+1)&amp;"'!F1:F200000")))</f>
        <v>24261</v>
      </c>
      <c r="G71" s="58" t="s">
        <v>39</v>
      </c>
      <c r="H71" s="41" t="s">
        <v>13</v>
      </c>
      <c r="I71" s="41" t="s">
        <v>18</v>
      </c>
      <c r="J71" s="41" t="s">
        <v>14</v>
      </c>
      <c r="K71" s="20" cm="1">
        <f t="array" aca="1" ref="K71" ca="1">SUMPRODUCT(SUMIF(INDIRECT("'"&amp;RIGHT(G71,LEN(G71)-MIN(FIND({0;1;2;3;4;5;6;7;8;9},G71&amp;"0123456789"))+1)&amp;"'!E1:E200000"),"*TOPLAM*",INDIRECT("'"&amp;RIGHT(G71,LEN(G71)-MIN(FIND({0;1;2;3;4;5;6;7;8;9},G71&amp;"0123456789"))+1)&amp;"'!M1:M200000")))</f>
        <v>16971</v>
      </c>
    </row>
    <row r="72" spans="1:11" ht="23.25" x14ac:dyDescent="0.25">
      <c r="A72" s="58" t="s">
        <v>461</v>
      </c>
      <c r="B72" s="41" t="s">
        <v>13</v>
      </c>
      <c r="C72" s="41" t="s">
        <v>18</v>
      </c>
      <c r="D72" s="41" t="s">
        <v>14</v>
      </c>
      <c r="E72" s="20" cm="1">
        <f t="array" aca="1" ref="E72" ca="1">SUMPRODUCT(SUMIF(INDIRECT("'"&amp;RIGHT(A72,LEN(A72)-MIN(FIND({0;1;2;3;4;5;6;7;8;9},A72&amp;"0123456789"))+1)&amp;"'!E1:E200000"),"*TOPLAM*",INDIRECT("'"&amp;RIGHT(A72,LEN(A72)-MIN(FIND({0;1;2;3;4;5;6;7;8;9},A72&amp;"0123456789"))+1)&amp;"'!F1:F200000")))</f>
        <v>1441.4</v>
      </c>
      <c r="G72" s="58" t="s">
        <v>461</v>
      </c>
      <c r="H72" s="41" t="s">
        <v>13</v>
      </c>
      <c r="I72" s="41" t="s">
        <v>18</v>
      </c>
      <c r="J72" s="41" t="s">
        <v>14</v>
      </c>
      <c r="K72" s="20" cm="1">
        <f t="array" aca="1" ref="K72" ca="1">SUMPRODUCT(SUMIF(INDIRECT("'"&amp;RIGHT(G72,LEN(G72)-MIN(FIND({0;1;2;3;4;5;6;7;8;9},G72&amp;"0123456789"))+1)&amp;"'!E1:E200000"),"*TOPLAM*",INDIRECT("'"&amp;RIGHT(G72,LEN(G72)-MIN(FIND({0;1;2;3;4;5;6;7;8;9},G72&amp;"0123456789"))+1)&amp;"'!M1:M200000")))</f>
        <v>1321.4</v>
      </c>
    </row>
    <row r="73" spans="1:11" ht="23.25" x14ac:dyDescent="0.25">
      <c r="A73" s="58" t="s">
        <v>88</v>
      </c>
      <c r="B73" s="41" t="s">
        <v>13</v>
      </c>
      <c r="C73" s="41" t="s">
        <v>18</v>
      </c>
      <c r="D73" s="41" t="s">
        <v>14</v>
      </c>
      <c r="E73" s="20" cm="1">
        <f t="array" aca="1" ref="E73" ca="1">SUMPRODUCT(SUMIF(INDIRECT("'"&amp;RIGHT(A73,LEN(A73)-MIN(FIND({0;1;2;3;4;5;6;7;8;9},A73&amp;"0123456789"))+1)&amp;"'!E1:E200000"),"*TOPLAM*",INDIRECT("'"&amp;RIGHT(A73,LEN(A73)-MIN(FIND({0;1;2;3;4;5;6;7;8;9},A73&amp;"0123456789"))+1)&amp;"'!F1:F200000")))</f>
        <v>10483.6</v>
      </c>
      <c r="G73" s="58" t="s">
        <v>88</v>
      </c>
      <c r="H73" s="41" t="s">
        <v>13</v>
      </c>
      <c r="I73" s="41" t="s">
        <v>18</v>
      </c>
      <c r="J73" s="41" t="s">
        <v>14</v>
      </c>
      <c r="K73" s="20" cm="1">
        <f t="array" aca="1" ref="K73" ca="1">SUMPRODUCT(SUMIF(INDIRECT("'"&amp;RIGHT(G73,LEN(G73)-MIN(FIND({0;1;2;3;4;5;6;7;8;9},G73&amp;"0123456789"))+1)&amp;"'!E1:E200000"),"*TOPLAM*",INDIRECT("'"&amp;RIGHT(G73,LEN(G73)-MIN(FIND({0;1;2;3;4;5;6;7;8;9},G73&amp;"0123456789"))+1)&amp;"'!M1:M200000")))</f>
        <v>8043.6</v>
      </c>
    </row>
    <row r="74" spans="1:11" ht="23.25" x14ac:dyDescent="0.25">
      <c r="A74" s="58" t="s">
        <v>374</v>
      </c>
      <c r="B74" s="41" t="s">
        <v>13</v>
      </c>
      <c r="C74" s="41" t="s">
        <v>18</v>
      </c>
      <c r="D74" s="41" t="s">
        <v>14</v>
      </c>
      <c r="E74" s="20" cm="1">
        <f t="array" aca="1" ref="E74" ca="1">SUMPRODUCT(SUMIF(INDIRECT("'"&amp;RIGHT(A74,LEN(A74)-MIN(FIND({0;1;2;3;4;5;6;7;8;9},A74&amp;"0123456789"))+1)&amp;"'!E1:E200000"),"*TOPLAM*",INDIRECT("'"&amp;RIGHT(A74,LEN(A74)-MIN(FIND({0;1;2;3;4;5;6;7;8;9},A74&amp;"0123456789"))+1)&amp;"'!F1:F200000")))</f>
        <v>1030</v>
      </c>
      <c r="G74" s="58" t="s">
        <v>374</v>
      </c>
      <c r="H74" s="41" t="s">
        <v>13</v>
      </c>
      <c r="I74" s="41" t="s">
        <v>18</v>
      </c>
      <c r="J74" s="41" t="s">
        <v>14</v>
      </c>
      <c r="K74" s="20" cm="1">
        <f t="array" aca="1" ref="K74" ca="1">SUMPRODUCT(SUMIF(INDIRECT("'"&amp;RIGHT(G74,LEN(G74)-MIN(FIND({0;1;2;3;4;5;6;7;8;9},G74&amp;"0123456789"))+1)&amp;"'!E1:E200000"),"*TOPLAM*",INDIRECT("'"&amp;RIGHT(G74,LEN(G74)-MIN(FIND({0;1;2;3;4;5;6;7;8;9},G74&amp;"0123456789"))+1)&amp;"'!M1:M200000")))</f>
        <v>1030</v>
      </c>
    </row>
    <row r="75" spans="1:11" ht="23.25" x14ac:dyDescent="0.25">
      <c r="A75" s="58" t="s">
        <v>379</v>
      </c>
      <c r="B75" s="41" t="s">
        <v>13</v>
      </c>
      <c r="C75" s="41" t="s">
        <v>18</v>
      </c>
      <c r="D75" s="41" t="s">
        <v>14</v>
      </c>
      <c r="E75" s="20" cm="1">
        <f t="array" aca="1" ref="E75" ca="1">SUMPRODUCT(SUMIF(INDIRECT("'"&amp;RIGHT(A75,LEN(A75)-MIN(FIND({0;1;2;3;4;5;6;7;8;9},A75&amp;"0123456789"))+1)&amp;"'!E1:E200000"),"*TOPLAM*",INDIRECT("'"&amp;RIGHT(A75,LEN(A75)-MIN(FIND({0;1;2;3;4;5;6;7;8;9},A75&amp;"0123456789"))+1)&amp;"'!F1:F200000")))</f>
        <v>2470</v>
      </c>
      <c r="G75" s="58" t="s">
        <v>379</v>
      </c>
      <c r="H75" s="41" t="s">
        <v>13</v>
      </c>
      <c r="I75" s="41" t="s">
        <v>18</v>
      </c>
      <c r="J75" s="41" t="s">
        <v>14</v>
      </c>
      <c r="K75" s="20" cm="1">
        <f t="array" aca="1" ref="K75" ca="1">SUMPRODUCT(SUMIF(INDIRECT("'"&amp;RIGHT(G75,LEN(G75)-MIN(FIND({0;1;2;3;4;5;6;7;8;9},G75&amp;"0123456789"))+1)&amp;"'!E1:E200000"),"*TOPLAM*",INDIRECT("'"&amp;RIGHT(G75,LEN(G75)-MIN(FIND({0;1;2;3;4;5;6;7;8;9},G75&amp;"0123456789"))+1)&amp;"'!M1:M200000")))</f>
        <v>2470</v>
      </c>
    </row>
    <row r="76" spans="1:11" ht="23.25" x14ac:dyDescent="0.25">
      <c r="A76" s="58" t="s">
        <v>380</v>
      </c>
      <c r="B76" s="41" t="s">
        <v>13</v>
      </c>
      <c r="C76" s="41" t="s">
        <v>18</v>
      </c>
      <c r="D76" s="41" t="s">
        <v>14</v>
      </c>
      <c r="E76" s="20" cm="1">
        <f t="array" aca="1" ref="E76" ca="1">SUMPRODUCT(SUMIF(INDIRECT("'"&amp;RIGHT(A76,LEN(A76)-MIN(FIND({0;1;2;3;4;5;6;7;8;9},A76&amp;"0123456789"))+1)&amp;"'!E1:E200000"),"*TOPLAM*",INDIRECT("'"&amp;RIGHT(A76,LEN(A76)-MIN(FIND({0;1;2;3;4;5;6;7;8;9},A76&amp;"0123456789"))+1)&amp;"'!F1:F200000")))</f>
        <v>2580</v>
      </c>
      <c r="G76" s="58" t="s">
        <v>380</v>
      </c>
      <c r="H76" s="41" t="s">
        <v>13</v>
      </c>
      <c r="I76" s="41" t="s">
        <v>18</v>
      </c>
      <c r="J76" s="41" t="s">
        <v>14</v>
      </c>
      <c r="K76" s="20" cm="1">
        <f t="array" aca="1" ref="K76" ca="1">SUMPRODUCT(SUMIF(INDIRECT("'"&amp;RIGHT(G76,LEN(G76)-MIN(FIND({0;1;2;3;4;5;6;7;8;9},G76&amp;"0123456789"))+1)&amp;"'!E1:E200000"),"*TOPLAM*",INDIRECT("'"&amp;RIGHT(G76,LEN(G76)-MIN(FIND({0;1;2;3;4;5;6;7;8;9},G76&amp;"0123456789"))+1)&amp;"'!M1:M200000")))</f>
        <v>2580</v>
      </c>
    </row>
    <row r="77" spans="1:11" ht="23.25" x14ac:dyDescent="0.25">
      <c r="A77" s="58" t="s">
        <v>174</v>
      </c>
      <c r="B77" s="41" t="s">
        <v>13</v>
      </c>
      <c r="C77" s="41" t="s">
        <v>18</v>
      </c>
      <c r="D77" s="41" t="s">
        <v>14</v>
      </c>
      <c r="E77" s="20" cm="1">
        <f t="array" aca="1" ref="E77" ca="1">SUMPRODUCT(SUMIF(INDIRECT("'"&amp;RIGHT(A77,LEN(A77)-MIN(FIND({0;1;2;3;4;5;6;7;8;9},A77&amp;"0123456789"))+1)&amp;"'!E1:E200000"),"*TOPLAM*",INDIRECT("'"&amp;RIGHT(A77,LEN(A77)-MIN(FIND({0;1;2;3;4;5;6;7;8;9},A77&amp;"0123456789"))+1)&amp;"'!F1:F200000")))</f>
        <v>9850.7999999999993</v>
      </c>
      <c r="G77" s="58" t="s">
        <v>174</v>
      </c>
      <c r="H77" s="41" t="s">
        <v>13</v>
      </c>
      <c r="I77" s="41" t="s">
        <v>18</v>
      </c>
      <c r="J77" s="41" t="s">
        <v>14</v>
      </c>
      <c r="K77" s="20" cm="1">
        <f t="array" aca="1" ref="K77" ca="1">SUMPRODUCT(SUMIF(INDIRECT("'"&amp;RIGHT(G77,LEN(G77)-MIN(FIND({0;1;2;3;4;5;6;7;8;9},G77&amp;"0123456789"))+1)&amp;"'!E1:E200000"),"*TOPLAM*",INDIRECT("'"&amp;RIGHT(G77,LEN(G77)-MIN(FIND({0;1;2;3;4;5;6;7;8;9},G77&amp;"0123456789"))+1)&amp;"'!M1:M200000")))</f>
        <v>7363.3</v>
      </c>
    </row>
    <row r="78" spans="1:11" ht="23.25" x14ac:dyDescent="0.25">
      <c r="A78" s="58" t="s">
        <v>235</v>
      </c>
      <c r="B78" s="41" t="s">
        <v>13</v>
      </c>
      <c r="C78" s="41" t="s">
        <v>18</v>
      </c>
      <c r="D78" s="41" t="s">
        <v>14</v>
      </c>
      <c r="E78" s="20" cm="1">
        <f t="array" aca="1" ref="E78" ca="1">SUMPRODUCT(SUMIF(INDIRECT("'"&amp;RIGHT(A78,LEN(A78)-MIN(FIND({0;1;2;3;4;5;6;7;8;9},A78&amp;"0123456789"))+1)&amp;"'!E1:E200000"),"*TOPLAM*",INDIRECT("'"&amp;RIGHT(A78,LEN(A78)-MIN(FIND({0;1;2;3;4;5;6;7;8;9},A78&amp;"0123456789"))+1)&amp;"'!F1:F200000")))</f>
        <v>6057.2</v>
      </c>
      <c r="G78" s="58" t="s">
        <v>235</v>
      </c>
      <c r="H78" s="41" t="s">
        <v>13</v>
      </c>
      <c r="I78" s="41" t="s">
        <v>18</v>
      </c>
      <c r="J78" s="41" t="s">
        <v>14</v>
      </c>
      <c r="K78" s="20" cm="1">
        <f t="array" aca="1" ref="K78" ca="1">SUMPRODUCT(SUMIF(INDIRECT("'"&amp;RIGHT(G78,LEN(G78)-MIN(FIND({0;1;2;3;4;5;6;7;8;9},G78&amp;"0123456789"))+1)&amp;"'!E1:E200000"),"*TOPLAM*",INDIRECT("'"&amp;RIGHT(G78,LEN(G78)-MIN(FIND({0;1;2;3;4;5;6;7;8;9},G78&amp;"0123456789"))+1)&amp;"'!M1:M200000")))</f>
        <v>3991.2</v>
      </c>
    </row>
    <row r="79" spans="1:11" ht="23.25" x14ac:dyDescent="0.25">
      <c r="A79" s="58" t="s">
        <v>249</v>
      </c>
      <c r="B79" s="41" t="s">
        <v>13</v>
      </c>
      <c r="C79" s="41" t="s">
        <v>18</v>
      </c>
      <c r="D79" s="41" t="s">
        <v>14</v>
      </c>
      <c r="E79" s="20" cm="1">
        <f t="array" aca="1" ref="E79" ca="1">SUMPRODUCT(SUMIF(INDIRECT("'"&amp;RIGHT(A79,LEN(A79)-MIN(FIND({0;1;2;3;4;5;6;7;8;9},A79&amp;"0123456789"))+1)&amp;"'!E1:E200000"),"*TOPLAM*",INDIRECT("'"&amp;RIGHT(A79,LEN(A79)-MIN(FIND({0;1;2;3;4;5;6;7;8;9},A79&amp;"0123456789"))+1)&amp;"'!F1:F200000")))</f>
        <v>11606.4</v>
      </c>
      <c r="G79" s="58" t="s">
        <v>249</v>
      </c>
      <c r="H79" s="41" t="s">
        <v>13</v>
      </c>
      <c r="I79" s="41" t="s">
        <v>18</v>
      </c>
      <c r="J79" s="41" t="s">
        <v>14</v>
      </c>
      <c r="K79" s="20" cm="1">
        <f t="array" aca="1" ref="K79" ca="1">SUMPRODUCT(SUMIF(INDIRECT("'"&amp;RIGHT(G79,LEN(G79)-MIN(FIND({0;1;2;3;4;5;6;7;8;9},G79&amp;"0123456789"))+1)&amp;"'!E1:E200000"),"*TOPLAM*",INDIRECT("'"&amp;RIGHT(G79,LEN(G79)-MIN(FIND({0;1;2;3;4;5;6;7;8;9},G79&amp;"0123456789"))+1)&amp;"'!M1:M200000")))</f>
        <v>8161.4</v>
      </c>
    </row>
    <row r="80" spans="1:11" ht="23.25" x14ac:dyDescent="0.25">
      <c r="A80" s="58" t="s">
        <v>226</v>
      </c>
      <c r="B80" s="41" t="s">
        <v>13</v>
      </c>
      <c r="C80" s="41" t="s">
        <v>18</v>
      </c>
      <c r="D80" s="41" t="s">
        <v>14</v>
      </c>
      <c r="E80" s="20" cm="1">
        <f t="array" aca="1" ref="E80" ca="1">SUMPRODUCT(SUMIF(INDIRECT("'"&amp;RIGHT(A80,LEN(A80)-MIN(FIND({0;1;2;3;4;5;6;7;8;9},A80&amp;"0123456789"))+1)&amp;"'!E1:E200000"),"*TOPLAM*",INDIRECT("'"&amp;RIGHT(A80,LEN(A80)-MIN(FIND({0;1;2;3;4;5;6;7;8;9},A80&amp;"0123456789"))+1)&amp;"'!F1:F200000")))</f>
        <v>11348.2</v>
      </c>
      <c r="G80" s="58" t="s">
        <v>226</v>
      </c>
      <c r="H80" s="41" t="s">
        <v>13</v>
      </c>
      <c r="I80" s="41" t="s">
        <v>18</v>
      </c>
      <c r="J80" s="41" t="s">
        <v>14</v>
      </c>
      <c r="K80" s="20" cm="1">
        <f t="array" aca="1" ref="K80" ca="1">SUMPRODUCT(SUMIF(INDIRECT("'"&amp;RIGHT(G80,LEN(G80)-MIN(FIND({0;1;2;3;4;5;6;7;8;9},G80&amp;"0123456789"))+1)&amp;"'!E1:E200000"),"*TOPLAM*",INDIRECT("'"&amp;RIGHT(G80,LEN(G80)-MIN(FIND({0;1;2;3;4;5;6;7;8;9},G80&amp;"0123456789"))+1)&amp;"'!M1:M200000")))</f>
        <v>8748.2000000000007</v>
      </c>
    </row>
    <row r="81" spans="1:11" ht="23.25" x14ac:dyDescent="0.25">
      <c r="A81" s="58" t="s">
        <v>230</v>
      </c>
      <c r="B81" s="41" t="s">
        <v>13</v>
      </c>
      <c r="C81" s="41" t="s">
        <v>18</v>
      </c>
      <c r="D81" s="41" t="s">
        <v>14</v>
      </c>
      <c r="E81" s="20" cm="1">
        <f t="array" aca="1" ref="E81" ca="1">SUMPRODUCT(SUMIF(INDIRECT("'"&amp;RIGHT(A81,LEN(A81)-MIN(FIND({0;1;2;3;4;5;6;7;8;9},A81&amp;"0123456789"))+1)&amp;"'!E1:E200000"),"*TOPLAM*",INDIRECT("'"&amp;RIGHT(A81,LEN(A81)-MIN(FIND({0;1;2;3;4;5;6;7;8;9},A81&amp;"0123456789"))+1)&amp;"'!F1:F200000")))</f>
        <v>12786</v>
      </c>
      <c r="G81" s="58" t="s">
        <v>230</v>
      </c>
      <c r="H81" s="41" t="s">
        <v>13</v>
      </c>
      <c r="I81" s="41" t="s">
        <v>18</v>
      </c>
      <c r="J81" s="41" t="s">
        <v>14</v>
      </c>
      <c r="K81" s="20" cm="1">
        <f t="array" aca="1" ref="K81" ca="1">SUMPRODUCT(SUMIF(INDIRECT("'"&amp;RIGHT(G81,LEN(G81)-MIN(FIND({0;1;2;3;4;5;6;7;8;9},G81&amp;"0123456789"))+1)&amp;"'!E1:E200000"),"*TOPLAM*",INDIRECT("'"&amp;RIGHT(G81,LEN(G81)-MIN(FIND({0;1;2;3;4;5;6;7;8;9},G81&amp;"0123456789"))+1)&amp;"'!M1:M200000")))</f>
        <v>10096</v>
      </c>
    </row>
    <row r="82" spans="1:11" ht="23.25" x14ac:dyDescent="0.25">
      <c r="A82" s="58" t="s">
        <v>237</v>
      </c>
      <c r="B82" s="41" t="s">
        <v>13</v>
      </c>
      <c r="C82" s="41" t="s">
        <v>18</v>
      </c>
      <c r="D82" s="41" t="s">
        <v>14</v>
      </c>
      <c r="E82" s="20" cm="1">
        <f t="array" aca="1" ref="E82" ca="1">SUMPRODUCT(SUMIF(INDIRECT("'"&amp;RIGHT(A82,LEN(A82)-MIN(FIND({0;1;2;3;4;5;6;7;8;9},A82&amp;"0123456789"))+1)&amp;"'!E1:E200000"),"*TOPLAM*",INDIRECT("'"&amp;RIGHT(A82,LEN(A82)-MIN(FIND({0;1;2;3;4;5;6;7;8;9},A82&amp;"0123456789"))+1)&amp;"'!F1:F200000")))</f>
        <v>5273</v>
      </c>
      <c r="G82" s="58" t="s">
        <v>237</v>
      </c>
      <c r="H82" s="41" t="s">
        <v>13</v>
      </c>
      <c r="I82" s="41" t="s">
        <v>18</v>
      </c>
      <c r="J82" s="41" t="s">
        <v>14</v>
      </c>
      <c r="K82" s="20" cm="1">
        <f t="array" aca="1" ref="K82" ca="1">SUMPRODUCT(SUMIF(INDIRECT("'"&amp;RIGHT(G82,LEN(G82)-MIN(FIND({0;1;2;3;4;5;6;7;8;9},G82&amp;"0123456789"))+1)&amp;"'!E1:E200000"),"*TOPLAM*",INDIRECT("'"&amp;RIGHT(G82,LEN(G82)-MIN(FIND({0;1;2;3;4;5;6;7;8;9},G82&amp;"0123456789"))+1)&amp;"'!M1:M200000")))</f>
        <v>3068</v>
      </c>
    </row>
    <row r="83" spans="1:11" ht="23.25" x14ac:dyDescent="0.25">
      <c r="A83" s="58" t="s">
        <v>239</v>
      </c>
      <c r="B83" s="41" t="s">
        <v>13</v>
      </c>
      <c r="C83" s="41" t="s">
        <v>18</v>
      </c>
      <c r="D83" s="41" t="s">
        <v>14</v>
      </c>
      <c r="E83" s="20" cm="1">
        <f t="array" aca="1" ref="E83" ca="1">SUMPRODUCT(SUMIF(INDIRECT("'"&amp;RIGHT(A83,LEN(A83)-MIN(FIND({0;1;2;3;4;5;6;7;8;9},A83&amp;"0123456789"))+1)&amp;"'!E1:E200000"),"*TOPLAM*",INDIRECT("'"&amp;RIGHT(A83,LEN(A83)-MIN(FIND({0;1;2;3;4;5;6;7;8;9},A83&amp;"0123456789"))+1)&amp;"'!F1:F200000")))</f>
        <v>5672</v>
      </c>
      <c r="G83" s="58" t="s">
        <v>239</v>
      </c>
      <c r="H83" s="41" t="s">
        <v>13</v>
      </c>
      <c r="I83" s="41" t="s">
        <v>18</v>
      </c>
      <c r="J83" s="41" t="s">
        <v>14</v>
      </c>
      <c r="K83" s="20" cm="1">
        <f t="array" aca="1" ref="K83" ca="1">SUMPRODUCT(SUMIF(INDIRECT("'"&amp;RIGHT(G83,LEN(G83)-MIN(FIND({0;1;2;3;4;5;6;7;8;9},G83&amp;"0123456789"))+1)&amp;"'!E1:E200000"),"*TOPLAM*",INDIRECT("'"&amp;RIGHT(G83,LEN(G83)-MIN(FIND({0;1;2;3;4;5;6;7;8;9},G83&amp;"0123456789"))+1)&amp;"'!M1:M200000")))</f>
        <v>3679</v>
      </c>
    </row>
    <row r="84" spans="1:11" ht="23.25" x14ac:dyDescent="0.25">
      <c r="A84" s="58" t="s">
        <v>241</v>
      </c>
      <c r="B84" s="41" t="s">
        <v>13</v>
      </c>
      <c r="C84" s="41" t="s">
        <v>18</v>
      </c>
      <c r="D84" s="41" t="s">
        <v>14</v>
      </c>
      <c r="E84" s="20" cm="1">
        <f t="array" aca="1" ref="E84" ca="1">SUMPRODUCT(SUMIF(INDIRECT("'"&amp;RIGHT(A84,LEN(A84)-MIN(FIND({0;1;2;3;4;5;6;7;8;9},A84&amp;"0123456789"))+1)&amp;"'!E1:E200000"),"*TOPLAM*",INDIRECT("'"&amp;RIGHT(A84,LEN(A84)-MIN(FIND({0;1;2;3;4;5;6;7;8;9},A84&amp;"0123456789"))+1)&amp;"'!F1:F200000")))</f>
        <v>1785</v>
      </c>
      <c r="G84" s="58" t="s">
        <v>241</v>
      </c>
      <c r="H84" s="41" t="s">
        <v>13</v>
      </c>
      <c r="I84" s="41" t="s">
        <v>18</v>
      </c>
      <c r="J84" s="41" t="s">
        <v>14</v>
      </c>
      <c r="K84" s="20" cm="1">
        <f t="array" aca="1" ref="K84" ca="1">SUMPRODUCT(SUMIF(INDIRECT("'"&amp;RIGHT(G84,LEN(G84)-MIN(FIND({0;1;2;3;4;5;6;7;8;9},G84&amp;"0123456789"))+1)&amp;"'!E1:E200000"),"*TOPLAM*",INDIRECT("'"&amp;RIGHT(G84,LEN(G84)-MIN(FIND({0;1;2;3;4;5;6;7;8;9},G84&amp;"0123456789"))+1)&amp;"'!M1:M200000")))</f>
        <v>1785</v>
      </c>
    </row>
    <row r="85" spans="1:11" ht="23.25" x14ac:dyDescent="0.25">
      <c r="A85" s="58" t="s">
        <v>243</v>
      </c>
      <c r="B85" s="41" t="s">
        <v>13</v>
      </c>
      <c r="C85" s="41" t="s">
        <v>18</v>
      </c>
      <c r="D85" s="41" t="s">
        <v>14</v>
      </c>
      <c r="E85" s="20" cm="1">
        <f t="array" aca="1" ref="E85" ca="1">SUMPRODUCT(SUMIF(INDIRECT("'"&amp;RIGHT(A85,LEN(A85)-MIN(FIND({0;1;2;3;4;5;6;7;8;9},A85&amp;"0123456789"))+1)&amp;"'!E1:E200000"),"*TOPLAM*",INDIRECT("'"&amp;RIGHT(A85,LEN(A85)-MIN(FIND({0;1;2;3;4;5;6;7;8;9},A85&amp;"0123456789"))+1)&amp;"'!F1:F200000")))</f>
        <v>2051</v>
      </c>
      <c r="G85" s="58" t="s">
        <v>243</v>
      </c>
      <c r="H85" s="41" t="s">
        <v>13</v>
      </c>
      <c r="I85" s="41" t="s">
        <v>18</v>
      </c>
      <c r="J85" s="41" t="s">
        <v>14</v>
      </c>
      <c r="K85" s="20" cm="1">
        <f t="array" aca="1" ref="K85" ca="1">SUMPRODUCT(SUMIF(INDIRECT("'"&amp;RIGHT(G85,LEN(G85)-MIN(FIND({0;1;2;3;4;5;6;7;8;9},G85&amp;"0123456789"))+1)&amp;"'!E1:E200000"),"*TOPLAM*",INDIRECT("'"&amp;RIGHT(G85,LEN(G85)-MIN(FIND({0;1;2;3;4;5;6;7;8;9},G85&amp;"0123456789"))+1)&amp;"'!M1:M200000")))</f>
        <v>2051</v>
      </c>
    </row>
    <row r="86" spans="1:11" ht="23.25" x14ac:dyDescent="0.25">
      <c r="A86" s="58" t="s">
        <v>171</v>
      </c>
      <c r="B86" s="41" t="s">
        <v>13</v>
      </c>
      <c r="C86" s="41" t="s">
        <v>18</v>
      </c>
      <c r="D86" s="41" t="s">
        <v>14</v>
      </c>
      <c r="E86" s="20" cm="1">
        <f t="array" aca="1" ref="E86" ca="1">SUMPRODUCT(SUMIF(INDIRECT("'"&amp;RIGHT(A86,LEN(A86)-MIN(FIND({0;1;2;3;4;5;6;7;8;9},A86&amp;"0123456789"))+1)&amp;"'!E1:E200000"),"*TOPLAM*",INDIRECT("'"&amp;RIGHT(A86,LEN(A86)-MIN(FIND({0;1;2;3;4;5;6;7;8;9},A86&amp;"0123456789"))+1)&amp;"'!F1:F200000")))</f>
        <v>2303</v>
      </c>
      <c r="G86" s="58" t="s">
        <v>171</v>
      </c>
      <c r="H86" s="41" t="s">
        <v>13</v>
      </c>
      <c r="I86" s="41" t="s">
        <v>18</v>
      </c>
      <c r="J86" s="41" t="s">
        <v>14</v>
      </c>
      <c r="K86" s="20" cm="1">
        <f t="array" aca="1" ref="K86" ca="1">SUMPRODUCT(SUMIF(INDIRECT("'"&amp;RIGHT(G86,LEN(G86)-MIN(FIND({0;1;2;3;4;5;6;7;8;9},G86&amp;"0123456789"))+1)&amp;"'!E1:E200000"),"*TOPLAM*",INDIRECT("'"&amp;RIGHT(G86,LEN(G86)-MIN(FIND({0;1;2;3;4;5;6;7;8;9},G86&amp;"0123456789"))+1)&amp;"'!M1:M200000")))</f>
        <v>2303</v>
      </c>
    </row>
    <row r="87" spans="1:11" ht="23.25" x14ac:dyDescent="0.25">
      <c r="A87" s="58" t="s">
        <v>257</v>
      </c>
      <c r="B87" s="41" t="s">
        <v>13</v>
      </c>
      <c r="C87" s="41" t="s">
        <v>18</v>
      </c>
      <c r="D87" s="41" t="s">
        <v>14</v>
      </c>
      <c r="E87" s="20" cm="1">
        <f t="array" aca="1" ref="E87" ca="1">SUMPRODUCT(SUMIF(INDIRECT("'"&amp;RIGHT(A87,LEN(A87)-MIN(FIND({0;1;2;3;4;5;6;7;8;9},A87&amp;"0123456789"))+1)&amp;"'!E1:E200000"),"*TOPLAM*",INDIRECT("'"&amp;RIGHT(A87,LEN(A87)-MIN(FIND({0;1;2;3;4;5;6;7;8;9},A87&amp;"0123456789"))+1)&amp;"'!F1:F200000")))</f>
        <v>14610</v>
      </c>
      <c r="G87" s="58" t="s">
        <v>257</v>
      </c>
      <c r="H87" s="41" t="s">
        <v>13</v>
      </c>
      <c r="I87" s="41" t="s">
        <v>18</v>
      </c>
      <c r="J87" s="41" t="s">
        <v>14</v>
      </c>
      <c r="K87" s="20" cm="1">
        <f t="array" aca="1" ref="K87" ca="1">SUMPRODUCT(SUMIF(INDIRECT("'"&amp;RIGHT(G87,LEN(G87)-MIN(FIND({0;1;2;3;4;5;6;7;8;9},G87&amp;"0123456789"))+1)&amp;"'!E1:E200000"),"*TOPLAM*",INDIRECT("'"&amp;RIGHT(G87,LEN(G87)-MIN(FIND({0;1;2;3;4;5;6;7;8;9},G87&amp;"0123456789"))+1)&amp;"'!M1:M200000")))</f>
        <v>11988</v>
      </c>
    </row>
    <row r="88" spans="1:11" ht="23.25" x14ac:dyDescent="0.25">
      <c r="A88" s="58" t="s">
        <v>377</v>
      </c>
      <c r="B88" s="41" t="s">
        <v>13</v>
      </c>
      <c r="C88" s="41" t="s">
        <v>18</v>
      </c>
      <c r="D88" s="41" t="s">
        <v>14</v>
      </c>
      <c r="E88" s="20" cm="1">
        <f t="array" aca="1" ref="E88" ca="1">SUMPRODUCT(SUMIF(INDIRECT("'"&amp;RIGHT(A88,LEN(A88)-MIN(FIND({0;1;2;3;4;5;6;7;8;9},A88&amp;"0123456789"))+1)&amp;"'!E1:E200000"),"*TOPLAM*",INDIRECT("'"&amp;RIGHT(A88,LEN(A88)-MIN(FIND({0;1;2;3;4;5;6;7;8;9},A88&amp;"0123456789"))+1)&amp;"'!F1:F200000")))</f>
        <v>2130</v>
      </c>
      <c r="G88" s="58" t="s">
        <v>377</v>
      </c>
      <c r="H88" s="41" t="s">
        <v>13</v>
      </c>
      <c r="I88" s="41" t="s">
        <v>18</v>
      </c>
      <c r="J88" s="41" t="s">
        <v>14</v>
      </c>
      <c r="K88" s="20" cm="1">
        <f t="array" aca="1" ref="K88" ca="1">SUMPRODUCT(SUMIF(INDIRECT("'"&amp;RIGHT(G88,LEN(G88)-MIN(FIND({0;1;2;3;4;5;6;7;8;9},G88&amp;"0123456789"))+1)&amp;"'!E1:E200000"),"*TOPLAM*",INDIRECT("'"&amp;RIGHT(G88,LEN(G88)-MIN(FIND({0;1;2;3;4;5;6;7;8;9},G88&amp;"0123456789"))+1)&amp;"'!M1:M200000")))</f>
        <v>2130</v>
      </c>
    </row>
    <row r="89" spans="1:11" ht="23.25" x14ac:dyDescent="0.25">
      <c r="A89" s="58" t="s">
        <v>52</v>
      </c>
      <c r="B89" s="41" t="s">
        <v>13</v>
      </c>
      <c r="C89" s="41" t="s">
        <v>18</v>
      </c>
      <c r="D89" s="41" t="s">
        <v>14</v>
      </c>
      <c r="E89" s="20" cm="1">
        <f t="array" aca="1" ref="E89" ca="1">SUMPRODUCT(SUMIF(INDIRECT("'"&amp;RIGHT(A89,LEN(A89)-MIN(FIND({0;1;2;3;4;5;6;7;8;9},A89&amp;"0123456789"))+1)&amp;"'!E1:E200000"),"*TOPLAM*",INDIRECT("'"&amp;RIGHT(A89,LEN(A89)-MIN(FIND({0;1;2;3;4;5;6;7;8;9},A89&amp;"0123456789"))+1)&amp;"'!F1:F200000")))</f>
        <v>1173</v>
      </c>
      <c r="G89" s="58" t="s">
        <v>52</v>
      </c>
      <c r="H89" s="41" t="s">
        <v>13</v>
      </c>
      <c r="I89" s="41" t="s">
        <v>18</v>
      </c>
      <c r="J89" s="41" t="s">
        <v>14</v>
      </c>
      <c r="K89" s="20" cm="1">
        <f t="array" aca="1" ref="K89" ca="1">SUMPRODUCT(SUMIF(INDIRECT("'"&amp;RIGHT(G89,LEN(G89)-MIN(FIND({0;1;2;3;4;5;6;7;8;9},G89&amp;"0123456789"))+1)&amp;"'!E1:E200000"),"*TOPLAM*",INDIRECT("'"&amp;RIGHT(G89,LEN(G89)-MIN(FIND({0;1;2;3;4;5;6;7;8;9},G89&amp;"0123456789"))+1)&amp;"'!M1:M200000")))</f>
        <v>1173</v>
      </c>
    </row>
    <row r="90" spans="1:11" ht="23.25" x14ac:dyDescent="0.25">
      <c r="A90" s="58" t="s">
        <v>344</v>
      </c>
      <c r="B90" s="41" t="s">
        <v>13</v>
      </c>
      <c r="C90" s="41" t="s">
        <v>18</v>
      </c>
      <c r="D90" s="41" t="s">
        <v>14</v>
      </c>
      <c r="E90" s="20" cm="1">
        <f t="array" aca="1" ref="E90" ca="1">SUMPRODUCT(SUMIF(INDIRECT("'"&amp;RIGHT(A90,LEN(A90)-MIN(FIND({0;1;2;3;4;5;6;7;8;9},A90&amp;"0123456789"))+1)&amp;"'!E1:E200000"),"*TOPLAM*",INDIRECT("'"&amp;RIGHT(A90,LEN(A90)-MIN(FIND({0;1;2;3;4;5;6;7;8;9},A90&amp;"0123456789"))+1)&amp;"'!F1:F200000")))</f>
        <v>24981</v>
      </c>
      <c r="G90" s="58" t="s">
        <v>344</v>
      </c>
      <c r="H90" s="41" t="s">
        <v>13</v>
      </c>
      <c r="I90" s="41" t="s">
        <v>18</v>
      </c>
      <c r="J90" s="41" t="s">
        <v>14</v>
      </c>
      <c r="K90" s="20" cm="1">
        <f t="array" aca="1" ref="K90" ca="1">SUMPRODUCT(SUMIF(INDIRECT("'"&amp;RIGHT(G90,LEN(G90)-MIN(FIND({0;1;2;3;4;5;6;7;8;9},G90&amp;"0123456789"))+1)&amp;"'!E1:E200000"),"*TOPLAM*",INDIRECT("'"&amp;RIGHT(G90,LEN(G90)-MIN(FIND({0;1;2;3;4;5;6;7;8;9},G90&amp;"0123456789"))+1)&amp;"'!M1:M200000")))</f>
        <v>16346</v>
      </c>
    </row>
    <row r="91" spans="1:11" ht="23.25" x14ac:dyDescent="0.25">
      <c r="A91" s="58" t="s">
        <v>658</v>
      </c>
      <c r="B91" s="41" t="s">
        <v>13</v>
      </c>
      <c r="C91" s="41" t="s">
        <v>18</v>
      </c>
      <c r="D91" s="41" t="s">
        <v>14</v>
      </c>
      <c r="E91" s="20" cm="1">
        <f t="array" aca="1" ref="E91" ca="1">SUMPRODUCT(SUMIF(INDIRECT("'"&amp;RIGHT(A91,LEN(A91)-MIN(FIND({0;1;2;3;4;5;6;7;8;9},A91&amp;"0123456789"))+1)&amp;"'!E1:E200000"),"*TOPLAM*",INDIRECT("'"&amp;RIGHT(A91,LEN(A91)-MIN(FIND({0;1;2;3;4;5;6;7;8;9},A91&amp;"0123456789"))+1)&amp;"'!F1:F200000")))</f>
        <v>3148</v>
      </c>
      <c r="G91" s="58" t="s">
        <v>658</v>
      </c>
      <c r="H91" s="41" t="s">
        <v>13</v>
      </c>
      <c r="I91" s="41" t="s">
        <v>18</v>
      </c>
      <c r="J91" s="41" t="s">
        <v>14</v>
      </c>
      <c r="K91" s="20" cm="1">
        <f t="array" aca="1" ref="K91" ca="1">SUMPRODUCT(SUMIF(INDIRECT("'"&amp;RIGHT(G91,LEN(G91)-MIN(FIND({0;1;2;3;4;5;6;7;8;9},G91&amp;"0123456789"))+1)&amp;"'!E1:E200000"),"*TOPLAM*",INDIRECT("'"&amp;RIGHT(G91,LEN(G91)-MIN(FIND({0;1;2;3;4;5;6;7;8;9},G91&amp;"0123456789"))+1)&amp;"'!M1:M200000")))</f>
        <v>642</v>
      </c>
    </row>
    <row r="92" spans="1:11" ht="23.25" x14ac:dyDescent="0.25">
      <c r="A92" s="58" t="s">
        <v>454</v>
      </c>
      <c r="B92" s="41" t="s">
        <v>13</v>
      </c>
      <c r="C92" s="41" t="s">
        <v>18</v>
      </c>
      <c r="D92" s="41" t="s">
        <v>14</v>
      </c>
      <c r="E92" s="20" cm="1">
        <f t="array" aca="1" ref="E92" ca="1">SUMPRODUCT(SUMIF(INDIRECT("'"&amp;RIGHT(A92,LEN(A92)-MIN(FIND({0;1;2;3;4;5;6;7;8;9},A92&amp;"0123456789"))+1)&amp;"'!E1:E200000"),"*TOPLAM*",INDIRECT("'"&amp;RIGHT(A92,LEN(A92)-MIN(FIND({0;1;2;3;4;5;6;7;8;9},A92&amp;"0123456789"))+1)&amp;"'!F1:F200000")))</f>
        <v>1168</v>
      </c>
      <c r="G92" s="58" t="s">
        <v>454</v>
      </c>
      <c r="H92" s="41" t="s">
        <v>13</v>
      </c>
      <c r="I92" s="41" t="s">
        <v>18</v>
      </c>
      <c r="J92" s="41" t="s">
        <v>14</v>
      </c>
      <c r="K92" s="20" cm="1">
        <f t="array" aca="1" ref="K92" ca="1">SUMPRODUCT(SUMIF(INDIRECT("'"&amp;RIGHT(G92,LEN(G92)-MIN(FIND({0;1;2;3;4;5;6;7;8;9},G92&amp;"0123456789"))+1)&amp;"'!E1:E200000"),"*TOPLAM*",INDIRECT("'"&amp;RIGHT(G92,LEN(G92)-MIN(FIND({0;1;2;3;4;5;6;7;8;9},G92&amp;"0123456789"))+1)&amp;"'!M1:M200000")))</f>
        <v>1168</v>
      </c>
    </row>
    <row r="93" spans="1:11" ht="23.25" x14ac:dyDescent="0.25">
      <c r="A93" s="58" t="s">
        <v>433</v>
      </c>
      <c r="B93" s="41" t="s">
        <v>13</v>
      </c>
      <c r="C93" s="41" t="s">
        <v>18</v>
      </c>
      <c r="D93" s="41" t="s">
        <v>14</v>
      </c>
      <c r="E93" s="20" cm="1">
        <f t="array" aca="1" ref="E93" ca="1">SUMPRODUCT(SUMIF(INDIRECT("'"&amp;RIGHT(A93,LEN(A93)-MIN(FIND({0;1;2;3;4;5;6;7;8;9},A93&amp;"0123456789"))+1)&amp;"'!E1:E200000"),"*TOPLAM*",INDIRECT("'"&amp;RIGHT(A93,LEN(A93)-MIN(FIND({0;1;2;3;4;5;6;7;8;9},A93&amp;"0123456789"))+1)&amp;"'!F1:F200000")))</f>
        <v>6336.2</v>
      </c>
      <c r="G93" s="58" t="s">
        <v>433</v>
      </c>
      <c r="H93" s="41" t="s">
        <v>13</v>
      </c>
      <c r="I93" s="41" t="s">
        <v>18</v>
      </c>
      <c r="J93" s="41" t="s">
        <v>14</v>
      </c>
      <c r="K93" s="20" cm="1">
        <f t="array" aca="1" ref="K93" ca="1">SUMPRODUCT(SUMIF(INDIRECT("'"&amp;RIGHT(G93,LEN(G93)-MIN(FIND({0;1;2;3;4;5;6;7;8;9},G93&amp;"0123456789"))+1)&amp;"'!E1:E200000"),"*TOPLAM*",INDIRECT("'"&amp;RIGHT(G93,LEN(G93)-MIN(FIND({0;1;2;3;4;5;6;7;8;9},G93&amp;"0123456789"))+1)&amp;"'!M1:M200000")))</f>
        <v>4335.7</v>
      </c>
    </row>
    <row r="94" spans="1:11" ht="23.25" x14ac:dyDescent="0.25">
      <c r="A94" s="58" t="s">
        <v>434</v>
      </c>
      <c r="B94" s="41" t="s">
        <v>13</v>
      </c>
      <c r="C94" s="41" t="s">
        <v>18</v>
      </c>
      <c r="D94" s="41" t="s">
        <v>14</v>
      </c>
      <c r="E94" s="20" cm="1">
        <f t="array" aca="1" ref="E94" ca="1">SUMPRODUCT(SUMIF(INDIRECT("'"&amp;RIGHT(A94,LEN(A94)-MIN(FIND({0;1;2;3;4;5;6;7;8;9},A94&amp;"0123456789"))+1)&amp;"'!E1:E200000"),"*TOPLAM*",INDIRECT("'"&amp;RIGHT(A94,LEN(A94)-MIN(FIND({0;1;2;3;4;5;6;7;8;9},A94&amp;"0123456789"))+1)&amp;"'!F1:F200000")))</f>
        <v>13099.8</v>
      </c>
      <c r="G94" s="58" t="s">
        <v>434</v>
      </c>
      <c r="H94" s="41" t="s">
        <v>13</v>
      </c>
      <c r="I94" s="41" t="s">
        <v>18</v>
      </c>
      <c r="J94" s="41" t="s">
        <v>14</v>
      </c>
      <c r="K94" s="20" cm="1">
        <f t="array" aca="1" ref="K94" ca="1">SUMPRODUCT(SUMIF(INDIRECT("'"&amp;RIGHT(G94,LEN(G94)-MIN(FIND({0;1;2;3;4;5;6;7;8;9},G94&amp;"0123456789"))+1)&amp;"'!E1:E200000"),"*TOPLAM*",INDIRECT("'"&amp;RIGHT(G94,LEN(G94)-MIN(FIND({0;1;2;3;4;5;6;7;8;9},G94&amp;"0123456789"))+1)&amp;"'!M1:M200000")))</f>
        <v>10653</v>
      </c>
    </row>
    <row r="95" spans="1:11" ht="23.25" x14ac:dyDescent="0.25">
      <c r="A95" s="58" t="s">
        <v>372</v>
      </c>
      <c r="B95" s="41" t="s">
        <v>13</v>
      </c>
      <c r="C95" s="41" t="s">
        <v>18</v>
      </c>
      <c r="D95" s="41" t="s">
        <v>14</v>
      </c>
      <c r="E95" s="20" cm="1">
        <f t="array" aca="1" ref="E95" ca="1">SUMPRODUCT(SUMIF(INDIRECT("'"&amp;RIGHT(A95,LEN(A95)-MIN(FIND({0;1;2;3;4;5;6;7;8;9},A95&amp;"0123456789"))+1)&amp;"'!E1:E200000"),"*TOPLAM*",INDIRECT("'"&amp;RIGHT(A95,LEN(A95)-MIN(FIND({0;1;2;3;4;5;6;7;8;9},A95&amp;"0123456789"))+1)&amp;"'!F1:F200000")))</f>
        <v>1380</v>
      </c>
      <c r="G95" s="58" t="s">
        <v>372</v>
      </c>
      <c r="H95" s="41" t="s">
        <v>13</v>
      </c>
      <c r="I95" s="41" t="s">
        <v>18</v>
      </c>
      <c r="J95" s="41" t="s">
        <v>14</v>
      </c>
      <c r="K95" s="20" cm="1">
        <f t="array" aca="1" ref="K95" ca="1">SUMPRODUCT(SUMIF(INDIRECT("'"&amp;RIGHT(G95,LEN(G95)-MIN(FIND({0;1;2;3;4;5;6;7;8;9},G95&amp;"0123456789"))+1)&amp;"'!E1:E200000"),"*TOPLAM*",INDIRECT("'"&amp;RIGHT(G95,LEN(G95)-MIN(FIND({0;1;2;3;4;5;6;7;8;9},G95&amp;"0123456789"))+1)&amp;"'!M1:M200000")))</f>
        <v>1380</v>
      </c>
    </row>
    <row r="96" spans="1:11" ht="23.25" x14ac:dyDescent="0.25">
      <c r="A96" s="58" t="s">
        <v>392</v>
      </c>
      <c r="B96" s="41" t="s">
        <v>13</v>
      </c>
      <c r="C96" s="41" t="s">
        <v>18</v>
      </c>
      <c r="D96" s="41" t="s">
        <v>14</v>
      </c>
      <c r="E96" s="20" cm="1">
        <f t="array" aca="1" ref="E96" ca="1">SUMPRODUCT(SUMIF(INDIRECT("'"&amp;RIGHT(A96,LEN(A96)-MIN(FIND({0;1;2;3;4;5;6;7;8;9},A96&amp;"0123456789"))+1)&amp;"'!E1:E200000"),"*TOPLAM*",INDIRECT("'"&amp;RIGHT(A96,LEN(A96)-MIN(FIND({0;1;2;3;4;5;6;7;8;9},A96&amp;"0123456789"))+1)&amp;"'!F1:F200000")))</f>
        <v>2840</v>
      </c>
      <c r="G96" s="58" t="s">
        <v>392</v>
      </c>
      <c r="H96" s="41" t="s">
        <v>13</v>
      </c>
      <c r="I96" s="41" t="s">
        <v>18</v>
      </c>
      <c r="J96" s="41" t="s">
        <v>14</v>
      </c>
      <c r="K96" s="20" cm="1">
        <f t="array" aca="1" ref="K96" ca="1">SUMPRODUCT(SUMIF(INDIRECT("'"&amp;RIGHT(G96,LEN(G96)-MIN(FIND({0;1;2;3;4;5;6;7;8;9},G96&amp;"0123456789"))+1)&amp;"'!E1:E200000"),"*TOPLAM*",INDIRECT("'"&amp;RIGHT(G96,LEN(G96)-MIN(FIND({0;1;2;3;4;5;6;7;8;9},G96&amp;"0123456789"))+1)&amp;"'!M1:M200000")))</f>
        <v>2405</v>
      </c>
    </row>
    <row r="97" spans="1:11" ht="23.25" x14ac:dyDescent="0.25">
      <c r="A97" s="58" t="s">
        <v>450</v>
      </c>
      <c r="B97" s="41" t="s">
        <v>13</v>
      </c>
      <c r="C97" s="41" t="s">
        <v>18</v>
      </c>
      <c r="D97" s="41" t="s">
        <v>14</v>
      </c>
      <c r="E97" s="20" cm="1">
        <f t="array" aca="1" ref="E97" ca="1">SUMPRODUCT(SUMIF(INDIRECT("'"&amp;RIGHT(A97,LEN(A97)-MIN(FIND({0;1;2;3;4;5;6;7;8;9},A97&amp;"0123456789"))+1)&amp;"'!E1:E200000"),"*TOPLAM*",INDIRECT("'"&amp;RIGHT(A97,LEN(A97)-MIN(FIND({0;1;2;3;4;5;6;7;8;9},A97&amp;"0123456789"))+1)&amp;"'!F1:F200000")))</f>
        <v>1566</v>
      </c>
      <c r="G97" s="58" t="s">
        <v>450</v>
      </c>
      <c r="H97" s="41" t="s">
        <v>13</v>
      </c>
      <c r="I97" s="41" t="s">
        <v>18</v>
      </c>
      <c r="J97" s="41" t="s">
        <v>14</v>
      </c>
      <c r="K97" s="20" cm="1">
        <f t="array" aca="1" ref="K97" ca="1">SUMPRODUCT(SUMIF(INDIRECT("'"&amp;RIGHT(G97,LEN(G97)-MIN(FIND({0;1;2;3;4;5;6;7;8;9},G97&amp;"0123456789"))+1)&amp;"'!E1:E200000"),"*TOPLAM*",INDIRECT("'"&amp;RIGHT(G97,LEN(G97)-MIN(FIND({0;1;2;3;4;5;6;7;8;9},G97&amp;"0123456789"))+1)&amp;"'!M1:M200000")))</f>
        <v>1566</v>
      </c>
    </row>
    <row r="98" spans="1:11" ht="23.25" x14ac:dyDescent="0.25">
      <c r="A98" s="58" t="s">
        <v>534</v>
      </c>
      <c r="B98" s="41" t="s">
        <v>13</v>
      </c>
      <c r="C98" s="41" t="s">
        <v>18</v>
      </c>
      <c r="D98" s="41" t="s">
        <v>14</v>
      </c>
      <c r="E98" s="20" cm="1">
        <f t="array" aca="1" ref="E98" ca="1">SUMPRODUCT(SUMIF(INDIRECT("'"&amp;RIGHT(A98,LEN(A98)-MIN(FIND({0;1;2;3;4;5;6;7;8;9},A98&amp;"0123456789"))+1)&amp;"'!E1:E200000"),"*TOPLAM*",INDIRECT("'"&amp;RIGHT(A98,LEN(A98)-MIN(FIND({0;1;2;3;4;5;6;7;8;9},A98&amp;"0123456789"))+1)&amp;"'!F1:F200000")))</f>
        <v>3293</v>
      </c>
      <c r="G98" s="58" t="s">
        <v>534</v>
      </c>
      <c r="H98" s="41" t="s">
        <v>13</v>
      </c>
      <c r="I98" s="41" t="s">
        <v>18</v>
      </c>
      <c r="J98" s="41" t="s">
        <v>14</v>
      </c>
      <c r="K98" s="20" cm="1">
        <f t="array" aca="1" ref="K98" ca="1">SUMPRODUCT(SUMIF(INDIRECT("'"&amp;RIGHT(G98,LEN(G98)-MIN(FIND({0;1;2;3;4;5;6;7;8;9},G98&amp;"0123456789"))+1)&amp;"'!E1:E200000"),"*TOPLAM*",INDIRECT("'"&amp;RIGHT(G98,LEN(G98)-MIN(FIND({0;1;2;3;4;5;6;7;8;9},G98&amp;"0123456789"))+1)&amp;"'!M1:M200000")))</f>
        <v>3293</v>
      </c>
    </row>
    <row r="99" spans="1:11" ht="23.25" x14ac:dyDescent="0.25">
      <c r="A99" s="58" t="s">
        <v>845</v>
      </c>
      <c r="B99" s="41" t="s">
        <v>13</v>
      </c>
      <c r="C99" s="41" t="s">
        <v>18</v>
      </c>
      <c r="D99" s="41" t="s">
        <v>14</v>
      </c>
      <c r="E99" s="20" cm="1">
        <f t="array" aca="1" ref="E99" ca="1">SUMPRODUCT(SUMIF(INDIRECT("'"&amp;RIGHT(A99,LEN(A99)-MIN(FIND({0;1;2;3;4;5;6;7;8;9},A99&amp;"0123456789"))+1)&amp;"'!E1:E200000"),"*TOPLAM*",INDIRECT("'"&amp;RIGHT(A99,LEN(A99)-MIN(FIND({0;1;2;3;4;5;6;7;8;9},A99&amp;"0123456789"))+1)&amp;"'!F1:F200000")))</f>
        <v>3097.2</v>
      </c>
      <c r="G99" s="58" t="s">
        <v>845</v>
      </c>
      <c r="H99" s="41" t="s">
        <v>13</v>
      </c>
      <c r="I99" s="41" t="s">
        <v>18</v>
      </c>
      <c r="J99" s="41" t="s">
        <v>14</v>
      </c>
      <c r="K99" s="20" cm="1">
        <f t="array" aca="1" ref="K99" ca="1">SUMPRODUCT(SUMIF(INDIRECT("'"&amp;RIGHT(G99,LEN(G99)-MIN(FIND({0;1;2;3;4;5;6;7;8;9},G99&amp;"0123456789"))+1)&amp;"'!E1:E200000"),"*TOPLAM*",INDIRECT("'"&amp;RIGHT(G99,LEN(G99)-MIN(FIND({0;1;2;3;4;5;6;7;8;9},G99&amp;"0123456789"))+1)&amp;"'!M1:M200000")))</f>
        <v>2665.2</v>
      </c>
    </row>
    <row r="100" spans="1:11" ht="23.25" x14ac:dyDescent="0.25">
      <c r="A100" s="58" t="s">
        <v>415</v>
      </c>
      <c r="B100" s="41" t="s">
        <v>13</v>
      </c>
      <c r="C100" s="41" t="s">
        <v>18</v>
      </c>
      <c r="D100" s="41" t="s">
        <v>14</v>
      </c>
      <c r="E100" s="20" cm="1">
        <f t="array" aca="1" ref="E100" ca="1">SUMPRODUCT(SUMIF(INDIRECT("'"&amp;RIGHT(A100,LEN(A100)-MIN(FIND({0;1;2;3;4;5;6;7;8;9},A100&amp;"0123456789"))+1)&amp;"'!E1:E200000"),"*TOPLAM*",INDIRECT("'"&amp;RIGHT(A100,LEN(A100)-MIN(FIND({0;1;2;3;4;5;6;7;8;9},A100&amp;"0123456789"))+1)&amp;"'!F1:F200000")))</f>
        <v>9014.2999999999993</v>
      </c>
      <c r="G100" s="58" t="s">
        <v>415</v>
      </c>
      <c r="H100" s="41" t="s">
        <v>13</v>
      </c>
      <c r="I100" s="41" t="s">
        <v>18</v>
      </c>
      <c r="J100" s="41" t="s">
        <v>14</v>
      </c>
      <c r="K100" s="20" cm="1">
        <f t="array" aca="1" ref="K100" ca="1">SUMPRODUCT(SUMIF(INDIRECT("'"&amp;RIGHT(G100,LEN(G100)-MIN(FIND({0;1;2;3;4;5;6;7;8;9},G100&amp;"0123456789"))+1)&amp;"'!E1:E200000"),"*TOPLAM*",INDIRECT("'"&amp;RIGHT(G100,LEN(G100)-MIN(FIND({0;1;2;3;4;5;6;7;8;9},G100&amp;"0123456789"))+1)&amp;"'!M1:M200000")))</f>
        <v>6582.3</v>
      </c>
    </row>
    <row r="101" spans="1:11" ht="23.25" x14ac:dyDescent="0.25">
      <c r="A101" s="58" t="s">
        <v>417</v>
      </c>
      <c r="B101" s="41" t="s">
        <v>13</v>
      </c>
      <c r="C101" s="41" t="s">
        <v>18</v>
      </c>
      <c r="D101" s="41" t="s">
        <v>14</v>
      </c>
      <c r="E101" s="20" cm="1">
        <f t="array" aca="1" ref="E101" ca="1">SUMPRODUCT(SUMIF(INDIRECT("'"&amp;RIGHT(A101,LEN(A101)-MIN(FIND({0;1;2;3;4;5;6;7;8;9},A101&amp;"0123456789"))+1)&amp;"'!E1:E200000"),"*TOPLAM*",INDIRECT("'"&amp;RIGHT(A101,LEN(A101)-MIN(FIND({0;1;2;3;4;5;6;7;8;9},A101&amp;"0123456789"))+1)&amp;"'!F1:F200000")))</f>
        <v>7490</v>
      </c>
      <c r="G101" s="58" t="s">
        <v>417</v>
      </c>
      <c r="H101" s="41" t="s">
        <v>13</v>
      </c>
      <c r="I101" s="41" t="s">
        <v>18</v>
      </c>
      <c r="J101" s="41" t="s">
        <v>14</v>
      </c>
      <c r="K101" s="20" cm="1">
        <f t="array" aca="1" ref="K101" ca="1">SUMPRODUCT(SUMIF(INDIRECT("'"&amp;RIGHT(G101,LEN(G101)-MIN(FIND({0;1;2;3;4;5;6;7;8;9},G101&amp;"0123456789"))+1)&amp;"'!E1:E200000"),"*TOPLAM*",INDIRECT("'"&amp;RIGHT(G101,LEN(G101)-MIN(FIND({0;1;2;3;4;5;6;7;8;9},G101&amp;"0123456789"))+1)&amp;"'!M1:M200000")))</f>
        <v>5162</v>
      </c>
    </row>
    <row r="102" spans="1:11" ht="23.25" x14ac:dyDescent="0.25">
      <c r="A102" s="58" t="s">
        <v>419</v>
      </c>
      <c r="B102" s="41" t="s">
        <v>13</v>
      </c>
      <c r="C102" s="41" t="s">
        <v>18</v>
      </c>
      <c r="D102" s="41" t="s">
        <v>14</v>
      </c>
      <c r="E102" s="20" cm="1">
        <f t="array" aca="1" ref="E102" ca="1">SUMPRODUCT(SUMIF(INDIRECT("'"&amp;RIGHT(A102,LEN(A102)-MIN(FIND({0;1;2;3;4;5;6;7;8;9},A102&amp;"0123456789"))+1)&amp;"'!E1:E200000"),"*TOPLAM*",INDIRECT("'"&amp;RIGHT(A102,LEN(A102)-MIN(FIND({0;1;2;3;4;5;6;7;8;9},A102&amp;"0123456789"))+1)&amp;"'!F1:F200000")))</f>
        <v>7070</v>
      </c>
      <c r="G102" s="58" t="s">
        <v>419</v>
      </c>
      <c r="H102" s="41" t="s">
        <v>13</v>
      </c>
      <c r="I102" s="41" t="s">
        <v>18</v>
      </c>
      <c r="J102" s="41" t="s">
        <v>14</v>
      </c>
      <c r="K102" s="20" cm="1">
        <f t="array" aca="1" ref="K102" ca="1">SUMPRODUCT(SUMIF(INDIRECT("'"&amp;RIGHT(G102,LEN(G102)-MIN(FIND({0;1;2;3;4;5;6;7;8;9},G102&amp;"0123456789"))+1)&amp;"'!E1:E200000"),"*TOPLAM*",INDIRECT("'"&amp;RIGHT(G102,LEN(G102)-MIN(FIND({0;1;2;3;4;5;6;7;8;9},G102&amp;"0123456789"))+1)&amp;"'!M1:M200000")))</f>
        <v>4727</v>
      </c>
    </row>
    <row r="103" spans="1:11" ht="23.25" x14ac:dyDescent="0.25">
      <c r="A103" s="58" t="s">
        <v>420</v>
      </c>
      <c r="B103" s="41" t="s">
        <v>13</v>
      </c>
      <c r="C103" s="41" t="s">
        <v>18</v>
      </c>
      <c r="D103" s="41" t="s">
        <v>14</v>
      </c>
      <c r="E103" s="20" cm="1">
        <f t="array" aca="1" ref="E103" ca="1">SUMPRODUCT(SUMIF(INDIRECT("'"&amp;RIGHT(A103,LEN(A103)-MIN(FIND({0;1;2;3;4;5;6;7;8;9},A103&amp;"0123456789"))+1)&amp;"'!E1:E200000"),"*TOPLAM*",INDIRECT("'"&amp;RIGHT(A103,LEN(A103)-MIN(FIND({0;1;2;3;4;5;6;7;8;9},A103&amp;"0123456789"))+1)&amp;"'!F1:F200000")))</f>
        <v>18868</v>
      </c>
      <c r="G103" s="58" t="s">
        <v>420</v>
      </c>
      <c r="H103" s="41" t="s">
        <v>13</v>
      </c>
      <c r="I103" s="41" t="s">
        <v>18</v>
      </c>
      <c r="J103" s="41" t="s">
        <v>14</v>
      </c>
      <c r="K103" s="20" cm="1">
        <f t="array" aca="1" ref="K103" ca="1">SUMPRODUCT(SUMIF(INDIRECT("'"&amp;RIGHT(G103,LEN(G103)-MIN(FIND({0;1;2;3;4;5;6;7;8;9},G103&amp;"0123456789"))+1)&amp;"'!E1:E200000"),"*TOPLAM*",INDIRECT("'"&amp;RIGHT(G103,LEN(G103)-MIN(FIND({0;1;2;3;4;5;6;7;8;9},G103&amp;"0123456789"))+1)&amp;"'!M1:M200000")))</f>
        <v>13023</v>
      </c>
    </row>
    <row r="104" spans="1:11" ht="23.25" x14ac:dyDescent="0.25">
      <c r="A104" s="58" t="s">
        <v>523</v>
      </c>
      <c r="B104" s="41" t="s">
        <v>13</v>
      </c>
      <c r="C104" s="41" t="s">
        <v>18</v>
      </c>
      <c r="D104" s="41" t="s">
        <v>14</v>
      </c>
      <c r="E104" s="20" cm="1">
        <f t="array" aca="1" ref="E104" ca="1">SUMPRODUCT(SUMIF(INDIRECT("'"&amp;RIGHT(A104,LEN(A104)-MIN(FIND({0;1;2;3;4;5;6;7;8;9},A104&amp;"0123456789"))+1)&amp;"'!E1:E200000"),"*TOPLAM*",INDIRECT("'"&amp;RIGHT(A104,LEN(A104)-MIN(FIND({0;1;2;3;4;5;6;7;8;9},A104&amp;"0123456789"))+1)&amp;"'!F1:F200000")))</f>
        <v>9210</v>
      </c>
      <c r="G104" s="58" t="s">
        <v>523</v>
      </c>
      <c r="H104" s="41" t="s">
        <v>13</v>
      </c>
      <c r="I104" s="41" t="s">
        <v>18</v>
      </c>
      <c r="J104" s="41" t="s">
        <v>14</v>
      </c>
      <c r="K104" s="20" cm="1">
        <f t="array" aca="1" ref="K104" ca="1">SUMPRODUCT(SUMIF(INDIRECT("'"&amp;RIGHT(G104,LEN(G104)-MIN(FIND({0;1;2;3;4;5;6;7;8;9},G104&amp;"0123456789"))+1)&amp;"'!E1:E200000"),"*TOPLAM*",INDIRECT("'"&amp;RIGHT(G104,LEN(G104)-MIN(FIND({0;1;2;3;4;5;6;7;8;9},G104&amp;"0123456789"))+1)&amp;"'!M1:M200000")))</f>
        <v>5661</v>
      </c>
    </row>
    <row r="105" spans="1:11" ht="23.25" x14ac:dyDescent="0.25">
      <c r="A105" s="58" t="s">
        <v>524</v>
      </c>
      <c r="B105" s="41" t="s">
        <v>13</v>
      </c>
      <c r="C105" s="41" t="s">
        <v>18</v>
      </c>
      <c r="D105" s="41" t="s">
        <v>14</v>
      </c>
      <c r="E105" s="20" cm="1">
        <f t="array" aca="1" ref="E105" ca="1">SUMPRODUCT(SUMIF(INDIRECT("'"&amp;RIGHT(A105,LEN(A105)-MIN(FIND({0;1;2;3;4;5;6;7;8;9},A105&amp;"0123456789"))+1)&amp;"'!E1:E200000"),"*TOPLAM*",INDIRECT("'"&amp;RIGHT(A105,LEN(A105)-MIN(FIND({0;1;2;3;4;5;6;7;8;9},A105&amp;"0123456789"))+1)&amp;"'!F1:F200000")))</f>
        <v>6797</v>
      </c>
      <c r="G105" s="58" t="s">
        <v>524</v>
      </c>
      <c r="H105" s="41" t="s">
        <v>13</v>
      </c>
      <c r="I105" s="41" t="s">
        <v>18</v>
      </c>
      <c r="J105" s="41" t="s">
        <v>14</v>
      </c>
      <c r="K105" s="20" cm="1">
        <f t="array" aca="1" ref="K105" ca="1">SUMPRODUCT(SUMIF(INDIRECT("'"&amp;RIGHT(G105,LEN(G105)-MIN(FIND({0;1;2;3;4;5;6;7;8;9},G105&amp;"0123456789"))+1)&amp;"'!E1:E200000"),"*TOPLAM*",INDIRECT("'"&amp;RIGHT(G105,LEN(G105)-MIN(FIND({0;1;2;3;4;5;6;7;8;9},G105&amp;"0123456789"))+1)&amp;"'!M1:M200000")))</f>
        <v>4224.5</v>
      </c>
    </row>
    <row r="106" spans="1:11" ht="23.25" x14ac:dyDescent="0.25">
      <c r="A106" s="58" t="s">
        <v>513</v>
      </c>
      <c r="B106" s="41" t="s">
        <v>13</v>
      </c>
      <c r="C106" s="41" t="s">
        <v>18</v>
      </c>
      <c r="D106" s="41" t="s">
        <v>14</v>
      </c>
      <c r="E106" s="20" cm="1">
        <f t="array" aca="1" ref="E106" ca="1">SUMPRODUCT(SUMIF(INDIRECT("'"&amp;RIGHT(A106,LEN(A106)-MIN(FIND({0;1;2;3;4;5;6;7;8;9},A106&amp;"0123456789"))+1)&amp;"'!E1:E200000"),"*TOPLAM*",INDIRECT("'"&amp;RIGHT(A106,LEN(A106)-MIN(FIND({0;1;2;3;4;5;6;7;8;9},A106&amp;"0123456789"))+1)&amp;"'!F1:F200000")))</f>
        <v>6009.6</v>
      </c>
      <c r="G106" s="58" t="s">
        <v>513</v>
      </c>
      <c r="H106" s="41" t="s">
        <v>13</v>
      </c>
      <c r="I106" s="41" t="s">
        <v>18</v>
      </c>
      <c r="J106" s="41" t="s">
        <v>14</v>
      </c>
      <c r="K106" s="20" cm="1">
        <f t="array" aca="1" ref="K106" ca="1">SUMPRODUCT(SUMIF(INDIRECT("'"&amp;RIGHT(G106,LEN(G106)-MIN(FIND({0;1;2;3;4;5;6;7;8;9},G106&amp;"0123456789"))+1)&amp;"'!E1:E200000"),"*TOPLAM*",INDIRECT("'"&amp;RIGHT(G106,LEN(G106)-MIN(FIND({0;1;2;3;4;5;6;7;8;9},G106&amp;"0123456789"))+1)&amp;"'!M1:M200000")))</f>
        <v>4015.6</v>
      </c>
    </row>
    <row r="107" spans="1:11" ht="23.25" x14ac:dyDescent="0.25">
      <c r="A107" s="58" t="s">
        <v>515</v>
      </c>
      <c r="B107" s="41" t="s">
        <v>13</v>
      </c>
      <c r="C107" s="41" t="s">
        <v>18</v>
      </c>
      <c r="D107" s="41" t="s">
        <v>14</v>
      </c>
      <c r="E107" s="20" cm="1">
        <f t="array" aca="1" ref="E107" ca="1">SUMPRODUCT(SUMIF(INDIRECT("'"&amp;RIGHT(A107,LEN(A107)-MIN(FIND({0;1;2;3;4;5;6;7;8;9},A107&amp;"0123456789"))+1)&amp;"'!E1:E200000"),"*TOPLAM*",INDIRECT("'"&amp;RIGHT(A107,LEN(A107)-MIN(FIND({0;1;2;3;4;5;6;7;8;9},A107&amp;"0123456789"))+1)&amp;"'!F1:F200000")))</f>
        <v>7068.3</v>
      </c>
      <c r="G107" s="58" t="s">
        <v>515</v>
      </c>
      <c r="H107" s="41" t="s">
        <v>13</v>
      </c>
      <c r="I107" s="41" t="s">
        <v>18</v>
      </c>
      <c r="J107" s="41" t="s">
        <v>14</v>
      </c>
      <c r="K107" s="20" cm="1">
        <f t="array" aca="1" ref="K107" ca="1">SUMPRODUCT(SUMIF(INDIRECT("'"&amp;RIGHT(G107,LEN(G107)-MIN(FIND({0;1;2;3;4;5;6;7;8;9},G107&amp;"0123456789"))+1)&amp;"'!E1:E200000"),"*TOPLAM*",INDIRECT("'"&amp;RIGHT(G107,LEN(G107)-MIN(FIND({0;1;2;3;4;5;6;7;8;9},G107&amp;"0123456789"))+1)&amp;"'!M1:M200000")))</f>
        <v>4616.3</v>
      </c>
    </row>
    <row r="108" spans="1:11" ht="23.25" x14ac:dyDescent="0.25">
      <c r="A108" s="58" t="s">
        <v>525</v>
      </c>
      <c r="B108" s="41" t="s">
        <v>13</v>
      </c>
      <c r="C108" s="41" t="s">
        <v>18</v>
      </c>
      <c r="D108" s="41" t="s">
        <v>14</v>
      </c>
      <c r="E108" s="20" cm="1">
        <f t="array" aca="1" ref="E108" ca="1">SUMPRODUCT(SUMIF(INDIRECT("'"&amp;RIGHT(A108,LEN(A108)-MIN(FIND({0;1;2;3;4;5;6;7;8;9},A108&amp;"0123456789"))+1)&amp;"'!E1:E200000"),"*TOPLAM*",INDIRECT("'"&amp;RIGHT(A108,LEN(A108)-MIN(FIND({0;1;2;3;4;5;6;7;8;9},A108&amp;"0123456789"))+1)&amp;"'!F1:F200000")))</f>
        <v>10236</v>
      </c>
      <c r="G108" s="58" t="s">
        <v>525</v>
      </c>
      <c r="H108" s="41" t="s">
        <v>13</v>
      </c>
      <c r="I108" s="41" t="s">
        <v>18</v>
      </c>
      <c r="J108" s="41" t="s">
        <v>14</v>
      </c>
      <c r="K108" s="20" cm="1">
        <f t="array" aca="1" ref="K108" ca="1">SUMPRODUCT(SUMIF(INDIRECT("'"&amp;RIGHT(G108,LEN(G108)-MIN(FIND({0;1;2;3;4;5;6;7;8;9},G108&amp;"0123456789"))+1)&amp;"'!E1:E200000"),"*TOPLAM*",INDIRECT("'"&amp;RIGHT(G108,LEN(G108)-MIN(FIND({0;1;2;3;4;5;6;7;8;9},G108&amp;"0123456789"))+1)&amp;"'!M1:M200000")))</f>
        <v>6267</v>
      </c>
    </row>
    <row r="109" spans="1:11" ht="23.25" x14ac:dyDescent="0.25">
      <c r="A109" s="58" t="s">
        <v>516</v>
      </c>
      <c r="B109" s="41" t="s">
        <v>13</v>
      </c>
      <c r="C109" s="41" t="s">
        <v>18</v>
      </c>
      <c r="D109" s="41" t="s">
        <v>14</v>
      </c>
      <c r="E109" s="20" cm="1">
        <f t="array" aca="1" ref="E109" ca="1">SUMPRODUCT(SUMIF(INDIRECT("'"&amp;RIGHT(A109,LEN(A109)-MIN(FIND({0;1;2;3;4;5;6;7;8;9},A109&amp;"0123456789"))+1)&amp;"'!E1:E200000"),"*TOPLAM*",INDIRECT("'"&amp;RIGHT(A109,LEN(A109)-MIN(FIND({0;1;2;3;4;5;6;7;8;9},A109&amp;"0123456789"))+1)&amp;"'!F1:F200000")))</f>
        <v>10131.200000000001</v>
      </c>
      <c r="G109" s="58" t="s">
        <v>516</v>
      </c>
      <c r="H109" s="41" t="s">
        <v>13</v>
      </c>
      <c r="I109" s="41" t="s">
        <v>18</v>
      </c>
      <c r="J109" s="41" t="s">
        <v>14</v>
      </c>
      <c r="K109" s="20" cm="1">
        <f t="array" aca="1" ref="K109" ca="1">SUMPRODUCT(SUMIF(INDIRECT("'"&amp;RIGHT(G109,LEN(G109)-MIN(FIND({0;1;2;3;4;5;6;7;8;9},G109&amp;"0123456789"))+1)&amp;"'!E1:E200000"),"*TOPLAM*",INDIRECT("'"&amp;RIGHT(G109,LEN(G109)-MIN(FIND({0;1;2;3;4;5;6;7;8;9},G109&amp;"0123456789"))+1)&amp;"'!M1:M200000")))</f>
        <v>3209.7</v>
      </c>
    </row>
    <row r="110" spans="1:11" ht="23.25" x14ac:dyDescent="0.25">
      <c r="A110" s="58" t="s">
        <v>357</v>
      </c>
      <c r="B110" s="41" t="s">
        <v>13</v>
      </c>
      <c r="C110" s="41" t="s">
        <v>18</v>
      </c>
      <c r="D110" s="41" t="s">
        <v>14</v>
      </c>
      <c r="E110" s="20" cm="1">
        <f t="array" aca="1" ref="E110" ca="1">SUMPRODUCT(SUMIF(INDIRECT("'"&amp;RIGHT(A110,LEN(A110)-MIN(FIND({0;1;2;3;4;5;6;7;8;9},A110&amp;"0123456789"))+1)&amp;"'!E1:E200000"),"*TOPLAM*",INDIRECT("'"&amp;RIGHT(A110,LEN(A110)-MIN(FIND({0;1;2;3;4;5;6;7;8;9},A110&amp;"0123456789"))+1)&amp;"'!F1:F200000")))</f>
        <v>2158</v>
      </c>
      <c r="G110" s="58" t="s">
        <v>357</v>
      </c>
      <c r="H110" s="41" t="s">
        <v>13</v>
      </c>
      <c r="I110" s="41" t="s">
        <v>18</v>
      </c>
      <c r="J110" s="41" t="s">
        <v>14</v>
      </c>
      <c r="K110" s="20" cm="1">
        <f t="array" aca="1" ref="K110" ca="1">SUMPRODUCT(SUMIF(INDIRECT("'"&amp;RIGHT(G110,LEN(G110)-MIN(FIND({0;1;2;3;4;5;6;7;8;9},G110&amp;"0123456789"))+1)&amp;"'!E1:E200000"),"*TOPLAM*",INDIRECT("'"&amp;RIGHT(G110,LEN(G110)-MIN(FIND({0;1;2;3;4;5;6;7;8;9},G110&amp;"0123456789"))+1)&amp;"'!M1:M200000")))</f>
        <v>2158</v>
      </c>
    </row>
    <row r="111" spans="1:11" ht="23.25" x14ac:dyDescent="0.25">
      <c r="A111" s="58" t="s">
        <v>491</v>
      </c>
      <c r="B111" s="41" t="s">
        <v>13</v>
      </c>
      <c r="C111" s="41" t="s">
        <v>18</v>
      </c>
      <c r="D111" s="41" t="s">
        <v>14</v>
      </c>
      <c r="E111" s="20" cm="1">
        <f t="array" aca="1" ref="E111" ca="1">SUMPRODUCT(SUMIF(INDIRECT("'"&amp;RIGHT(A111,LEN(A111)-MIN(FIND({0;1;2;3;4;5;6;7;8;9},A111&amp;"0123456789"))+1)&amp;"'!E1:E200000"),"*TOPLAM*",INDIRECT("'"&amp;RIGHT(A111,LEN(A111)-MIN(FIND({0;1;2;3;4;5;6;7;8;9},A111&amp;"0123456789"))+1)&amp;"'!F1:F200000")))</f>
        <v>10062.799999999999</v>
      </c>
      <c r="G111" s="58" t="s">
        <v>491</v>
      </c>
      <c r="H111" s="41" t="s">
        <v>13</v>
      </c>
      <c r="I111" s="41" t="s">
        <v>18</v>
      </c>
      <c r="J111" s="41" t="s">
        <v>14</v>
      </c>
      <c r="K111" s="20" cm="1">
        <f t="array" aca="1" ref="K111" ca="1">SUMPRODUCT(SUMIF(INDIRECT("'"&amp;RIGHT(G111,LEN(G111)-MIN(FIND({0;1;2;3;4;5;6;7;8;9},G111&amp;"0123456789"))+1)&amp;"'!E1:E200000"),"*TOPLAM*",INDIRECT("'"&amp;RIGHT(G111,LEN(G111)-MIN(FIND({0;1;2;3;4;5;6;7;8;9},G111&amp;"0123456789"))+1)&amp;"'!M1:M200000")))</f>
        <v>7353.8</v>
      </c>
    </row>
    <row r="112" spans="1:11" ht="23.25" x14ac:dyDescent="0.25">
      <c r="A112" s="58" t="s">
        <v>423</v>
      </c>
      <c r="B112" s="41" t="s">
        <v>13</v>
      </c>
      <c r="C112" s="41" t="s">
        <v>18</v>
      </c>
      <c r="D112" s="41" t="s">
        <v>14</v>
      </c>
      <c r="E112" s="20" cm="1">
        <f t="array" aca="1" ref="E112" ca="1">SUMPRODUCT(SUMIF(INDIRECT("'"&amp;RIGHT(A112,LEN(A112)-MIN(FIND({0;1;2;3;4;5;6;7;8;9},A112&amp;"0123456789"))+1)&amp;"'!E1:E200000"),"*TOPLAM*",INDIRECT("'"&amp;RIGHT(A112,LEN(A112)-MIN(FIND({0;1;2;3;4;5;6;7;8;9},A112&amp;"0123456789"))+1)&amp;"'!F1:F200000")))</f>
        <v>5676</v>
      </c>
      <c r="G112" s="58" t="s">
        <v>423</v>
      </c>
      <c r="H112" s="41" t="s">
        <v>13</v>
      </c>
      <c r="I112" s="41" t="s">
        <v>18</v>
      </c>
      <c r="J112" s="41" t="s">
        <v>14</v>
      </c>
      <c r="K112" s="20" cm="1">
        <f t="array" aca="1" ref="K112" ca="1">SUMPRODUCT(SUMIF(INDIRECT("'"&amp;RIGHT(G112,LEN(G112)-MIN(FIND({0;1;2;3;4;5;6;7;8;9},G112&amp;"0123456789"))+1)&amp;"'!E1:E200000"),"*TOPLAM*",INDIRECT("'"&amp;RIGHT(G112,LEN(G112)-MIN(FIND({0;1;2;3;4;5;6;7;8;9},G112&amp;"0123456789"))+1)&amp;"'!M1:M200000")))</f>
        <v>3679</v>
      </c>
    </row>
    <row r="113" spans="1:11" ht="23.25" x14ac:dyDescent="0.25">
      <c r="A113" s="58" t="s">
        <v>410</v>
      </c>
      <c r="B113" s="41" t="s">
        <v>13</v>
      </c>
      <c r="C113" s="41" t="s">
        <v>18</v>
      </c>
      <c r="D113" s="41" t="s">
        <v>14</v>
      </c>
      <c r="E113" s="20" cm="1">
        <f t="array" aca="1" ref="E113" ca="1">SUMPRODUCT(SUMIF(INDIRECT("'"&amp;RIGHT(A113,LEN(A113)-MIN(FIND({0;1;2;3;4;5;6;7;8;9},A113&amp;"0123456789"))+1)&amp;"'!E1:E200000"),"*TOPLAM*",INDIRECT("'"&amp;RIGHT(A113,LEN(A113)-MIN(FIND({0;1;2;3;4;5;6;7;8;9},A113&amp;"0123456789"))+1)&amp;"'!F1:F200000")))</f>
        <v>4305.8999999999996</v>
      </c>
      <c r="G113" s="58" t="s">
        <v>410</v>
      </c>
      <c r="H113" s="41" t="s">
        <v>13</v>
      </c>
      <c r="I113" s="41" t="s">
        <v>18</v>
      </c>
      <c r="J113" s="41" t="s">
        <v>14</v>
      </c>
      <c r="K113" s="20" cm="1">
        <f t="array" aca="1" ref="K113" ca="1">SUMPRODUCT(SUMIF(INDIRECT("'"&amp;RIGHT(G113,LEN(G113)-MIN(FIND({0;1;2;3;4;5;6;7;8;9},G113&amp;"0123456789"))+1)&amp;"'!E1:E200000"),"*TOPLAM*",INDIRECT("'"&amp;RIGHT(G113,LEN(G113)-MIN(FIND({0;1;2;3;4;5;6;7;8;9},G113&amp;"0123456789"))+1)&amp;"'!M1:M200000")))</f>
        <v>3720.9</v>
      </c>
    </row>
    <row r="114" spans="1:11" ht="23.25" x14ac:dyDescent="0.25">
      <c r="A114" s="58" t="s">
        <v>426</v>
      </c>
      <c r="B114" s="41" t="s">
        <v>13</v>
      </c>
      <c r="C114" s="41" t="s">
        <v>18</v>
      </c>
      <c r="D114" s="41" t="s">
        <v>14</v>
      </c>
      <c r="E114" s="20" cm="1">
        <f t="array" aca="1" ref="E114" ca="1">SUMPRODUCT(SUMIF(INDIRECT("'"&amp;RIGHT(A114,LEN(A114)-MIN(FIND({0;1;2;3;4;5;6;7;8;9},A114&amp;"0123456789"))+1)&amp;"'!E1:E200000"),"*TOPLAM*",INDIRECT("'"&amp;RIGHT(A114,LEN(A114)-MIN(FIND({0;1;2;3;4;5;6;7;8;9},A114&amp;"0123456789"))+1)&amp;"'!F1:F200000")))</f>
        <v>8513.2000000000007</v>
      </c>
      <c r="G114" s="58" t="s">
        <v>426</v>
      </c>
      <c r="H114" s="41" t="s">
        <v>13</v>
      </c>
      <c r="I114" s="41" t="s">
        <v>18</v>
      </c>
      <c r="J114" s="41" t="s">
        <v>14</v>
      </c>
      <c r="K114" s="20" cm="1">
        <f t="array" aca="1" ref="K114" ca="1">SUMPRODUCT(SUMIF(INDIRECT("'"&amp;RIGHT(G114,LEN(G114)-MIN(FIND({0;1;2;3;4;5;6;7;8;9},G114&amp;"0123456789"))+1)&amp;"'!E1:E200000"),"*TOPLAM*",INDIRECT("'"&amp;RIGHT(G114,LEN(G114)-MIN(FIND({0;1;2;3;4;5;6;7;8;9},G114&amp;"0123456789"))+1)&amp;"'!M1:M200000")))</f>
        <v>5511.2</v>
      </c>
    </row>
    <row r="115" spans="1:11" ht="23.25" x14ac:dyDescent="0.25">
      <c r="A115" s="58" t="s">
        <v>325</v>
      </c>
      <c r="B115" s="41" t="s">
        <v>13</v>
      </c>
      <c r="C115" s="41" t="s">
        <v>18</v>
      </c>
      <c r="D115" s="41" t="s">
        <v>14</v>
      </c>
      <c r="E115" s="20" cm="1">
        <f t="array" aca="1" ref="E115" ca="1">SUMPRODUCT(SUMIF(INDIRECT("'"&amp;RIGHT(A115,LEN(A115)-MIN(FIND({0;1;2;3;4;5;6;7;8;9},A115&amp;"0123456789"))+1)&amp;"'!E1:E200000"),"*TOPLAM*",INDIRECT("'"&amp;RIGHT(A115,LEN(A115)-MIN(FIND({0;1;2;3;4;5;6;7;8;9},A115&amp;"0123456789"))+1)&amp;"'!F1:F200000")))</f>
        <v>1986</v>
      </c>
      <c r="G115" s="58" t="s">
        <v>325</v>
      </c>
      <c r="H115" s="41" t="s">
        <v>13</v>
      </c>
      <c r="I115" s="41" t="s">
        <v>18</v>
      </c>
      <c r="J115" s="41" t="s">
        <v>14</v>
      </c>
      <c r="K115" s="20" cm="1">
        <f t="array" aca="1" ref="K115" ca="1">SUMPRODUCT(SUMIF(INDIRECT("'"&amp;RIGHT(G115,LEN(G115)-MIN(FIND({0;1;2;3;4;5;6;7;8;9},G115&amp;"0123456789"))+1)&amp;"'!E1:E200000"),"*TOPLAM*",INDIRECT("'"&amp;RIGHT(G115,LEN(G115)-MIN(FIND({0;1;2;3;4;5;6;7;8;9},G115&amp;"0123456789"))+1)&amp;"'!M1:M200000")))</f>
        <v>1527</v>
      </c>
    </row>
    <row r="116" spans="1:11" ht="23.25" x14ac:dyDescent="0.25">
      <c r="A116" s="58" t="s">
        <v>383</v>
      </c>
      <c r="B116" s="41" t="s">
        <v>13</v>
      </c>
      <c r="C116" s="41" t="s">
        <v>18</v>
      </c>
      <c r="D116" s="41" t="s">
        <v>14</v>
      </c>
      <c r="E116" s="20" cm="1">
        <f t="array" aca="1" ref="E116" ca="1">SUMPRODUCT(SUMIF(INDIRECT("'"&amp;RIGHT(A116,LEN(A116)-MIN(FIND({0;1;2;3;4;5;6;7;8;9},A116&amp;"0123456789"))+1)&amp;"'!E1:E200000"),"*TOPLAM*",INDIRECT("'"&amp;RIGHT(A116,LEN(A116)-MIN(FIND({0;1;2;3;4;5;6;7;8;9},A116&amp;"0123456789"))+1)&amp;"'!F1:F200000")))</f>
        <v>2366</v>
      </c>
      <c r="G116" s="58" t="s">
        <v>383</v>
      </c>
      <c r="H116" s="41" t="s">
        <v>13</v>
      </c>
      <c r="I116" s="41" t="s">
        <v>18</v>
      </c>
      <c r="J116" s="41" t="s">
        <v>14</v>
      </c>
      <c r="K116" s="20" cm="1">
        <f t="array" aca="1" ref="K116" ca="1">SUMPRODUCT(SUMIF(INDIRECT("'"&amp;RIGHT(G116,LEN(G116)-MIN(FIND({0;1;2;3;4;5;6;7;8;9},G116&amp;"0123456789"))+1)&amp;"'!E1:E200000"),"*TOPLAM*",INDIRECT("'"&amp;RIGHT(G116,LEN(G116)-MIN(FIND({0;1;2;3;4;5;6;7;8;9},G116&amp;"0123456789"))+1)&amp;"'!M1:M200000")))</f>
        <v>1556</v>
      </c>
    </row>
    <row r="117" spans="1:11" ht="23.25" x14ac:dyDescent="0.25">
      <c r="A117" s="58" t="s">
        <v>322</v>
      </c>
      <c r="B117" s="41" t="s">
        <v>13</v>
      </c>
      <c r="C117" s="41" t="s">
        <v>18</v>
      </c>
      <c r="D117" s="41" t="s">
        <v>14</v>
      </c>
      <c r="E117" s="20" cm="1">
        <f t="array" aca="1" ref="E117" ca="1">SUMPRODUCT(SUMIF(INDIRECT("'"&amp;RIGHT(A117,LEN(A117)-MIN(FIND({0;1;2;3;4;5;6;7;8;9},A117&amp;"0123456789"))+1)&amp;"'!E1:E200000"),"*TOPLAM*",INDIRECT("'"&amp;RIGHT(A117,LEN(A117)-MIN(FIND({0;1;2;3;4;5;6;7;8;9},A117&amp;"0123456789"))+1)&amp;"'!F1:F200000")))</f>
        <v>1294</v>
      </c>
      <c r="G117" s="58" t="s">
        <v>322</v>
      </c>
      <c r="H117" s="41" t="s">
        <v>13</v>
      </c>
      <c r="I117" s="41" t="s">
        <v>18</v>
      </c>
      <c r="J117" s="41" t="s">
        <v>14</v>
      </c>
      <c r="K117" s="20" cm="1">
        <f t="array" aca="1" ref="K117" ca="1">SUMPRODUCT(SUMIF(INDIRECT("'"&amp;RIGHT(G117,LEN(G117)-MIN(FIND({0;1;2;3;4;5;6;7;8;9},G117&amp;"0123456789"))+1)&amp;"'!E1:E200000"),"*TOPLAM*",INDIRECT("'"&amp;RIGHT(G117,LEN(G117)-MIN(FIND({0;1;2;3;4;5;6;7;8;9},G117&amp;"0123456789"))+1)&amp;"'!M1:M200000")))</f>
        <v>895</v>
      </c>
    </row>
    <row r="118" spans="1:11" ht="23.25" x14ac:dyDescent="0.25">
      <c r="A118" s="58" t="s">
        <v>321</v>
      </c>
      <c r="B118" s="41" t="s">
        <v>13</v>
      </c>
      <c r="C118" s="41" t="s">
        <v>18</v>
      </c>
      <c r="D118" s="41" t="s">
        <v>14</v>
      </c>
      <c r="E118" s="20" cm="1">
        <f t="array" aca="1" ref="E118" ca="1">SUMPRODUCT(SUMIF(INDIRECT("'"&amp;RIGHT(A118,LEN(A118)-MIN(FIND({0;1;2;3;4;5;6;7;8;9},A118&amp;"0123456789"))+1)&amp;"'!E1:E200000"),"*TOPLAM*",INDIRECT("'"&amp;RIGHT(A118,LEN(A118)-MIN(FIND({0;1;2;3;4;5;6;7;8;9},A118&amp;"0123456789"))+1)&amp;"'!F1:F200000")))</f>
        <v>1911</v>
      </c>
      <c r="G118" s="58" t="s">
        <v>321</v>
      </c>
      <c r="H118" s="41" t="s">
        <v>13</v>
      </c>
      <c r="I118" s="41" t="s">
        <v>18</v>
      </c>
      <c r="J118" s="41" t="s">
        <v>14</v>
      </c>
      <c r="K118" s="20" cm="1">
        <f t="array" aca="1" ref="K118" ca="1">SUMPRODUCT(SUMIF(INDIRECT("'"&amp;RIGHT(G118,LEN(G118)-MIN(FIND({0;1;2;3;4;5;6;7;8;9},G118&amp;"0123456789"))+1)&amp;"'!E1:E200000"),"*TOPLAM*",INDIRECT("'"&amp;RIGHT(G118,LEN(G118)-MIN(FIND({0;1;2;3;4;5;6;7;8;9},G118&amp;"0123456789"))+1)&amp;"'!M1:M200000")))</f>
        <v>1584</v>
      </c>
    </row>
    <row r="119" spans="1:11" ht="23.25" x14ac:dyDescent="0.25">
      <c r="A119" s="58" t="s">
        <v>385</v>
      </c>
      <c r="B119" s="41" t="s">
        <v>13</v>
      </c>
      <c r="C119" s="41" t="s">
        <v>18</v>
      </c>
      <c r="D119" s="41" t="s">
        <v>14</v>
      </c>
      <c r="E119" s="20" cm="1">
        <f t="array" aca="1" ref="E119" ca="1">SUMPRODUCT(SUMIF(INDIRECT("'"&amp;RIGHT(A119,LEN(A119)-MIN(FIND({0;1;2;3;4;5;6;7;8;9},A119&amp;"0123456789"))+1)&amp;"'!E1:E200000"),"*TOPLAM*",INDIRECT("'"&amp;RIGHT(A119,LEN(A119)-MIN(FIND({0;1;2;3;4;5;6;7;8;9},A119&amp;"0123456789"))+1)&amp;"'!F1:F200000")))</f>
        <v>5460.4</v>
      </c>
      <c r="G119" s="58" t="s">
        <v>385</v>
      </c>
      <c r="H119" s="41" t="s">
        <v>13</v>
      </c>
      <c r="I119" s="41" t="s">
        <v>18</v>
      </c>
      <c r="J119" s="41" t="s">
        <v>14</v>
      </c>
      <c r="K119" s="20" cm="1">
        <f t="array" aca="1" ref="K119" ca="1">SUMPRODUCT(SUMIF(INDIRECT("'"&amp;RIGHT(G119,LEN(G119)-MIN(FIND({0;1;2;3;4;5;6;7;8;9},G119&amp;"0123456789"))+1)&amp;"'!E1:E200000"),"*TOPLAM*",INDIRECT("'"&amp;RIGHT(G119,LEN(G119)-MIN(FIND({0;1;2;3;4;5;6;7;8;9},G119&amp;"0123456789"))+1)&amp;"'!M1:M200000")))</f>
        <v>4752.3999999999996</v>
      </c>
    </row>
    <row r="120" spans="1:11" ht="23.25" x14ac:dyDescent="0.25">
      <c r="A120" s="58" t="s">
        <v>490</v>
      </c>
      <c r="B120" s="41" t="s">
        <v>13</v>
      </c>
      <c r="C120" s="41" t="s">
        <v>18</v>
      </c>
      <c r="D120" s="41" t="s">
        <v>14</v>
      </c>
      <c r="E120" s="20" cm="1">
        <f t="array" aca="1" ref="E120" ca="1">SUMPRODUCT(SUMIF(INDIRECT("'"&amp;RIGHT(A120,LEN(A120)-MIN(FIND({0;1;2;3;4;5;6;7;8;9},A120&amp;"0123456789"))+1)&amp;"'!E1:E200000"),"*TOPLAM*",INDIRECT("'"&amp;RIGHT(A120,LEN(A120)-MIN(FIND({0;1;2;3;4;5;6;7;8;9},A120&amp;"0123456789"))+1)&amp;"'!F1:F200000")))</f>
        <v>7496</v>
      </c>
      <c r="G120" s="58" t="s">
        <v>490</v>
      </c>
      <c r="H120" s="41" t="s">
        <v>13</v>
      </c>
      <c r="I120" s="41" t="s">
        <v>18</v>
      </c>
      <c r="J120" s="41" t="s">
        <v>14</v>
      </c>
      <c r="K120" s="20" cm="1">
        <f t="array" aca="1" ref="K120" ca="1">SUMPRODUCT(SUMIF(INDIRECT("'"&amp;RIGHT(G120,LEN(G120)-MIN(FIND({0;1;2;3;4;5;6;7;8;9},G120&amp;"0123456789"))+1)&amp;"'!E1:E200000"),"*TOPLAM*",INDIRECT("'"&amp;RIGHT(G120,LEN(G120)-MIN(FIND({0;1;2;3;4;5;6;7;8;9},G120&amp;"0123456789"))+1)&amp;"'!M1:M200000")))</f>
        <v>7496</v>
      </c>
    </row>
    <row r="121" spans="1:11" ht="23.25" x14ac:dyDescent="0.25">
      <c r="A121" s="58" t="s">
        <v>501</v>
      </c>
      <c r="B121" s="41" t="s">
        <v>13</v>
      </c>
      <c r="C121" s="41" t="s">
        <v>18</v>
      </c>
      <c r="D121" s="41" t="s">
        <v>14</v>
      </c>
      <c r="E121" s="20" cm="1">
        <f t="array" aca="1" ref="E121" ca="1">SUMPRODUCT(SUMIF(INDIRECT("'"&amp;RIGHT(A121,LEN(A121)-MIN(FIND({0;1;2;3;4;5;6;7;8;9},A121&amp;"0123456789"))+1)&amp;"'!E1:E200000"),"*TOPLAM*",INDIRECT("'"&amp;RIGHT(A121,LEN(A121)-MIN(FIND({0;1;2;3;4;5;6;7;8;9},A121&amp;"0123456789"))+1)&amp;"'!F1:F200000")))</f>
        <v>7814</v>
      </c>
      <c r="G121" s="58" t="s">
        <v>501</v>
      </c>
      <c r="H121" s="41" t="s">
        <v>13</v>
      </c>
      <c r="I121" s="41" t="s">
        <v>18</v>
      </c>
      <c r="J121" s="41" t="s">
        <v>14</v>
      </c>
      <c r="K121" s="20" cm="1">
        <f t="array" aca="1" ref="K121" ca="1">SUMPRODUCT(SUMIF(INDIRECT("'"&amp;RIGHT(G121,LEN(G121)-MIN(FIND({0;1;2;3;4;5;6;7;8;9},G121&amp;"0123456789"))+1)&amp;"'!E1:E200000"),"*TOPLAM*",INDIRECT("'"&amp;RIGHT(G121,LEN(G121)-MIN(FIND({0;1;2;3;4;5;6;7;8;9},G121&amp;"0123456789"))+1)&amp;"'!M1:M200000")))</f>
        <v>5554</v>
      </c>
    </row>
    <row r="122" spans="1:11" ht="23.25" x14ac:dyDescent="0.25">
      <c r="A122" s="58" t="s">
        <v>472</v>
      </c>
      <c r="B122" s="41" t="s">
        <v>13</v>
      </c>
      <c r="C122" s="41" t="s">
        <v>18</v>
      </c>
      <c r="D122" s="41" t="s">
        <v>14</v>
      </c>
      <c r="E122" s="20" cm="1">
        <f t="array" aca="1" ref="E122" ca="1">SUMPRODUCT(SUMIF(INDIRECT("'"&amp;RIGHT(A122,LEN(A122)-MIN(FIND({0;1;2;3;4;5;6;7;8;9},A122&amp;"0123456789"))+1)&amp;"'!E1:E200000"),"*TOPLAM*",INDIRECT("'"&amp;RIGHT(A122,LEN(A122)-MIN(FIND({0;1;2;3;4;5;6;7;8;9},A122&amp;"0123456789"))+1)&amp;"'!F1:F200000")))</f>
        <v>4264</v>
      </c>
      <c r="G122" s="58" t="s">
        <v>472</v>
      </c>
      <c r="H122" s="41" t="s">
        <v>13</v>
      </c>
      <c r="I122" s="41" t="s">
        <v>18</v>
      </c>
      <c r="J122" s="41" t="s">
        <v>14</v>
      </c>
      <c r="K122" s="20" cm="1">
        <f t="array" aca="1" ref="K122" ca="1">SUMPRODUCT(SUMIF(INDIRECT("'"&amp;RIGHT(G122,LEN(G122)-MIN(FIND({0;1;2;3;4;5;6;7;8;9},G122&amp;"0123456789"))+1)&amp;"'!E1:E200000"),"*TOPLAM*",INDIRECT("'"&amp;RIGHT(G122,LEN(G122)-MIN(FIND({0;1;2;3;4;5;6;7;8;9},G122&amp;"0123456789"))+1)&amp;"'!M1:M200000")))</f>
        <v>3592</v>
      </c>
    </row>
    <row r="123" spans="1:11" ht="23.25" x14ac:dyDescent="0.25">
      <c r="A123" s="58" t="s">
        <v>463</v>
      </c>
      <c r="B123" s="41" t="s">
        <v>13</v>
      </c>
      <c r="C123" s="41" t="s">
        <v>18</v>
      </c>
      <c r="D123" s="41" t="s">
        <v>14</v>
      </c>
      <c r="E123" s="20" cm="1">
        <f t="array" aca="1" ref="E123" ca="1">SUMPRODUCT(SUMIF(INDIRECT("'"&amp;RIGHT(A123,LEN(A123)-MIN(FIND({0;1;2;3;4;5;6;7;8;9},A123&amp;"0123456789"))+1)&amp;"'!E1:E200000"),"*TOPLAM*",INDIRECT("'"&amp;RIGHT(A123,LEN(A123)-MIN(FIND({0;1;2;3;4;5;6;7;8;9},A123&amp;"0123456789"))+1)&amp;"'!F1:F200000")))</f>
        <v>3592.2</v>
      </c>
      <c r="G123" s="58" t="s">
        <v>463</v>
      </c>
      <c r="H123" s="41" t="s">
        <v>13</v>
      </c>
      <c r="I123" s="41" t="s">
        <v>18</v>
      </c>
      <c r="J123" s="41" t="s">
        <v>14</v>
      </c>
      <c r="K123" s="20" cm="1">
        <f t="array" aca="1" ref="K123" ca="1">SUMPRODUCT(SUMIF(INDIRECT("'"&amp;RIGHT(G123,LEN(G123)-MIN(FIND({0;1;2;3;4;5;6;7;8;9},G123&amp;"0123456789"))+1)&amp;"'!E1:E200000"),"*TOPLAM*",INDIRECT("'"&amp;RIGHT(G123,LEN(G123)-MIN(FIND({0;1;2;3;4;5;6;7;8;9},G123&amp;"0123456789"))+1)&amp;"'!M1:M200000")))</f>
        <v>3592.2</v>
      </c>
    </row>
    <row r="124" spans="1:11" ht="23.25" x14ac:dyDescent="0.25">
      <c r="A124" s="58" t="s">
        <v>361</v>
      </c>
      <c r="B124" s="41" t="s">
        <v>13</v>
      </c>
      <c r="C124" s="41" t="s">
        <v>18</v>
      </c>
      <c r="D124" s="41" t="s">
        <v>14</v>
      </c>
      <c r="E124" s="20" cm="1">
        <f t="array" aca="1" ref="E124" ca="1">SUMPRODUCT(SUMIF(INDIRECT("'"&amp;RIGHT(A124,LEN(A124)-MIN(FIND({0;1;2;3;4;5;6;7;8;9},A124&amp;"0123456789"))+1)&amp;"'!E1:E200000"),"*TOPLAM*",INDIRECT("'"&amp;RIGHT(A124,LEN(A124)-MIN(FIND({0;1;2;3;4;5;6;7;8;9},A124&amp;"0123456789"))+1)&amp;"'!F1:F200000")))</f>
        <v>3489.8</v>
      </c>
      <c r="G124" s="58" t="s">
        <v>361</v>
      </c>
      <c r="H124" s="41" t="s">
        <v>13</v>
      </c>
      <c r="I124" s="41" t="s">
        <v>18</v>
      </c>
      <c r="J124" s="41" t="s">
        <v>14</v>
      </c>
      <c r="K124" s="20" cm="1">
        <f t="array" aca="1" ref="K124" ca="1">SUMPRODUCT(SUMIF(INDIRECT("'"&amp;RIGHT(G124,LEN(G124)-MIN(FIND({0;1;2;3;4;5;6;7;8;9},G124&amp;"0123456789"))+1)&amp;"'!E1:E200000"),"*TOPLAM*",INDIRECT("'"&amp;RIGHT(G124,LEN(G124)-MIN(FIND({0;1;2;3;4;5;6;7;8;9},G124&amp;"0123456789"))+1)&amp;"'!M1:M200000")))</f>
        <v>2279.8000000000002</v>
      </c>
    </row>
    <row r="125" spans="1:11" ht="23.25" x14ac:dyDescent="0.25">
      <c r="A125" s="58" t="s">
        <v>261</v>
      </c>
      <c r="B125" s="41" t="s">
        <v>13</v>
      </c>
      <c r="C125" s="41" t="s">
        <v>18</v>
      </c>
      <c r="D125" s="41" t="s">
        <v>14</v>
      </c>
      <c r="E125" s="20" cm="1">
        <f t="array" aca="1" ref="E125" ca="1">SUMPRODUCT(SUMIF(INDIRECT("'"&amp;RIGHT(A125,LEN(A125)-MIN(FIND({0;1;2;3;4;5;6;7;8;9},A125&amp;"0123456789"))+1)&amp;"'!E1:E200000"),"*TOPLAM*",INDIRECT("'"&amp;RIGHT(A125,LEN(A125)-MIN(FIND({0;1;2;3;4;5;6;7;8;9},A125&amp;"0123456789"))+1)&amp;"'!F1:F200000")))</f>
        <v>15053</v>
      </c>
      <c r="G125" s="58" t="s">
        <v>261</v>
      </c>
      <c r="H125" s="41" t="s">
        <v>13</v>
      </c>
      <c r="I125" s="41" t="s">
        <v>18</v>
      </c>
      <c r="J125" s="41" t="s">
        <v>14</v>
      </c>
      <c r="K125" s="20" cm="1">
        <f t="array" aca="1" ref="K125" ca="1">SUMPRODUCT(SUMIF(INDIRECT("'"&amp;RIGHT(G125,LEN(G125)-MIN(FIND({0;1;2;3;4;5;6;7;8;9},G125&amp;"0123456789"))+1)&amp;"'!E1:E200000"),"*TOPLAM*",INDIRECT("'"&amp;RIGHT(G125,LEN(G125)-MIN(FIND({0;1;2;3;4;5;6;7;8;9},G125&amp;"0123456789"))+1)&amp;"'!M1:M200000")))</f>
        <v>11810.5</v>
      </c>
    </row>
    <row r="126" spans="1:11" ht="23.25" x14ac:dyDescent="0.25">
      <c r="A126" s="58" t="s">
        <v>233</v>
      </c>
      <c r="B126" s="41" t="s">
        <v>13</v>
      </c>
      <c r="C126" s="41" t="s">
        <v>18</v>
      </c>
      <c r="D126" s="41" t="s">
        <v>14</v>
      </c>
      <c r="E126" s="20" cm="1">
        <f t="array" aca="1" ref="E126" ca="1">SUMPRODUCT(SUMIF(INDIRECT("'"&amp;RIGHT(A126,LEN(A126)-MIN(FIND({0;1;2;3;4;5;6;7;8;9},A126&amp;"0123456789"))+1)&amp;"'!E1:E200000"),"*TOPLAM*",INDIRECT("'"&amp;RIGHT(A126,LEN(A126)-MIN(FIND({0;1;2;3;4;5;6;7;8;9},A126&amp;"0123456789"))+1)&amp;"'!F1:F200000")))</f>
        <v>3668</v>
      </c>
      <c r="G126" s="58" t="s">
        <v>233</v>
      </c>
      <c r="H126" s="41" t="s">
        <v>13</v>
      </c>
      <c r="I126" s="41" t="s">
        <v>18</v>
      </c>
      <c r="J126" s="41" t="s">
        <v>14</v>
      </c>
      <c r="K126" s="20" cm="1">
        <f t="array" aca="1" ref="K126" ca="1">SUMPRODUCT(SUMIF(INDIRECT("'"&amp;RIGHT(G126,LEN(G126)-MIN(FIND({0;1;2;3;4;5;6;7;8;9},G126&amp;"0123456789"))+1)&amp;"'!E1:E200000"),"*TOPLAM*",INDIRECT("'"&amp;RIGHT(G126,LEN(G126)-MIN(FIND({0;1;2;3;4;5;6;7;8;9},G126&amp;"0123456789"))+1)&amp;"'!M1:M200000")))</f>
        <v>2718</v>
      </c>
    </row>
    <row r="127" spans="1:11" ht="23.25" x14ac:dyDescent="0.25">
      <c r="A127" s="58" t="s">
        <v>657</v>
      </c>
      <c r="B127" s="41" t="s">
        <v>13</v>
      </c>
      <c r="C127" s="41" t="s">
        <v>18</v>
      </c>
      <c r="D127" s="41" t="s">
        <v>14</v>
      </c>
      <c r="E127" s="20" cm="1">
        <f t="array" aca="1" ref="E127" ca="1">SUMPRODUCT(SUMIF(INDIRECT("'"&amp;RIGHT(A127,LEN(A127)-MIN(FIND({0;1;2;3;4;5;6;7;8;9},A127&amp;"0123456789"))+1)&amp;"'!E1:E200000"),"*TOPLAM*",INDIRECT("'"&amp;RIGHT(A127,LEN(A127)-MIN(FIND({0;1;2;3;4;5;6;7;8;9},A127&amp;"0123456789"))+1)&amp;"'!F1:F200000")))</f>
        <v>3669</v>
      </c>
      <c r="G127" s="58" t="s">
        <v>657</v>
      </c>
      <c r="H127" s="41" t="s">
        <v>13</v>
      </c>
      <c r="I127" s="41" t="s">
        <v>18</v>
      </c>
      <c r="J127" s="41" t="s">
        <v>14</v>
      </c>
      <c r="K127" s="20" cm="1">
        <f t="array" aca="1" ref="K127" ca="1">SUMPRODUCT(SUMIF(INDIRECT("'"&amp;RIGHT(G127,LEN(G127)-MIN(FIND({0;1;2;3;4;5;6;7;8;9},G127&amp;"0123456789"))+1)&amp;"'!E1:E200000"),"*TOPLAM*",INDIRECT("'"&amp;RIGHT(G127,LEN(G127)-MIN(FIND({0;1;2;3;4;5;6;7;8;9},G127&amp;"0123456789"))+1)&amp;"'!M1:M200000")))</f>
        <v>3189</v>
      </c>
    </row>
    <row r="128" spans="1:11" ht="23.25" x14ac:dyDescent="0.25">
      <c r="A128" s="58" t="s">
        <v>477</v>
      </c>
      <c r="B128" s="41" t="s">
        <v>13</v>
      </c>
      <c r="C128" s="41" t="s">
        <v>18</v>
      </c>
      <c r="D128" s="41" t="s">
        <v>14</v>
      </c>
      <c r="E128" s="20" cm="1">
        <f t="array" aca="1" ref="E128" ca="1">SUMPRODUCT(SUMIF(INDIRECT("'"&amp;RIGHT(A128,LEN(A128)-MIN(FIND({0;1;2;3;4;5;6;7;8;9},A128&amp;"0123456789"))+1)&amp;"'!E1:E200000"),"*TOPLAM*",INDIRECT("'"&amp;RIGHT(A128,LEN(A128)-MIN(FIND({0;1;2;3;4;5;6;7;8;9},A128&amp;"0123456789"))+1)&amp;"'!F1:F200000")))</f>
        <v>4968.6000000000004</v>
      </c>
      <c r="G128" s="58" t="s">
        <v>477</v>
      </c>
      <c r="H128" s="41" t="s">
        <v>13</v>
      </c>
      <c r="I128" s="41" t="s">
        <v>18</v>
      </c>
      <c r="J128" s="41" t="s">
        <v>14</v>
      </c>
      <c r="K128" s="20" cm="1">
        <f t="array" aca="1" ref="K128" ca="1">SUMPRODUCT(SUMIF(INDIRECT("'"&amp;RIGHT(G128,LEN(G128)-MIN(FIND({0;1;2;3;4;5;6;7;8;9},G128&amp;"0123456789"))+1)&amp;"'!E1:E200000"),"*TOPLAM*",INDIRECT("'"&amp;RIGHT(G128,LEN(G128)-MIN(FIND({0;1;2;3;4;5;6;7;8;9},G128&amp;"0123456789"))+1)&amp;"'!M1:M200000")))</f>
        <v>4101.6000000000004</v>
      </c>
    </row>
    <row r="129" spans="1:11" ht="23.25" x14ac:dyDescent="0.25">
      <c r="A129" s="58" t="s">
        <v>517</v>
      </c>
      <c r="B129" s="41" t="s">
        <v>13</v>
      </c>
      <c r="C129" s="41" t="s">
        <v>18</v>
      </c>
      <c r="D129" s="41" t="s">
        <v>14</v>
      </c>
      <c r="E129" s="20" cm="1">
        <f t="array" aca="1" ref="E129" ca="1">SUMPRODUCT(SUMIF(INDIRECT("'"&amp;RIGHT(A129,LEN(A129)-MIN(FIND({0;1;2;3;4;5;6;7;8;9},A129&amp;"0123456789"))+1)&amp;"'!E1:E200000"),"*TOPLAM*",INDIRECT("'"&amp;RIGHT(A129,LEN(A129)-MIN(FIND({0;1;2;3;4;5;6;7;8;9},A129&amp;"0123456789"))+1)&amp;"'!F1:F200000")))</f>
        <v>933</v>
      </c>
      <c r="G129" s="58" t="s">
        <v>517</v>
      </c>
      <c r="H129" s="41" t="s">
        <v>13</v>
      </c>
      <c r="I129" s="41" t="s">
        <v>18</v>
      </c>
      <c r="J129" s="41" t="s">
        <v>14</v>
      </c>
      <c r="K129" s="20" cm="1">
        <f t="array" aca="1" ref="K129" ca="1">SUMPRODUCT(SUMIF(INDIRECT("'"&amp;RIGHT(G129,LEN(G129)-MIN(FIND({0;1;2;3;4;5;6;7;8;9},G129&amp;"0123456789"))+1)&amp;"'!E1:E200000"),"*TOPLAM*",INDIRECT("'"&amp;RIGHT(G129,LEN(G129)-MIN(FIND({0;1;2;3;4;5;6;7;8;9},G129&amp;"0123456789"))+1)&amp;"'!M1:M200000")))</f>
        <v>690</v>
      </c>
    </row>
    <row r="130" spans="1:11" ht="23.25" x14ac:dyDescent="0.25">
      <c r="A130" s="58" t="s">
        <v>482</v>
      </c>
      <c r="B130" s="41" t="s">
        <v>13</v>
      </c>
      <c r="C130" s="41" t="s">
        <v>18</v>
      </c>
      <c r="D130" s="41" t="s">
        <v>14</v>
      </c>
      <c r="E130" s="20" cm="1">
        <f t="array" aca="1" ref="E130" ca="1">SUMPRODUCT(SUMIF(INDIRECT("'"&amp;RIGHT(A130,LEN(A130)-MIN(FIND({0;1;2;3;4;5;6;7;8;9},A130&amp;"0123456789"))+1)&amp;"'!E1:E200000"),"*TOPLAM*",INDIRECT("'"&amp;RIGHT(A130,LEN(A130)-MIN(FIND({0;1;2;3;4;5;6;7;8;9},A130&amp;"0123456789"))+1)&amp;"'!F1:F200000")))</f>
        <v>3999</v>
      </c>
      <c r="G130" s="58" t="s">
        <v>482</v>
      </c>
      <c r="H130" s="41" t="s">
        <v>13</v>
      </c>
      <c r="I130" s="41" t="s">
        <v>18</v>
      </c>
      <c r="J130" s="41" t="s">
        <v>14</v>
      </c>
      <c r="K130" s="20" cm="1">
        <f t="array" aca="1" ref="K130" ca="1">SUMPRODUCT(SUMIF(INDIRECT("'"&amp;RIGHT(G130,LEN(G130)-MIN(FIND({0;1;2;3;4;5;6;7;8;9},G130&amp;"0123456789"))+1)&amp;"'!E1:E200000"),"*TOPLAM*",INDIRECT("'"&amp;RIGHT(G130,LEN(G130)-MIN(FIND({0;1;2;3;4;5;6;7;8;9},G130&amp;"0123456789"))+1)&amp;"'!M1:M200000")))</f>
        <v>2901</v>
      </c>
    </row>
    <row r="131" spans="1:11" ht="23.25" x14ac:dyDescent="0.25">
      <c r="A131" s="58" t="s">
        <v>483</v>
      </c>
      <c r="B131" s="41" t="s">
        <v>13</v>
      </c>
      <c r="C131" s="41" t="s">
        <v>18</v>
      </c>
      <c r="D131" s="41" t="s">
        <v>14</v>
      </c>
      <c r="E131" s="20" cm="1">
        <f t="array" aca="1" ref="E131" ca="1">SUMPRODUCT(SUMIF(INDIRECT("'"&amp;RIGHT(A131,LEN(A131)-MIN(FIND({0;1;2;3;4;5;6;7;8;9},A131&amp;"0123456789"))+1)&amp;"'!E1:E200000"),"*TOPLAM*",INDIRECT("'"&amp;RIGHT(A131,LEN(A131)-MIN(FIND({0;1;2;3;4;5;6;7;8;9},A131&amp;"0123456789"))+1)&amp;"'!F1:F200000")))</f>
        <v>3024</v>
      </c>
      <c r="G131" s="58" t="s">
        <v>483</v>
      </c>
      <c r="H131" s="41" t="s">
        <v>13</v>
      </c>
      <c r="I131" s="41" t="s">
        <v>18</v>
      </c>
      <c r="J131" s="41" t="s">
        <v>14</v>
      </c>
      <c r="K131" s="20" cm="1">
        <f t="array" aca="1" ref="K131" ca="1">SUMPRODUCT(SUMIF(INDIRECT("'"&amp;RIGHT(G131,LEN(G131)-MIN(FIND({0;1;2;3;4;5;6;7;8;9},G131&amp;"0123456789"))+1)&amp;"'!E1:E200000"),"*TOPLAM*",INDIRECT("'"&amp;RIGHT(G131,LEN(G131)-MIN(FIND({0;1;2;3;4;5;6;7;8;9},G131&amp;"0123456789"))+1)&amp;"'!M1:M200000")))</f>
        <v>2604</v>
      </c>
    </row>
    <row r="132" spans="1:11" ht="23.25" x14ac:dyDescent="0.25">
      <c r="A132" s="58" t="s">
        <v>484</v>
      </c>
      <c r="B132" s="41" t="s">
        <v>13</v>
      </c>
      <c r="C132" s="41" t="s">
        <v>18</v>
      </c>
      <c r="D132" s="41" t="s">
        <v>14</v>
      </c>
      <c r="E132" s="20" cm="1">
        <f t="array" aca="1" ref="E132" ca="1">SUMPRODUCT(SUMIF(INDIRECT("'"&amp;RIGHT(A132,LEN(A132)-MIN(FIND({0;1;2;3;4;5;6;7;8;9},A132&amp;"0123456789"))+1)&amp;"'!E1:E200000"),"*TOPLAM*",INDIRECT("'"&amp;RIGHT(A132,LEN(A132)-MIN(FIND({0;1;2;3;4;5;6;7;8;9},A132&amp;"0123456789"))+1)&amp;"'!F1:F200000")))</f>
        <v>3445.2</v>
      </c>
      <c r="G132" s="58" t="s">
        <v>484</v>
      </c>
      <c r="H132" s="41" t="s">
        <v>13</v>
      </c>
      <c r="I132" s="41" t="s">
        <v>18</v>
      </c>
      <c r="J132" s="41" t="s">
        <v>14</v>
      </c>
      <c r="K132" s="20" cm="1">
        <f t="array" aca="1" ref="K132" ca="1">SUMPRODUCT(SUMIF(INDIRECT("'"&amp;RIGHT(G132,LEN(G132)-MIN(FIND({0;1;2;3;4;5;6;7;8;9},G132&amp;"0123456789"))+1)&amp;"'!E1:E200000"),"*TOPLAM*",INDIRECT("'"&amp;RIGHT(G132,LEN(G132)-MIN(FIND({0;1;2;3;4;5;6;7;8;9},G132&amp;"0123456789"))+1)&amp;"'!M1:M200000")))</f>
        <v>3100.2</v>
      </c>
    </row>
    <row r="133" spans="1:11" ht="23.25" x14ac:dyDescent="0.25">
      <c r="A133" s="58" t="s">
        <v>505</v>
      </c>
      <c r="B133" s="41" t="s">
        <v>13</v>
      </c>
      <c r="C133" s="41" t="s">
        <v>18</v>
      </c>
      <c r="D133" s="41" t="s">
        <v>14</v>
      </c>
      <c r="E133" s="20" cm="1">
        <f t="array" aca="1" ref="E133" ca="1">SUMPRODUCT(SUMIF(INDIRECT("'"&amp;RIGHT(A133,LEN(A133)-MIN(FIND({0;1;2;3;4;5;6;7;8;9},A133&amp;"0123456789"))+1)&amp;"'!E1:E200000"),"*TOPLAM*",INDIRECT("'"&amp;RIGHT(A133,LEN(A133)-MIN(FIND({0;1;2;3;4;5;6;7;8;9},A133&amp;"0123456789"))+1)&amp;"'!F1:F200000")))</f>
        <v>3118.4</v>
      </c>
      <c r="G133" s="58" t="s">
        <v>505</v>
      </c>
      <c r="H133" s="41" t="s">
        <v>13</v>
      </c>
      <c r="I133" s="41" t="s">
        <v>18</v>
      </c>
      <c r="J133" s="41" t="s">
        <v>14</v>
      </c>
      <c r="K133" s="20" cm="1">
        <f t="array" aca="1" ref="K133" ca="1">SUMPRODUCT(SUMIF(INDIRECT("'"&amp;RIGHT(G133,LEN(G133)-MIN(FIND({0;1;2;3;4;5;6;7;8;9},G133&amp;"0123456789"))+1)&amp;"'!E1:E200000"),"*TOPLAM*",INDIRECT("'"&amp;RIGHT(G133,LEN(G133)-MIN(FIND({0;1;2;3;4;5;6;7;8;9},G133&amp;"0123456789"))+1)&amp;"'!M1:M200000")))</f>
        <v>2710.4</v>
      </c>
    </row>
    <row r="134" spans="1:11" ht="23.25" x14ac:dyDescent="0.25">
      <c r="A134" s="58" t="s">
        <v>470</v>
      </c>
      <c r="B134" s="41" t="s">
        <v>13</v>
      </c>
      <c r="C134" s="41" t="s">
        <v>18</v>
      </c>
      <c r="D134" s="41" t="s">
        <v>14</v>
      </c>
      <c r="E134" s="20" cm="1">
        <f t="array" aca="1" ref="E134" ca="1">SUMPRODUCT(SUMIF(INDIRECT("'"&amp;RIGHT(A134,LEN(A134)-MIN(FIND({0;1;2;3;4;5;6;7;8;9},A134&amp;"0123456789"))+1)&amp;"'!E1:E200000"),"*TOPLAM*",INDIRECT("'"&amp;RIGHT(A134,LEN(A134)-MIN(FIND({0;1;2;3;4;5;6;7;8;9},A134&amp;"0123456789"))+1)&amp;"'!F1:F200000")))</f>
        <v>5378</v>
      </c>
      <c r="G134" s="58" t="s">
        <v>470</v>
      </c>
      <c r="H134" s="41" t="s">
        <v>13</v>
      </c>
      <c r="I134" s="41" t="s">
        <v>18</v>
      </c>
      <c r="J134" s="41" t="s">
        <v>14</v>
      </c>
      <c r="K134" s="20" cm="1">
        <f t="array" aca="1" ref="K134" ca="1">SUMPRODUCT(SUMIF(INDIRECT("'"&amp;RIGHT(G134,LEN(G134)-MIN(FIND({0;1;2;3;4;5;6;7;8;9},G134&amp;"0123456789"))+1)&amp;"'!E1:E200000"),"*TOPLAM*",INDIRECT("'"&amp;RIGHT(G134,LEN(G134)-MIN(FIND({0;1;2;3;4;5;6;7;8;9},G134&amp;"0123456789"))+1)&amp;"'!M1:M200000")))</f>
        <v>4742</v>
      </c>
    </row>
    <row r="135" spans="1:11" ht="23.25" x14ac:dyDescent="0.25">
      <c r="A135" s="58" t="s">
        <v>471</v>
      </c>
      <c r="B135" s="41" t="s">
        <v>13</v>
      </c>
      <c r="C135" s="41" t="s">
        <v>18</v>
      </c>
      <c r="D135" s="41" t="s">
        <v>14</v>
      </c>
      <c r="E135" s="20" cm="1">
        <f t="array" aca="1" ref="E135" ca="1">SUMPRODUCT(SUMIF(INDIRECT("'"&amp;RIGHT(A135,LEN(A135)-MIN(FIND({0;1;2;3;4;5;6;7;8;9},A135&amp;"0123456789"))+1)&amp;"'!E1:E200000"),"*TOPLAM*",INDIRECT("'"&amp;RIGHT(A135,LEN(A135)-MIN(FIND({0;1;2;3;4;5;6;7;8;9},A135&amp;"0123456789"))+1)&amp;"'!F1:F200000")))</f>
        <v>6199.2</v>
      </c>
      <c r="G135" s="58" t="s">
        <v>471</v>
      </c>
      <c r="H135" s="41" t="s">
        <v>13</v>
      </c>
      <c r="I135" s="41" t="s">
        <v>18</v>
      </c>
      <c r="J135" s="41" t="s">
        <v>14</v>
      </c>
      <c r="K135" s="20" cm="1">
        <f t="array" aca="1" ref="K135" ca="1">SUMPRODUCT(SUMIF(INDIRECT("'"&amp;RIGHT(G135,LEN(G135)-MIN(FIND({0;1;2;3;4;5;6;7;8;9},G135&amp;"0123456789"))+1)&amp;"'!E1:E200000"),"*TOPLAM*",INDIRECT("'"&amp;RIGHT(G135,LEN(G135)-MIN(FIND({0;1;2;3;4;5;6;7;8;9},G135&amp;"0123456789"))+1)&amp;"'!M1:M200000")))</f>
        <v>4365.2</v>
      </c>
    </row>
    <row r="136" spans="1:11" ht="23.25" x14ac:dyDescent="0.25">
      <c r="A136" s="58" t="s">
        <v>504</v>
      </c>
      <c r="B136" s="41" t="s">
        <v>13</v>
      </c>
      <c r="C136" s="41" t="s">
        <v>18</v>
      </c>
      <c r="D136" s="41" t="s">
        <v>14</v>
      </c>
      <c r="E136" s="20" cm="1">
        <f t="array" aca="1" ref="E136" ca="1">SUMPRODUCT(SUMIF(INDIRECT("'"&amp;RIGHT(A136,LEN(A136)-MIN(FIND({0;1;2;3;4;5;6;7;8;9},A136&amp;"0123456789"))+1)&amp;"'!E1:E200000"),"*TOPLAM*",INDIRECT("'"&amp;RIGHT(A136,LEN(A136)-MIN(FIND({0;1;2;3;4;5;6;7;8;9},A136&amp;"0123456789"))+1)&amp;"'!F1:F200000")))</f>
        <v>2877</v>
      </c>
      <c r="G136" s="58" t="s">
        <v>504</v>
      </c>
      <c r="H136" s="41" t="s">
        <v>13</v>
      </c>
      <c r="I136" s="41" t="s">
        <v>18</v>
      </c>
      <c r="J136" s="41" t="s">
        <v>14</v>
      </c>
      <c r="K136" s="20" cm="1">
        <f t="array" aca="1" ref="K136" ca="1">SUMPRODUCT(SUMIF(INDIRECT("'"&amp;RIGHT(G136,LEN(G136)-MIN(FIND({0;1;2;3;4;5;6;7;8;9},G136&amp;"0123456789"))+1)&amp;"'!E1:E200000"),"*TOPLAM*",INDIRECT("'"&amp;RIGHT(G136,LEN(G136)-MIN(FIND({0;1;2;3;4;5;6;7;8;9},G136&amp;"0123456789"))+1)&amp;"'!M1:M200000")))</f>
        <v>2481</v>
      </c>
    </row>
    <row r="137" spans="1:11" ht="23.25" x14ac:dyDescent="0.25">
      <c r="A137" s="58" t="s">
        <v>336</v>
      </c>
      <c r="B137" s="41" t="s">
        <v>13</v>
      </c>
      <c r="C137" s="41" t="s">
        <v>18</v>
      </c>
      <c r="D137" s="41" t="s">
        <v>14</v>
      </c>
      <c r="E137" s="20" cm="1">
        <f t="array" aca="1" ref="E137" ca="1">SUMPRODUCT(SUMIF(INDIRECT("'"&amp;RIGHT(A137,LEN(A137)-MIN(FIND({0;1;2;3;4;5;6;7;8;9},A137&amp;"0123456789"))+1)&amp;"'!E1:E200000"),"*TOPLAM*",INDIRECT("'"&amp;RIGHT(A137,LEN(A137)-MIN(FIND({0;1;2;3;4;5;6;7;8;9},A137&amp;"0123456789"))+1)&amp;"'!F1:F200000")))</f>
        <v>3096.8</v>
      </c>
      <c r="G137" s="58" t="s">
        <v>336</v>
      </c>
      <c r="H137" s="41" t="s">
        <v>13</v>
      </c>
      <c r="I137" s="41" t="s">
        <v>18</v>
      </c>
      <c r="J137" s="41" t="s">
        <v>14</v>
      </c>
      <c r="K137" s="20" cm="1">
        <f t="array" aca="1" ref="K137" ca="1">SUMPRODUCT(SUMIF(INDIRECT("'"&amp;RIGHT(G137,LEN(G137)-MIN(FIND({0;1;2;3;4;5;6;7;8;9},G137&amp;"0123456789"))+1)&amp;"'!E1:E200000"),"*TOPLAM*",INDIRECT("'"&amp;RIGHT(G137,LEN(G137)-MIN(FIND({0;1;2;3;4;5;6;7;8;9},G137&amp;"0123456789"))+1)&amp;"'!M1:M200000")))</f>
        <v>2700.8</v>
      </c>
    </row>
    <row r="138" spans="1:11" ht="23.25" x14ac:dyDescent="0.25">
      <c r="A138" s="58" t="s">
        <v>473</v>
      </c>
      <c r="B138" s="41" t="s">
        <v>13</v>
      </c>
      <c r="C138" s="41" t="s">
        <v>18</v>
      </c>
      <c r="D138" s="41" t="s">
        <v>14</v>
      </c>
      <c r="E138" s="20" cm="1">
        <f t="array" aca="1" ref="E138" ca="1">SUMPRODUCT(SUMIF(INDIRECT("'"&amp;RIGHT(A138,LEN(A138)-MIN(FIND({0;1;2;3;4;5;6;7;8;9},A138&amp;"0123456789"))+1)&amp;"'!E1:E200000"),"*TOPLAM*",INDIRECT("'"&amp;RIGHT(A138,LEN(A138)-MIN(FIND({0;1;2;3;4;5;6;7;8;9},A138&amp;"0123456789"))+1)&amp;"'!F1:F200000")))</f>
        <v>4738.3999999999996</v>
      </c>
      <c r="G138" s="58" t="s">
        <v>473</v>
      </c>
      <c r="H138" s="41" t="s">
        <v>13</v>
      </c>
      <c r="I138" s="41" t="s">
        <v>18</v>
      </c>
      <c r="J138" s="41" t="s">
        <v>14</v>
      </c>
      <c r="K138" s="20" cm="1">
        <f t="array" aca="1" ref="K138" ca="1">SUMPRODUCT(SUMIF(INDIRECT("'"&amp;RIGHT(G138,LEN(G138)-MIN(FIND({0;1;2;3;4;5;6;7;8;9},G138&amp;"0123456789"))+1)&amp;"'!E1:E200000"),"*TOPLAM*",INDIRECT("'"&amp;RIGHT(G138,LEN(G138)-MIN(FIND({0;1;2;3;4;5;6;7;8;9},G138&amp;"0123456789"))+1)&amp;"'!M1:M200000")))</f>
        <v>4123.3999999999996</v>
      </c>
    </row>
    <row r="139" spans="1:11" ht="23.25" x14ac:dyDescent="0.25">
      <c r="A139" s="58" t="s">
        <v>503</v>
      </c>
      <c r="B139" s="41" t="s">
        <v>13</v>
      </c>
      <c r="C139" s="41" t="s">
        <v>18</v>
      </c>
      <c r="D139" s="41" t="s">
        <v>14</v>
      </c>
      <c r="E139" s="20" cm="1">
        <f t="array" aca="1" ref="E139" ca="1">SUMPRODUCT(SUMIF(INDIRECT("'"&amp;RIGHT(A139,LEN(A139)-MIN(FIND({0;1;2;3;4;5;6;7;8;9},A139&amp;"0123456789"))+1)&amp;"'!E1:E200000"),"*TOPLAM*",INDIRECT("'"&amp;RIGHT(A139,LEN(A139)-MIN(FIND({0;1;2;3;4;5;6;7;8;9},A139&amp;"0123456789"))+1)&amp;"'!F1:F200000")))</f>
        <v>4131.2</v>
      </c>
      <c r="G139" s="58" t="s">
        <v>503</v>
      </c>
      <c r="H139" s="41" t="s">
        <v>13</v>
      </c>
      <c r="I139" s="41" t="s">
        <v>18</v>
      </c>
      <c r="J139" s="41" t="s">
        <v>14</v>
      </c>
      <c r="K139" s="20" cm="1">
        <f t="array" aca="1" ref="K139" ca="1">SUMPRODUCT(SUMIF(INDIRECT("'"&amp;RIGHT(G139,LEN(G139)-MIN(FIND({0;1;2;3;4;5;6;7;8;9},G139&amp;"0123456789"))+1)&amp;"'!E1:E200000"),"*TOPLAM*",INDIRECT("'"&amp;RIGHT(G139,LEN(G139)-MIN(FIND({0;1;2;3;4;5;6;7;8;9},G139&amp;"0123456789"))+1)&amp;"'!M1:M200000")))</f>
        <v>3285.2</v>
      </c>
    </row>
    <row r="140" spans="1:11" ht="23.25" x14ac:dyDescent="0.25">
      <c r="A140" s="58" t="s">
        <v>502</v>
      </c>
      <c r="B140" s="41" t="s">
        <v>13</v>
      </c>
      <c r="C140" s="41" t="s">
        <v>18</v>
      </c>
      <c r="D140" s="41" t="s">
        <v>14</v>
      </c>
      <c r="E140" s="20" cm="1">
        <f t="array" aca="1" ref="E140" ca="1">SUMPRODUCT(SUMIF(INDIRECT("'"&amp;RIGHT(A140,LEN(A140)-MIN(FIND({0;1;2;3;4;5;6;7;8;9},A140&amp;"0123456789"))+1)&amp;"'!E1:E200000"),"*TOPLAM*",INDIRECT("'"&amp;RIGHT(A140,LEN(A140)-MIN(FIND({0;1;2;3;4;5;6;7;8;9},A140&amp;"0123456789"))+1)&amp;"'!F1:F200000")))</f>
        <v>2630.8</v>
      </c>
      <c r="G140" s="58" t="s">
        <v>502</v>
      </c>
      <c r="H140" s="41" t="s">
        <v>13</v>
      </c>
      <c r="I140" s="41" t="s">
        <v>18</v>
      </c>
      <c r="J140" s="41" t="s">
        <v>14</v>
      </c>
      <c r="K140" s="20" cm="1">
        <f t="array" aca="1" ref="K140" ca="1">SUMPRODUCT(SUMIF(INDIRECT("'"&amp;RIGHT(G140,LEN(G140)-MIN(FIND({0;1;2;3;4;5;6;7;8;9},G140&amp;"0123456789"))+1)&amp;"'!E1:E200000"),"*TOPLAM*",INDIRECT("'"&amp;RIGHT(G140,LEN(G140)-MIN(FIND({0;1;2;3;4;5;6;7;8;9},G140&amp;"0123456789"))+1)&amp;"'!M1:M200000")))</f>
        <v>0</v>
      </c>
    </row>
    <row r="141" spans="1:11" ht="23.25" x14ac:dyDescent="0.25">
      <c r="A141" s="58" t="s">
        <v>489</v>
      </c>
      <c r="B141" s="41" t="s">
        <v>13</v>
      </c>
      <c r="C141" s="41" t="s">
        <v>18</v>
      </c>
      <c r="D141" s="41" t="s">
        <v>14</v>
      </c>
      <c r="E141" s="20" cm="1">
        <f t="array" aca="1" ref="E141" ca="1">SUMPRODUCT(SUMIF(INDIRECT("'"&amp;RIGHT(A141,LEN(A141)-MIN(FIND({0;1;2;3;4;5;6;7;8;9},A141&amp;"0123456789"))+1)&amp;"'!E1:E200000"),"*TOPLAM*",INDIRECT("'"&amp;RIGHT(A141,LEN(A141)-MIN(FIND({0;1;2;3;4;5;6;7;8;9},A141&amp;"0123456789"))+1)&amp;"'!F1:F200000")))</f>
        <v>4968.3999999999996</v>
      </c>
      <c r="G141" s="58" t="s">
        <v>489</v>
      </c>
      <c r="H141" s="41" t="s">
        <v>13</v>
      </c>
      <c r="I141" s="41" t="s">
        <v>18</v>
      </c>
      <c r="J141" s="41" t="s">
        <v>14</v>
      </c>
      <c r="K141" s="20" cm="1">
        <f t="array" aca="1" ref="K141" ca="1">SUMPRODUCT(SUMIF(INDIRECT("'"&amp;RIGHT(G141,LEN(G141)-MIN(FIND({0;1;2;3;4;5;6;7;8;9},G141&amp;"0123456789"))+1)&amp;"'!E1:E200000"),"*TOPLAM*",INDIRECT("'"&amp;RIGHT(G141,LEN(G141)-MIN(FIND({0;1;2;3;4;5;6;7;8;9},G141&amp;"0123456789"))+1)&amp;"'!M1:M200000")))</f>
        <v>4356.3999999999996</v>
      </c>
    </row>
    <row r="142" spans="1:11" ht="23.25" x14ac:dyDescent="0.25">
      <c r="A142" s="58" t="s">
        <v>428</v>
      </c>
      <c r="B142" s="41" t="s">
        <v>13</v>
      </c>
      <c r="C142" s="41" t="s">
        <v>18</v>
      </c>
      <c r="D142" s="41" t="s">
        <v>14</v>
      </c>
      <c r="E142" s="20" cm="1">
        <f t="array" aca="1" ref="E142" ca="1">SUMPRODUCT(SUMIF(INDIRECT("'"&amp;RIGHT(A142,LEN(A142)-MIN(FIND({0;1;2;3;4;5;6;7;8;9},A142&amp;"0123456789"))+1)&amp;"'!E1:E200000"),"*TOPLAM*",INDIRECT("'"&amp;RIGHT(A142,LEN(A142)-MIN(FIND({0;1;2;3;4;5;6;7;8;9},A142&amp;"0123456789"))+1)&amp;"'!F1:F200000")))</f>
        <v>4319</v>
      </c>
      <c r="G142" s="58" t="s">
        <v>428</v>
      </c>
      <c r="H142" s="41" t="s">
        <v>13</v>
      </c>
      <c r="I142" s="41" t="s">
        <v>18</v>
      </c>
      <c r="J142" s="41" t="s">
        <v>14</v>
      </c>
      <c r="K142" s="20" cm="1">
        <f t="array" aca="1" ref="K142" ca="1">SUMPRODUCT(SUMIF(INDIRECT("'"&amp;RIGHT(G142,LEN(G142)-MIN(FIND({0;1;2;3;4;5;6;7;8;9},G142&amp;"0123456789"))+1)&amp;"'!E1:E200000"),"*TOPLAM*",INDIRECT("'"&amp;RIGHT(G142,LEN(G142)-MIN(FIND({0;1;2;3;4;5;6;7;8;9},G142&amp;"0123456789"))+1)&amp;"'!M1:M200000")))</f>
        <v>3722</v>
      </c>
    </row>
    <row r="143" spans="1:11" ht="23.25" x14ac:dyDescent="0.25">
      <c r="A143" s="58" t="s">
        <v>404</v>
      </c>
      <c r="B143" s="41" t="s">
        <v>13</v>
      </c>
      <c r="C143" s="41" t="s">
        <v>18</v>
      </c>
      <c r="D143" s="41" t="s">
        <v>14</v>
      </c>
      <c r="E143" s="20" cm="1">
        <f t="array" aca="1" ref="E143" ca="1">SUMPRODUCT(SUMIF(INDIRECT("'"&amp;RIGHT(A143,LEN(A143)-MIN(FIND({0;1;2;3;4;5;6;7;8;9},A143&amp;"0123456789"))+1)&amp;"'!E1:E200000"),"*TOPLAM*",INDIRECT("'"&amp;RIGHT(A143,LEN(A143)-MIN(FIND({0;1;2;3;4;5;6;7;8;9},A143&amp;"0123456789"))+1)&amp;"'!F1:F200000")))</f>
        <v>4507.6000000000004</v>
      </c>
      <c r="G143" s="58" t="s">
        <v>404</v>
      </c>
      <c r="H143" s="41" t="s">
        <v>13</v>
      </c>
      <c r="I143" s="41" t="s">
        <v>18</v>
      </c>
      <c r="J143" s="41" t="s">
        <v>14</v>
      </c>
      <c r="K143" s="20" cm="1">
        <f t="array" aca="1" ref="K143" ca="1">SUMPRODUCT(SUMIF(INDIRECT("'"&amp;RIGHT(G143,LEN(G143)-MIN(FIND({0;1;2;3;4;5;6;7;8;9},G143&amp;"0123456789"))+1)&amp;"'!E1:E200000"),"*TOPLAM*",INDIRECT("'"&amp;RIGHT(G143,LEN(G143)-MIN(FIND({0;1;2;3;4;5;6;7;8;9},G143&amp;"0123456789"))+1)&amp;"'!M1:M200000")))</f>
        <v>3829.6</v>
      </c>
    </row>
    <row r="144" spans="1:11" ht="23.25" x14ac:dyDescent="0.25">
      <c r="A144" s="58" t="s">
        <v>402</v>
      </c>
      <c r="B144" s="41" t="s">
        <v>13</v>
      </c>
      <c r="C144" s="41" t="s">
        <v>18</v>
      </c>
      <c r="D144" s="41" t="s">
        <v>14</v>
      </c>
      <c r="E144" s="20" cm="1">
        <f t="array" aca="1" ref="E144" ca="1">SUMPRODUCT(SUMIF(INDIRECT("'"&amp;RIGHT(A144,LEN(A144)-MIN(FIND({0;1;2;3;4;5;6;7;8;9},A144&amp;"0123456789"))+1)&amp;"'!E1:E200000"),"*TOPLAM*",INDIRECT("'"&amp;RIGHT(A144,LEN(A144)-MIN(FIND({0;1;2;3;4;5;6;7;8;9},A144&amp;"0123456789"))+1)&amp;"'!F1:F200000")))</f>
        <v>4059.2</v>
      </c>
      <c r="G144" s="58" t="s">
        <v>402</v>
      </c>
      <c r="H144" s="41" t="s">
        <v>13</v>
      </c>
      <c r="I144" s="41" t="s">
        <v>18</v>
      </c>
      <c r="J144" s="41" t="s">
        <v>14</v>
      </c>
      <c r="K144" s="20" cm="1">
        <f t="array" aca="1" ref="K144" ca="1">SUMPRODUCT(SUMIF(INDIRECT("'"&amp;RIGHT(G144,LEN(G144)-MIN(FIND({0;1;2;3;4;5;6;7;8;9},G144&amp;"0123456789"))+1)&amp;"'!E1:E200000"),"*TOPLAM*",INDIRECT("'"&amp;RIGHT(G144,LEN(G144)-MIN(FIND({0;1;2;3;4;5;6;7;8;9},G144&amp;"0123456789"))+1)&amp;"'!M1:M200000")))</f>
        <v>3459.2</v>
      </c>
    </row>
    <row r="145" spans="1:11" ht="23.25" x14ac:dyDescent="0.25">
      <c r="A145" s="58" t="s">
        <v>514</v>
      </c>
      <c r="B145" s="41" t="s">
        <v>13</v>
      </c>
      <c r="C145" s="41" t="s">
        <v>18</v>
      </c>
      <c r="D145" s="41" t="s">
        <v>14</v>
      </c>
      <c r="E145" s="20" cm="1">
        <f t="array" aca="1" ref="E145" ca="1">SUMPRODUCT(SUMIF(INDIRECT("'"&amp;RIGHT(A145,LEN(A145)-MIN(FIND({0;1;2;3;4;5;6;7;8;9},A145&amp;"0123456789"))+1)&amp;"'!E1:E200000"),"*TOPLAM*",INDIRECT("'"&amp;RIGHT(A145,LEN(A145)-MIN(FIND({0;1;2;3;4;5;6;7;8;9},A145&amp;"0123456789"))+1)&amp;"'!F1:F200000")))</f>
        <v>4945.3999999999996</v>
      </c>
      <c r="G145" s="58" t="s">
        <v>514</v>
      </c>
      <c r="H145" s="41" t="s">
        <v>13</v>
      </c>
      <c r="I145" s="41" t="s">
        <v>18</v>
      </c>
      <c r="J145" s="41" t="s">
        <v>14</v>
      </c>
      <c r="K145" s="20" cm="1">
        <f t="array" aca="1" ref="K145" ca="1">SUMPRODUCT(SUMIF(INDIRECT("'"&amp;RIGHT(G145,LEN(G145)-MIN(FIND({0;1;2;3;4;5;6;7;8;9},G145&amp;"0123456789"))+1)&amp;"'!E1:E200000"),"*TOPLAM*",INDIRECT("'"&amp;RIGHT(G145,LEN(G145)-MIN(FIND({0;1;2;3;4;5;6;7;8;9},G145&amp;"0123456789"))+1)&amp;"'!M1:M200000")))</f>
        <v>4339.3999999999996</v>
      </c>
    </row>
    <row r="146" spans="1:11" ht="23.25" x14ac:dyDescent="0.25">
      <c r="A146" s="58" t="s">
        <v>406</v>
      </c>
      <c r="B146" s="41" t="s">
        <v>13</v>
      </c>
      <c r="C146" s="41" t="s">
        <v>18</v>
      </c>
      <c r="D146" s="41" t="s">
        <v>14</v>
      </c>
      <c r="E146" s="20" cm="1">
        <f t="array" aca="1" ref="E146" ca="1">SUMPRODUCT(SUMIF(INDIRECT("'"&amp;RIGHT(A146,LEN(A146)-MIN(FIND({0;1;2;3;4;5;6;7;8;9},A146&amp;"0123456789"))+1)&amp;"'!E1:E200000"),"*TOPLAM*",INDIRECT("'"&amp;RIGHT(A146,LEN(A146)-MIN(FIND({0;1;2;3;4;5;6;7;8;9},A146&amp;"0123456789"))+1)&amp;"'!F1:F200000")))</f>
        <v>6000</v>
      </c>
      <c r="G146" s="58" t="s">
        <v>406</v>
      </c>
      <c r="H146" s="41" t="s">
        <v>13</v>
      </c>
      <c r="I146" s="41" t="s">
        <v>18</v>
      </c>
      <c r="J146" s="41" t="s">
        <v>14</v>
      </c>
      <c r="K146" s="20" cm="1">
        <f t="array" aca="1" ref="K146" ca="1">SUMPRODUCT(SUMIF(INDIRECT("'"&amp;RIGHT(G146,LEN(G146)-MIN(FIND({0;1;2;3;4;5;6;7;8;9},G146&amp;"0123456789"))+1)&amp;"'!E1:E200000"),"*TOPLAM*",INDIRECT("'"&amp;RIGHT(G146,LEN(G146)-MIN(FIND({0;1;2;3;4;5;6;7;8;9},G146&amp;"0123456789"))+1)&amp;"'!M1:M200000")))</f>
        <v>6000</v>
      </c>
    </row>
    <row r="147" spans="1:11" ht="23.25" x14ac:dyDescent="0.25">
      <c r="A147" s="58" t="s">
        <v>408</v>
      </c>
      <c r="B147" s="41" t="s">
        <v>13</v>
      </c>
      <c r="C147" s="41" t="s">
        <v>18</v>
      </c>
      <c r="D147" s="41" t="s">
        <v>14</v>
      </c>
      <c r="E147" s="20" cm="1">
        <f t="array" aca="1" ref="E147" ca="1">SUMPRODUCT(SUMIF(INDIRECT("'"&amp;RIGHT(A147,LEN(A147)-MIN(FIND({0;1;2;3;4;5;6;7;8;9},A147&amp;"0123456789"))+1)&amp;"'!E1:E200000"),"*TOPLAM*",INDIRECT("'"&amp;RIGHT(A147,LEN(A147)-MIN(FIND({0;1;2;3;4;5;6;7;8;9},A147&amp;"0123456789"))+1)&amp;"'!F1:F200000")))</f>
        <v>4427.3</v>
      </c>
      <c r="G147" s="58" t="s">
        <v>408</v>
      </c>
      <c r="H147" s="41" t="s">
        <v>13</v>
      </c>
      <c r="I147" s="41" t="s">
        <v>18</v>
      </c>
      <c r="J147" s="41" t="s">
        <v>14</v>
      </c>
      <c r="K147" s="20" cm="1">
        <f t="array" aca="1" ref="K147" ca="1">SUMPRODUCT(SUMIF(INDIRECT("'"&amp;RIGHT(G147,LEN(G147)-MIN(FIND({0;1;2;3;4;5;6;7;8;9},G147&amp;"0123456789"))+1)&amp;"'!E1:E200000"),"*TOPLAM*",INDIRECT("'"&amp;RIGHT(G147,LEN(G147)-MIN(FIND({0;1;2;3;4;5;6;7;8;9},G147&amp;"0123456789"))+1)&amp;"'!M1:M200000")))</f>
        <v>4196.3</v>
      </c>
    </row>
    <row r="148" spans="1:11" ht="23.25" x14ac:dyDescent="0.25">
      <c r="A148" s="58" t="s">
        <v>425</v>
      </c>
      <c r="B148" s="41" t="s">
        <v>13</v>
      </c>
      <c r="C148" s="41" t="s">
        <v>18</v>
      </c>
      <c r="D148" s="41" t="s">
        <v>14</v>
      </c>
      <c r="E148" s="20" cm="1">
        <f t="array" aca="1" ref="E148" ca="1">SUMPRODUCT(SUMIF(INDIRECT("'"&amp;RIGHT(A148,LEN(A148)-MIN(FIND({0;1;2;3;4;5;6;7;8;9},A148&amp;"0123456789"))+1)&amp;"'!E1:E200000"),"*TOPLAM*",INDIRECT("'"&amp;RIGHT(A148,LEN(A148)-MIN(FIND({0;1;2;3;4;5;6;7;8;9},A148&amp;"0123456789"))+1)&amp;"'!F1:F200000")))</f>
        <v>4578.5</v>
      </c>
      <c r="G148" s="58" t="s">
        <v>425</v>
      </c>
      <c r="H148" s="41" t="s">
        <v>13</v>
      </c>
      <c r="I148" s="41" t="s">
        <v>18</v>
      </c>
      <c r="J148" s="41" t="s">
        <v>14</v>
      </c>
      <c r="K148" s="20" cm="1">
        <f t="array" aca="1" ref="K148" ca="1">SUMPRODUCT(SUMIF(INDIRECT("'"&amp;RIGHT(G148,LEN(G148)-MIN(FIND({0;1;2;3;4;5;6;7;8;9},G148&amp;"0123456789"))+1)&amp;"'!E1:E200000"),"*TOPLAM*",INDIRECT("'"&amp;RIGHT(G148,LEN(G148)-MIN(FIND({0;1;2;3;4;5;6;7;8;9},G148&amp;"0123456789"))+1)&amp;"'!M1:M200000")))</f>
        <v>3942.5</v>
      </c>
    </row>
    <row r="149" spans="1:11" ht="23.25" x14ac:dyDescent="0.25">
      <c r="A149" s="58" t="s">
        <v>398</v>
      </c>
      <c r="B149" s="41" t="s">
        <v>13</v>
      </c>
      <c r="C149" s="41" t="s">
        <v>18</v>
      </c>
      <c r="D149" s="41" t="s">
        <v>14</v>
      </c>
      <c r="E149" s="20" cm="1">
        <f t="array" aca="1" ref="E149" ca="1">SUMPRODUCT(SUMIF(INDIRECT("'"&amp;RIGHT(A149,LEN(A149)-MIN(FIND({0;1;2;3;4;5;6;7;8;9},A149&amp;"0123456789"))+1)&amp;"'!E1:E200000"),"*TOPLAM*",INDIRECT("'"&amp;RIGHT(A149,LEN(A149)-MIN(FIND({0;1;2;3;4;5;6;7;8;9},A149&amp;"0123456789"))+1)&amp;"'!F1:F200000")))</f>
        <v>7255.4</v>
      </c>
      <c r="G149" s="58" t="s">
        <v>398</v>
      </c>
      <c r="H149" s="41" t="s">
        <v>13</v>
      </c>
      <c r="I149" s="41" t="s">
        <v>18</v>
      </c>
      <c r="J149" s="41" t="s">
        <v>14</v>
      </c>
      <c r="K149" s="20" cm="1">
        <f t="array" aca="1" ref="K149" ca="1">SUMPRODUCT(SUMIF(INDIRECT("'"&amp;RIGHT(G149,LEN(G149)-MIN(FIND({0;1;2;3;4;5;6;7;8;9},G149&amp;"0123456789"))+1)&amp;"'!E1:E200000"),"*TOPLAM*",INDIRECT("'"&amp;RIGHT(G149,LEN(G149)-MIN(FIND({0;1;2;3;4;5;6;7;8;9},G149&amp;"0123456789"))+1)&amp;"'!M1:M200000")))</f>
        <v>6515.4</v>
      </c>
    </row>
    <row r="150" spans="1:11" ht="23.25" x14ac:dyDescent="0.25">
      <c r="A150" s="58" t="s">
        <v>352</v>
      </c>
      <c r="B150" s="41" t="s">
        <v>13</v>
      </c>
      <c r="C150" s="41" t="s">
        <v>18</v>
      </c>
      <c r="D150" s="41" t="s">
        <v>14</v>
      </c>
      <c r="E150" s="20" cm="1">
        <f t="array" aca="1" ref="E150" ca="1">SUMPRODUCT(SUMIF(INDIRECT("'"&amp;RIGHT(A150,LEN(A150)-MIN(FIND({0;1;2;3;4;5;6;7;8;9},A150&amp;"0123456789"))+1)&amp;"'!E1:E200000"),"*TOPLAM*",INDIRECT("'"&amp;RIGHT(A150,LEN(A150)-MIN(FIND({0;1;2;3;4;5;6;7;8;9},A150&amp;"0123456789"))+1)&amp;"'!F1:F200000")))</f>
        <v>5037.3999999999996</v>
      </c>
      <c r="G150" s="58" t="s">
        <v>352</v>
      </c>
      <c r="H150" s="41" t="s">
        <v>13</v>
      </c>
      <c r="I150" s="41" t="s">
        <v>18</v>
      </c>
      <c r="J150" s="41" t="s">
        <v>14</v>
      </c>
      <c r="K150" s="20" cm="1">
        <f t="array" aca="1" ref="K150" ca="1">SUMPRODUCT(SUMIF(INDIRECT("'"&amp;RIGHT(G150,LEN(G150)-MIN(FIND({0;1;2;3;4;5;6;7;8;9},G150&amp;"0123456789"))+1)&amp;"'!E1:E200000"),"*TOPLAM*",INDIRECT("'"&amp;RIGHT(G150,LEN(G150)-MIN(FIND({0;1;2;3;4;5;6;7;8;9},G150&amp;"0123456789"))+1)&amp;"'!M1:M200000")))</f>
        <v>4659.3999999999996</v>
      </c>
    </row>
    <row r="151" spans="1:11" ht="23.25" x14ac:dyDescent="0.25">
      <c r="A151" s="58" t="s">
        <v>691</v>
      </c>
      <c r="B151" s="41" t="s">
        <v>13</v>
      </c>
      <c r="C151" s="41" t="s">
        <v>18</v>
      </c>
      <c r="D151" s="41" t="s">
        <v>14</v>
      </c>
      <c r="E151" s="20">
        <f ca="1">SUMPRODUCT(SUMIF(INDIRECT("'"&amp;A151&amp;"'!E1:E200000"),"*TOPLAM*",INDIRECT("'"&amp;A151&amp;"'!F1:F200000")))</f>
        <v>28870.799999999999</v>
      </c>
      <c r="G151" s="58" t="s">
        <v>691</v>
      </c>
      <c r="H151" s="41" t="s">
        <v>13</v>
      </c>
      <c r="I151" s="41" t="s">
        <v>18</v>
      </c>
      <c r="J151" s="41" t="s">
        <v>14</v>
      </c>
      <c r="K151" s="20">
        <f t="shared" ref="K151:K156" ca="1" si="0">SUMPRODUCT(SUMIF(INDIRECT("'"&amp;G151&amp;"'!E1:E200000"),"*TOPLAM*",INDIRECT("'"&amp;G151&amp;"'!M1:M200000")))</f>
        <v>22253.8</v>
      </c>
    </row>
    <row r="152" spans="1:11" ht="23.25" x14ac:dyDescent="0.25">
      <c r="A152" s="58" t="s">
        <v>692</v>
      </c>
      <c r="B152" s="41" t="s">
        <v>13</v>
      </c>
      <c r="C152" s="41" t="s">
        <v>18</v>
      </c>
      <c r="D152" s="41" t="s">
        <v>14</v>
      </c>
      <c r="E152" s="20">
        <f t="shared" ref="E152:E154" ca="1" si="1">SUMPRODUCT(SUMIF(INDIRECT("'"&amp;A152&amp;"'!E1:E200000"),"*TOPLAM*",INDIRECT("'"&amp;A152&amp;"'!F1:F200000")))</f>
        <v>51400</v>
      </c>
      <c r="G152" s="58" t="s">
        <v>692</v>
      </c>
      <c r="H152" s="41" t="s">
        <v>13</v>
      </c>
      <c r="I152" s="41" t="s">
        <v>18</v>
      </c>
      <c r="J152" s="41" t="s">
        <v>14</v>
      </c>
      <c r="K152" s="20">
        <f t="shared" ca="1" si="0"/>
        <v>51400</v>
      </c>
    </row>
    <row r="153" spans="1:11" ht="23.25" x14ac:dyDescent="0.25">
      <c r="A153" s="81" t="s">
        <v>693</v>
      </c>
      <c r="B153" s="41" t="s">
        <v>13</v>
      </c>
      <c r="C153" s="41" t="s">
        <v>18</v>
      </c>
      <c r="D153" s="41" t="s">
        <v>14</v>
      </c>
      <c r="E153" s="20">
        <f t="shared" ca="1" si="1"/>
        <v>357554.19999999995</v>
      </c>
      <c r="G153" s="81" t="s">
        <v>693</v>
      </c>
      <c r="H153" s="41" t="s">
        <v>13</v>
      </c>
      <c r="I153" s="41" t="s">
        <v>18</v>
      </c>
      <c r="J153" s="41" t="s">
        <v>14</v>
      </c>
      <c r="K153" s="20">
        <f t="shared" ca="1" si="0"/>
        <v>356954.19999999995</v>
      </c>
    </row>
    <row r="154" spans="1:11" ht="23.25" x14ac:dyDescent="0.25">
      <c r="A154" s="81" t="s">
        <v>694</v>
      </c>
      <c r="B154" s="41" t="s">
        <v>13</v>
      </c>
      <c r="C154" s="41" t="s">
        <v>18</v>
      </c>
      <c r="D154" s="41" t="s">
        <v>14</v>
      </c>
      <c r="E154" s="20">
        <f t="shared" ca="1" si="1"/>
        <v>13304.6</v>
      </c>
      <c r="G154" s="81" t="s">
        <v>694</v>
      </c>
      <c r="H154" s="41" t="s">
        <v>13</v>
      </c>
      <c r="I154" s="41" t="s">
        <v>18</v>
      </c>
      <c r="J154" s="41" t="s">
        <v>14</v>
      </c>
      <c r="K154" s="20">
        <f t="shared" ca="1" si="0"/>
        <v>10094.6</v>
      </c>
    </row>
    <row r="155" spans="1:11" ht="23.25" x14ac:dyDescent="0.25">
      <c r="A155" s="81" t="s">
        <v>695</v>
      </c>
      <c r="B155" s="41" t="s">
        <v>13</v>
      </c>
      <c r="C155" s="41" t="s">
        <v>18</v>
      </c>
      <c r="D155" s="41" t="s">
        <v>14</v>
      </c>
      <c r="E155" s="20">
        <f ca="1">SUMPRODUCT(SUMIF(INDIRECT("'"&amp;A155&amp;"'!E1:E200000"),"*TOPLAM*",INDIRECT("'"&amp;A155&amp;"'!F1:F200000")))</f>
        <v>878991.14199999999</v>
      </c>
      <c r="G155" s="81" t="s">
        <v>695</v>
      </c>
      <c r="H155" s="41" t="s">
        <v>13</v>
      </c>
      <c r="I155" s="41" t="s">
        <v>18</v>
      </c>
      <c r="J155" s="41" t="s">
        <v>14</v>
      </c>
      <c r="K155" s="20">
        <f t="shared" ca="1" si="0"/>
        <v>852203.14199999999</v>
      </c>
    </row>
    <row r="156" spans="1:11" ht="23.25" x14ac:dyDescent="0.25">
      <c r="A156" s="47" t="s">
        <v>7</v>
      </c>
      <c r="B156" s="41" t="s">
        <v>13</v>
      </c>
      <c r="C156" s="41" t="s">
        <v>18</v>
      </c>
      <c r="D156" s="41" t="s">
        <v>14</v>
      </c>
      <c r="E156" s="20">
        <f ca="1">SUMPRODUCT(SUMIF(INDIRECT("'"&amp;A156&amp;"'!E1:E200000"),"*TOPLAM*",INDIRECT("'"&amp;A156&amp;"'!F1:F200000")))</f>
        <v>1357098.3333333333</v>
      </c>
      <c r="G156" s="47" t="s">
        <v>7</v>
      </c>
      <c r="H156" s="41" t="s">
        <v>13</v>
      </c>
      <c r="I156" s="41" t="s">
        <v>18</v>
      </c>
      <c r="J156" s="41" t="s">
        <v>14</v>
      </c>
      <c r="K156" s="20">
        <f t="shared" ca="1" si="0"/>
        <v>154695</v>
      </c>
    </row>
    <row r="157" spans="1:11" ht="24" thickBot="1" x14ac:dyDescent="0.3">
      <c r="A157" s="52"/>
      <c r="B157" s="53"/>
      <c r="C157" s="53"/>
      <c r="D157" s="54" t="s">
        <v>14</v>
      </c>
      <c r="E157" s="55"/>
      <c r="G157" s="52"/>
      <c r="H157" s="53"/>
      <c r="I157" s="53"/>
      <c r="J157" s="54" t="s">
        <v>14</v>
      </c>
      <c r="K157" s="55"/>
    </row>
    <row r="158" spans="1:11" ht="26.25" x14ac:dyDescent="0.25">
      <c r="A158" s="166" t="s">
        <v>21</v>
      </c>
      <c r="B158" s="167"/>
      <c r="C158" s="167"/>
      <c r="D158" s="167"/>
      <c r="E158" s="61">
        <f ca="1">SUMIF(D1:D20147,"-",E1:E20147)</f>
        <v>3658904.1753333332</v>
      </c>
      <c r="G158" s="166" t="s">
        <v>21</v>
      </c>
      <c r="H158" s="167"/>
      <c r="I158" s="167"/>
      <c r="J158" s="167"/>
      <c r="K158" s="61">
        <f ca="1">SUMIF(J1:J20147,"-",K1:K20147)</f>
        <v>2191088.4420000003</v>
      </c>
    </row>
    <row r="159" spans="1:11" ht="26.25" x14ac:dyDescent="0.25">
      <c r="A159" s="168" t="s">
        <v>25</v>
      </c>
      <c r="B159" s="169"/>
      <c r="C159" s="169"/>
      <c r="D159" s="169"/>
      <c r="E159" s="62">
        <f ca="1">E158*0.2</f>
        <v>731780.83506666671</v>
      </c>
      <c r="G159" s="168" t="s">
        <v>25</v>
      </c>
      <c r="H159" s="169"/>
      <c r="I159" s="169"/>
      <c r="J159" s="169"/>
      <c r="K159" s="62">
        <f ca="1">K158*0.2</f>
        <v>438217.6884000001</v>
      </c>
    </row>
    <row r="160" spans="1:11" customFormat="1" ht="26.25" x14ac:dyDescent="0.25">
      <c r="A160" s="170" t="s">
        <v>17</v>
      </c>
      <c r="B160" s="171"/>
      <c r="C160" s="171"/>
      <c r="D160" s="171"/>
      <c r="E160" s="63"/>
      <c r="G160" s="170" t="s">
        <v>17</v>
      </c>
      <c r="H160" s="171"/>
      <c r="I160" s="171"/>
      <c r="J160" s="171"/>
      <c r="K160" s="63"/>
    </row>
    <row r="161" spans="1:11" customFormat="1" ht="27" thickBot="1" x14ac:dyDescent="0.3">
      <c r="A161" s="172" t="s">
        <v>15</v>
      </c>
      <c r="B161" s="173"/>
      <c r="C161" s="173"/>
      <c r="D161" s="173"/>
      <c r="E161" s="64">
        <f ca="1">E158+E159+E160</f>
        <v>4390685.0104</v>
      </c>
      <c r="G161" s="172" t="s">
        <v>15</v>
      </c>
      <c r="H161" s="173"/>
      <c r="I161" s="173"/>
      <c r="J161" s="173"/>
      <c r="K161" s="64">
        <f ca="1">K158+K159+K160</f>
        <v>2629306.1304000001</v>
      </c>
    </row>
    <row r="163" spans="1:11" ht="27" thickBot="1" x14ac:dyDescent="0.3">
      <c r="K163" s="64">
        <f ca="1">E161-K161</f>
        <v>1761378.88</v>
      </c>
    </row>
  </sheetData>
  <mergeCells count="10">
    <mergeCell ref="H1:K1"/>
    <mergeCell ref="G158:J158"/>
    <mergeCell ref="G159:J159"/>
    <mergeCell ref="G160:J160"/>
    <mergeCell ref="G161:J161"/>
    <mergeCell ref="B1:E1"/>
    <mergeCell ref="A158:D158"/>
    <mergeCell ref="A159:D159"/>
    <mergeCell ref="A160:D160"/>
    <mergeCell ref="A161:D161"/>
  </mergeCells>
  <phoneticPr fontId="19" type="noConversion"/>
  <pageMargins left="0.25" right="0.25" top="0.24799868766404198" bottom="0.24803040244969379" header="0.31496062992125984" footer="0.31496062992125984"/>
  <pageSetup paperSize="9" scale="58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95CB4-172A-4862-8897-A29D914B3D8F}">
  <sheetPr>
    <pageSetUpPr fitToPage="1"/>
  </sheetPr>
  <dimension ref="A1:G174"/>
  <sheetViews>
    <sheetView view="pageBreakPreview" zoomScale="55" zoomScaleNormal="55" zoomScaleSheetLayoutView="55" workbookViewId="0">
      <pane ySplit="2" topLeftCell="A3" activePane="bottomLeft" state="frozen"/>
      <selection activeCell="AE36" sqref="AE36"/>
      <selection pane="bottomLeft" activeCell="C5" sqref="C5"/>
    </sheetView>
  </sheetViews>
  <sheetFormatPr defaultRowHeight="15" x14ac:dyDescent="0.25"/>
  <cols>
    <col min="1" max="1" width="10.28515625" style="143" customWidth="1"/>
    <col min="2" max="2" width="77.140625" style="143" customWidth="1"/>
    <col min="3" max="3" width="22.28515625" style="143" bestFit="1" customWidth="1"/>
    <col min="4" max="4" width="26.42578125" style="143" customWidth="1"/>
    <col min="5" max="5" width="35.28515625" style="143" customWidth="1"/>
    <col min="7" max="7" width="29.140625" style="127" customWidth="1"/>
  </cols>
  <sheetData>
    <row r="1" spans="1:7" ht="138.75" customHeight="1" thickBot="1" x14ac:dyDescent="0.3">
      <c r="A1" s="21"/>
      <c r="B1" s="164" t="s">
        <v>664</v>
      </c>
      <c r="C1" s="164"/>
      <c r="D1" s="164"/>
      <c r="E1" s="165"/>
    </row>
    <row r="2" spans="1:7" ht="63" customHeight="1" x14ac:dyDescent="0.25">
      <c r="A2" s="128" t="s">
        <v>1</v>
      </c>
      <c r="B2" s="129" t="s">
        <v>665</v>
      </c>
      <c r="C2" s="129" t="s">
        <v>666</v>
      </c>
      <c r="D2" s="129" t="s">
        <v>667</v>
      </c>
      <c r="E2" s="130" t="s">
        <v>668</v>
      </c>
    </row>
    <row r="3" spans="1:7" ht="33" customHeight="1" x14ac:dyDescent="0.25">
      <c r="A3" s="131">
        <v>1</v>
      </c>
      <c r="B3" s="132" t="s">
        <v>696</v>
      </c>
      <c r="C3" s="132">
        <f>0</f>
        <v>0</v>
      </c>
      <c r="D3" s="133" t="e" cm="1">
        <f t="array" aca="1" ref="D3" ca="1">SUMPRODUCT(SUMIF(INDIRECT("'"&amp;G21:G174&amp;"'!B1:B200000"),"*termo*yalnız*işçilik*",INDIRECT("'"&amp;G21:G174&amp;"'!D1:D200000")))</f>
        <v>#REF!</v>
      </c>
      <c r="E3" s="134" t="e" cm="1">
        <f t="array" aca="1" ref="E3" ca="1">SUMPRODUCT(SUMIF(INDIRECT("'"&amp;G21:G174&amp;"'!B1:B200000"),"*termo*yalnız*işçilik*",INDIRECT("'"&amp;G21:G174&amp;"'!F1:F200000")))</f>
        <v>#REF!</v>
      </c>
    </row>
    <row r="4" spans="1:7" ht="33" customHeight="1" x14ac:dyDescent="0.25">
      <c r="A4" s="131">
        <v>2</v>
      </c>
      <c r="B4" s="132" t="s">
        <v>697</v>
      </c>
      <c r="C4" s="132" t="e">
        <f ca="1">SUMPRODUCT(COUNTIF(INDIRECT("'"&amp;G21:G174&amp;"'!B1:B200000"),"*dəmir*darvaza*qoyulma*"))</f>
        <v>#REF!</v>
      </c>
      <c r="D4" s="133" t="e" cm="1">
        <f t="array" aca="1" ref="D4" ca="1">SUMPRODUCT(SUMIF(INDIRECT("'"&amp;G21:G174&amp;"'!B1:B200000"),"*termo*yalnız*material*",INDIRECT("'"&amp;G21:G174&amp;"'!D1:D200000")))</f>
        <v>#REF!</v>
      </c>
      <c r="E4" s="134" t="e" cm="1">
        <f t="array" aca="1" ref="E4" ca="1">SUMPRODUCT(SUMIF(INDIRECT("'"&amp;G21:G174&amp;"'!B1:B200000"),"*termo*yalnız*material*",INDIRECT("'"&amp;G21:G174&amp;"'!F1:F200000")))</f>
        <v>#REF!</v>
      </c>
    </row>
    <row r="5" spans="1:7" ht="33" customHeight="1" x14ac:dyDescent="0.25">
      <c r="A5" s="131">
        <v>3</v>
      </c>
      <c r="B5" s="132" t="s">
        <v>733</v>
      </c>
      <c r="C5" s="132" t="e">
        <f ca="1">SUMPRODUCT(COUNTIF(INDIRECT("'"&amp;G21:G174&amp;"'!B1:B200000"),"*dəmir*qapı*qoyulma*"))</f>
        <v>#REF!</v>
      </c>
      <c r="D5" s="133" t="e" cm="1">
        <f t="array" aca="1" ref="D5" ca="1">SUMPRODUCT(SUMIF(INDIRECT("'"&amp;G21:G174&amp;"'!B1:B200000"),"*termo*material+işçilik*",INDIRECT("'"&amp;G21:G174&amp;"'!D1:D200000")))</f>
        <v>#REF!</v>
      </c>
      <c r="E5" s="134" t="e" cm="1">
        <f t="array" aca="1" ref="E5" ca="1">SUMPRODUCT(SUMIF(INDIRECT("'"&amp;G21:G174&amp;"'!B1:B200000"),"*termo*material+işçilik*",INDIRECT("'"&amp;G21:G174&amp;"'!F1:F200000")))</f>
        <v>#REF!</v>
      </c>
    </row>
    <row r="6" spans="1:7" ht="33" customHeight="1" x14ac:dyDescent="0.25">
      <c r="A6" s="131">
        <v>5</v>
      </c>
      <c r="B6" s="135" t="s">
        <v>161</v>
      </c>
      <c r="C6" s="135">
        <f>0</f>
        <v>0</v>
      </c>
      <c r="D6" s="136" t="e" cm="1">
        <f t="array" aca="1" ref="D6" ca="1">SUMPRODUCT(SUMIF(INDIRECT("'"&amp;G21:G174&amp;"'!B1:B200000"),"*köşə*vurulma*",INDIRECT("'"&amp;G21:G174&amp;"'!D1:D200000")))</f>
        <v>#REF!</v>
      </c>
      <c r="E6" s="137" t="e" cm="1">
        <f t="array" aca="1" ref="E6" ca="1">SUMPRODUCT(SUMIF(INDIRECT("'"&amp;G21:G174&amp;"'!B1:B200000"),"*köşə*vurulma*",INDIRECT("'"&amp;G21:G174&amp;"'!F1:F200000")))</f>
        <v>#REF!</v>
      </c>
      <c r="G6" s="138"/>
    </row>
    <row r="7" spans="1:7" ht="33" customHeight="1" x14ac:dyDescent="0.25">
      <c r="A7" s="131">
        <v>6</v>
      </c>
      <c r="B7" s="135" t="s">
        <v>698</v>
      </c>
      <c r="C7" s="135">
        <f>0</f>
        <v>0</v>
      </c>
      <c r="D7" s="136" t="e" cm="1">
        <f t="array" aca="1" ref="D7" ca="1">SUMPRODUCT(SUMIF(INDIRECT("'"&amp;G21:G174&amp;"'!B1:B200000"),"*emprenye*reyka*",INDIRECT("'"&amp;G21:G174&amp;"'!D1:D200000")))</f>
        <v>#REF!</v>
      </c>
      <c r="E7" s="137" t="e" cm="1">
        <f t="array" aca="1" ref="E7" ca="1">SUMPRODUCT(SUMIF(INDIRECT("'"&amp;G21:G174&amp;"'!B1:B200000"),"*emprenye*reyka*",INDIRECT("'"&amp;G21:G174&amp;"'!F1:F200000")))</f>
        <v>#REF!</v>
      </c>
      <c r="G7" s="138"/>
    </row>
    <row r="8" spans="1:7" ht="33" customHeight="1" x14ac:dyDescent="0.25">
      <c r="A8" s="131">
        <v>7</v>
      </c>
      <c r="B8" s="135" t="s">
        <v>699</v>
      </c>
      <c r="C8" s="135">
        <f>0</f>
        <v>0</v>
      </c>
      <c r="D8" s="136" t="e" cm="1">
        <f t="array" aca="1" ref="D8" ca="1">SUMPRODUCT(SUMIF(INDIRECT("'"&amp;G21:G174&amp;"'!B1:B200000"),"*termo*perilla*",INDIRECT("'"&amp;G21:G174&amp;"'!D1:D200000")))</f>
        <v>#REF!</v>
      </c>
      <c r="E8" s="137" t="e" cm="1">
        <f t="array" aca="1" ref="E8" ca="1">SUMPRODUCT(SUMIF(INDIRECT("'"&amp;G21:G174&amp;"'!B1:B200000"),"*termo*perilla*",INDIRECT("'"&amp;G21:G174&amp;"'!F1:F200000")))</f>
        <v>#REF!</v>
      </c>
      <c r="G8" s="138"/>
    </row>
    <row r="9" spans="1:7" ht="33" customHeight="1" x14ac:dyDescent="0.25">
      <c r="A9" s="131">
        <v>8</v>
      </c>
      <c r="B9" s="135" t="s">
        <v>732</v>
      </c>
      <c r="C9" s="135">
        <f>0</f>
        <v>0</v>
      </c>
      <c r="D9" s="136" t="e" cm="1">
        <f t="array" aca="1" ref="D9" ca="1">SUMPRODUCT(SUMIF(INDIRECT("'"&amp;G21:G174&amp;"'!B1:B200000"),"*termo*məhəccər*",INDIRECT("'"&amp;G21:G174&amp;"'!D1:D200000")))</f>
        <v>#REF!</v>
      </c>
      <c r="E9" s="137" t="e" cm="1">
        <f t="array" aca="1" ref="E9" ca="1">SUMPRODUCT(SUMIF(INDIRECT("'"&amp;G21:G174&amp;"'!B1:B200000"),"*termo*məhəccər*",INDIRECT("'"&amp;G21:G174&amp;"'!F1:F200000")))</f>
        <v>#REF!</v>
      </c>
      <c r="G9" s="138"/>
    </row>
    <row r="10" spans="1:7" ht="33" customHeight="1" x14ac:dyDescent="0.25">
      <c r="A10" s="131">
        <v>4</v>
      </c>
      <c r="B10" s="135" t="s">
        <v>669</v>
      </c>
      <c r="C10" s="135" t="e" cm="1">
        <f t="array" aca="1" ref="C10" ca="1">SUMPRODUCT(COUNTIF(INDIRECT("'"&amp;G21:G174&amp;"'!B1:B200000"),"*söhbətgah*qurulma*"))</f>
        <v>#REF!</v>
      </c>
      <c r="D10" s="136" t="e" cm="1">
        <f t="array" aca="1" ref="D10" ca="1">SUMPRODUCT(SUMIF(INDIRECT("'"&amp;G21:G174&amp;"'!B1:B200000"),"*söhbətgah*dəst*qurulma*",INDIRECT("'"&amp;G21:G174&amp;"'!D1:D200000")))</f>
        <v>#REF!</v>
      </c>
      <c r="E10" s="137" t="e" cm="1">
        <f t="array" aca="1" ref="E10" ca="1">SUMPRODUCT(SUMIF(INDIRECT("'"&amp;G21:G174&amp;"'!B1:B200000"),"*söhbətgah*qurulma*",INDIRECT("'"&amp;G21:G174&amp;"'!F1:F200000")))</f>
        <v>#REF!</v>
      </c>
      <c r="G10" s="138"/>
    </row>
    <row r="11" spans="1:7" ht="33" customHeight="1" x14ac:dyDescent="0.25">
      <c r="A11" s="131">
        <v>9</v>
      </c>
      <c r="B11" s="135"/>
      <c r="C11" s="135"/>
      <c r="D11" s="136"/>
      <c r="E11" s="137"/>
      <c r="G11" s="138"/>
    </row>
    <row r="12" spans="1:7" ht="33" customHeight="1" x14ac:dyDescent="0.25">
      <c r="A12" s="131">
        <v>10</v>
      </c>
      <c r="B12" s="135"/>
      <c r="C12" s="135"/>
      <c r="D12" s="136"/>
      <c r="E12" s="137"/>
      <c r="G12" s="138"/>
    </row>
    <row r="13" spans="1:7" ht="33" customHeight="1" x14ac:dyDescent="0.25">
      <c r="A13" s="131">
        <v>11</v>
      </c>
      <c r="B13" s="135"/>
      <c r="C13" s="135"/>
      <c r="D13" s="136"/>
      <c r="E13" s="137"/>
      <c r="G13" s="138"/>
    </row>
    <row r="14" spans="1:7" ht="33" customHeight="1" x14ac:dyDescent="0.25">
      <c r="A14" s="131">
        <v>12</v>
      </c>
      <c r="B14" s="135"/>
      <c r="C14" s="135"/>
      <c r="D14" s="136"/>
      <c r="E14" s="137"/>
      <c r="G14" s="138"/>
    </row>
    <row r="15" spans="1:7" ht="33" customHeight="1" x14ac:dyDescent="0.25">
      <c r="A15" s="131">
        <v>13</v>
      </c>
      <c r="B15" s="135"/>
      <c r="C15" s="135"/>
      <c r="D15" s="136"/>
      <c r="E15" s="137"/>
      <c r="G15" s="138"/>
    </row>
    <row r="16" spans="1:7" ht="33" customHeight="1" x14ac:dyDescent="0.25">
      <c r="A16" s="131">
        <v>14</v>
      </c>
      <c r="B16" s="135"/>
      <c r="C16" s="135"/>
      <c r="D16" s="136"/>
      <c r="E16" s="137"/>
      <c r="G16" s="138"/>
    </row>
    <row r="17" spans="1:7" ht="33" customHeight="1" x14ac:dyDescent="0.25">
      <c r="A17" s="131">
        <v>15</v>
      </c>
      <c r="B17" s="135"/>
      <c r="C17" s="135"/>
      <c r="D17" s="136"/>
      <c r="E17" s="137"/>
      <c r="G17" s="138"/>
    </row>
    <row r="18" spans="1:7" ht="33" customHeight="1" thickBot="1" x14ac:dyDescent="0.4">
      <c r="A18" s="139"/>
      <c r="B18" s="140"/>
      <c r="C18" s="140"/>
      <c r="D18" s="140"/>
      <c r="E18" s="141"/>
      <c r="G18" s="142"/>
    </row>
    <row r="19" spans="1:7" ht="23.25" x14ac:dyDescent="0.35">
      <c r="G19" s="142"/>
    </row>
    <row r="20" spans="1:7" ht="23.25" x14ac:dyDescent="0.35">
      <c r="G20" s="144"/>
    </row>
    <row r="21" spans="1:7" ht="23.25" x14ac:dyDescent="0.35">
      <c r="G21" s="145" t="s">
        <v>670</v>
      </c>
    </row>
    <row r="22" spans="1:7" ht="23.25" x14ac:dyDescent="0.35">
      <c r="G22" s="144" t="s">
        <v>671</v>
      </c>
    </row>
    <row r="23" spans="1:7" ht="23.25" x14ac:dyDescent="0.35">
      <c r="G23" s="144" t="s">
        <v>672</v>
      </c>
    </row>
    <row r="24" spans="1:7" ht="23.25" x14ac:dyDescent="0.35">
      <c r="G24" s="144" t="s">
        <v>673</v>
      </c>
    </row>
    <row r="25" spans="1:7" ht="23.25" x14ac:dyDescent="0.35">
      <c r="G25" s="144" t="s">
        <v>674</v>
      </c>
    </row>
    <row r="26" spans="1:7" ht="23.25" x14ac:dyDescent="0.35">
      <c r="G26" s="144" t="s">
        <v>675</v>
      </c>
    </row>
    <row r="27" spans="1:7" ht="23.25" x14ac:dyDescent="0.35">
      <c r="G27" s="144" t="s">
        <v>676</v>
      </c>
    </row>
    <row r="28" spans="1:7" ht="23.25" x14ac:dyDescent="0.35">
      <c r="G28" s="144" t="s">
        <v>677</v>
      </c>
    </row>
    <row r="29" spans="1:7" ht="23.25" x14ac:dyDescent="0.35">
      <c r="G29" s="144" t="s">
        <v>678</v>
      </c>
    </row>
    <row r="30" spans="1:7" ht="23.25" x14ac:dyDescent="0.35">
      <c r="G30" s="144" t="s">
        <v>679</v>
      </c>
    </row>
    <row r="31" spans="1:7" ht="23.25" x14ac:dyDescent="0.35">
      <c r="G31" s="144" t="s">
        <v>680</v>
      </c>
    </row>
    <row r="32" spans="1:7" ht="23.25" x14ac:dyDescent="0.35">
      <c r="G32" s="144" t="s">
        <v>681</v>
      </c>
    </row>
    <row r="33" spans="7:7" ht="23.25" x14ac:dyDescent="0.35">
      <c r="G33" s="144" t="s">
        <v>682</v>
      </c>
    </row>
    <row r="34" spans="7:7" ht="23.25" x14ac:dyDescent="0.35">
      <c r="G34" s="144" t="s">
        <v>683</v>
      </c>
    </row>
    <row r="35" spans="7:7" ht="23.25" x14ac:dyDescent="0.35">
      <c r="G35" s="144" t="s">
        <v>684</v>
      </c>
    </row>
    <row r="36" spans="7:7" ht="23.25" x14ac:dyDescent="0.35">
      <c r="G36" s="144" t="s">
        <v>685</v>
      </c>
    </row>
    <row r="37" spans="7:7" ht="23.25" x14ac:dyDescent="0.35">
      <c r="G37" s="144" t="s">
        <v>686</v>
      </c>
    </row>
    <row r="38" spans="7:7" ht="23.25" x14ac:dyDescent="0.35">
      <c r="G38" s="144" t="s">
        <v>687</v>
      </c>
    </row>
    <row r="39" spans="7:7" ht="23.25" x14ac:dyDescent="0.35">
      <c r="G39" s="144" t="s">
        <v>688</v>
      </c>
    </row>
    <row r="40" spans="7:7" ht="23.25" x14ac:dyDescent="0.35">
      <c r="G40" s="144" t="s">
        <v>689</v>
      </c>
    </row>
    <row r="41" spans="7:7" ht="23.25" x14ac:dyDescent="0.35">
      <c r="G41" s="144" t="s">
        <v>690</v>
      </c>
    </row>
    <row r="42" spans="7:7" ht="23.25" x14ac:dyDescent="0.35">
      <c r="G42" s="145">
        <v>60</v>
      </c>
    </row>
    <row r="43" spans="7:7" ht="23.25" x14ac:dyDescent="0.35">
      <c r="G43" s="145">
        <v>62</v>
      </c>
    </row>
    <row r="44" spans="7:7" ht="23.25" x14ac:dyDescent="0.35">
      <c r="G44" s="145">
        <v>63</v>
      </c>
    </row>
    <row r="45" spans="7:7" ht="23.25" x14ac:dyDescent="0.35">
      <c r="G45" s="145">
        <v>79</v>
      </c>
    </row>
    <row r="46" spans="7:7" ht="23.25" x14ac:dyDescent="0.35">
      <c r="G46" s="145">
        <v>81</v>
      </c>
    </row>
    <row r="47" spans="7:7" ht="23.25" x14ac:dyDescent="0.35">
      <c r="G47" s="145">
        <v>145</v>
      </c>
    </row>
    <row r="48" spans="7:7" ht="23.25" x14ac:dyDescent="0.35">
      <c r="G48" s="145">
        <v>174</v>
      </c>
    </row>
    <row r="49" spans="7:7" ht="23.25" x14ac:dyDescent="0.35">
      <c r="G49" s="145">
        <v>176</v>
      </c>
    </row>
    <row r="50" spans="7:7" ht="23.25" x14ac:dyDescent="0.35">
      <c r="G50" s="145">
        <v>177</v>
      </c>
    </row>
    <row r="51" spans="7:7" ht="23.25" x14ac:dyDescent="0.35">
      <c r="G51" s="145">
        <v>181</v>
      </c>
    </row>
    <row r="52" spans="7:7" ht="23.25" x14ac:dyDescent="0.35">
      <c r="G52" s="145">
        <v>186</v>
      </c>
    </row>
    <row r="53" spans="7:7" ht="23.25" x14ac:dyDescent="0.35">
      <c r="G53" s="145">
        <v>187</v>
      </c>
    </row>
    <row r="54" spans="7:7" ht="23.25" x14ac:dyDescent="0.35">
      <c r="G54" s="145">
        <v>188</v>
      </c>
    </row>
    <row r="55" spans="7:7" ht="23.25" x14ac:dyDescent="0.35">
      <c r="G55" s="145">
        <v>190</v>
      </c>
    </row>
    <row r="56" spans="7:7" ht="23.25" x14ac:dyDescent="0.35">
      <c r="G56" s="145">
        <v>198</v>
      </c>
    </row>
    <row r="57" spans="7:7" ht="23.25" x14ac:dyDescent="0.35">
      <c r="G57" s="145">
        <v>199</v>
      </c>
    </row>
    <row r="58" spans="7:7" ht="23.25" x14ac:dyDescent="0.35">
      <c r="G58" s="145">
        <v>200</v>
      </c>
    </row>
    <row r="59" spans="7:7" ht="23.25" x14ac:dyDescent="0.35">
      <c r="G59" s="145">
        <v>207</v>
      </c>
    </row>
    <row r="60" spans="7:7" ht="23.25" x14ac:dyDescent="0.35">
      <c r="G60" s="145">
        <v>208</v>
      </c>
    </row>
    <row r="61" spans="7:7" ht="23.25" x14ac:dyDescent="0.35">
      <c r="G61" s="145">
        <v>260</v>
      </c>
    </row>
    <row r="62" spans="7:7" ht="23.25" x14ac:dyDescent="0.35">
      <c r="G62" s="145">
        <v>267</v>
      </c>
    </row>
    <row r="63" spans="7:7" ht="23.25" x14ac:dyDescent="0.35">
      <c r="G63" s="145">
        <v>271</v>
      </c>
    </row>
    <row r="64" spans="7:7" ht="23.25" x14ac:dyDescent="0.35">
      <c r="G64" s="145">
        <v>345</v>
      </c>
    </row>
    <row r="65" spans="7:7" ht="23.25" x14ac:dyDescent="0.35">
      <c r="G65" s="145">
        <v>351</v>
      </c>
    </row>
    <row r="66" spans="7:7" ht="23.25" x14ac:dyDescent="0.35">
      <c r="G66" s="145">
        <v>355</v>
      </c>
    </row>
    <row r="67" spans="7:7" ht="23.25" x14ac:dyDescent="0.35">
      <c r="G67" s="145">
        <v>359</v>
      </c>
    </row>
    <row r="68" spans="7:7" ht="23.25" x14ac:dyDescent="0.35">
      <c r="G68" s="145">
        <v>361</v>
      </c>
    </row>
    <row r="69" spans="7:7" ht="23.25" x14ac:dyDescent="0.35">
      <c r="G69" s="145">
        <v>363</v>
      </c>
    </row>
    <row r="70" spans="7:7" ht="23.25" x14ac:dyDescent="0.35">
      <c r="G70" s="145">
        <v>365</v>
      </c>
    </row>
    <row r="71" spans="7:7" ht="23.25" x14ac:dyDescent="0.35">
      <c r="G71" s="145">
        <v>373</v>
      </c>
    </row>
    <row r="72" spans="7:7" ht="23.25" x14ac:dyDescent="0.35">
      <c r="G72" s="145">
        <v>374</v>
      </c>
    </row>
    <row r="73" spans="7:7" ht="23.25" x14ac:dyDescent="0.35">
      <c r="G73" s="145">
        <v>375</v>
      </c>
    </row>
    <row r="74" spans="7:7" ht="23.25" x14ac:dyDescent="0.35">
      <c r="G74" s="145">
        <v>376</v>
      </c>
    </row>
    <row r="75" spans="7:7" ht="23.25" x14ac:dyDescent="0.35">
      <c r="G75" s="145">
        <v>380</v>
      </c>
    </row>
    <row r="76" spans="7:7" ht="23.25" x14ac:dyDescent="0.35">
      <c r="G76" s="145">
        <v>406</v>
      </c>
    </row>
    <row r="77" spans="7:7" ht="23.25" x14ac:dyDescent="0.35">
      <c r="G77" s="145">
        <v>428</v>
      </c>
    </row>
    <row r="78" spans="7:7" ht="23.25" x14ac:dyDescent="0.35">
      <c r="G78" s="145">
        <v>430</v>
      </c>
    </row>
    <row r="79" spans="7:7" ht="23.25" x14ac:dyDescent="0.35">
      <c r="G79" s="145">
        <v>434</v>
      </c>
    </row>
    <row r="80" spans="7:7" ht="23.25" x14ac:dyDescent="0.35">
      <c r="G80" s="145">
        <v>436</v>
      </c>
    </row>
    <row r="81" spans="7:7" ht="23.25" x14ac:dyDescent="0.35">
      <c r="G81" s="145">
        <v>437</v>
      </c>
    </row>
    <row r="82" spans="7:7" ht="23.25" x14ac:dyDescent="0.35">
      <c r="G82" s="145">
        <v>441</v>
      </c>
    </row>
    <row r="83" spans="7:7" ht="23.25" x14ac:dyDescent="0.35">
      <c r="G83" s="145">
        <v>445</v>
      </c>
    </row>
    <row r="84" spans="7:7" ht="23.25" x14ac:dyDescent="0.35">
      <c r="G84" s="145">
        <v>458</v>
      </c>
    </row>
    <row r="85" spans="7:7" ht="23.25" x14ac:dyDescent="0.35">
      <c r="G85" s="145">
        <v>459</v>
      </c>
    </row>
    <row r="86" spans="7:7" ht="23.25" x14ac:dyDescent="0.35">
      <c r="G86" s="145">
        <v>461</v>
      </c>
    </row>
    <row r="87" spans="7:7" ht="23.25" x14ac:dyDescent="0.35">
      <c r="G87" s="145">
        <v>464</v>
      </c>
    </row>
    <row r="88" spans="7:7" ht="23.25" x14ac:dyDescent="0.35">
      <c r="G88" s="145">
        <v>469</v>
      </c>
    </row>
    <row r="89" spans="7:7" ht="23.25" x14ac:dyDescent="0.35">
      <c r="G89" s="145">
        <v>470</v>
      </c>
    </row>
    <row r="90" spans="7:7" ht="23.25" x14ac:dyDescent="0.35">
      <c r="G90" s="145">
        <v>472</v>
      </c>
    </row>
    <row r="91" spans="7:7" ht="23.25" x14ac:dyDescent="0.35">
      <c r="G91" s="145">
        <v>481</v>
      </c>
    </row>
    <row r="92" spans="7:7" ht="23.25" x14ac:dyDescent="0.35">
      <c r="G92" s="145">
        <v>484</v>
      </c>
    </row>
    <row r="93" spans="7:7" ht="23.25" x14ac:dyDescent="0.35">
      <c r="G93" s="145">
        <v>486</v>
      </c>
    </row>
    <row r="94" spans="7:7" ht="23.25" x14ac:dyDescent="0.35">
      <c r="G94" s="145">
        <v>487</v>
      </c>
    </row>
    <row r="95" spans="7:7" ht="23.25" x14ac:dyDescent="0.35">
      <c r="G95" s="145">
        <v>516</v>
      </c>
    </row>
    <row r="96" spans="7:7" ht="23.25" x14ac:dyDescent="0.35">
      <c r="G96" s="145">
        <v>522</v>
      </c>
    </row>
    <row r="97" spans="7:7" ht="23.25" x14ac:dyDescent="0.35">
      <c r="G97" s="145">
        <v>525</v>
      </c>
    </row>
    <row r="98" spans="7:7" ht="23.25" x14ac:dyDescent="0.35">
      <c r="G98" s="145">
        <v>527</v>
      </c>
    </row>
    <row r="99" spans="7:7" ht="23.25" x14ac:dyDescent="0.35">
      <c r="G99" s="145">
        <v>528</v>
      </c>
    </row>
    <row r="100" spans="7:7" ht="23.25" x14ac:dyDescent="0.35">
      <c r="G100" s="145">
        <v>537</v>
      </c>
    </row>
    <row r="101" spans="7:7" ht="23.25" x14ac:dyDescent="0.35">
      <c r="G101" s="145">
        <v>538</v>
      </c>
    </row>
    <row r="102" spans="7:7" ht="23.25" x14ac:dyDescent="0.35">
      <c r="G102" s="145">
        <v>550</v>
      </c>
    </row>
    <row r="103" spans="7:7" ht="23.25" x14ac:dyDescent="0.35">
      <c r="G103" s="145">
        <v>551</v>
      </c>
    </row>
    <row r="104" spans="7:7" ht="23.25" x14ac:dyDescent="0.35">
      <c r="G104" s="145">
        <v>552</v>
      </c>
    </row>
    <row r="105" spans="7:7" ht="23.25" x14ac:dyDescent="0.35">
      <c r="G105" s="145">
        <v>561</v>
      </c>
    </row>
    <row r="106" spans="7:7" ht="23.25" x14ac:dyDescent="0.35">
      <c r="G106" s="145">
        <v>562</v>
      </c>
    </row>
    <row r="107" spans="7:7" ht="23.25" x14ac:dyDescent="0.35">
      <c r="G107" s="145">
        <v>569</v>
      </c>
    </row>
    <row r="108" spans="7:7" ht="23.25" x14ac:dyDescent="0.35">
      <c r="G108" s="145">
        <v>575</v>
      </c>
    </row>
    <row r="109" spans="7:7" ht="23.25" x14ac:dyDescent="0.35">
      <c r="G109" s="145">
        <v>577</v>
      </c>
    </row>
    <row r="110" spans="7:7" ht="23.25" x14ac:dyDescent="0.35">
      <c r="G110" s="145">
        <v>601</v>
      </c>
    </row>
    <row r="111" spans="7:7" ht="23.25" x14ac:dyDescent="0.35">
      <c r="G111" s="145">
        <v>609</v>
      </c>
    </row>
    <row r="112" spans="7:7" ht="23.25" x14ac:dyDescent="0.35">
      <c r="G112" s="145">
        <v>610</v>
      </c>
    </row>
    <row r="113" spans="7:7" ht="23.25" x14ac:dyDescent="0.35">
      <c r="G113" s="145">
        <v>623</v>
      </c>
    </row>
    <row r="114" spans="7:7" ht="23.25" x14ac:dyDescent="0.35">
      <c r="G114" s="145">
        <v>636</v>
      </c>
    </row>
    <row r="115" spans="7:7" ht="23.25" x14ac:dyDescent="0.35">
      <c r="G115" s="145">
        <v>644</v>
      </c>
    </row>
    <row r="116" spans="7:7" ht="23.25" x14ac:dyDescent="0.35">
      <c r="G116" s="145">
        <v>659</v>
      </c>
    </row>
    <row r="117" spans="7:7" ht="23.25" x14ac:dyDescent="0.35">
      <c r="G117" s="145">
        <v>691</v>
      </c>
    </row>
    <row r="118" spans="7:7" ht="23.25" x14ac:dyDescent="0.35">
      <c r="G118" s="145">
        <v>692</v>
      </c>
    </row>
    <row r="119" spans="7:7" ht="23.25" x14ac:dyDescent="0.35">
      <c r="G119" s="145">
        <v>693</v>
      </c>
    </row>
    <row r="120" spans="7:7" ht="23.25" x14ac:dyDescent="0.35">
      <c r="G120" s="145">
        <v>694</v>
      </c>
    </row>
    <row r="121" spans="7:7" ht="23.25" x14ac:dyDescent="0.35">
      <c r="G121" s="145">
        <v>698</v>
      </c>
    </row>
    <row r="122" spans="7:7" ht="23.25" x14ac:dyDescent="0.35">
      <c r="G122" s="145">
        <v>699</v>
      </c>
    </row>
    <row r="123" spans="7:7" ht="23.25" x14ac:dyDescent="0.35">
      <c r="G123" s="145">
        <v>701</v>
      </c>
    </row>
    <row r="124" spans="7:7" ht="23.25" x14ac:dyDescent="0.35">
      <c r="G124" s="145">
        <v>702</v>
      </c>
    </row>
    <row r="125" spans="7:7" ht="23.25" x14ac:dyDescent="0.35">
      <c r="G125" s="145">
        <v>703</v>
      </c>
    </row>
    <row r="126" spans="7:7" ht="23.25" x14ac:dyDescent="0.35">
      <c r="G126" s="145">
        <v>704</v>
      </c>
    </row>
    <row r="127" spans="7:7" ht="23.25" x14ac:dyDescent="0.35">
      <c r="G127" s="145">
        <v>706</v>
      </c>
    </row>
    <row r="128" spans="7:7" ht="23.25" x14ac:dyDescent="0.35">
      <c r="G128" s="145">
        <v>712</v>
      </c>
    </row>
    <row r="129" spans="7:7" ht="23.25" x14ac:dyDescent="0.35">
      <c r="G129" s="145">
        <v>713</v>
      </c>
    </row>
    <row r="130" spans="7:7" ht="23.25" x14ac:dyDescent="0.35">
      <c r="G130" s="145">
        <v>714</v>
      </c>
    </row>
    <row r="131" spans="7:7" ht="23.25" x14ac:dyDescent="0.35">
      <c r="G131" s="145">
        <v>720</v>
      </c>
    </row>
    <row r="132" spans="7:7" ht="23.25" x14ac:dyDescent="0.35">
      <c r="G132" s="145">
        <v>723</v>
      </c>
    </row>
    <row r="133" spans="7:7" ht="23.25" x14ac:dyDescent="0.35">
      <c r="G133" s="145">
        <v>724</v>
      </c>
    </row>
    <row r="134" spans="7:7" ht="23.25" x14ac:dyDescent="0.35">
      <c r="G134" s="145">
        <v>725</v>
      </c>
    </row>
    <row r="135" spans="7:7" ht="23.25" x14ac:dyDescent="0.35">
      <c r="G135" s="145">
        <v>728</v>
      </c>
    </row>
    <row r="136" spans="7:7" ht="23.25" x14ac:dyDescent="0.35">
      <c r="G136" s="145">
        <v>729</v>
      </c>
    </row>
    <row r="137" spans="7:7" ht="23.25" x14ac:dyDescent="0.35">
      <c r="G137" s="145">
        <v>735</v>
      </c>
    </row>
    <row r="138" spans="7:7" ht="23.25" x14ac:dyDescent="0.35">
      <c r="G138" s="145">
        <v>742</v>
      </c>
    </row>
    <row r="139" spans="7:7" ht="23.25" x14ac:dyDescent="0.35">
      <c r="G139" s="145">
        <v>746</v>
      </c>
    </row>
    <row r="140" spans="7:7" ht="23.25" x14ac:dyDescent="0.35">
      <c r="G140" s="145">
        <v>747</v>
      </c>
    </row>
    <row r="141" spans="7:7" ht="23.25" x14ac:dyDescent="0.35">
      <c r="G141" s="145">
        <v>749</v>
      </c>
    </row>
    <row r="142" spans="7:7" ht="23.25" x14ac:dyDescent="0.35">
      <c r="G142" s="145">
        <v>751</v>
      </c>
    </row>
    <row r="143" spans="7:7" ht="23.25" x14ac:dyDescent="0.35">
      <c r="G143" s="145">
        <v>755</v>
      </c>
    </row>
    <row r="144" spans="7:7" ht="23.25" x14ac:dyDescent="0.35">
      <c r="G144" s="145">
        <v>759</v>
      </c>
    </row>
    <row r="145" spans="7:7" ht="23.25" x14ac:dyDescent="0.35">
      <c r="G145" s="145">
        <v>761</v>
      </c>
    </row>
    <row r="146" spans="7:7" ht="23.25" x14ac:dyDescent="0.35">
      <c r="G146" s="145">
        <v>766</v>
      </c>
    </row>
    <row r="147" spans="7:7" ht="23.25" x14ac:dyDescent="0.35">
      <c r="G147" s="145">
        <v>767</v>
      </c>
    </row>
    <row r="148" spans="7:7" ht="23.25" x14ac:dyDescent="0.35">
      <c r="G148" s="145">
        <v>769</v>
      </c>
    </row>
    <row r="149" spans="7:7" ht="23.25" x14ac:dyDescent="0.35">
      <c r="G149" s="145">
        <v>770</v>
      </c>
    </row>
    <row r="150" spans="7:7" ht="23.25" x14ac:dyDescent="0.35">
      <c r="G150" s="145">
        <v>772</v>
      </c>
    </row>
    <row r="151" spans="7:7" ht="23.25" x14ac:dyDescent="0.35">
      <c r="G151" s="145">
        <v>778</v>
      </c>
    </row>
    <row r="152" spans="7:7" ht="23.25" x14ac:dyDescent="0.35">
      <c r="G152" s="145">
        <v>779</v>
      </c>
    </row>
    <row r="153" spans="7:7" ht="23.25" x14ac:dyDescent="0.35">
      <c r="G153" s="145">
        <v>784</v>
      </c>
    </row>
    <row r="154" spans="7:7" ht="23.25" x14ac:dyDescent="0.35">
      <c r="G154" s="145">
        <v>786</v>
      </c>
    </row>
    <row r="155" spans="7:7" ht="23.25" x14ac:dyDescent="0.35">
      <c r="G155" s="145">
        <v>787</v>
      </c>
    </row>
    <row r="156" spans="7:7" ht="23.25" x14ac:dyDescent="0.35">
      <c r="G156" s="145">
        <v>788</v>
      </c>
    </row>
    <row r="157" spans="7:7" ht="23.25" x14ac:dyDescent="0.35">
      <c r="G157" s="145">
        <v>789</v>
      </c>
    </row>
    <row r="158" spans="7:7" ht="23.25" x14ac:dyDescent="0.35">
      <c r="G158" s="145">
        <v>790</v>
      </c>
    </row>
    <row r="159" spans="7:7" ht="23.25" x14ac:dyDescent="0.35">
      <c r="G159" s="145">
        <v>792</v>
      </c>
    </row>
    <row r="160" spans="7:7" ht="23.25" x14ac:dyDescent="0.35">
      <c r="G160" s="145">
        <v>793</v>
      </c>
    </row>
    <row r="161" spans="7:7" ht="23.25" x14ac:dyDescent="0.35">
      <c r="G161" s="145">
        <v>794</v>
      </c>
    </row>
    <row r="162" spans="7:7" ht="23.25" x14ac:dyDescent="0.35">
      <c r="G162" s="145">
        <v>795</v>
      </c>
    </row>
    <row r="163" spans="7:7" ht="23.25" x14ac:dyDescent="0.35">
      <c r="G163" s="145">
        <v>796</v>
      </c>
    </row>
    <row r="164" spans="7:7" ht="23.25" x14ac:dyDescent="0.35">
      <c r="G164" s="145">
        <v>797</v>
      </c>
    </row>
    <row r="165" spans="7:7" ht="23.25" x14ac:dyDescent="0.35">
      <c r="G165" s="145">
        <v>798</v>
      </c>
    </row>
    <row r="166" spans="7:7" ht="23.25" x14ac:dyDescent="0.35">
      <c r="G166" s="145">
        <v>799</v>
      </c>
    </row>
    <row r="167" spans="7:7" ht="23.25" x14ac:dyDescent="0.35">
      <c r="G167" s="145">
        <v>832</v>
      </c>
    </row>
    <row r="168" spans="7:7" ht="23.25" x14ac:dyDescent="0.35">
      <c r="G168" s="145">
        <v>844</v>
      </c>
    </row>
    <row r="169" spans="7:7" ht="23.25" x14ac:dyDescent="0.35">
      <c r="G169" s="145" t="s">
        <v>691</v>
      </c>
    </row>
    <row r="170" spans="7:7" ht="23.25" x14ac:dyDescent="0.35">
      <c r="G170" s="145" t="s">
        <v>692</v>
      </c>
    </row>
    <row r="171" spans="7:7" ht="23.25" x14ac:dyDescent="0.35">
      <c r="G171" s="145" t="s">
        <v>693</v>
      </c>
    </row>
    <row r="172" spans="7:7" ht="23.25" x14ac:dyDescent="0.35">
      <c r="G172" s="145" t="s">
        <v>694</v>
      </c>
    </row>
    <row r="173" spans="7:7" ht="23.25" x14ac:dyDescent="0.35">
      <c r="G173" s="145" t="s">
        <v>695</v>
      </c>
    </row>
    <row r="174" spans="7:7" ht="23.25" x14ac:dyDescent="0.35">
      <c r="G174" s="145" t="s">
        <v>7</v>
      </c>
    </row>
  </sheetData>
  <mergeCells count="1">
    <mergeCell ref="B1:E1"/>
  </mergeCells>
  <pageMargins left="0.25" right="0.25" top="0.24799868766404198" bottom="0.24803040244969379" header="0.31496062992125984" footer="0.31496062992125984"/>
  <pageSetup paperSize="9" scale="57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47E3-BAE5-40C6-BEDE-F58CE705CFF7}">
  <sheetPr>
    <tabColor rgb="FFFFFF00"/>
    <pageSetUpPr fitToPage="1"/>
  </sheetPr>
  <dimension ref="A1:R14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B52" sqref="B52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246</v>
      </c>
      <c r="B1" s="175"/>
      <c r="C1" s="175"/>
      <c r="D1" s="175"/>
      <c r="E1" s="176" t="s">
        <v>0</v>
      </c>
      <c r="F1" s="177"/>
      <c r="H1" s="174" t="s">
        <v>246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45219</v>
      </c>
      <c r="H2" s="17"/>
      <c r="I2" s="18"/>
      <c r="J2" s="18"/>
      <c r="K2" s="19"/>
      <c r="L2" s="18"/>
      <c r="M2" s="46">
        <v>45219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F13</f>
        <v>7988</v>
      </c>
      <c r="O4" s="4"/>
    </row>
    <row r="5" spans="1:18" s="10" customFormat="1" ht="23.25" x14ac:dyDescent="0.3">
      <c r="A5" s="26">
        <v>1</v>
      </c>
      <c r="B5" s="70" t="s">
        <v>750</v>
      </c>
      <c r="C5" s="32" t="s">
        <v>20</v>
      </c>
      <c r="D5" s="88">
        <v>62.6</v>
      </c>
      <c r="E5" s="57">
        <v>30</v>
      </c>
      <c r="F5" s="30">
        <f t="shared" ref="F5:F10" si="0">D5*E5</f>
        <v>1878</v>
      </c>
      <c r="H5" s="26">
        <v>1</v>
      </c>
      <c r="I5" s="70" t="s">
        <v>750</v>
      </c>
      <c r="J5" s="32" t="s">
        <v>20</v>
      </c>
      <c r="K5" s="88">
        <v>62.6</v>
      </c>
      <c r="L5" s="57">
        <v>30</v>
      </c>
      <c r="M5" s="30">
        <f t="shared" ref="M5:M12" si="1">K5*L5</f>
        <v>1878</v>
      </c>
      <c r="N5" s="85"/>
      <c r="O5" s="11"/>
    </row>
    <row r="6" spans="1:18" s="10" customFormat="1" ht="23.25" x14ac:dyDescent="0.3">
      <c r="A6" s="26">
        <v>2</v>
      </c>
      <c r="B6" s="65" t="s">
        <v>44</v>
      </c>
      <c r="C6" s="32" t="s">
        <v>19</v>
      </c>
      <c r="D6" s="32">
        <v>21.3</v>
      </c>
      <c r="E6" s="57">
        <v>50</v>
      </c>
      <c r="F6" s="30">
        <f t="shared" si="0"/>
        <v>1065</v>
      </c>
      <c r="H6" s="26">
        <v>2</v>
      </c>
      <c r="I6" s="65" t="s">
        <v>44</v>
      </c>
      <c r="J6" s="32" t="s">
        <v>19</v>
      </c>
      <c r="K6" s="32">
        <v>21.3</v>
      </c>
      <c r="L6" s="57">
        <v>50</v>
      </c>
      <c r="M6" s="30">
        <f t="shared" si="1"/>
        <v>1065</v>
      </c>
      <c r="N6" s="85"/>
      <c r="O6" s="11"/>
    </row>
    <row r="7" spans="1:18" s="10" customFormat="1" ht="23.25" x14ac:dyDescent="0.3">
      <c r="A7" s="26">
        <v>3</v>
      </c>
      <c r="B7" s="65" t="s">
        <v>227</v>
      </c>
      <c r="C7" s="32" t="s">
        <v>20</v>
      </c>
      <c r="D7" s="32">
        <v>27</v>
      </c>
      <c r="E7" s="57">
        <v>30</v>
      </c>
      <c r="F7" s="30">
        <f t="shared" si="0"/>
        <v>810</v>
      </c>
      <c r="H7" s="26">
        <v>3</v>
      </c>
      <c r="I7" s="65" t="s">
        <v>227</v>
      </c>
      <c r="J7" s="32" t="s">
        <v>20</v>
      </c>
      <c r="K7" s="115">
        <v>13.5</v>
      </c>
      <c r="L7" s="57">
        <v>30</v>
      </c>
      <c r="M7" s="30">
        <f t="shared" si="1"/>
        <v>405</v>
      </c>
      <c r="N7" s="85"/>
      <c r="O7" s="11"/>
    </row>
    <row r="8" spans="1:18" s="10" customFormat="1" ht="23.25" x14ac:dyDescent="0.3">
      <c r="A8" s="26">
        <v>4</v>
      </c>
      <c r="B8" s="65" t="s">
        <v>231</v>
      </c>
      <c r="C8" s="32" t="s">
        <v>19</v>
      </c>
      <c r="D8" s="88">
        <v>10.3</v>
      </c>
      <c r="E8" s="57">
        <v>50</v>
      </c>
      <c r="F8" s="30">
        <f t="shared" si="0"/>
        <v>515</v>
      </c>
      <c r="H8" s="26">
        <v>4</v>
      </c>
      <c r="I8" s="65" t="s">
        <v>231</v>
      </c>
      <c r="J8" s="32" t="s">
        <v>19</v>
      </c>
      <c r="K8" s="88">
        <v>10.3</v>
      </c>
      <c r="L8" s="57">
        <v>50</v>
      </c>
      <c r="M8" s="30">
        <f t="shared" si="1"/>
        <v>515</v>
      </c>
      <c r="N8" s="85"/>
      <c r="O8" s="11"/>
    </row>
    <row r="9" spans="1:18" s="10" customFormat="1" ht="23.25" x14ac:dyDescent="0.3">
      <c r="A9" s="26">
        <v>5</v>
      </c>
      <c r="B9" s="65" t="s">
        <v>172</v>
      </c>
      <c r="C9" s="32" t="s">
        <v>20</v>
      </c>
      <c r="D9" s="32">
        <v>49</v>
      </c>
      <c r="E9" s="57">
        <v>30</v>
      </c>
      <c r="F9" s="30">
        <f t="shared" si="0"/>
        <v>1470</v>
      </c>
      <c r="H9" s="26">
        <v>5</v>
      </c>
      <c r="I9" s="65" t="s">
        <v>172</v>
      </c>
      <c r="J9" s="32" t="s">
        <v>20</v>
      </c>
      <c r="K9" s="32">
        <v>49</v>
      </c>
      <c r="L9" s="57">
        <v>30</v>
      </c>
      <c r="M9" s="30">
        <f t="shared" si="1"/>
        <v>1470</v>
      </c>
      <c r="N9" s="85"/>
      <c r="O9" s="11"/>
    </row>
    <row r="10" spans="1:18" s="10" customFormat="1" ht="46.5" x14ac:dyDescent="0.3">
      <c r="A10" s="26">
        <v>6</v>
      </c>
      <c r="B10" s="31" t="s">
        <v>744</v>
      </c>
      <c r="C10" s="32" t="s">
        <v>19</v>
      </c>
      <c r="D10" s="32">
        <v>32.299999999999997</v>
      </c>
      <c r="E10" s="57">
        <v>50</v>
      </c>
      <c r="F10" s="30">
        <f t="shared" si="0"/>
        <v>1614.9999999999998</v>
      </c>
      <c r="H10" s="26">
        <v>6</v>
      </c>
      <c r="I10" s="31" t="s">
        <v>744</v>
      </c>
      <c r="J10" s="32" t="s">
        <v>19</v>
      </c>
      <c r="K10" s="32">
        <v>32.299999999999997</v>
      </c>
      <c r="L10" s="57">
        <v>50</v>
      </c>
      <c r="M10" s="30">
        <f t="shared" si="1"/>
        <v>1614.9999999999998</v>
      </c>
      <c r="N10" s="85"/>
      <c r="O10" s="11"/>
    </row>
    <row r="11" spans="1:18" s="10" customFormat="1" ht="23.25" x14ac:dyDescent="0.3">
      <c r="A11" s="26">
        <v>7</v>
      </c>
      <c r="B11" s="65" t="s">
        <v>573</v>
      </c>
      <c r="C11" s="32" t="s">
        <v>19</v>
      </c>
      <c r="D11" s="32">
        <v>6.5</v>
      </c>
      <c r="E11" s="57">
        <v>80</v>
      </c>
      <c r="F11" s="30">
        <f t="shared" ref="F11:F12" si="2">D11*E11</f>
        <v>520</v>
      </c>
      <c r="H11" s="26">
        <v>7</v>
      </c>
      <c r="I11" s="65" t="s">
        <v>573</v>
      </c>
      <c r="J11" s="32" t="s">
        <v>19</v>
      </c>
      <c r="K11" s="32">
        <v>6.5</v>
      </c>
      <c r="L11" s="57">
        <v>80</v>
      </c>
      <c r="M11" s="30">
        <f t="shared" si="1"/>
        <v>520</v>
      </c>
      <c r="N11" s="85"/>
      <c r="O11" s="11"/>
    </row>
    <row r="12" spans="1:18" s="10" customFormat="1" ht="23.25" x14ac:dyDescent="0.3">
      <c r="A12" s="26">
        <v>8</v>
      </c>
      <c r="B12" s="65" t="s">
        <v>122</v>
      </c>
      <c r="C12" s="32" t="s">
        <v>119</v>
      </c>
      <c r="D12" s="32">
        <v>0.25</v>
      </c>
      <c r="E12" s="57">
        <v>460</v>
      </c>
      <c r="F12" s="30">
        <f t="shared" si="2"/>
        <v>115</v>
      </c>
      <c r="H12" s="26">
        <v>8</v>
      </c>
      <c r="I12" s="65" t="s">
        <v>122</v>
      </c>
      <c r="J12" s="32" t="s">
        <v>119</v>
      </c>
      <c r="K12" s="32">
        <v>0.25</v>
      </c>
      <c r="L12" s="57">
        <v>460</v>
      </c>
      <c r="M12" s="30">
        <f t="shared" si="1"/>
        <v>115</v>
      </c>
      <c r="N12" s="85"/>
      <c r="O12" s="11"/>
    </row>
    <row r="13" spans="1:18" ht="24" thickBot="1" x14ac:dyDescent="0.3">
      <c r="A13" s="38"/>
      <c r="B13" s="39"/>
      <c r="C13" s="39"/>
      <c r="D13" s="39"/>
      <c r="E13" s="40" t="s">
        <v>16</v>
      </c>
      <c r="F13" s="35">
        <f>SUM(F5:F12)</f>
        <v>7988</v>
      </c>
      <c r="H13" s="38"/>
      <c r="I13" s="39"/>
      <c r="J13" s="39"/>
      <c r="K13" s="39"/>
      <c r="L13" s="40" t="s">
        <v>16</v>
      </c>
      <c r="M13" s="35">
        <f>SUM(M5:M12)</f>
        <v>7583</v>
      </c>
    </row>
    <row r="14" spans="1:18" ht="26.25" thickBot="1" x14ac:dyDescent="0.3">
      <c r="A14" s="76"/>
      <c r="B14" s="77"/>
      <c r="C14" s="77"/>
      <c r="D14" s="77"/>
      <c r="E14" s="78" t="s">
        <v>21</v>
      </c>
      <c r="F14" s="12">
        <f>SUMIF(E1:E19980,"CƏMİ",F1:F19980)</f>
        <v>7988</v>
      </c>
      <c r="H14" s="76"/>
      <c r="I14" s="77"/>
      <c r="J14" s="77"/>
      <c r="K14" s="77"/>
      <c r="L14" s="78" t="s">
        <v>21</v>
      </c>
      <c r="M14" s="12">
        <f>SUMIF(L1:L19980,"CƏMİ",M1:M19980)</f>
        <v>7583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0FFA-3843-4FEA-AEAE-B9BA02467D0E}">
  <sheetPr>
    <tabColor rgb="FFFFFF00"/>
    <pageSetUpPr fitToPage="1"/>
  </sheetPr>
  <dimension ref="A1:R10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E16" sqref="E16"/>
    </sheetView>
  </sheetViews>
  <sheetFormatPr defaultColWidth="9.140625" defaultRowHeight="15" x14ac:dyDescent="0.25"/>
  <cols>
    <col min="1" max="1" width="6.42578125" style="5" bestFit="1" customWidth="1"/>
    <col min="2" max="2" width="104.570312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04.570312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18.57031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54</v>
      </c>
      <c r="B1" s="175"/>
      <c r="C1" s="175"/>
      <c r="D1" s="175"/>
      <c r="E1" s="176" t="s">
        <v>0</v>
      </c>
      <c r="F1" s="177"/>
      <c r="H1" s="174" t="s">
        <v>54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45100</v>
      </c>
      <c r="H2" s="17"/>
      <c r="I2" s="18"/>
      <c r="J2" s="18"/>
      <c r="K2" s="19"/>
      <c r="L2" s="18"/>
      <c r="M2" s="46">
        <v>45100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F9</f>
        <v>2086.6</v>
      </c>
      <c r="O4" s="4"/>
    </row>
    <row r="5" spans="1:18" s="10" customFormat="1" ht="23.25" x14ac:dyDescent="0.3">
      <c r="A5" s="26">
        <v>1</v>
      </c>
      <c r="B5" s="70" t="s">
        <v>65</v>
      </c>
      <c r="C5" s="32" t="s">
        <v>19</v>
      </c>
      <c r="D5" s="88">
        <f>17-3</f>
        <v>14</v>
      </c>
      <c r="E5" s="57">
        <v>50</v>
      </c>
      <c r="F5" s="30">
        <f t="shared" ref="F5:F7" si="0">D5*E5</f>
        <v>700</v>
      </c>
      <c r="H5" s="26">
        <v>1</v>
      </c>
      <c r="I5" s="70" t="s">
        <v>65</v>
      </c>
      <c r="J5" s="32" t="s">
        <v>19</v>
      </c>
      <c r="K5" s="88">
        <f>17-3</f>
        <v>14</v>
      </c>
      <c r="L5" s="57">
        <v>50</v>
      </c>
      <c r="M5" s="30">
        <f t="shared" ref="M5:M8" si="1">K5*L5</f>
        <v>700</v>
      </c>
      <c r="N5" s="85"/>
      <c r="O5" s="11"/>
    </row>
    <row r="6" spans="1:18" s="10" customFormat="1" ht="23.25" x14ac:dyDescent="0.3">
      <c r="A6" s="26">
        <v>2</v>
      </c>
      <c r="B6" s="70" t="s">
        <v>70</v>
      </c>
      <c r="C6" s="32" t="s">
        <v>20</v>
      </c>
      <c r="D6" s="88">
        <f>47-10.4</f>
        <v>36.6</v>
      </c>
      <c r="E6" s="57">
        <v>30</v>
      </c>
      <c r="F6" s="30">
        <f t="shared" si="0"/>
        <v>1098</v>
      </c>
      <c r="H6" s="26">
        <v>2</v>
      </c>
      <c r="I6" s="70" t="s">
        <v>70</v>
      </c>
      <c r="J6" s="32" t="s">
        <v>20</v>
      </c>
      <c r="K6" s="88">
        <f>47-10.4</f>
        <v>36.6</v>
      </c>
      <c r="L6" s="57">
        <v>30</v>
      </c>
      <c r="M6" s="30">
        <f t="shared" si="1"/>
        <v>1098</v>
      </c>
      <c r="N6" s="85"/>
      <c r="O6" s="11"/>
    </row>
    <row r="7" spans="1:18" s="10" customFormat="1" ht="23.25" x14ac:dyDescent="0.3">
      <c r="A7" s="26">
        <v>3</v>
      </c>
      <c r="B7" s="65" t="s">
        <v>64</v>
      </c>
      <c r="C7" s="32" t="s">
        <v>20</v>
      </c>
      <c r="D7" s="88">
        <f>37-5</f>
        <v>32</v>
      </c>
      <c r="E7" s="57">
        <v>6</v>
      </c>
      <c r="F7" s="30">
        <f t="shared" si="0"/>
        <v>192</v>
      </c>
      <c r="H7" s="26">
        <v>3</v>
      </c>
      <c r="I7" s="65" t="s">
        <v>64</v>
      </c>
      <c r="J7" s="32" t="s">
        <v>20</v>
      </c>
      <c r="K7" s="88">
        <f>37-5</f>
        <v>32</v>
      </c>
      <c r="L7" s="57">
        <v>6</v>
      </c>
      <c r="M7" s="30">
        <f t="shared" si="1"/>
        <v>192</v>
      </c>
      <c r="N7" s="85"/>
      <c r="O7" s="11"/>
    </row>
    <row r="8" spans="1:18" s="10" customFormat="1" ht="23.25" x14ac:dyDescent="0.3">
      <c r="A8" s="26">
        <v>4</v>
      </c>
      <c r="B8" s="65" t="s">
        <v>122</v>
      </c>
      <c r="C8" s="32" t="s">
        <v>119</v>
      </c>
      <c r="D8" s="32">
        <v>0.21</v>
      </c>
      <c r="E8" s="57">
        <v>460</v>
      </c>
      <c r="F8" s="30">
        <f t="shared" ref="F8" si="2">D8*E8</f>
        <v>96.6</v>
      </c>
      <c r="H8" s="26">
        <v>4</v>
      </c>
      <c r="I8" s="65" t="s">
        <v>122</v>
      </c>
      <c r="J8" s="32" t="s">
        <v>119</v>
      </c>
      <c r="K8" s="32">
        <v>0.21</v>
      </c>
      <c r="L8" s="57">
        <v>460</v>
      </c>
      <c r="M8" s="30">
        <f t="shared" si="1"/>
        <v>96.6</v>
      </c>
      <c r="N8" s="85"/>
      <c r="O8" s="11"/>
    </row>
    <row r="9" spans="1:18" ht="24" thickBot="1" x14ac:dyDescent="0.3">
      <c r="A9" s="38"/>
      <c r="B9" s="39"/>
      <c r="C9" s="39"/>
      <c r="D9" s="39"/>
      <c r="E9" s="40" t="s">
        <v>16</v>
      </c>
      <c r="F9" s="35">
        <f>SUM(F5:F8)</f>
        <v>2086.6</v>
      </c>
      <c r="H9" s="38"/>
      <c r="I9" s="39"/>
      <c r="J9" s="39"/>
      <c r="K9" s="39"/>
      <c r="L9" s="40" t="s">
        <v>16</v>
      </c>
      <c r="M9" s="35">
        <f>SUM(M5:M8)</f>
        <v>2086.6</v>
      </c>
    </row>
    <row r="10" spans="1:18" ht="26.25" thickBot="1" x14ac:dyDescent="0.3">
      <c r="A10" s="76"/>
      <c r="B10" s="77"/>
      <c r="C10" s="77"/>
      <c r="D10" s="77"/>
      <c r="E10" s="78" t="s">
        <v>21</v>
      </c>
      <c r="F10" s="12">
        <f>SUMIF(E1:E19976,"CƏMİ",F1:F19976)</f>
        <v>2086.6</v>
      </c>
      <c r="H10" s="76"/>
      <c r="I10" s="77"/>
      <c r="J10" s="77"/>
      <c r="K10" s="77"/>
      <c r="L10" s="78" t="s">
        <v>21</v>
      </c>
      <c r="M10" s="12">
        <f>SUMIF(L1:L19976,"CƏMİ",M1:M19976)</f>
        <v>2086.6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6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B0397-FEB3-427B-8A85-0AA688CB424F}">
  <sheetPr>
    <tabColor rgb="FFFFFF00"/>
    <pageSetUpPr fitToPage="1"/>
  </sheetPr>
  <dimension ref="A1:R8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E30" sqref="E30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539</v>
      </c>
      <c r="B1" s="175"/>
      <c r="C1" s="175"/>
      <c r="D1" s="175"/>
      <c r="E1" s="176" t="s">
        <v>0</v>
      </c>
      <c r="F1" s="177"/>
      <c r="H1" s="174" t="s">
        <v>539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F7</f>
        <v>2084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45.3</v>
      </c>
      <c r="E5" s="57">
        <v>30</v>
      </c>
      <c r="F5" s="30">
        <f>D5*E5</f>
        <v>1359</v>
      </c>
      <c r="H5" s="26">
        <v>1</v>
      </c>
      <c r="I5" s="70" t="s">
        <v>559</v>
      </c>
      <c r="J5" s="32" t="s">
        <v>20</v>
      </c>
      <c r="K5" s="88">
        <v>45.3</v>
      </c>
      <c r="L5" s="57">
        <v>30</v>
      </c>
      <c r="M5" s="30">
        <f>K5*L5</f>
        <v>1359</v>
      </c>
      <c r="N5" s="85"/>
      <c r="O5" s="11"/>
    </row>
    <row r="6" spans="1:18" s="10" customFormat="1" ht="23.25" x14ac:dyDescent="0.3">
      <c r="A6" s="26">
        <v>2</v>
      </c>
      <c r="B6" s="65" t="s">
        <v>555</v>
      </c>
      <c r="C6" s="32" t="s">
        <v>19</v>
      </c>
      <c r="D6" s="32">
        <v>14.5</v>
      </c>
      <c r="E6" s="57">
        <v>50</v>
      </c>
      <c r="F6" s="30">
        <f>D6*E6</f>
        <v>725</v>
      </c>
      <c r="H6" s="26">
        <v>2</v>
      </c>
      <c r="I6" s="65" t="s">
        <v>555</v>
      </c>
      <c r="J6" s="32" t="s">
        <v>19</v>
      </c>
      <c r="K6" s="32">
        <v>14.5</v>
      </c>
      <c r="L6" s="57">
        <v>50</v>
      </c>
      <c r="M6" s="30">
        <f>K6*L6</f>
        <v>725</v>
      </c>
      <c r="N6" s="85"/>
      <c r="O6" s="11"/>
    </row>
    <row r="7" spans="1:18" ht="24" thickBot="1" x14ac:dyDescent="0.3">
      <c r="A7" s="38"/>
      <c r="B7" s="39"/>
      <c r="C7" s="39"/>
      <c r="D7" s="39"/>
      <c r="E7" s="40" t="s">
        <v>16</v>
      </c>
      <c r="F7" s="35">
        <f>SUM(F5:F6)</f>
        <v>2084</v>
      </c>
      <c r="H7" s="38"/>
      <c r="I7" s="39"/>
      <c r="J7" s="39"/>
      <c r="K7" s="39"/>
      <c r="L7" s="40" t="s">
        <v>16</v>
      </c>
      <c r="M7" s="35">
        <f>SUM(M5:M6)</f>
        <v>2084</v>
      </c>
    </row>
    <row r="8" spans="1:18" ht="26.25" thickBot="1" x14ac:dyDescent="0.3">
      <c r="A8" s="76"/>
      <c r="B8" s="77"/>
      <c r="C8" s="77"/>
      <c r="D8" s="77"/>
      <c r="E8" s="78" t="s">
        <v>21</v>
      </c>
      <c r="F8" s="12">
        <f>SUMIF(E1:E19974,"CƏMİ",F1:F19974)</f>
        <v>2084</v>
      </c>
      <c r="H8" s="76"/>
      <c r="I8" s="77"/>
      <c r="J8" s="77"/>
      <c r="K8" s="77"/>
      <c r="L8" s="78" t="s">
        <v>21</v>
      </c>
      <c r="M8" s="12">
        <f>SUMIF(L1:L19974,"CƏMİ",M1:M19974)</f>
        <v>2084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2540-7EB5-4DBA-96A3-9D35C1E8EB78}">
  <sheetPr>
    <tabColor rgb="FFFFFF00"/>
    <pageSetUpPr fitToPage="1"/>
  </sheetPr>
  <dimension ref="A1:R9"/>
  <sheetViews>
    <sheetView view="pageBreakPreview" zoomScale="55" zoomScaleNormal="55" zoomScaleSheetLayoutView="55" workbookViewId="0">
      <pane ySplit="3" topLeftCell="A4" activePane="bottomLeft" state="frozen"/>
      <selection activeCell="G5" sqref="G5"/>
      <selection pane="bottomLeft" activeCell="I26" sqref="I26"/>
    </sheetView>
  </sheetViews>
  <sheetFormatPr defaultColWidth="9.140625" defaultRowHeight="15" x14ac:dyDescent="0.25"/>
  <cols>
    <col min="1" max="1" width="6.42578125" style="5" bestFit="1" customWidth="1"/>
    <col min="2" max="2" width="111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1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18.57031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94</v>
      </c>
      <c r="B1" s="175"/>
      <c r="C1" s="175"/>
      <c r="D1" s="175"/>
      <c r="E1" s="176" t="s">
        <v>0</v>
      </c>
      <c r="F1" s="177"/>
      <c r="H1" s="174" t="s">
        <v>94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45093</v>
      </c>
      <c r="H2" s="17"/>
      <c r="I2" s="18"/>
      <c r="J2" s="18"/>
      <c r="K2" s="19"/>
      <c r="L2" s="18"/>
      <c r="M2" s="46">
        <v>45093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F8</f>
        <v>4650</v>
      </c>
      <c r="O4" s="4"/>
    </row>
    <row r="5" spans="1:18" s="10" customFormat="1" ht="23.25" x14ac:dyDescent="0.3">
      <c r="A5" s="26">
        <v>1</v>
      </c>
      <c r="B5" s="70" t="s">
        <v>65</v>
      </c>
      <c r="C5" s="32" t="s">
        <v>19</v>
      </c>
      <c r="D5" s="32">
        <v>19</v>
      </c>
      <c r="E5" s="57">
        <v>50</v>
      </c>
      <c r="F5" s="30">
        <f>D5*E5</f>
        <v>950</v>
      </c>
      <c r="H5" s="26">
        <v>1</v>
      </c>
      <c r="I5" s="70" t="s">
        <v>65</v>
      </c>
      <c r="J5" s="32" t="s">
        <v>19</v>
      </c>
      <c r="K5" s="115">
        <v>0</v>
      </c>
      <c r="L5" s="57">
        <v>50</v>
      </c>
      <c r="M5" s="30">
        <f>K5*L5</f>
        <v>0</v>
      </c>
      <c r="N5" s="85"/>
      <c r="O5" s="11"/>
    </row>
    <row r="6" spans="1:18" s="10" customFormat="1" ht="23.25" x14ac:dyDescent="0.3">
      <c r="A6" s="26">
        <v>2</v>
      </c>
      <c r="B6" s="70" t="s">
        <v>763</v>
      </c>
      <c r="C6" s="32" t="s">
        <v>20</v>
      </c>
      <c r="D6" s="32">
        <v>30</v>
      </c>
      <c r="E6" s="57">
        <v>30</v>
      </c>
      <c r="F6" s="30">
        <f>D6*E6</f>
        <v>900</v>
      </c>
      <c r="H6" s="26">
        <v>2</v>
      </c>
      <c r="I6" s="70" t="s">
        <v>763</v>
      </c>
      <c r="J6" s="32" t="s">
        <v>20</v>
      </c>
      <c r="K6" s="115">
        <v>0</v>
      </c>
      <c r="L6" s="57">
        <v>30</v>
      </c>
      <c r="M6" s="30">
        <f>K6*L6</f>
        <v>0</v>
      </c>
      <c r="N6" s="85"/>
      <c r="O6" s="11"/>
    </row>
    <row r="7" spans="1:18" s="10" customFormat="1" ht="23.25" x14ac:dyDescent="0.3">
      <c r="A7" s="26">
        <v>3</v>
      </c>
      <c r="B7" s="65" t="s">
        <v>574</v>
      </c>
      <c r="C7" s="32" t="s">
        <v>19</v>
      </c>
      <c r="D7" s="32">
        <v>35</v>
      </c>
      <c r="E7" s="57">
        <v>80</v>
      </c>
      <c r="F7" s="30">
        <f t="shared" ref="F7" si="0">D7*E7</f>
        <v>2800</v>
      </c>
      <c r="H7" s="26">
        <v>3</v>
      </c>
      <c r="I7" s="65" t="s">
        <v>574</v>
      </c>
      <c r="J7" s="32" t="s">
        <v>19</v>
      </c>
      <c r="K7" s="115">
        <v>0</v>
      </c>
      <c r="L7" s="57">
        <v>80</v>
      </c>
      <c r="M7" s="30">
        <f t="shared" ref="M7" si="1">K7*L7</f>
        <v>0</v>
      </c>
      <c r="N7" s="85"/>
      <c r="O7" s="11"/>
    </row>
    <row r="8" spans="1:18" ht="24" thickBot="1" x14ac:dyDescent="0.3">
      <c r="A8" s="38"/>
      <c r="B8" s="39"/>
      <c r="C8" s="39"/>
      <c r="D8" s="39"/>
      <c r="E8" s="40" t="s">
        <v>16</v>
      </c>
      <c r="F8" s="35">
        <f>SUM(F5:F7)</f>
        <v>4650</v>
      </c>
      <c r="H8" s="38"/>
      <c r="I8" s="39"/>
      <c r="J8" s="39"/>
      <c r="K8" s="39"/>
      <c r="L8" s="40" t="s">
        <v>16</v>
      </c>
      <c r="M8" s="35">
        <f>SUM(M5:M7)</f>
        <v>0</v>
      </c>
    </row>
    <row r="9" spans="1:18" ht="26.25" thickBot="1" x14ac:dyDescent="0.3">
      <c r="A9" s="76"/>
      <c r="B9" s="77"/>
      <c r="C9" s="77"/>
      <c r="D9" s="77"/>
      <c r="E9" s="78" t="s">
        <v>21</v>
      </c>
      <c r="F9" s="12">
        <f>SUMIF(E1:E19975,"CƏMİ",F1:F19975)</f>
        <v>4650</v>
      </c>
      <c r="H9" s="76"/>
      <c r="I9" s="77"/>
      <c r="J9" s="77"/>
      <c r="K9" s="77"/>
      <c r="L9" s="78" t="s">
        <v>21</v>
      </c>
      <c r="M9" s="12">
        <f>SUMIF(L1:L19975,"CƏMİ",M1:M19975)</f>
        <v>0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704A2-139B-4C7F-9FAE-942993A041A3}">
  <sheetPr>
    <tabColor rgb="FFFFFF00"/>
    <pageSetUpPr fitToPage="1"/>
  </sheetPr>
  <dimension ref="A1:R9"/>
  <sheetViews>
    <sheetView view="pageBreakPreview" zoomScale="55" zoomScaleNormal="55" zoomScaleSheetLayoutView="55" workbookViewId="0">
      <pane ySplit="3" topLeftCell="A4" activePane="bottomLeft" state="frozen"/>
      <selection activeCell="G5" sqref="G5"/>
      <selection pane="bottomLeft" activeCell="E25" sqref="E25"/>
    </sheetView>
  </sheetViews>
  <sheetFormatPr defaultColWidth="9.140625" defaultRowHeight="15" x14ac:dyDescent="0.25"/>
  <cols>
    <col min="1" max="1" width="6.42578125" style="5" bestFit="1" customWidth="1"/>
    <col min="2" max="2" width="99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99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18.57031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76</v>
      </c>
      <c r="B1" s="175"/>
      <c r="C1" s="175"/>
      <c r="D1" s="175"/>
      <c r="E1" s="176" t="s">
        <v>0</v>
      </c>
      <c r="F1" s="177"/>
      <c r="H1" s="174" t="s">
        <v>76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45093</v>
      </c>
      <c r="H2" s="17"/>
      <c r="I2" s="18"/>
      <c r="J2" s="18"/>
      <c r="K2" s="19"/>
      <c r="L2" s="18"/>
      <c r="M2" s="46">
        <v>45093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F8</f>
        <v>5670</v>
      </c>
      <c r="O4" s="4"/>
    </row>
    <row r="5" spans="1:18" s="10" customFormat="1" ht="24.75" customHeight="1" x14ac:dyDescent="0.3">
      <c r="A5" s="26">
        <v>1</v>
      </c>
      <c r="B5" s="36" t="s">
        <v>77</v>
      </c>
      <c r="C5" s="32" t="s">
        <v>56</v>
      </c>
      <c r="D5" s="32">
        <v>36</v>
      </c>
      <c r="E5" s="57">
        <v>150</v>
      </c>
      <c r="F5" s="30">
        <f t="shared" ref="F5:F7" si="0">D5*E5</f>
        <v>5400</v>
      </c>
      <c r="H5" s="26">
        <v>1</v>
      </c>
      <c r="I5" s="36" t="s">
        <v>77</v>
      </c>
      <c r="J5" s="32" t="s">
        <v>56</v>
      </c>
      <c r="K5" s="32">
        <v>36</v>
      </c>
      <c r="L5" s="57">
        <v>150</v>
      </c>
      <c r="M5" s="30">
        <f t="shared" ref="M5:M7" si="1">K5*L5</f>
        <v>5400</v>
      </c>
      <c r="N5" s="85"/>
      <c r="O5" s="11"/>
    </row>
    <row r="6" spans="1:18" s="10" customFormat="1" ht="23.25" x14ac:dyDescent="0.3">
      <c r="A6" s="26">
        <v>2</v>
      </c>
      <c r="B6" s="70" t="s">
        <v>78</v>
      </c>
      <c r="C6" s="32" t="s">
        <v>19</v>
      </c>
      <c r="D6" s="32">
        <v>3</v>
      </c>
      <c r="E6" s="57">
        <v>50</v>
      </c>
      <c r="F6" s="30">
        <f t="shared" si="0"/>
        <v>150</v>
      </c>
      <c r="H6" s="26">
        <v>2</v>
      </c>
      <c r="I6" s="70" t="s">
        <v>78</v>
      </c>
      <c r="J6" s="32" t="s">
        <v>19</v>
      </c>
      <c r="K6" s="32">
        <v>3</v>
      </c>
      <c r="L6" s="57">
        <v>50</v>
      </c>
      <c r="M6" s="30">
        <f t="shared" si="1"/>
        <v>150</v>
      </c>
      <c r="N6" s="85"/>
      <c r="O6" s="11"/>
    </row>
    <row r="7" spans="1:18" s="10" customFormat="1" ht="23.25" x14ac:dyDescent="0.3">
      <c r="A7" s="26">
        <v>3</v>
      </c>
      <c r="B7" s="70" t="s">
        <v>717</v>
      </c>
      <c r="C7" s="32" t="s">
        <v>20</v>
      </c>
      <c r="D7" s="32">
        <v>4</v>
      </c>
      <c r="E7" s="57">
        <v>30</v>
      </c>
      <c r="F7" s="30">
        <f t="shared" si="0"/>
        <v>120</v>
      </c>
      <c r="H7" s="26">
        <v>3</v>
      </c>
      <c r="I7" s="70" t="s">
        <v>717</v>
      </c>
      <c r="J7" s="32" t="s">
        <v>20</v>
      </c>
      <c r="K7" s="32">
        <v>4</v>
      </c>
      <c r="L7" s="57">
        <v>30</v>
      </c>
      <c r="M7" s="30">
        <f t="shared" si="1"/>
        <v>120</v>
      </c>
      <c r="N7" s="85"/>
      <c r="O7" s="11"/>
    </row>
    <row r="8" spans="1:18" ht="24" thickBot="1" x14ac:dyDescent="0.3">
      <c r="A8" s="38"/>
      <c r="B8" s="39"/>
      <c r="C8" s="39"/>
      <c r="D8" s="39"/>
      <c r="E8" s="40" t="s">
        <v>16</v>
      </c>
      <c r="F8" s="35">
        <f>SUM(F5:F7)</f>
        <v>5670</v>
      </c>
      <c r="H8" s="38"/>
      <c r="I8" s="39"/>
      <c r="J8" s="39"/>
      <c r="K8" s="39"/>
      <c r="L8" s="40" t="s">
        <v>16</v>
      </c>
      <c r="M8" s="35">
        <f>SUM(M5:M7)</f>
        <v>5670</v>
      </c>
    </row>
    <row r="9" spans="1:18" ht="26.25" thickBot="1" x14ac:dyDescent="0.3">
      <c r="A9" s="76"/>
      <c r="B9" s="77"/>
      <c r="C9" s="77"/>
      <c r="D9" s="77"/>
      <c r="E9" s="78" t="s">
        <v>21</v>
      </c>
      <c r="F9" s="12">
        <f>SUMIF(E1:E19975,"CƏMİ",F1:F19975)</f>
        <v>5670</v>
      </c>
      <c r="H9" s="76"/>
      <c r="I9" s="77"/>
      <c r="J9" s="77"/>
      <c r="K9" s="77"/>
      <c r="L9" s="78" t="s">
        <v>21</v>
      </c>
      <c r="M9" s="12">
        <f>SUMIF(L1:L19975,"CƏMİ",M1:M19975)</f>
        <v>5670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6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4D73-B5D7-4791-B02E-4140DA942EFC}">
  <sheetPr>
    <tabColor rgb="FFFFFF00"/>
    <pageSetUpPr fitToPage="1"/>
  </sheetPr>
  <dimension ref="A1:R17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K13" sqref="K13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440</v>
      </c>
      <c r="B1" s="175"/>
      <c r="C1" s="175"/>
      <c r="D1" s="175"/>
      <c r="E1" s="176" t="s">
        <v>0</v>
      </c>
      <c r="F1" s="177"/>
      <c r="H1" s="174" t="s">
        <v>440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F16</f>
        <v>19212</v>
      </c>
      <c r="O4" s="4"/>
    </row>
    <row r="5" spans="1:18" s="10" customFormat="1" ht="23.25" x14ac:dyDescent="0.3">
      <c r="A5" s="26">
        <v>1</v>
      </c>
      <c r="B5" s="31" t="s">
        <v>575</v>
      </c>
      <c r="C5" s="32" t="s">
        <v>19</v>
      </c>
      <c r="D5" s="32">
        <v>13.2</v>
      </c>
      <c r="E5" s="57">
        <v>80</v>
      </c>
      <c r="F5" s="30">
        <f>D5*E5</f>
        <v>1056</v>
      </c>
      <c r="H5" s="26">
        <v>1</v>
      </c>
      <c r="I5" s="31" t="s">
        <v>575</v>
      </c>
      <c r="J5" s="32" t="s">
        <v>19</v>
      </c>
      <c r="K5" s="32">
        <v>13.2</v>
      </c>
      <c r="L5" s="57">
        <v>80</v>
      </c>
      <c r="M5" s="30">
        <f>K5*L5</f>
        <v>1056</v>
      </c>
      <c r="N5" s="85"/>
      <c r="O5" s="11"/>
    </row>
    <row r="6" spans="1:18" s="10" customFormat="1" ht="23.25" x14ac:dyDescent="0.3">
      <c r="A6" s="26">
        <v>2</v>
      </c>
      <c r="B6" s="65" t="s">
        <v>441</v>
      </c>
      <c r="C6" s="32" t="s">
        <v>20</v>
      </c>
      <c r="D6" s="32">
        <v>5</v>
      </c>
      <c r="E6" s="57">
        <v>30</v>
      </c>
      <c r="F6" s="30">
        <f t="shared" ref="F6:F15" si="0">D6*E6</f>
        <v>150</v>
      </c>
      <c r="H6" s="26">
        <v>2</v>
      </c>
      <c r="I6" s="65" t="s">
        <v>441</v>
      </c>
      <c r="J6" s="32" t="s">
        <v>20</v>
      </c>
      <c r="K6" s="32">
        <v>5</v>
      </c>
      <c r="L6" s="57">
        <v>30</v>
      </c>
      <c r="M6" s="30">
        <f t="shared" ref="M6:M15" si="1">K6*L6</f>
        <v>150</v>
      </c>
      <c r="N6" s="85"/>
      <c r="O6" s="11"/>
    </row>
    <row r="7" spans="1:18" s="10" customFormat="1" ht="23.25" x14ac:dyDescent="0.3">
      <c r="A7" s="26">
        <v>3</v>
      </c>
      <c r="B7" s="31" t="s">
        <v>442</v>
      </c>
      <c r="C7" s="32" t="s">
        <v>19</v>
      </c>
      <c r="D7" s="32">
        <v>2.5</v>
      </c>
      <c r="E7" s="57">
        <v>50</v>
      </c>
      <c r="F7" s="30">
        <f t="shared" si="0"/>
        <v>125</v>
      </c>
      <c r="H7" s="26">
        <v>3</v>
      </c>
      <c r="I7" s="31" t="s">
        <v>442</v>
      </c>
      <c r="J7" s="32" t="s">
        <v>19</v>
      </c>
      <c r="K7" s="32">
        <v>2.5</v>
      </c>
      <c r="L7" s="57">
        <v>50</v>
      </c>
      <c r="M7" s="30">
        <f t="shared" si="1"/>
        <v>125</v>
      </c>
      <c r="N7" s="85"/>
      <c r="O7" s="11"/>
    </row>
    <row r="8" spans="1:18" s="10" customFormat="1" ht="23.25" x14ac:dyDescent="0.3">
      <c r="A8" s="26">
        <v>4</v>
      </c>
      <c r="B8" s="70" t="s">
        <v>559</v>
      </c>
      <c r="C8" s="32" t="s">
        <v>20</v>
      </c>
      <c r="D8" s="88">
        <v>45.7</v>
      </c>
      <c r="E8" s="57">
        <v>30</v>
      </c>
      <c r="F8" s="30">
        <f t="shared" si="0"/>
        <v>1371</v>
      </c>
      <c r="H8" s="26">
        <v>4</v>
      </c>
      <c r="I8" s="70" t="s">
        <v>559</v>
      </c>
      <c r="J8" s="32" t="s">
        <v>20</v>
      </c>
      <c r="K8" s="88">
        <v>45.7</v>
      </c>
      <c r="L8" s="57">
        <v>30</v>
      </c>
      <c r="M8" s="30">
        <f t="shared" si="1"/>
        <v>1371</v>
      </c>
      <c r="N8" s="85"/>
      <c r="O8" s="11"/>
    </row>
    <row r="9" spans="1:18" s="10" customFormat="1" ht="23.25" x14ac:dyDescent="0.3">
      <c r="A9" s="26">
        <v>5</v>
      </c>
      <c r="B9" s="65" t="s">
        <v>555</v>
      </c>
      <c r="C9" s="32" t="s">
        <v>19</v>
      </c>
      <c r="D9" s="32">
        <v>15</v>
      </c>
      <c r="E9" s="57">
        <v>50</v>
      </c>
      <c r="F9" s="30">
        <f t="shared" si="0"/>
        <v>750</v>
      </c>
      <c r="H9" s="26">
        <v>5</v>
      </c>
      <c r="I9" s="65" t="s">
        <v>555</v>
      </c>
      <c r="J9" s="32" t="s">
        <v>19</v>
      </c>
      <c r="K9" s="32">
        <v>15</v>
      </c>
      <c r="L9" s="57">
        <v>50</v>
      </c>
      <c r="M9" s="30">
        <f t="shared" si="1"/>
        <v>750</v>
      </c>
      <c r="N9" s="85"/>
      <c r="O9" s="11"/>
    </row>
    <row r="10" spans="1:18" s="10" customFormat="1" ht="23.25" x14ac:dyDescent="0.3">
      <c r="A10" s="26">
        <v>6</v>
      </c>
      <c r="B10" s="65" t="s">
        <v>443</v>
      </c>
      <c r="C10" s="32" t="s">
        <v>20</v>
      </c>
      <c r="D10" s="32">
        <v>221</v>
      </c>
      <c r="E10" s="57">
        <v>30</v>
      </c>
      <c r="F10" s="30">
        <f t="shared" si="0"/>
        <v>6630</v>
      </c>
      <c r="H10" s="26">
        <v>6</v>
      </c>
      <c r="I10" s="65" t="s">
        <v>443</v>
      </c>
      <c r="J10" s="32" t="s">
        <v>20</v>
      </c>
      <c r="K10" s="115">
        <v>125</v>
      </c>
      <c r="L10" s="57">
        <v>30</v>
      </c>
      <c r="M10" s="30">
        <f t="shared" si="1"/>
        <v>3750</v>
      </c>
      <c r="N10" s="85"/>
      <c r="O10" s="11"/>
    </row>
    <row r="11" spans="1:18" s="10" customFormat="1" ht="23.25" x14ac:dyDescent="0.3">
      <c r="A11" s="26">
        <v>7</v>
      </c>
      <c r="B11" s="65" t="s">
        <v>444</v>
      </c>
      <c r="C11" s="32" t="s">
        <v>19</v>
      </c>
      <c r="D11" s="88">
        <v>121.9</v>
      </c>
      <c r="E11" s="57">
        <v>50</v>
      </c>
      <c r="F11" s="30">
        <f t="shared" si="0"/>
        <v>6095</v>
      </c>
      <c r="H11" s="26">
        <v>7</v>
      </c>
      <c r="I11" s="65" t="s">
        <v>444</v>
      </c>
      <c r="J11" s="32" t="s">
        <v>19</v>
      </c>
      <c r="K11" s="88">
        <v>121.9</v>
      </c>
      <c r="L11" s="57">
        <v>50</v>
      </c>
      <c r="M11" s="30">
        <f t="shared" si="1"/>
        <v>6095</v>
      </c>
      <c r="N11" s="85"/>
      <c r="O11" s="11"/>
    </row>
    <row r="12" spans="1:18" s="10" customFormat="1" ht="23.25" x14ac:dyDescent="0.3">
      <c r="A12" s="26">
        <v>8</v>
      </c>
      <c r="B12" s="65" t="s">
        <v>355</v>
      </c>
      <c r="C12" s="32" t="s">
        <v>20</v>
      </c>
      <c r="D12" s="32">
        <v>9</v>
      </c>
      <c r="E12" s="57">
        <v>30</v>
      </c>
      <c r="F12" s="30">
        <f t="shared" si="0"/>
        <v>270</v>
      </c>
      <c r="H12" s="26">
        <v>8</v>
      </c>
      <c r="I12" s="65" t="s">
        <v>355</v>
      </c>
      <c r="J12" s="32" t="s">
        <v>20</v>
      </c>
      <c r="K12" s="115">
        <v>2.6</v>
      </c>
      <c r="L12" s="57">
        <v>30</v>
      </c>
      <c r="M12" s="30">
        <f t="shared" si="1"/>
        <v>78</v>
      </c>
      <c r="N12" s="85"/>
      <c r="O12" s="11"/>
    </row>
    <row r="13" spans="1:18" s="10" customFormat="1" ht="23.25" x14ac:dyDescent="0.3">
      <c r="A13" s="26">
        <v>9</v>
      </c>
      <c r="B13" s="31" t="s">
        <v>348</v>
      </c>
      <c r="C13" s="32" t="s">
        <v>19</v>
      </c>
      <c r="D13" s="32">
        <v>2.7</v>
      </c>
      <c r="E13" s="57">
        <v>50</v>
      </c>
      <c r="F13" s="30">
        <f t="shared" si="0"/>
        <v>135</v>
      </c>
      <c r="H13" s="26">
        <v>9</v>
      </c>
      <c r="I13" s="31" t="s">
        <v>348</v>
      </c>
      <c r="J13" s="32" t="s">
        <v>19</v>
      </c>
      <c r="K13" s="32">
        <v>2.7</v>
      </c>
      <c r="L13" s="57">
        <v>50</v>
      </c>
      <c r="M13" s="30">
        <f t="shared" si="1"/>
        <v>135</v>
      </c>
      <c r="N13" s="85"/>
      <c r="O13" s="11"/>
    </row>
    <row r="14" spans="1:18" s="10" customFormat="1" ht="23.25" x14ac:dyDescent="0.3">
      <c r="A14" s="26">
        <v>10</v>
      </c>
      <c r="B14" s="31" t="s">
        <v>576</v>
      </c>
      <c r="C14" s="32" t="s">
        <v>19</v>
      </c>
      <c r="D14" s="32">
        <v>13.9</v>
      </c>
      <c r="E14" s="57">
        <v>80</v>
      </c>
      <c r="F14" s="30">
        <f t="shared" si="0"/>
        <v>1112</v>
      </c>
      <c r="H14" s="26">
        <v>10</v>
      </c>
      <c r="I14" s="31" t="s">
        <v>576</v>
      </c>
      <c r="J14" s="32" t="s">
        <v>19</v>
      </c>
      <c r="K14" s="32">
        <v>13.9</v>
      </c>
      <c r="L14" s="57">
        <v>80</v>
      </c>
      <c r="M14" s="30">
        <f t="shared" si="1"/>
        <v>1112</v>
      </c>
      <c r="N14" s="85"/>
      <c r="O14" s="11"/>
    </row>
    <row r="15" spans="1:18" s="10" customFormat="1" ht="23.25" x14ac:dyDescent="0.3">
      <c r="A15" s="26">
        <v>11</v>
      </c>
      <c r="B15" s="65" t="s">
        <v>122</v>
      </c>
      <c r="C15" s="32" t="s">
        <v>119</v>
      </c>
      <c r="D15" s="32">
        <v>3.3</v>
      </c>
      <c r="E15" s="57">
        <v>460</v>
      </c>
      <c r="F15" s="30">
        <f t="shared" si="0"/>
        <v>1518</v>
      </c>
      <c r="H15" s="26">
        <v>11</v>
      </c>
      <c r="I15" s="65" t="s">
        <v>122</v>
      </c>
      <c r="J15" s="32" t="s">
        <v>119</v>
      </c>
      <c r="K15" s="32">
        <v>3.3</v>
      </c>
      <c r="L15" s="57">
        <v>460</v>
      </c>
      <c r="M15" s="30">
        <f t="shared" si="1"/>
        <v>1518</v>
      </c>
      <c r="N15" s="85"/>
      <c r="O15" s="11"/>
    </row>
    <row r="16" spans="1:18" ht="24" thickBot="1" x14ac:dyDescent="0.3">
      <c r="A16" s="38"/>
      <c r="B16" s="39"/>
      <c r="C16" s="39"/>
      <c r="D16" s="39"/>
      <c r="E16" s="40" t="s">
        <v>16</v>
      </c>
      <c r="F16" s="35">
        <f>SUM(F5:F15)</f>
        <v>19212</v>
      </c>
      <c r="H16" s="38"/>
      <c r="I16" s="39"/>
      <c r="J16" s="39"/>
      <c r="K16" s="39"/>
      <c r="L16" s="40" t="s">
        <v>16</v>
      </c>
      <c r="M16" s="35">
        <f>SUM(M5:M15)</f>
        <v>16140</v>
      </c>
    </row>
    <row r="17" spans="1:13" ht="26.25" thickBot="1" x14ac:dyDescent="0.3">
      <c r="A17" s="76"/>
      <c r="B17" s="77"/>
      <c r="C17" s="77"/>
      <c r="D17" s="77"/>
      <c r="E17" s="78" t="s">
        <v>21</v>
      </c>
      <c r="F17" s="12">
        <f>SUMIF(E1:E19983,"CƏMİ",F1:F19983)</f>
        <v>19212</v>
      </c>
      <c r="H17" s="76"/>
      <c r="I17" s="77"/>
      <c r="J17" s="77"/>
      <c r="K17" s="77"/>
      <c r="L17" s="78" t="s">
        <v>21</v>
      </c>
      <c r="M17" s="12">
        <f>SUMIF(L1:L19983,"CƏMİ",M1:M19983)</f>
        <v>16140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B4EB-58D4-4108-B1A7-B133FEE94489}">
  <sheetPr>
    <tabColor rgb="FFFFFF00"/>
    <pageSetUpPr fitToPage="1"/>
  </sheetPr>
  <dimension ref="A1:R12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K9" sqref="K9"/>
    </sheetView>
  </sheetViews>
  <sheetFormatPr defaultColWidth="9.140625" defaultRowHeight="15" x14ac:dyDescent="0.25"/>
  <cols>
    <col min="1" max="1" width="6.42578125" style="5" bestFit="1" customWidth="1"/>
    <col min="2" max="2" width="109.4257812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09.4257812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59</v>
      </c>
      <c r="B1" s="175"/>
      <c r="C1" s="175"/>
      <c r="D1" s="175"/>
      <c r="E1" s="176" t="s">
        <v>0</v>
      </c>
      <c r="F1" s="177"/>
      <c r="H1" s="174" t="s">
        <v>59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F11</f>
        <v>13008</v>
      </c>
      <c r="O4" s="4"/>
    </row>
    <row r="5" spans="1:18" s="10" customFormat="1" ht="23.25" x14ac:dyDescent="0.3">
      <c r="A5" s="26">
        <v>1</v>
      </c>
      <c r="B5" s="70" t="s">
        <v>700</v>
      </c>
      <c r="C5" s="32" t="s">
        <v>19</v>
      </c>
      <c r="D5" s="32">
        <v>80</v>
      </c>
      <c r="E5" s="57">
        <v>95</v>
      </c>
      <c r="F5" s="30">
        <f>D5*E5</f>
        <v>7600</v>
      </c>
      <c r="H5" s="26">
        <v>1</v>
      </c>
      <c r="I5" s="70" t="s">
        <v>700</v>
      </c>
      <c r="J5" s="32" t="s">
        <v>19</v>
      </c>
      <c r="K5" s="32">
        <v>80</v>
      </c>
      <c r="L5" s="57">
        <v>95</v>
      </c>
      <c r="M5" s="30">
        <f>K5*L5</f>
        <v>7600</v>
      </c>
      <c r="N5" s="85"/>
      <c r="O5" s="11"/>
    </row>
    <row r="6" spans="1:18" s="10" customFormat="1" ht="23.25" x14ac:dyDescent="0.3">
      <c r="A6" s="26">
        <v>2</v>
      </c>
      <c r="B6" s="70" t="s">
        <v>69</v>
      </c>
      <c r="C6" s="32" t="s">
        <v>19</v>
      </c>
      <c r="D6" s="32">
        <v>23</v>
      </c>
      <c r="E6" s="57">
        <v>50</v>
      </c>
      <c r="F6" s="30">
        <f t="shared" ref="F6:F10" si="0">D6*E6</f>
        <v>1150</v>
      </c>
      <c r="H6" s="26">
        <v>2</v>
      </c>
      <c r="I6" s="70" t="s">
        <v>69</v>
      </c>
      <c r="J6" s="32" t="s">
        <v>19</v>
      </c>
      <c r="K6" s="32">
        <v>23</v>
      </c>
      <c r="L6" s="57">
        <v>50</v>
      </c>
      <c r="M6" s="30">
        <f t="shared" ref="M6:M10" si="1">K6*L6</f>
        <v>1150</v>
      </c>
      <c r="N6" s="85"/>
      <c r="O6" s="11"/>
    </row>
    <row r="7" spans="1:18" s="10" customFormat="1" ht="23.25" x14ac:dyDescent="0.3">
      <c r="A7" s="26">
        <v>3</v>
      </c>
      <c r="B7" s="70" t="s">
        <v>750</v>
      </c>
      <c r="C7" s="32" t="s">
        <v>20</v>
      </c>
      <c r="D7" s="88">
        <f>81-15</f>
        <v>66</v>
      </c>
      <c r="E7" s="57">
        <v>30</v>
      </c>
      <c r="F7" s="30">
        <f t="shared" si="0"/>
        <v>1980</v>
      </c>
      <c r="H7" s="26">
        <v>3</v>
      </c>
      <c r="I7" s="70" t="s">
        <v>750</v>
      </c>
      <c r="J7" s="32" t="s">
        <v>20</v>
      </c>
      <c r="K7" s="88">
        <f>81-15</f>
        <v>66</v>
      </c>
      <c r="L7" s="57">
        <v>30</v>
      </c>
      <c r="M7" s="30">
        <f t="shared" si="1"/>
        <v>1980</v>
      </c>
      <c r="N7" s="85"/>
      <c r="O7" s="11"/>
    </row>
    <row r="8" spans="1:18" s="10" customFormat="1" ht="23.25" x14ac:dyDescent="0.3">
      <c r="A8" s="26">
        <v>4</v>
      </c>
      <c r="B8" s="70" t="s">
        <v>354</v>
      </c>
      <c r="C8" s="32" t="s">
        <v>19</v>
      </c>
      <c r="D8" s="32">
        <v>30.8</v>
      </c>
      <c r="E8" s="57">
        <v>50</v>
      </c>
      <c r="F8" s="30">
        <f t="shared" si="0"/>
        <v>1540</v>
      </c>
      <c r="H8" s="26">
        <v>4</v>
      </c>
      <c r="I8" s="70" t="s">
        <v>354</v>
      </c>
      <c r="J8" s="32" t="s">
        <v>19</v>
      </c>
      <c r="K8" s="115">
        <v>15.4</v>
      </c>
      <c r="L8" s="57">
        <v>50</v>
      </c>
      <c r="M8" s="30">
        <f t="shared" si="1"/>
        <v>770</v>
      </c>
      <c r="N8" s="85"/>
      <c r="O8" s="11"/>
    </row>
    <row r="9" spans="1:18" s="10" customFormat="1" ht="23.25" x14ac:dyDescent="0.3">
      <c r="A9" s="26">
        <v>5</v>
      </c>
      <c r="B9" s="70" t="s">
        <v>355</v>
      </c>
      <c r="C9" s="32" t="s">
        <v>20</v>
      </c>
      <c r="D9" s="88">
        <v>15.4</v>
      </c>
      <c r="E9" s="57">
        <v>30</v>
      </c>
      <c r="F9" s="30">
        <f t="shared" si="0"/>
        <v>462</v>
      </c>
      <c r="H9" s="26">
        <v>5</v>
      </c>
      <c r="I9" s="70" t="s">
        <v>355</v>
      </c>
      <c r="J9" s="32" t="s">
        <v>20</v>
      </c>
      <c r="K9" s="88">
        <v>15.4</v>
      </c>
      <c r="L9" s="57">
        <v>30</v>
      </c>
      <c r="M9" s="30">
        <f t="shared" si="1"/>
        <v>462</v>
      </c>
      <c r="N9" s="85"/>
      <c r="O9" s="11"/>
    </row>
    <row r="10" spans="1:18" s="10" customFormat="1" ht="23.25" x14ac:dyDescent="0.3">
      <c r="A10" s="26">
        <v>6</v>
      </c>
      <c r="B10" s="65" t="s">
        <v>122</v>
      </c>
      <c r="C10" s="32" t="s">
        <v>119</v>
      </c>
      <c r="D10" s="32">
        <v>0.6</v>
      </c>
      <c r="E10" s="57">
        <v>460</v>
      </c>
      <c r="F10" s="30">
        <f t="shared" si="0"/>
        <v>276</v>
      </c>
      <c r="H10" s="26">
        <v>6</v>
      </c>
      <c r="I10" s="65" t="s">
        <v>122</v>
      </c>
      <c r="J10" s="32" t="s">
        <v>119</v>
      </c>
      <c r="K10" s="32">
        <v>0.6</v>
      </c>
      <c r="L10" s="57">
        <v>460</v>
      </c>
      <c r="M10" s="30">
        <f t="shared" si="1"/>
        <v>276</v>
      </c>
      <c r="N10" s="85"/>
      <c r="O10" s="11"/>
    </row>
    <row r="11" spans="1:18" ht="24" thickBot="1" x14ac:dyDescent="0.3">
      <c r="A11" s="38"/>
      <c r="B11" s="39"/>
      <c r="C11" s="39"/>
      <c r="D11" s="39"/>
      <c r="E11" s="40" t="s">
        <v>16</v>
      </c>
      <c r="F11" s="35">
        <f>SUM(F5:F10)</f>
        <v>13008</v>
      </c>
      <c r="H11" s="38"/>
      <c r="I11" s="39"/>
      <c r="J11" s="39"/>
      <c r="K11" s="39"/>
      <c r="L11" s="40" t="s">
        <v>16</v>
      </c>
      <c r="M11" s="35">
        <f>SUM(M5:M10)</f>
        <v>12238</v>
      </c>
    </row>
    <row r="12" spans="1:18" ht="26.25" thickBot="1" x14ac:dyDescent="0.3">
      <c r="A12" s="76"/>
      <c r="B12" s="77"/>
      <c r="C12" s="77"/>
      <c r="D12" s="77"/>
      <c r="E12" s="78" t="s">
        <v>21</v>
      </c>
      <c r="F12" s="12">
        <f>SUMIF(E1:E19978,"CƏMİ",F1:F19978)</f>
        <v>13008</v>
      </c>
      <c r="H12" s="76"/>
      <c r="I12" s="77"/>
      <c r="J12" s="77"/>
      <c r="K12" s="77"/>
      <c r="L12" s="78" t="s">
        <v>21</v>
      </c>
      <c r="M12" s="12">
        <f>SUMIF(L1:L19978,"CƏMİ",M1:M19978)</f>
        <v>12238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8A9F-FE55-49A8-BB02-53A3B1490053}">
  <sheetPr>
    <tabColor rgb="FFFFFF00"/>
    <pageSetUpPr fitToPage="1"/>
  </sheetPr>
  <dimension ref="A1:R10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K8" sqref="K8"/>
    </sheetView>
  </sheetViews>
  <sheetFormatPr defaultColWidth="9.140625" defaultRowHeight="15" x14ac:dyDescent="0.25"/>
  <cols>
    <col min="1" max="1" width="6.42578125" style="5" bestFit="1" customWidth="1"/>
    <col min="2" max="2" width="110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0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18.57031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57</v>
      </c>
      <c r="B1" s="175"/>
      <c r="C1" s="175"/>
      <c r="D1" s="175"/>
      <c r="E1" s="176" t="s">
        <v>0</v>
      </c>
      <c r="F1" s="177"/>
      <c r="H1" s="174" t="s">
        <v>57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F9</f>
        <v>5420</v>
      </c>
      <c r="O4" s="4"/>
    </row>
    <row r="5" spans="1:18" s="10" customFormat="1" ht="23.25" x14ac:dyDescent="0.3">
      <c r="A5" s="26">
        <v>1</v>
      </c>
      <c r="B5" s="70" t="s">
        <v>69</v>
      </c>
      <c r="C5" s="32" t="s">
        <v>19</v>
      </c>
      <c r="D5" s="88">
        <f>29-2</f>
        <v>27</v>
      </c>
      <c r="E5" s="57">
        <v>50</v>
      </c>
      <c r="F5" s="30">
        <f>D5*E5</f>
        <v>1350</v>
      </c>
      <c r="H5" s="26">
        <v>1</v>
      </c>
      <c r="I5" s="70" t="s">
        <v>69</v>
      </c>
      <c r="J5" s="32" t="s">
        <v>19</v>
      </c>
      <c r="K5" s="88">
        <f>29-2</f>
        <v>27</v>
      </c>
      <c r="L5" s="57">
        <v>50</v>
      </c>
      <c r="M5" s="30">
        <f>K5*L5</f>
        <v>1350</v>
      </c>
      <c r="N5" s="85"/>
      <c r="O5" s="11"/>
    </row>
    <row r="6" spans="1:18" s="10" customFormat="1" ht="23.25" x14ac:dyDescent="0.3">
      <c r="A6" s="26">
        <v>2</v>
      </c>
      <c r="B6" s="70" t="s">
        <v>750</v>
      </c>
      <c r="C6" s="32" t="s">
        <v>20</v>
      </c>
      <c r="D6" s="88">
        <f>77-6</f>
        <v>71</v>
      </c>
      <c r="E6" s="57">
        <v>30</v>
      </c>
      <c r="F6" s="30">
        <f t="shared" ref="F6:F8" si="0">D6*E6</f>
        <v>2130</v>
      </c>
      <c r="H6" s="26">
        <v>2</v>
      </c>
      <c r="I6" s="70" t="s">
        <v>750</v>
      </c>
      <c r="J6" s="32" t="s">
        <v>20</v>
      </c>
      <c r="K6" s="88">
        <f>77-6</f>
        <v>71</v>
      </c>
      <c r="L6" s="57">
        <v>30</v>
      </c>
      <c r="M6" s="30">
        <f t="shared" ref="M6:M8" si="1">K6*L6</f>
        <v>2130</v>
      </c>
      <c r="N6" s="85"/>
      <c r="O6" s="11"/>
    </row>
    <row r="7" spans="1:18" s="10" customFormat="1" ht="23.25" x14ac:dyDescent="0.3">
      <c r="A7" s="26">
        <v>3</v>
      </c>
      <c r="B7" s="70" t="s">
        <v>354</v>
      </c>
      <c r="C7" s="32" t="s">
        <v>19</v>
      </c>
      <c r="D7" s="32">
        <v>29.8</v>
      </c>
      <c r="E7" s="57">
        <v>50</v>
      </c>
      <c r="F7" s="30">
        <f t="shared" si="0"/>
        <v>1490</v>
      </c>
      <c r="H7" s="26">
        <v>3</v>
      </c>
      <c r="I7" s="70" t="s">
        <v>354</v>
      </c>
      <c r="J7" s="32" t="s">
        <v>19</v>
      </c>
      <c r="K7" s="115">
        <v>15</v>
      </c>
      <c r="L7" s="57">
        <v>50</v>
      </c>
      <c r="M7" s="30">
        <f t="shared" si="1"/>
        <v>750</v>
      </c>
      <c r="N7" s="85"/>
      <c r="O7" s="11"/>
    </row>
    <row r="8" spans="1:18" s="10" customFormat="1" ht="23.25" x14ac:dyDescent="0.3">
      <c r="A8" s="26">
        <v>4</v>
      </c>
      <c r="B8" s="70" t="s">
        <v>355</v>
      </c>
      <c r="C8" s="32" t="s">
        <v>20</v>
      </c>
      <c r="D8" s="88">
        <v>15</v>
      </c>
      <c r="E8" s="57">
        <v>30</v>
      </c>
      <c r="F8" s="30">
        <f t="shared" si="0"/>
        <v>450</v>
      </c>
      <c r="H8" s="26">
        <v>4</v>
      </c>
      <c r="I8" s="70" t="s">
        <v>355</v>
      </c>
      <c r="J8" s="32" t="s">
        <v>20</v>
      </c>
      <c r="K8" s="88">
        <v>15</v>
      </c>
      <c r="L8" s="57">
        <v>30</v>
      </c>
      <c r="M8" s="30">
        <f t="shared" si="1"/>
        <v>450</v>
      </c>
      <c r="N8" s="85"/>
      <c r="O8" s="11"/>
    </row>
    <row r="9" spans="1:18" ht="24" thickBot="1" x14ac:dyDescent="0.3">
      <c r="A9" s="38"/>
      <c r="B9" s="39"/>
      <c r="C9" s="39"/>
      <c r="D9" s="39"/>
      <c r="E9" s="40" t="s">
        <v>16</v>
      </c>
      <c r="F9" s="35">
        <f>SUM(F5:F8)</f>
        <v>5420</v>
      </c>
      <c r="H9" s="38"/>
      <c r="I9" s="39"/>
      <c r="J9" s="39"/>
      <c r="K9" s="39"/>
      <c r="L9" s="40" t="s">
        <v>16</v>
      </c>
      <c r="M9" s="35">
        <f>SUM(M5:M8)</f>
        <v>4680</v>
      </c>
    </row>
    <row r="10" spans="1:18" ht="26.25" thickBot="1" x14ac:dyDescent="0.3">
      <c r="A10" s="76"/>
      <c r="B10" s="77"/>
      <c r="C10" s="77"/>
      <c r="D10" s="77"/>
      <c r="E10" s="78" t="s">
        <v>21</v>
      </c>
      <c r="F10" s="12">
        <f>SUMIF(E1:E19976,"CƏMİ",F1:F19976)</f>
        <v>5420</v>
      </c>
      <c r="H10" s="76"/>
      <c r="I10" s="77"/>
      <c r="J10" s="77"/>
      <c r="K10" s="77"/>
      <c r="L10" s="78" t="s">
        <v>21</v>
      </c>
      <c r="M10" s="12">
        <f>SUMIF(L1:L19976,"CƏMİ",M1:M19976)</f>
        <v>4680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C1ED-FB4E-487F-AEB8-A2903D65A7FE}">
  <sheetPr>
    <tabColor rgb="FFFFFF00"/>
    <pageSetUpPr fitToPage="1"/>
  </sheetPr>
  <dimension ref="A1:R13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K8" sqref="K8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264</v>
      </c>
      <c r="B1" s="175"/>
      <c r="C1" s="175"/>
      <c r="D1" s="175"/>
      <c r="E1" s="176" t="s">
        <v>0</v>
      </c>
      <c r="F1" s="177"/>
      <c r="H1" s="174" t="s">
        <v>264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45219</v>
      </c>
      <c r="H2" s="17"/>
      <c r="I2" s="18"/>
      <c r="J2" s="18"/>
      <c r="K2" s="19"/>
      <c r="L2" s="18"/>
      <c r="M2" s="46">
        <v>45219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F12</f>
        <v>10114.4</v>
      </c>
      <c r="O4" s="4"/>
    </row>
    <row r="5" spans="1:18" s="10" customFormat="1" ht="23.25" x14ac:dyDescent="0.3">
      <c r="A5" s="26">
        <v>1</v>
      </c>
      <c r="B5" s="70" t="s">
        <v>750</v>
      </c>
      <c r="C5" s="32" t="s">
        <v>20</v>
      </c>
      <c r="D5" s="88">
        <v>60.2</v>
      </c>
      <c r="E5" s="57">
        <v>30</v>
      </c>
      <c r="F5" s="30">
        <f t="shared" ref="F5:F11" si="0">D5*E5</f>
        <v>1806</v>
      </c>
      <c r="H5" s="26">
        <v>1</v>
      </c>
      <c r="I5" s="70" t="s">
        <v>750</v>
      </c>
      <c r="J5" s="32" t="s">
        <v>20</v>
      </c>
      <c r="K5" s="88">
        <v>60.2</v>
      </c>
      <c r="L5" s="57">
        <v>30</v>
      </c>
      <c r="M5" s="30">
        <f t="shared" ref="M5:M6" si="1">K5*L5</f>
        <v>1806</v>
      </c>
      <c r="N5" s="85"/>
      <c r="O5" s="11"/>
    </row>
    <row r="6" spans="1:18" s="10" customFormat="1" ht="23.25" x14ac:dyDescent="0.3">
      <c r="A6" s="26">
        <v>2</v>
      </c>
      <c r="B6" s="65" t="s">
        <v>44</v>
      </c>
      <c r="C6" s="32" t="s">
        <v>19</v>
      </c>
      <c r="D6" s="32">
        <v>20.5</v>
      </c>
      <c r="E6" s="57">
        <v>50</v>
      </c>
      <c r="F6" s="30">
        <f t="shared" si="0"/>
        <v>1025</v>
      </c>
      <c r="H6" s="26">
        <v>2</v>
      </c>
      <c r="I6" s="65" t="s">
        <v>44</v>
      </c>
      <c r="J6" s="32" t="s">
        <v>19</v>
      </c>
      <c r="K6" s="32">
        <v>20.5</v>
      </c>
      <c r="L6" s="57">
        <v>50</v>
      </c>
      <c r="M6" s="30">
        <f t="shared" si="1"/>
        <v>1025</v>
      </c>
      <c r="N6" s="85"/>
      <c r="O6" s="11"/>
    </row>
    <row r="7" spans="1:18" s="10" customFormat="1" ht="23.25" x14ac:dyDescent="0.3">
      <c r="A7" s="26">
        <v>3</v>
      </c>
      <c r="B7" s="65" t="s">
        <v>172</v>
      </c>
      <c r="C7" s="32" t="s">
        <v>20</v>
      </c>
      <c r="D7" s="32">
        <v>74.8</v>
      </c>
      <c r="E7" s="57">
        <v>30</v>
      </c>
      <c r="F7" s="30">
        <f>D7*E7</f>
        <v>2244</v>
      </c>
      <c r="H7" s="26">
        <v>3</v>
      </c>
      <c r="I7" s="65" t="s">
        <v>172</v>
      </c>
      <c r="J7" s="32" t="s">
        <v>20</v>
      </c>
      <c r="K7" s="32">
        <v>74.8</v>
      </c>
      <c r="L7" s="118">
        <v>25</v>
      </c>
      <c r="M7" s="30">
        <f>K7*L7</f>
        <v>1870</v>
      </c>
      <c r="N7" s="85"/>
      <c r="O7" s="11"/>
    </row>
    <row r="8" spans="1:18" s="10" customFormat="1" ht="46.5" x14ac:dyDescent="0.3">
      <c r="A8" s="26">
        <v>4</v>
      </c>
      <c r="B8" s="31" t="s">
        <v>744</v>
      </c>
      <c r="C8" s="32" t="s">
        <v>19</v>
      </c>
      <c r="D8" s="32">
        <v>45.2</v>
      </c>
      <c r="E8" s="57">
        <v>50</v>
      </c>
      <c r="F8" s="30">
        <f>D8*E8</f>
        <v>2260</v>
      </c>
      <c r="H8" s="26">
        <v>4</v>
      </c>
      <c r="I8" s="31" t="s">
        <v>744</v>
      </c>
      <c r="J8" s="32" t="s">
        <v>19</v>
      </c>
      <c r="K8" s="115">
        <v>0</v>
      </c>
      <c r="L8" s="57">
        <v>50</v>
      </c>
      <c r="M8" s="30">
        <f>K8*L8</f>
        <v>0</v>
      </c>
      <c r="N8" s="85"/>
      <c r="O8" s="11"/>
    </row>
    <row r="9" spans="1:18" s="10" customFormat="1" ht="23.25" x14ac:dyDescent="0.3">
      <c r="A9" s="26">
        <v>5</v>
      </c>
      <c r="B9" s="65" t="s">
        <v>227</v>
      </c>
      <c r="C9" s="32" t="s">
        <v>20</v>
      </c>
      <c r="D9" s="32">
        <v>52.6</v>
      </c>
      <c r="E9" s="57">
        <v>30</v>
      </c>
      <c r="F9" s="30">
        <f t="shared" si="0"/>
        <v>1578</v>
      </c>
      <c r="H9" s="26">
        <v>5</v>
      </c>
      <c r="I9" s="65" t="s">
        <v>227</v>
      </c>
      <c r="J9" s="32" t="s">
        <v>20</v>
      </c>
      <c r="K9" s="115">
        <v>26.3</v>
      </c>
      <c r="L9" s="57">
        <v>30</v>
      </c>
      <c r="M9" s="30">
        <f t="shared" ref="M9:M11" si="2">K9*L9</f>
        <v>789</v>
      </c>
      <c r="N9" s="85"/>
      <c r="O9" s="11"/>
    </row>
    <row r="10" spans="1:18" s="10" customFormat="1" ht="23.25" x14ac:dyDescent="0.3">
      <c r="A10" s="26">
        <v>6</v>
      </c>
      <c r="B10" s="65" t="s">
        <v>231</v>
      </c>
      <c r="C10" s="32" t="s">
        <v>19</v>
      </c>
      <c r="D10" s="88">
        <v>20.9</v>
      </c>
      <c r="E10" s="57">
        <v>50</v>
      </c>
      <c r="F10" s="30">
        <f t="shared" si="0"/>
        <v>1045</v>
      </c>
      <c r="H10" s="26">
        <v>6</v>
      </c>
      <c r="I10" s="65" t="s">
        <v>231</v>
      </c>
      <c r="J10" s="32" t="s">
        <v>19</v>
      </c>
      <c r="K10" s="88">
        <v>20.9</v>
      </c>
      <c r="L10" s="57">
        <v>50</v>
      </c>
      <c r="M10" s="30">
        <f t="shared" si="2"/>
        <v>1045</v>
      </c>
      <c r="N10" s="85"/>
      <c r="O10" s="11"/>
    </row>
    <row r="11" spans="1:18" s="10" customFormat="1" ht="23.25" x14ac:dyDescent="0.3">
      <c r="A11" s="26">
        <v>7</v>
      </c>
      <c r="B11" s="65" t="s">
        <v>122</v>
      </c>
      <c r="C11" s="32" t="s">
        <v>119</v>
      </c>
      <c r="D11" s="32">
        <v>0.34</v>
      </c>
      <c r="E11" s="57">
        <v>460</v>
      </c>
      <c r="F11" s="30">
        <f t="shared" si="0"/>
        <v>156.4</v>
      </c>
      <c r="H11" s="26">
        <v>7</v>
      </c>
      <c r="I11" s="65" t="s">
        <v>122</v>
      </c>
      <c r="J11" s="32" t="s">
        <v>119</v>
      </c>
      <c r="K11" s="32">
        <v>0.34</v>
      </c>
      <c r="L11" s="57">
        <v>460</v>
      </c>
      <c r="M11" s="30">
        <f t="shared" si="2"/>
        <v>156.4</v>
      </c>
      <c r="N11" s="85"/>
      <c r="O11" s="11"/>
    </row>
    <row r="12" spans="1:18" ht="24" thickBot="1" x14ac:dyDescent="0.3">
      <c r="A12" s="38"/>
      <c r="B12" s="39"/>
      <c r="C12" s="39"/>
      <c r="D12" s="39"/>
      <c r="E12" s="40" t="s">
        <v>16</v>
      </c>
      <c r="F12" s="35">
        <f>SUM(F5:F11)</f>
        <v>10114.4</v>
      </c>
      <c r="H12" s="38"/>
      <c r="I12" s="39"/>
      <c r="J12" s="39"/>
      <c r="K12" s="39"/>
      <c r="L12" s="40" t="s">
        <v>16</v>
      </c>
      <c r="M12" s="35">
        <f>SUM(M5:M11)</f>
        <v>6691.4</v>
      </c>
    </row>
    <row r="13" spans="1:18" ht="26.25" thickBot="1" x14ac:dyDescent="0.3">
      <c r="A13" s="76"/>
      <c r="B13" s="77"/>
      <c r="C13" s="77"/>
      <c r="D13" s="77"/>
      <c r="E13" s="78" t="s">
        <v>21</v>
      </c>
      <c r="F13" s="12">
        <f>SUMIF(E1:E19979,"CƏMİ",F1:F19979)</f>
        <v>10114.4</v>
      </c>
      <c r="H13" s="76"/>
      <c r="I13" s="77"/>
      <c r="J13" s="77"/>
      <c r="K13" s="77"/>
      <c r="L13" s="78" t="s">
        <v>21</v>
      </c>
      <c r="M13" s="12">
        <f>SUMIF(L1:L19979,"CƏMİ",M1:M19979)</f>
        <v>6691.4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6A97D-5086-4BA9-992B-C11CAF3C8C66}">
  <sheetPr>
    <tabColor rgb="FFFFFF00"/>
    <pageSetUpPr fitToPage="1"/>
  </sheetPr>
  <dimension ref="A1:R14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K9" sqref="K9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267</v>
      </c>
      <c r="B1" s="175"/>
      <c r="C1" s="175"/>
      <c r="D1" s="175"/>
      <c r="E1" s="176" t="s">
        <v>0</v>
      </c>
      <c r="F1" s="177"/>
      <c r="H1" s="174" t="s">
        <v>267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F13</f>
        <v>7497</v>
      </c>
      <c r="O4" s="4"/>
    </row>
    <row r="5" spans="1:18" s="10" customFormat="1" ht="23.25" x14ac:dyDescent="0.3">
      <c r="A5" s="26">
        <v>1</v>
      </c>
      <c r="B5" s="70" t="s">
        <v>750</v>
      </c>
      <c r="C5" s="32" t="s">
        <v>20</v>
      </c>
      <c r="D5" s="88">
        <v>41.1</v>
      </c>
      <c r="E5" s="57">
        <v>30</v>
      </c>
      <c r="F5" s="30">
        <f>D5*E5</f>
        <v>1233</v>
      </c>
      <c r="H5" s="26">
        <v>1</v>
      </c>
      <c r="I5" s="70" t="s">
        <v>750</v>
      </c>
      <c r="J5" s="32" t="s">
        <v>20</v>
      </c>
      <c r="K5" s="88">
        <v>41.1</v>
      </c>
      <c r="L5" s="57">
        <v>30</v>
      </c>
      <c r="M5" s="30">
        <f>K5*L5</f>
        <v>1233</v>
      </c>
      <c r="N5" s="85"/>
      <c r="O5" s="11"/>
    </row>
    <row r="6" spans="1:18" s="10" customFormat="1" ht="23.25" x14ac:dyDescent="0.3">
      <c r="A6" s="26">
        <v>2</v>
      </c>
      <c r="B6" s="65" t="s">
        <v>44</v>
      </c>
      <c r="C6" s="32" t="s">
        <v>19</v>
      </c>
      <c r="D6" s="32">
        <v>13.6</v>
      </c>
      <c r="E6" s="57">
        <v>50</v>
      </c>
      <c r="F6" s="30">
        <f t="shared" ref="F6:F12" si="0">D6*E6</f>
        <v>680</v>
      </c>
      <c r="H6" s="26">
        <v>2</v>
      </c>
      <c r="I6" s="65" t="s">
        <v>44</v>
      </c>
      <c r="J6" s="32" t="s">
        <v>19</v>
      </c>
      <c r="K6" s="32">
        <v>13.6</v>
      </c>
      <c r="L6" s="57">
        <v>50</v>
      </c>
      <c r="M6" s="30">
        <f t="shared" ref="M6:M12" si="1">K6*L6</f>
        <v>680</v>
      </c>
      <c r="N6" s="85"/>
      <c r="O6" s="11"/>
    </row>
    <row r="7" spans="1:18" s="10" customFormat="1" ht="23.25" x14ac:dyDescent="0.3">
      <c r="A7" s="26">
        <v>3</v>
      </c>
      <c r="B7" s="65" t="s">
        <v>172</v>
      </c>
      <c r="C7" s="32" t="s">
        <v>20</v>
      </c>
      <c r="D7" s="32">
        <v>43.6</v>
      </c>
      <c r="E7" s="57">
        <v>30</v>
      </c>
      <c r="F7" s="30">
        <f t="shared" si="0"/>
        <v>1308</v>
      </c>
      <c r="H7" s="26">
        <v>3</v>
      </c>
      <c r="I7" s="65" t="s">
        <v>172</v>
      </c>
      <c r="J7" s="32" t="s">
        <v>20</v>
      </c>
      <c r="K7" s="32">
        <v>43.6</v>
      </c>
      <c r="L7" s="118">
        <v>25</v>
      </c>
      <c r="M7" s="30">
        <f t="shared" si="1"/>
        <v>1090</v>
      </c>
      <c r="N7" s="85"/>
      <c r="O7" s="11"/>
    </row>
    <row r="8" spans="1:18" s="10" customFormat="1" ht="46.5" x14ac:dyDescent="0.3">
      <c r="A8" s="26">
        <v>4</v>
      </c>
      <c r="B8" s="31" t="s">
        <v>744</v>
      </c>
      <c r="C8" s="32" t="s">
        <v>19</v>
      </c>
      <c r="D8" s="32">
        <v>28.8</v>
      </c>
      <c r="E8" s="57">
        <v>50</v>
      </c>
      <c r="F8" s="30">
        <f t="shared" si="0"/>
        <v>1440</v>
      </c>
      <c r="H8" s="26">
        <v>4</v>
      </c>
      <c r="I8" s="31" t="s">
        <v>744</v>
      </c>
      <c r="J8" s="32" t="s">
        <v>19</v>
      </c>
      <c r="K8" s="115">
        <v>0</v>
      </c>
      <c r="L8" s="57">
        <v>50</v>
      </c>
      <c r="M8" s="30">
        <f t="shared" si="1"/>
        <v>0</v>
      </c>
      <c r="N8" s="85"/>
      <c r="O8" s="11"/>
    </row>
    <row r="9" spans="1:18" s="10" customFormat="1" ht="23.25" x14ac:dyDescent="0.3">
      <c r="A9" s="26">
        <v>5</v>
      </c>
      <c r="B9" s="65" t="s">
        <v>227</v>
      </c>
      <c r="C9" s="32" t="s">
        <v>20</v>
      </c>
      <c r="D9" s="32">
        <v>25.6</v>
      </c>
      <c r="E9" s="57">
        <v>30</v>
      </c>
      <c r="F9" s="30">
        <f t="shared" si="0"/>
        <v>768</v>
      </c>
      <c r="H9" s="26">
        <v>5</v>
      </c>
      <c r="I9" s="65" t="s">
        <v>227</v>
      </c>
      <c r="J9" s="32" t="s">
        <v>20</v>
      </c>
      <c r="K9" s="115">
        <v>12.8</v>
      </c>
      <c r="L9" s="57">
        <v>30</v>
      </c>
      <c r="M9" s="30">
        <f t="shared" si="1"/>
        <v>384</v>
      </c>
      <c r="N9" s="85"/>
      <c r="O9" s="11"/>
    </row>
    <row r="10" spans="1:18" s="10" customFormat="1" ht="23.25" x14ac:dyDescent="0.3">
      <c r="A10" s="26">
        <v>6</v>
      </c>
      <c r="B10" s="65" t="s">
        <v>231</v>
      </c>
      <c r="C10" s="32" t="s">
        <v>19</v>
      </c>
      <c r="D10" s="88">
        <v>9.8000000000000007</v>
      </c>
      <c r="E10" s="57">
        <v>50</v>
      </c>
      <c r="F10" s="30">
        <f t="shared" si="0"/>
        <v>490.00000000000006</v>
      </c>
      <c r="H10" s="26">
        <v>6</v>
      </c>
      <c r="I10" s="65" t="s">
        <v>231</v>
      </c>
      <c r="J10" s="32" t="s">
        <v>19</v>
      </c>
      <c r="K10" s="88">
        <v>9.8000000000000007</v>
      </c>
      <c r="L10" s="57">
        <v>50</v>
      </c>
      <c r="M10" s="30">
        <f t="shared" si="1"/>
        <v>490.00000000000006</v>
      </c>
      <c r="N10" s="85"/>
      <c r="O10" s="11"/>
    </row>
    <row r="11" spans="1:18" s="10" customFormat="1" ht="23.25" x14ac:dyDescent="0.3">
      <c r="A11" s="26">
        <v>7</v>
      </c>
      <c r="B11" s="65" t="s">
        <v>577</v>
      </c>
      <c r="C11" s="32" t="s">
        <v>19</v>
      </c>
      <c r="D11" s="88">
        <v>18</v>
      </c>
      <c r="E11" s="57">
        <v>80</v>
      </c>
      <c r="F11" s="30">
        <f t="shared" si="0"/>
        <v>1440</v>
      </c>
      <c r="H11" s="26">
        <v>7</v>
      </c>
      <c r="I11" s="65" t="s">
        <v>577</v>
      </c>
      <c r="J11" s="32" t="s">
        <v>19</v>
      </c>
      <c r="K11" s="88">
        <v>18</v>
      </c>
      <c r="L11" s="57">
        <v>80</v>
      </c>
      <c r="M11" s="30">
        <f t="shared" si="1"/>
        <v>1440</v>
      </c>
      <c r="N11" s="85"/>
      <c r="O11" s="11"/>
    </row>
    <row r="12" spans="1:18" s="10" customFormat="1" ht="23.25" x14ac:dyDescent="0.3">
      <c r="A12" s="26">
        <v>8</v>
      </c>
      <c r="B12" s="65" t="s">
        <v>122</v>
      </c>
      <c r="C12" s="32" t="s">
        <v>119</v>
      </c>
      <c r="D12" s="115">
        <f>0.2+0.1</f>
        <v>0.30000000000000004</v>
      </c>
      <c r="E12" s="57">
        <v>460</v>
      </c>
      <c r="F12" s="30">
        <f t="shared" si="0"/>
        <v>138.00000000000003</v>
      </c>
      <c r="H12" s="26">
        <v>8</v>
      </c>
      <c r="I12" s="65" t="s">
        <v>122</v>
      </c>
      <c r="J12" s="32" t="s">
        <v>119</v>
      </c>
      <c r="K12" s="115">
        <f>0.2+0.1</f>
        <v>0.30000000000000004</v>
      </c>
      <c r="L12" s="57">
        <v>460</v>
      </c>
      <c r="M12" s="30">
        <f t="shared" si="1"/>
        <v>138.00000000000003</v>
      </c>
      <c r="N12" s="85"/>
      <c r="O12" s="11"/>
    </row>
    <row r="13" spans="1:18" ht="24" thickBot="1" x14ac:dyDescent="0.3">
      <c r="A13" s="38"/>
      <c r="B13" s="39"/>
      <c r="C13" s="39"/>
      <c r="D13" s="39"/>
      <c r="E13" s="40" t="s">
        <v>16</v>
      </c>
      <c r="F13" s="35">
        <f>SUM(F5:F12)</f>
        <v>7497</v>
      </c>
      <c r="H13" s="38"/>
      <c r="I13" s="39"/>
      <c r="J13" s="39"/>
      <c r="K13" s="39"/>
      <c r="L13" s="40" t="s">
        <v>16</v>
      </c>
      <c r="M13" s="35">
        <f>SUM(M5:M12)</f>
        <v>5455</v>
      </c>
    </row>
    <row r="14" spans="1:18" ht="26.25" thickBot="1" x14ac:dyDescent="0.3">
      <c r="A14" s="76"/>
      <c r="B14" s="77"/>
      <c r="C14" s="77"/>
      <c r="D14" s="77"/>
      <c r="E14" s="78" t="s">
        <v>21</v>
      </c>
      <c r="F14" s="12">
        <f>SUMIF(E1:E19980,"CƏMİ",F1:F19980)</f>
        <v>7497</v>
      </c>
      <c r="H14" s="76"/>
      <c r="I14" s="77"/>
      <c r="J14" s="77"/>
      <c r="K14" s="77"/>
      <c r="L14" s="78" t="s">
        <v>21</v>
      </c>
      <c r="M14" s="12">
        <f>SUMIF(L1:L19980,"CƏMİ",M1:M19980)</f>
        <v>5455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A0D1-82A8-4669-8C75-4C6E5DC5BFFF}">
  <sheetPr>
    <tabColor rgb="FFFFFF00"/>
    <pageSetUpPr fitToPage="1"/>
  </sheetPr>
  <dimension ref="A1:R12"/>
  <sheetViews>
    <sheetView view="pageBreakPreview" zoomScale="55" zoomScaleNormal="55" zoomScaleSheetLayoutView="55" workbookViewId="0">
      <pane ySplit="3" topLeftCell="A4" activePane="bottomLeft" state="frozen"/>
      <selection activeCell="E14" sqref="E14"/>
      <selection pane="bottomLeft" activeCell="K8" sqref="K8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456</v>
      </c>
      <c r="B1" s="175"/>
      <c r="C1" s="175"/>
      <c r="D1" s="175"/>
      <c r="E1" s="176" t="s">
        <v>0</v>
      </c>
      <c r="F1" s="177"/>
      <c r="H1" s="174" t="s">
        <v>456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F11</f>
        <v>3281.4</v>
      </c>
      <c r="O4" s="4"/>
    </row>
    <row r="5" spans="1:18" s="10" customFormat="1" ht="23.25" x14ac:dyDescent="0.3">
      <c r="A5" s="26">
        <v>1</v>
      </c>
      <c r="B5" s="70" t="s">
        <v>764</v>
      </c>
      <c r="C5" s="32" t="s">
        <v>20</v>
      </c>
      <c r="D5" s="88">
        <v>39.700000000000003</v>
      </c>
      <c r="E5" s="57">
        <v>30</v>
      </c>
      <c r="F5" s="30">
        <f>D5*E5</f>
        <v>1191</v>
      </c>
      <c r="H5" s="26">
        <v>1</v>
      </c>
      <c r="I5" s="70" t="s">
        <v>764</v>
      </c>
      <c r="J5" s="32" t="s">
        <v>20</v>
      </c>
      <c r="K5" s="88">
        <v>39.700000000000003</v>
      </c>
      <c r="L5" s="57">
        <v>30</v>
      </c>
      <c r="M5" s="30">
        <f>K5*L5</f>
        <v>1191</v>
      </c>
      <c r="N5" s="85"/>
      <c r="O5" s="11"/>
    </row>
    <row r="6" spans="1:18" s="10" customFormat="1" ht="23.25" x14ac:dyDescent="0.3">
      <c r="A6" s="26">
        <v>2</v>
      </c>
      <c r="B6" s="65" t="s">
        <v>555</v>
      </c>
      <c r="C6" s="32" t="s">
        <v>19</v>
      </c>
      <c r="D6" s="32">
        <v>12.9</v>
      </c>
      <c r="E6" s="57">
        <v>50</v>
      </c>
      <c r="F6" s="30">
        <f t="shared" ref="F6:F10" si="0">D6*E6</f>
        <v>645</v>
      </c>
      <c r="H6" s="26">
        <v>2</v>
      </c>
      <c r="I6" s="65" t="s">
        <v>555</v>
      </c>
      <c r="J6" s="32" t="s">
        <v>19</v>
      </c>
      <c r="K6" s="32">
        <v>12.9</v>
      </c>
      <c r="L6" s="57">
        <v>50</v>
      </c>
      <c r="M6" s="30">
        <f t="shared" ref="M6:M10" si="1">K6*L6</f>
        <v>645</v>
      </c>
      <c r="N6" s="85"/>
      <c r="O6" s="11"/>
    </row>
    <row r="7" spans="1:18" s="10" customFormat="1" ht="23.25" x14ac:dyDescent="0.3">
      <c r="A7" s="26">
        <v>3</v>
      </c>
      <c r="B7" s="65" t="s">
        <v>355</v>
      </c>
      <c r="C7" s="32" t="s">
        <v>20</v>
      </c>
      <c r="D7" s="32">
        <v>9</v>
      </c>
      <c r="E7" s="57">
        <v>30</v>
      </c>
      <c r="F7" s="30">
        <f t="shared" si="0"/>
        <v>270</v>
      </c>
      <c r="H7" s="26">
        <v>3</v>
      </c>
      <c r="I7" s="65" t="s">
        <v>355</v>
      </c>
      <c r="J7" s="32" t="s">
        <v>20</v>
      </c>
      <c r="K7" s="115">
        <v>4.5</v>
      </c>
      <c r="L7" s="57">
        <v>30</v>
      </c>
      <c r="M7" s="30">
        <f t="shared" si="1"/>
        <v>135</v>
      </c>
      <c r="N7" s="85"/>
      <c r="O7" s="11"/>
    </row>
    <row r="8" spans="1:18" s="10" customFormat="1" ht="23.25" x14ac:dyDescent="0.3">
      <c r="A8" s="26">
        <v>4</v>
      </c>
      <c r="B8" s="65" t="s">
        <v>354</v>
      </c>
      <c r="C8" s="32" t="s">
        <v>19</v>
      </c>
      <c r="D8" s="88">
        <v>3</v>
      </c>
      <c r="E8" s="57">
        <v>50</v>
      </c>
      <c r="F8" s="30">
        <f t="shared" si="0"/>
        <v>150</v>
      </c>
      <c r="H8" s="26">
        <v>4</v>
      </c>
      <c r="I8" s="65" t="s">
        <v>354</v>
      </c>
      <c r="J8" s="32" t="s">
        <v>19</v>
      </c>
      <c r="K8" s="88">
        <v>3</v>
      </c>
      <c r="L8" s="57">
        <v>50</v>
      </c>
      <c r="M8" s="30">
        <f t="shared" si="1"/>
        <v>150</v>
      </c>
      <c r="N8" s="85"/>
      <c r="O8" s="11"/>
    </row>
    <row r="9" spans="1:18" s="10" customFormat="1" ht="23.25" x14ac:dyDescent="0.3">
      <c r="A9" s="26">
        <v>5</v>
      </c>
      <c r="B9" s="65" t="s">
        <v>576</v>
      </c>
      <c r="C9" s="32" t="s">
        <v>19</v>
      </c>
      <c r="D9" s="88">
        <v>12.3</v>
      </c>
      <c r="E9" s="57">
        <v>80</v>
      </c>
      <c r="F9" s="30">
        <f t="shared" si="0"/>
        <v>984</v>
      </c>
      <c r="H9" s="26">
        <v>5</v>
      </c>
      <c r="I9" s="65" t="s">
        <v>576</v>
      </c>
      <c r="J9" s="32" t="s">
        <v>19</v>
      </c>
      <c r="K9" s="88">
        <v>12.3</v>
      </c>
      <c r="L9" s="57">
        <v>80</v>
      </c>
      <c r="M9" s="30">
        <f t="shared" si="1"/>
        <v>984</v>
      </c>
      <c r="N9" s="85"/>
      <c r="O9" s="11"/>
    </row>
    <row r="10" spans="1:18" s="10" customFormat="1" ht="23.25" x14ac:dyDescent="0.3">
      <c r="A10" s="26">
        <v>6</v>
      </c>
      <c r="B10" s="65" t="s">
        <v>122</v>
      </c>
      <c r="C10" s="32" t="s">
        <v>119</v>
      </c>
      <c r="D10" s="32">
        <v>0.09</v>
      </c>
      <c r="E10" s="57">
        <v>460</v>
      </c>
      <c r="F10" s="30">
        <f t="shared" si="0"/>
        <v>41.4</v>
      </c>
      <c r="H10" s="26">
        <v>6</v>
      </c>
      <c r="I10" s="65" t="s">
        <v>122</v>
      </c>
      <c r="J10" s="32" t="s">
        <v>119</v>
      </c>
      <c r="K10" s="32">
        <v>0.09</v>
      </c>
      <c r="L10" s="57">
        <v>460</v>
      </c>
      <c r="M10" s="30">
        <f t="shared" si="1"/>
        <v>41.4</v>
      </c>
      <c r="N10" s="85"/>
      <c r="O10" s="11"/>
    </row>
    <row r="11" spans="1:18" ht="24" thickBot="1" x14ac:dyDescent="0.3">
      <c r="A11" s="38"/>
      <c r="B11" s="39"/>
      <c r="C11" s="39"/>
      <c r="D11" s="39"/>
      <c r="E11" s="40" t="s">
        <v>16</v>
      </c>
      <c r="F11" s="35">
        <f>SUM(F5:F10)</f>
        <v>3281.4</v>
      </c>
      <c r="H11" s="38"/>
      <c r="I11" s="39"/>
      <c r="J11" s="39"/>
      <c r="K11" s="39"/>
      <c r="L11" s="40" t="s">
        <v>16</v>
      </c>
      <c r="M11" s="35">
        <f>SUM(M5:M10)</f>
        <v>3146.4</v>
      </c>
    </row>
    <row r="12" spans="1:18" ht="26.25" thickBot="1" x14ac:dyDescent="0.3">
      <c r="A12" s="76"/>
      <c r="B12" s="77"/>
      <c r="C12" s="77"/>
      <c r="D12" s="77"/>
      <c r="E12" s="78" t="s">
        <v>21</v>
      </c>
      <c r="F12" s="12">
        <f>SUMIF(E1:E19978,"CƏMİ",F1:F19978)</f>
        <v>3281.4</v>
      </c>
      <c r="H12" s="76"/>
      <c r="I12" s="77"/>
      <c r="J12" s="77"/>
      <c r="K12" s="77"/>
      <c r="L12" s="78" t="s">
        <v>21</v>
      </c>
      <c r="M12" s="12">
        <f>SUMIF(L1:L19978,"CƏMİ",M1:M19978)</f>
        <v>3146.4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7148-7022-4180-B6AF-6C34995FF352}">
  <sheetPr>
    <tabColor rgb="FFFFFF00"/>
    <pageSetUpPr fitToPage="1"/>
  </sheetPr>
  <dimension ref="A1:R12"/>
  <sheetViews>
    <sheetView view="pageBreakPreview" zoomScale="55" zoomScaleNormal="55" zoomScaleSheetLayoutView="55" workbookViewId="0">
      <pane ySplit="3" topLeftCell="A4" activePane="bottomLeft" state="frozen"/>
      <selection activeCell="E14" sqref="E14"/>
      <selection pane="bottomLeft" activeCell="K8" sqref="K8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458</v>
      </c>
      <c r="B1" s="175"/>
      <c r="C1" s="175"/>
      <c r="D1" s="175"/>
      <c r="E1" s="176" t="s">
        <v>0</v>
      </c>
      <c r="F1" s="177"/>
      <c r="H1" s="174" t="s">
        <v>458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F11</f>
        <v>2633.2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21.6</v>
      </c>
      <c r="E5" s="57">
        <v>30</v>
      </c>
      <c r="F5" s="30">
        <f>D5*E5</f>
        <v>648</v>
      </c>
      <c r="H5" s="26">
        <v>1</v>
      </c>
      <c r="I5" s="70" t="s">
        <v>559</v>
      </c>
      <c r="J5" s="32" t="s">
        <v>20</v>
      </c>
      <c r="K5" s="88">
        <v>21.6</v>
      </c>
      <c r="L5" s="57">
        <v>30</v>
      </c>
      <c r="M5" s="30">
        <f>K5*L5</f>
        <v>648</v>
      </c>
      <c r="N5" s="85"/>
      <c r="O5" s="11"/>
    </row>
    <row r="6" spans="1:18" s="10" customFormat="1" ht="23.25" x14ac:dyDescent="0.3">
      <c r="A6" s="26">
        <v>2</v>
      </c>
      <c r="B6" s="65" t="s">
        <v>555</v>
      </c>
      <c r="C6" s="32" t="s">
        <v>19</v>
      </c>
      <c r="D6" s="32">
        <v>7</v>
      </c>
      <c r="E6" s="57">
        <v>50</v>
      </c>
      <c r="F6" s="30">
        <f t="shared" ref="F6:F10" si="0">D6*E6</f>
        <v>350</v>
      </c>
      <c r="H6" s="26">
        <v>2</v>
      </c>
      <c r="I6" s="65" t="s">
        <v>555</v>
      </c>
      <c r="J6" s="32" t="s">
        <v>19</v>
      </c>
      <c r="K6" s="32">
        <v>7</v>
      </c>
      <c r="L6" s="57">
        <v>50</v>
      </c>
      <c r="M6" s="30">
        <f t="shared" ref="M6:M10" si="1">K6*L6</f>
        <v>350</v>
      </c>
      <c r="N6" s="85"/>
      <c r="O6" s="11"/>
    </row>
    <row r="7" spans="1:18" s="10" customFormat="1" ht="23.25" x14ac:dyDescent="0.3">
      <c r="A7" s="26">
        <v>3</v>
      </c>
      <c r="B7" s="65" t="s">
        <v>355</v>
      </c>
      <c r="C7" s="32" t="s">
        <v>20</v>
      </c>
      <c r="D7" s="32">
        <v>6.5</v>
      </c>
      <c r="E7" s="57">
        <v>30</v>
      </c>
      <c r="F7" s="30">
        <f t="shared" si="0"/>
        <v>195</v>
      </c>
      <c r="H7" s="26">
        <v>3</v>
      </c>
      <c r="I7" s="65" t="s">
        <v>355</v>
      </c>
      <c r="J7" s="32" t="s">
        <v>20</v>
      </c>
      <c r="K7" s="115">
        <v>3.3</v>
      </c>
      <c r="L7" s="57">
        <v>30</v>
      </c>
      <c r="M7" s="30">
        <f t="shared" si="1"/>
        <v>99</v>
      </c>
      <c r="N7" s="85"/>
      <c r="O7" s="11"/>
    </row>
    <row r="8" spans="1:18" s="10" customFormat="1" ht="23.25" x14ac:dyDescent="0.3">
      <c r="A8" s="26">
        <v>4</v>
      </c>
      <c r="B8" s="65" t="s">
        <v>354</v>
      </c>
      <c r="C8" s="32" t="s">
        <v>19</v>
      </c>
      <c r="D8" s="88">
        <v>4</v>
      </c>
      <c r="E8" s="57">
        <v>50</v>
      </c>
      <c r="F8" s="30">
        <f t="shared" si="0"/>
        <v>200</v>
      </c>
      <c r="H8" s="26">
        <v>4</v>
      </c>
      <c r="I8" s="65" t="s">
        <v>354</v>
      </c>
      <c r="J8" s="32" t="s">
        <v>19</v>
      </c>
      <c r="K8" s="88">
        <v>4</v>
      </c>
      <c r="L8" s="57">
        <v>50</v>
      </c>
      <c r="M8" s="30">
        <f t="shared" si="1"/>
        <v>200</v>
      </c>
      <c r="N8" s="85"/>
      <c r="O8" s="11"/>
    </row>
    <row r="9" spans="1:18" s="10" customFormat="1" ht="23.25" x14ac:dyDescent="0.3">
      <c r="A9" s="26">
        <v>5</v>
      </c>
      <c r="B9" s="65" t="s">
        <v>576</v>
      </c>
      <c r="C9" s="32" t="s">
        <v>19</v>
      </c>
      <c r="D9" s="88">
        <v>15.1</v>
      </c>
      <c r="E9" s="57">
        <v>80</v>
      </c>
      <c r="F9" s="30">
        <f t="shared" si="0"/>
        <v>1208</v>
      </c>
      <c r="H9" s="26">
        <v>5</v>
      </c>
      <c r="I9" s="65" t="s">
        <v>576</v>
      </c>
      <c r="J9" s="32" t="s">
        <v>19</v>
      </c>
      <c r="K9" s="88">
        <v>15.1</v>
      </c>
      <c r="L9" s="57">
        <v>80</v>
      </c>
      <c r="M9" s="30">
        <f t="shared" si="1"/>
        <v>1208</v>
      </c>
      <c r="N9" s="85"/>
      <c r="O9" s="11"/>
    </row>
    <row r="10" spans="1:18" s="10" customFormat="1" ht="23.25" x14ac:dyDescent="0.3">
      <c r="A10" s="26">
        <v>6</v>
      </c>
      <c r="B10" s="65" t="s">
        <v>122</v>
      </c>
      <c r="C10" s="32" t="s">
        <v>119</v>
      </c>
      <c r="D10" s="32">
        <v>7.0000000000000007E-2</v>
      </c>
      <c r="E10" s="57">
        <v>460</v>
      </c>
      <c r="F10" s="30">
        <f t="shared" si="0"/>
        <v>32.200000000000003</v>
      </c>
      <c r="H10" s="26">
        <v>6</v>
      </c>
      <c r="I10" s="65" t="s">
        <v>122</v>
      </c>
      <c r="J10" s="32" t="s">
        <v>119</v>
      </c>
      <c r="K10" s="32">
        <v>7.0000000000000007E-2</v>
      </c>
      <c r="L10" s="57">
        <v>460</v>
      </c>
      <c r="M10" s="30">
        <f t="shared" si="1"/>
        <v>32.200000000000003</v>
      </c>
      <c r="N10" s="85"/>
      <c r="O10" s="11"/>
    </row>
    <row r="11" spans="1:18" ht="24" thickBot="1" x14ac:dyDescent="0.3">
      <c r="A11" s="38"/>
      <c r="B11" s="39"/>
      <c r="C11" s="39"/>
      <c r="D11" s="39"/>
      <c r="E11" s="40" t="s">
        <v>16</v>
      </c>
      <c r="F11" s="35">
        <f>SUM(F5:F10)</f>
        <v>2633.2</v>
      </c>
      <c r="H11" s="38"/>
      <c r="I11" s="39"/>
      <c r="J11" s="39"/>
      <c r="K11" s="39"/>
      <c r="L11" s="40" t="s">
        <v>16</v>
      </c>
      <c r="M11" s="35">
        <f>SUM(M5:M10)</f>
        <v>2537.1999999999998</v>
      </c>
    </row>
    <row r="12" spans="1:18" ht="26.25" thickBot="1" x14ac:dyDescent="0.3">
      <c r="A12" s="76"/>
      <c r="B12" s="77"/>
      <c r="C12" s="77"/>
      <c r="D12" s="77"/>
      <c r="E12" s="78" t="s">
        <v>21</v>
      </c>
      <c r="F12" s="12">
        <f>SUMIF(E1:E19978,"CƏMİ",F1:F19978)</f>
        <v>2633.2</v>
      </c>
      <c r="H12" s="76"/>
      <c r="I12" s="77"/>
      <c r="J12" s="77"/>
      <c r="K12" s="77"/>
      <c r="L12" s="78" t="s">
        <v>21</v>
      </c>
      <c r="M12" s="12">
        <f>SUMIF(L1:L19978,"CƏMİ",M1:M19978)</f>
        <v>2537.1999999999998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23DF-7831-4701-93A3-26EE0D4543FB}">
  <sheetPr>
    <tabColor rgb="FFFFFF00"/>
    <pageSetUpPr fitToPage="1"/>
  </sheetPr>
  <dimension ref="A1:R8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L6" sqref="L6"/>
    </sheetView>
  </sheetViews>
  <sheetFormatPr defaultColWidth="9.140625" defaultRowHeight="15" x14ac:dyDescent="0.25"/>
  <cols>
    <col min="1" max="1" width="6.42578125" style="5" bestFit="1" customWidth="1"/>
    <col min="2" max="2" width="103.2851562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03.2851562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18.57031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62</v>
      </c>
      <c r="B1" s="175"/>
      <c r="C1" s="175"/>
      <c r="D1" s="175"/>
      <c r="E1" s="176" t="s">
        <v>0</v>
      </c>
      <c r="F1" s="177"/>
      <c r="H1" s="174" t="s">
        <v>62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45100</v>
      </c>
      <c r="H2" s="17"/>
      <c r="I2" s="18"/>
      <c r="J2" s="18"/>
      <c r="K2" s="19"/>
      <c r="L2" s="18"/>
      <c r="M2" s="46">
        <v>45100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F7</f>
        <v>9619.2000000000007</v>
      </c>
      <c r="O4" s="4"/>
    </row>
    <row r="5" spans="1:18" s="10" customFormat="1" ht="23.25" x14ac:dyDescent="0.3">
      <c r="A5" s="26">
        <v>1</v>
      </c>
      <c r="B5" s="70" t="s">
        <v>765</v>
      </c>
      <c r="C5" s="32" t="s">
        <v>19</v>
      </c>
      <c r="D5" s="32">
        <f>120-3.9</f>
        <v>116.1</v>
      </c>
      <c r="E5" s="57">
        <v>80</v>
      </c>
      <c r="F5" s="30">
        <f t="shared" ref="F5:F6" si="0">D5*E5</f>
        <v>9288</v>
      </c>
      <c r="H5" s="26">
        <v>1</v>
      </c>
      <c r="I5" s="70" t="s">
        <v>765</v>
      </c>
      <c r="J5" s="32" t="s">
        <v>19</v>
      </c>
      <c r="K5" s="32">
        <f>120-3.9</f>
        <v>116.1</v>
      </c>
      <c r="L5" s="118">
        <v>25</v>
      </c>
      <c r="M5" s="30">
        <f t="shared" ref="M5:M6" si="1">K5*L5</f>
        <v>2902.5</v>
      </c>
      <c r="N5" s="85"/>
      <c r="O5" s="11"/>
    </row>
    <row r="6" spans="1:18" s="10" customFormat="1" ht="23.25" x14ac:dyDescent="0.3">
      <c r="A6" s="26">
        <v>2</v>
      </c>
      <c r="B6" s="65" t="s">
        <v>122</v>
      </c>
      <c r="C6" s="32" t="s">
        <v>119</v>
      </c>
      <c r="D6" s="32">
        <v>0.72</v>
      </c>
      <c r="E6" s="57">
        <v>460</v>
      </c>
      <c r="F6" s="30">
        <f t="shared" si="0"/>
        <v>331.2</v>
      </c>
      <c r="H6" s="26">
        <v>2</v>
      </c>
      <c r="I6" s="65" t="s">
        <v>122</v>
      </c>
      <c r="J6" s="32" t="s">
        <v>119</v>
      </c>
      <c r="K6" s="32">
        <v>0.72</v>
      </c>
      <c r="L6" s="57">
        <v>460</v>
      </c>
      <c r="M6" s="30">
        <f t="shared" si="1"/>
        <v>331.2</v>
      </c>
      <c r="N6" s="85"/>
      <c r="O6" s="11"/>
    </row>
    <row r="7" spans="1:18" ht="24" thickBot="1" x14ac:dyDescent="0.3">
      <c r="A7" s="38"/>
      <c r="B7" s="39"/>
      <c r="C7" s="39"/>
      <c r="D7" s="39"/>
      <c r="E7" s="40" t="s">
        <v>16</v>
      </c>
      <c r="F7" s="35">
        <f>SUM(F5:F6)</f>
        <v>9619.2000000000007</v>
      </c>
      <c r="H7" s="38"/>
      <c r="I7" s="39"/>
      <c r="J7" s="39"/>
      <c r="K7" s="39"/>
      <c r="L7" s="40" t="s">
        <v>16</v>
      </c>
      <c r="M7" s="35">
        <f>SUM(M5:M6)</f>
        <v>3233.7</v>
      </c>
    </row>
    <row r="8" spans="1:18" ht="26.25" thickBot="1" x14ac:dyDescent="0.3">
      <c r="A8" s="76"/>
      <c r="B8" s="77"/>
      <c r="C8" s="77"/>
      <c r="D8" s="77"/>
      <c r="E8" s="78" t="s">
        <v>21</v>
      </c>
      <c r="F8" s="12">
        <f>SUMIF(E1:E19974,"CƏMİ",F1:F19974)</f>
        <v>9619.2000000000007</v>
      </c>
      <c r="H8" s="76"/>
      <c r="I8" s="77"/>
      <c r="J8" s="77"/>
      <c r="K8" s="77"/>
      <c r="L8" s="78" t="s">
        <v>21</v>
      </c>
      <c r="M8" s="12">
        <f>SUMIF(L1:L19974,"CƏMİ",M1:M19974)</f>
        <v>3233.7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6" fitToHeight="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BC7D-0D3D-4C83-9A2C-B2100CEB453F}">
  <sheetPr>
    <tabColor rgb="FFFFFF00"/>
    <pageSetUpPr fitToPage="1"/>
  </sheetPr>
  <dimension ref="A1:R17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L12" sqref="L12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244</v>
      </c>
      <c r="B1" s="175"/>
      <c r="C1" s="175"/>
      <c r="D1" s="175"/>
      <c r="E1" s="176" t="s">
        <v>0</v>
      </c>
      <c r="F1" s="177"/>
      <c r="H1" s="174" t="s">
        <v>244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F16</f>
        <v>11723</v>
      </c>
      <c r="O4" s="4"/>
    </row>
    <row r="5" spans="1:18" s="10" customFormat="1" ht="23.25" x14ac:dyDescent="0.3">
      <c r="A5" s="26">
        <v>1</v>
      </c>
      <c r="B5" s="70" t="s">
        <v>750</v>
      </c>
      <c r="C5" s="32" t="s">
        <v>20</v>
      </c>
      <c r="D5" s="88">
        <v>22.7</v>
      </c>
      <c r="E5" s="57">
        <v>30</v>
      </c>
      <c r="F5" s="30">
        <f>D5*E5</f>
        <v>681</v>
      </c>
      <c r="H5" s="26">
        <v>1</v>
      </c>
      <c r="I5" s="70" t="s">
        <v>750</v>
      </c>
      <c r="J5" s="32" t="s">
        <v>20</v>
      </c>
      <c r="K5" s="88">
        <v>22.7</v>
      </c>
      <c r="L5" s="57">
        <v>30</v>
      </c>
      <c r="M5" s="30">
        <f>K5*L5</f>
        <v>681</v>
      </c>
      <c r="N5" s="85"/>
      <c r="O5" s="11"/>
    </row>
    <row r="6" spans="1:18" s="10" customFormat="1" ht="23.25" x14ac:dyDescent="0.3">
      <c r="A6" s="26">
        <v>2</v>
      </c>
      <c r="B6" s="65" t="s">
        <v>44</v>
      </c>
      <c r="C6" s="32" t="s">
        <v>19</v>
      </c>
      <c r="D6" s="32">
        <v>7.5</v>
      </c>
      <c r="E6" s="57">
        <v>50</v>
      </c>
      <c r="F6" s="30">
        <f t="shared" ref="F6:F15" si="0">D6*E6</f>
        <v>375</v>
      </c>
      <c r="H6" s="26">
        <v>2</v>
      </c>
      <c r="I6" s="65" t="s">
        <v>44</v>
      </c>
      <c r="J6" s="32" t="s">
        <v>19</v>
      </c>
      <c r="K6" s="32">
        <v>7.5</v>
      </c>
      <c r="L6" s="57">
        <v>50</v>
      </c>
      <c r="M6" s="30">
        <f t="shared" ref="M6:M15" si="1">K6*L6</f>
        <v>375</v>
      </c>
      <c r="N6" s="85"/>
      <c r="O6" s="11"/>
    </row>
    <row r="7" spans="1:18" s="10" customFormat="1" ht="23.25" x14ac:dyDescent="0.3">
      <c r="A7" s="26">
        <v>3</v>
      </c>
      <c r="B7" s="65" t="s">
        <v>227</v>
      </c>
      <c r="C7" s="32" t="s">
        <v>20</v>
      </c>
      <c r="D7" s="32">
        <v>43.2</v>
      </c>
      <c r="E7" s="57">
        <v>30</v>
      </c>
      <c r="F7" s="30">
        <f t="shared" si="0"/>
        <v>1296</v>
      </c>
      <c r="H7" s="26">
        <v>3</v>
      </c>
      <c r="I7" s="65" t="s">
        <v>227</v>
      </c>
      <c r="J7" s="32" t="s">
        <v>20</v>
      </c>
      <c r="K7" s="115">
        <v>13.2</v>
      </c>
      <c r="L7" s="57">
        <v>30</v>
      </c>
      <c r="M7" s="30">
        <f t="shared" si="1"/>
        <v>396</v>
      </c>
      <c r="N7" s="85"/>
      <c r="O7" s="11"/>
    </row>
    <row r="8" spans="1:18" s="10" customFormat="1" ht="23.25" x14ac:dyDescent="0.3">
      <c r="A8" s="26">
        <v>4</v>
      </c>
      <c r="B8" s="65" t="s">
        <v>231</v>
      </c>
      <c r="C8" s="32" t="s">
        <v>19</v>
      </c>
      <c r="D8" s="88">
        <v>16.600000000000001</v>
      </c>
      <c r="E8" s="57">
        <v>50</v>
      </c>
      <c r="F8" s="30">
        <f t="shared" si="0"/>
        <v>830.00000000000011</v>
      </c>
      <c r="H8" s="26">
        <v>4</v>
      </c>
      <c r="I8" s="65" t="s">
        <v>231</v>
      </c>
      <c r="J8" s="32" t="s">
        <v>19</v>
      </c>
      <c r="K8" s="115">
        <v>8.5</v>
      </c>
      <c r="L8" s="57">
        <v>50</v>
      </c>
      <c r="M8" s="30">
        <f t="shared" si="1"/>
        <v>425</v>
      </c>
      <c r="N8" s="85"/>
      <c r="O8" s="11"/>
    </row>
    <row r="9" spans="1:18" s="10" customFormat="1" ht="23.25" x14ac:dyDescent="0.3">
      <c r="A9" s="26">
        <v>5</v>
      </c>
      <c r="B9" s="65" t="s">
        <v>172</v>
      </c>
      <c r="C9" s="32" t="s">
        <v>20</v>
      </c>
      <c r="D9" s="32">
        <v>45.6</v>
      </c>
      <c r="E9" s="57">
        <v>30</v>
      </c>
      <c r="F9" s="30">
        <f t="shared" si="0"/>
        <v>1368</v>
      </c>
      <c r="H9" s="26">
        <v>5</v>
      </c>
      <c r="I9" s="65" t="s">
        <v>172</v>
      </c>
      <c r="J9" s="32" t="s">
        <v>20</v>
      </c>
      <c r="K9" s="32">
        <v>45.6</v>
      </c>
      <c r="L9" s="118">
        <v>25</v>
      </c>
      <c r="M9" s="30">
        <f t="shared" si="1"/>
        <v>1140</v>
      </c>
      <c r="N9" s="85"/>
      <c r="O9" s="11"/>
    </row>
    <row r="10" spans="1:18" s="10" customFormat="1" ht="46.5" x14ac:dyDescent="0.3">
      <c r="A10" s="26">
        <v>6</v>
      </c>
      <c r="B10" s="31" t="s">
        <v>744</v>
      </c>
      <c r="C10" s="32" t="s">
        <v>19</v>
      </c>
      <c r="D10" s="32">
        <v>30</v>
      </c>
      <c r="E10" s="57">
        <v>50</v>
      </c>
      <c r="F10" s="30">
        <f t="shared" si="0"/>
        <v>1500</v>
      </c>
      <c r="H10" s="26">
        <v>6</v>
      </c>
      <c r="I10" s="31" t="s">
        <v>744</v>
      </c>
      <c r="J10" s="32" t="s">
        <v>19</v>
      </c>
      <c r="K10" s="115">
        <v>0</v>
      </c>
      <c r="L10" s="57">
        <v>50</v>
      </c>
      <c r="M10" s="30">
        <f t="shared" si="1"/>
        <v>0</v>
      </c>
      <c r="N10" s="85"/>
      <c r="O10" s="11"/>
    </row>
    <row r="11" spans="1:18" s="10" customFormat="1" ht="23.25" x14ac:dyDescent="0.3">
      <c r="A11" s="26">
        <v>7</v>
      </c>
      <c r="B11" s="65" t="s">
        <v>578</v>
      </c>
      <c r="C11" s="32" t="s">
        <v>19</v>
      </c>
      <c r="D11" s="88">
        <v>32</v>
      </c>
      <c r="E11" s="57">
        <v>80</v>
      </c>
      <c r="F11" s="30">
        <f t="shared" si="0"/>
        <v>2560</v>
      </c>
      <c r="H11" s="26">
        <v>7</v>
      </c>
      <c r="I11" s="65" t="s">
        <v>578</v>
      </c>
      <c r="J11" s="32" t="s">
        <v>19</v>
      </c>
      <c r="K11" s="88">
        <v>32</v>
      </c>
      <c r="L11" s="118">
        <v>25</v>
      </c>
      <c r="M11" s="30">
        <f t="shared" si="1"/>
        <v>800</v>
      </c>
      <c r="N11" s="85"/>
      <c r="O11" s="11"/>
    </row>
    <row r="12" spans="1:18" s="10" customFormat="1" ht="23.25" x14ac:dyDescent="0.3">
      <c r="A12" s="26">
        <v>8</v>
      </c>
      <c r="B12" s="65" t="s">
        <v>579</v>
      </c>
      <c r="C12" s="32" t="s">
        <v>19</v>
      </c>
      <c r="D12" s="88">
        <v>23</v>
      </c>
      <c r="E12" s="57">
        <v>80</v>
      </c>
      <c r="F12" s="30">
        <f t="shared" si="0"/>
        <v>1840</v>
      </c>
      <c r="H12" s="26">
        <v>8</v>
      </c>
      <c r="I12" s="65" t="s">
        <v>579</v>
      </c>
      <c r="J12" s="32" t="s">
        <v>19</v>
      </c>
      <c r="K12" s="88">
        <v>23</v>
      </c>
      <c r="L12" s="57">
        <v>80</v>
      </c>
      <c r="M12" s="30">
        <f t="shared" si="1"/>
        <v>1840</v>
      </c>
      <c r="N12" s="85"/>
      <c r="O12" s="11"/>
    </row>
    <row r="13" spans="1:18" s="10" customFormat="1" ht="23.25" x14ac:dyDescent="0.3">
      <c r="A13" s="26">
        <v>9</v>
      </c>
      <c r="B13" s="65" t="s">
        <v>444</v>
      </c>
      <c r="C13" s="32" t="s">
        <v>19</v>
      </c>
      <c r="D13" s="88">
        <v>11.9</v>
      </c>
      <c r="E13" s="57">
        <v>50</v>
      </c>
      <c r="F13" s="30">
        <f t="shared" si="0"/>
        <v>595</v>
      </c>
      <c r="H13" s="26">
        <v>9</v>
      </c>
      <c r="I13" s="65" t="s">
        <v>444</v>
      </c>
      <c r="J13" s="32" t="s">
        <v>19</v>
      </c>
      <c r="K13" s="115">
        <v>3</v>
      </c>
      <c r="L13" s="57">
        <v>50</v>
      </c>
      <c r="M13" s="30">
        <f t="shared" si="1"/>
        <v>150</v>
      </c>
      <c r="N13" s="85"/>
      <c r="O13" s="11"/>
    </row>
    <row r="14" spans="1:18" s="10" customFormat="1" ht="23.25" x14ac:dyDescent="0.3">
      <c r="A14" s="26">
        <v>10</v>
      </c>
      <c r="B14" s="65" t="s">
        <v>443</v>
      </c>
      <c r="C14" s="32" t="s">
        <v>20</v>
      </c>
      <c r="D14" s="32">
        <v>18</v>
      </c>
      <c r="E14" s="57">
        <v>30</v>
      </c>
      <c r="F14" s="30">
        <f t="shared" si="0"/>
        <v>540</v>
      </c>
      <c r="H14" s="26">
        <v>10</v>
      </c>
      <c r="I14" s="65" t="s">
        <v>443</v>
      </c>
      <c r="J14" s="32" t="s">
        <v>20</v>
      </c>
      <c r="K14" s="115">
        <v>9</v>
      </c>
      <c r="L14" s="57">
        <v>30</v>
      </c>
      <c r="M14" s="30">
        <f t="shared" si="1"/>
        <v>270</v>
      </c>
      <c r="N14" s="85"/>
      <c r="O14" s="11"/>
    </row>
    <row r="15" spans="1:18" s="10" customFormat="1" ht="23.25" x14ac:dyDescent="0.3">
      <c r="A15" s="26">
        <v>11</v>
      </c>
      <c r="B15" s="65" t="s">
        <v>122</v>
      </c>
      <c r="C15" s="32" t="s">
        <v>119</v>
      </c>
      <c r="D15" s="32">
        <v>0.3</v>
      </c>
      <c r="E15" s="57">
        <v>460</v>
      </c>
      <c r="F15" s="30">
        <f t="shared" si="0"/>
        <v>138</v>
      </c>
      <c r="H15" s="26">
        <v>11</v>
      </c>
      <c r="I15" s="65" t="s">
        <v>122</v>
      </c>
      <c r="J15" s="32" t="s">
        <v>119</v>
      </c>
      <c r="K15" s="32">
        <v>0.3</v>
      </c>
      <c r="L15" s="57">
        <v>460</v>
      </c>
      <c r="M15" s="30">
        <f t="shared" si="1"/>
        <v>138</v>
      </c>
      <c r="N15" s="85"/>
      <c r="O15" s="11"/>
    </row>
    <row r="16" spans="1:18" ht="24" thickBot="1" x14ac:dyDescent="0.3">
      <c r="A16" s="38"/>
      <c r="B16" s="39"/>
      <c r="C16" s="39"/>
      <c r="D16" s="39"/>
      <c r="E16" s="40" t="s">
        <v>16</v>
      </c>
      <c r="F16" s="35">
        <f>SUM(F5:F15)</f>
        <v>11723</v>
      </c>
      <c r="H16" s="38"/>
      <c r="I16" s="39"/>
      <c r="J16" s="39"/>
      <c r="K16" s="39"/>
      <c r="L16" s="40" t="s">
        <v>16</v>
      </c>
      <c r="M16" s="35">
        <f>SUM(M5:M15)</f>
        <v>6215</v>
      </c>
    </row>
    <row r="17" spans="1:13" ht="26.25" thickBot="1" x14ac:dyDescent="0.3">
      <c r="A17" s="76"/>
      <c r="B17" s="77"/>
      <c r="C17" s="77"/>
      <c r="D17" s="77"/>
      <c r="E17" s="78" t="s">
        <v>21</v>
      </c>
      <c r="F17" s="12">
        <f>SUMIF(E1:E19983,"CƏMİ",F1:F19983)</f>
        <v>11723</v>
      </c>
      <c r="H17" s="76"/>
      <c r="I17" s="77"/>
      <c r="J17" s="77"/>
      <c r="K17" s="77"/>
      <c r="L17" s="78" t="s">
        <v>21</v>
      </c>
      <c r="M17" s="12">
        <f>SUMIF(L1:L19983,"CƏMİ",M1:M19983)</f>
        <v>6215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9C59-2D6D-48B8-AF3E-77CD5389A9C6}">
  <sheetPr>
    <tabColor rgb="FFFFFF00"/>
    <pageSetUpPr fitToPage="1"/>
  </sheetPr>
  <dimension ref="A1:R9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G6" sqref="G6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18.57031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92</v>
      </c>
      <c r="B1" s="175"/>
      <c r="C1" s="175"/>
      <c r="D1" s="175"/>
      <c r="E1" s="176" t="s">
        <v>0</v>
      </c>
      <c r="F1" s="177"/>
      <c r="H1" s="174" t="s">
        <v>92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45100</v>
      </c>
      <c r="H2" s="17"/>
      <c r="I2" s="18"/>
      <c r="J2" s="18"/>
      <c r="K2" s="19"/>
      <c r="L2" s="18"/>
      <c r="M2" s="46">
        <v>45100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F8</f>
        <v>3375.2</v>
      </c>
      <c r="O4" s="4"/>
    </row>
    <row r="5" spans="1:18" s="10" customFormat="1" ht="23.25" x14ac:dyDescent="0.3">
      <c r="A5" s="26">
        <v>1</v>
      </c>
      <c r="B5" s="70" t="s">
        <v>69</v>
      </c>
      <c r="C5" s="32" t="s">
        <v>19</v>
      </c>
      <c r="D5" s="32">
        <v>22</v>
      </c>
      <c r="E5" s="57">
        <v>50</v>
      </c>
      <c r="F5" s="30">
        <f>D5*E5</f>
        <v>1100</v>
      </c>
      <c r="H5" s="26">
        <v>1</v>
      </c>
      <c r="I5" s="70" t="s">
        <v>69</v>
      </c>
      <c r="J5" s="32" t="s">
        <v>19</v>
      </c>
      <c r="K5" s="32">
        <v>22</v>
      </c>
      <c r="L5" s="57">
        <v>50</v>
      </c>
      <c r="M5" s="30">
        <f>K5*L5</f>
        <v>1100</v>
      </c>
      <c r="N5" s="85"/>
      <c r="O5" s="11"/>
    </row>
    <row r="6" spans="1:18" s="10" customFormat="1" ht="23.25" x14ac:dyDescent="0.3">
      <c r="A6" s="26">
        <v>2</v>
      </c>
      <c r="B6" s="70" t="s">
        <v>766</v>
      </c>
      <c r="C6" s="32" t="s">
        <v>20</v>
      </c>
      <c r="D6" s="32">
        <v>74</v>
      </c>
      <c r="E6" s="57">
        <v>30</v>
      </c>
      <c r="F6" s="30">
        <f>D6*E6</f>
        <v>2220</v>
      </c>
      <c r="H6" s="26">
        <v>2</v>
      </c>
      <c r="I6" s="70" t="s">
        <v>766</v>
      </c>
      <c r="J6" s="32" t="s">
        <v>20</v>
      </c>
      <c r="K6" s="32">
        <v>74</v>
      </c>
      <c r="L6" s="57">
        <v>30</v>
      </c>
      <c r="M6" s="30">
        <f>K6*L6</f>
        <v>2220</v>
      </c>
      <c r="N6" s="85"/>
      <c r="O6" s="11"/>
    </row>
    <row r="7" spans="1:18" s="10" customFormat="1" ht="23.25" x14ac:dyDescent="0.3">
      <c r="A7" s="26">
        <v>3</v>
      </c>
      <c r="B7" s="65" t="s">
        <v>122</v>
      </c>
      <c r="C7" s="32" t="s">
        <v>119</v>
      </c>
      <c r="D7" s="32">
        <v>0.12</v>
      </c>
      <c r="E7" s="57">
        <v>460</v>
      </c>
      <c r="F7" s="30">
        <f t="shared" ref="F7" si="0">D7*E7</f>
        <v>55.199999999999996</v>
      </c>
      <c r="H7" s="26">
        <v>3</v>
      </c>
      <c r="I7" s="65" t="s">
        <v>122</v>
      </c>
      <c r="J7" s="32" t="s">
        <v>119</v>
      </c>
      <c r="K7" s="32">
        <v>0.12</v>
      </c>
      <c r="L7" s="57">
        <v>460</v>
      </c>
      <c r="M7" s="30">
        <f t="shared" ref="M7" si="1">K7*L7</f>
        <v>55.199999999999996</v>
      </c>
      <c r="N7" s="85"/>
      <c r="O7" s="11"/>
    </row>
    <row r="8" spans="1:18" ht="24" thickBot="1" x14ac:dyDescent="0.3">
      <c r="A8" s="38"/>
      <c r="B8" s="39"/>
      <c r="C8" s="39"/>
      <c r="D8" s="39"/>
      <c r="E8" s="40" t="s">
        <v>16</v>
      </c>
      <c r="F8" s="35">
        <f>SUM(F5:F7)</f>
        <v>3375.2</v>
      </c>
      <c r="H8" s="38"/>
      <c r="I8" s="39"/>
      <c r="J8" s="39"/>
      <c r="K8" s="39"/>
      <c r="L8" s="40" t="s">
        <v>16</v>
      </c>
      <c r="M8" s="35">
        <f>SUM(M5:M7)</f>
        <v>3375.2</v>
      </c>
    </row>
    <row r="9" spans="1:18" ht="26.25" thickBot="1" x14ac:dyDescent="0.3">
      <c r="A9" s="76"/>
      <c r="B9" s="77"/>
      <c r="C9" s="77"/>
      <c r="D9" s="77"/>
      <c r="E9" s="78" t="s">
        <v>21</v>
      </c>
      <c r="F9" s="12">
        <f>SUMIF(E1:E19975,"CƏMİ",F1:F19975)</f>
        <v>3375.2</v>
      </c>
      <c r="H9" s="76"/>
      <c r="I9" s="77"/>
      <c r="J9" s="77"/>
      <c r="K9" s="77"/>
      <c r="L9" s="78" t="s">
        <v>21</v>
      </c>
      <c r="M9" s="12">
        <f>SUMIF(L1:L19975,"CƏMİ",M1:M19975)</f>
        <v>3375.2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0880-936C-4BC4-BC97-387943FF3230}">
  <sheetPr>
    <tabColor rgb="FFFFFF00"/>
    <pageSetUpPr fitToPage="1"/>
  </sheetPr>
  <dimension ref="A1:R14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L12" sqref="L12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396</v>
      </c>
      <c r="B1" s="175"/>
      <c r="C1" s="175"/>
      <c r="D1" s="175"/>
      <c r="E1" s="176" t="s">
        <v>0</v>
      </c>
      <c r="F1" s="177"/>
      <c r="H1" s="174" t="s">
        <v>396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F13</f>
        <v>8101.2</v>
      </c>
      <c r="O4" s="4"/>
    </row>
    <row r="5" spans="1:18" s="10" customFormat="1" ht="23.25" x14ac:dyDescent="0.3">
      <c r="A5" s="26">
        <v>1</v>
      </c>
      <c r="B5" s="65" t="s">
        <v>355</v>
      </c>
      <c r="C5" s="32" t="s">
        <v>20</v>
      </c>
      <c r="D5" s="32">
        <v>24</v>
      </c>
      <c r="E5" s="57">
        <v>30</v>
      </c>
      <c r="F5" s="30">
        <f>D5*E5</f>
        <v>720</v>
      </c>
      <c r="H5" s="26">
        <v>1</v>
      </c>
      <c r="I5" s="65" t="s">
        <v>355</v>
      </c>
      <c r="J5" s="32" t="s">
        <v>20</v>
      </c>
      <c r="K5" s="115">
        <v>12</v>
      </c>
      <c r="L5" s="57">
        <v>30</v>
      </c>
      <c r="M5" s="30">
        <f>K5*L5</f>
        <v>360</v>
      </c>
      <c r="N5" s="85"/>
      <c r="O5" s="11"/>
    </row>
    <row r="6" spans="1:18" s="10" customFormat="1" ht="23.25" x14ac:dyDescent="0.3">
      <c r="A6" s="26">
        <v>2</v>
      </c>
      <c r="B6" s="65" t="s">
        <v>393</v>
      </c>
      <c r="C6" s="32" t="s">
        <v>19</v>
      </c>
      <c r="D6" s="88">
        <v>8</v>
      </c>
      <c r="E6" s="57">
        <v>50</v>
      </c>
      <c r="F6" s="30">
        <f t="shared" ref="F6:F12" si="0">D6*E6</f>
        <v>400</v>
      </c>
      <c r="H6" s="26">
        <v>2</v>
      </c>
      <c r="I6" s="65" t="s">
        <v>393</v>
      </c>
      <c r="J6" s="32" t="s">
        <v>19</v>
      </c>
      <c r="K6" s="88">
        <v>8</v>
      </c>
      <c r="L6" s="57">
        <v>50</v>
      </c>
      <c r="M6" s="30">
        <f t="shared" ref="M6:M12" si="1">K6*L6</f>
        <v>400</v>
      </c>
      <c r="N6" s="85"/>
      <c r="O6" s="11"/>
    </row>
    <row r="7" spans="1:18" s="10" customFormat="1" ht="23.25" x14ac:dyDescent="0.3">
      <c r="A7" s="26">
        <v>3</v>
      </c>
      <c r="B7" s="70" t="s">
        <v>559</v>
      </c>
      <c r="C7" s="32" t="s">
        <v>20</v>
      </c>
      <c r="D7" s="88">
        <v>41</v>
      </c>
      <c r="E7" s="57">
        <v>30</v>
      </c>
      <c r="F7" s="30">
        <f t="shared" si="0"/>
        <v>1230</v>
      </c>
      <c r="H7" s="26">
        <v>3</v>
      </c>
      <c r="I7" s="70" t="s">
        <v>559</v>
      </c>
      <c r="J7" s="32" t="s">
        <v>20</v>
      </c>
      <c r="K7" s="88">
        <v>41</v>
      </c>
      <c r="L7" s="57">
        <v>30</v>
      </c>
      <c r="M7" s="30">
        <f t="shared" si="1"/>
        <v>1230</v>
      </c>
      <c r="N7" s="85"/>
      <c r="O7" s="11"/>
    </row>
    <row r="8" spans="1:18" s="10" customFormat="1" ht="23.25" x14ac:dyDescent="0.3">
      <c r="A8" s="26">
        <v>4</v>
      </c>
      <c r="B8" s="65" t="s">
        <v>555</v>
      </c>
      <c r="C8" s="32" t="s">
        <v>19</v>
      </c>
      <c r="D8" s="32">
        <v>13.3</v>
      </c>
      <c r="E8" s="57">
        <v>50</v>
      </c>
      <c r="F8" s="30">
        <f t="shared" si="0"/>
        <v>665</v>
      </c>
      <c r="H8" s="26">
        <v>4</v>
      </c>
      <c r="I8" s="65" t="s">
        <v>555</v>
      </c>
      <c r="J8" s="32" t="s">
        <v>19</v>
      </c>
      <c r="K8" s="32">
        <v>13.3</v>
      </c>
      <c r="L8" s="57">
        <v>50</v>
      </c>
      <c r="M8" s="30">
        <f t="shared" si="1"/>
        <v>665</v>
      </c>
      <c r="N8" s="85"/>
      <c r="O8" s="11"/>
    </row>
    <row r="9" spans="1:18" s="10" customFormat="1" ht="23.25" x14ac:dyDescent="0.3">
      <c r="A9" s="26">
        <v>5</v>
      </c>
      <c r="B9" s="65" t="s">
        <v>394</v>
      </c>
      <c r="C9" s="32" t="s">
        <v>20</v>
      </c>
      <c r="D9" s="32">
        <v>37.9</v>
      </c>
      <c r="E9" s="57">
        <v>30</v>
      </c>
      <c r="F9" s="30">
        <f t="shared" si="0"/>
        <v>1137</v>
      </c>
      <c r="H9" s="26">
        <v>5</v>
      </c>
      <c r="I9" s="65" t="s">
        <v>394</v>
      </c>
      <c r="J9" s="32" t="s">
        <v>20</v>
      </c>
      <c r="K9" s="32">
        <v>37.9</v>
      </c>
      <c r="L9" s="118">
        <v>25</v>
      </c>
      <c r="M9" s="30">
        <f t="shared" si="1"/>
        <v>947.5</v>
      </c>
      <c r="N9" s="85"/>
      <c r="O9" s="11"/>
    </row>
    <row r="10" spans="1:18" s="10" customFormat="1" ht="23.25" x14ac:dyDescent="0.3">
      <c r="A10" s="26">
        <v>6</v>
      </c>
      <c r="B10" s="31" t="s">
        <v>347</v>
      </c>
      <c r="C10" s="32" t="s">
        <v>19</v>
      </c>
      <c r="D10" s="32">
        <v>24.7</v>
      </c>
      <c r="E10" s="57">
        <v>50</v>
      </c>
      <c r="F10" s="30">
        <f t="shared" si="0"/>
        <v>1235</v>
      </c>
      <c r="H10" s="26">
        <v>6</v>
      </c>
      <c r="I10" s="31" t="s">
        <v>347</v>
      </c>
      <c r="J10" s="32" t="s">
        <v>19</v>
      </c>
      <c r="K10" s="115">
        <v>0</v>
      </c>
      <c r="L10" s="57">
        <v>50</v>
      </c>
      <c r="M10" s="30">
        <f t="shared" si="1"/>
        <v>0</v>
      </c>
      <c r="N10" s="85"/>
      <c r="O10" s="11"/>
    </row>
    <row r="11" spans="1:18" s="10" customFormat="1" ht="23.25" x14ac:dyDescent="0.3">
      <c r="A11" s="26">
        <v>7</v>
      </c>
      <c r="B11" s="31" t="s">
        <v>580</v>
      </c>
      <c r="C11" s="32" t="s">
        <v>19</v>
      </c>
      <c r="D11" s="32">
        <v>31.8</v>
      </c>
      <c r="E11" s="57">
        <v>80</v>
      </c>
      <c r="F11" s="30">
        <f t="shared" si="0"/>
        <v>2544</v>
      </c>
      <c r="H11" s="26">
        <v>7</v>
      </c>
      <c r="I11" s="31" t="s">
        <v>580</v>
      </c>
      <c r="J11" s="32" t="s">
        <v>19</v>
      </c>
      <c r="K11" s="115">
        <v>12.7</v>
      </c>
      <c r="L11" s="118">
        <v>25</v>
      </c>
      <c r="M11" s="30">
        <f t="shared" si="1"/>
        <v>317.5</v>
      </c>
      <c r="N11" s="85"/>
      <c r="O11" s="11"/>
    </row>
    <row r="12" spans="1:18" s="10" customFormat="1" ht="23.25" x14ac:dyDescent="0.3">
      <c r="A12" s="26">
        <v>8</v>
      </c>
      <c r="B12" s="65" t="s">
        <v>122</v>
      </c>
      <c r="C12" s="32" t="s">
        <v>119</v>
      </c>
      <c r="D12" s="32">
        <v>0.37</v>
      </c>
      <c r="E12" s="57">
        <v>460</v>
      </c>
      <c r="F12" s="30">
        <f t="shared" si="0"/>
        <v>170.2</v>
      </c>
      <c r="H12" s="26">
        <v>8</v>
      </c>
      <c r="I12" s="65" t="s">
        <v>122</v>
      </c>
      <c r="J12" s="32" t="s">
        <v>119</v>
      </c>
      <c r="K12" s="32">
        <v>0.37</v>
      </c>
      <c r="L12" s="57">
        <v>460</v>
      </c>
      <c r="M12" s="30">
        <f t="shared" si="1"/>
        <v>170.2</v>
      </c>
      <c r="N12" s="85"/>
      <c r="O12" s="11"/>
    </row>
    <row r="13" spans="1:18" ht="24" thickBot="1" x14ac:dyDescent="0.3">
      <c r="A13" s="38"/>
      <c r="B13" s="39"/>
      <c r="C13" s="39"/>
      <c r="D13" s="39"/>
      <c r="E13" s="40" t="s">
        <v>16</v>
      </c>
      <c r="F13" s="35">
        <f>SUM(F5:F12)</f>
        <v>8101.2</v>
      </c>
      <c r="H13" s="38"/>
      <c r="I13" s="39"/>
      <c r="J13" s="39"/>
      <c r="K13" s="39"/>
      <c r="L13" s="40" t="s">
        <v>16</v>
      </c>
      <c r="M13" s="35">
        <f>SUM(M5:M12)</f>
        <v>4090.2</v>
      </c>
    </row>
    <row r="14" spans="1:18" ht="26.25" thickBot="1" x14ac:dyDescent="0.3">
      <c r="A14" s="76"/>
      <c r="B14" s="77"/>
      <c r="C14" s="77"/>
      <c r="D14" s="77"/>
      <c r="E14" s="78" t="s">
        <v>21</v>
      </c>
      <c r="F14" s="12">
        <f>SUMIF(E1:E19980,"CƏMİ",F1:F19980)</f>
        <v>8101.2</v>
      </c>
      <c r="H14" s="76"/>
      <c r="I14" s="77"/>
      <c r="J14" s="77"/>
      <c r="K14" s="77"/>
      <c r="L14" s="78" t="s">
        <v>21</v>
      </c>
      <c r="M14" s="12">
        <f>SUMIF(L1:L19980,"CƏMİ",M1:M19980)</f>
        <v>4090.2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2792-7FD4-4ED6-A5E2-77253D203994}">
  <sheetPr>
    <tabColor rgb="FFFFFF00"/>
    <pageSetUpPr fitToPage="1"/>
  </sheetPr>
  <dimension ref="A1:R12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L9" sqref="L9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68</v>
      </c>
      <c r="B1" s="175"/>
      <c r="C1" s="175"/>
      <c r="D1" s="175"/>
      <c r="E1" s="176" t="s">
        <v>0</v>
      </c>
      <c r="F1" s="177"/>
      <c r="H1" s="174" t="s">
        <v>68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45100</v>
      </c>
      <c r="H2" s="17"/>
      <c r="I2" s="18"/>
      <c r="J2" s="18"/>
      <c r="K2" s="19"/>
      <c r="L2" s="18"/>
      <c r="M2" s="46">
        <v>45100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F11</f>
        <v>24032</v>
      </c>
      <c r="O4" s="4"/>
    </row>
    <row r="5" spans="1:18" s="10" customFormat="1" ht="23.25" x14ac:dyDescent="0.3">
      <c r="A5" s="26">
        <v>1</v>
      </c>
      <c r="B5" s="65" t="s">
        <v>701</v>
      </c>
      <c r="C5" s="90" t="s">
        <v>19</v>
      </c>
      <c r="D5" s="90">
        <v>218</v>
      </c>
      <c r="E5" s="91">
        <f>65+15</f>
        <v>80</v>
      </c>
      <c r="F5" s="92">
        <f t="shared" ref="F5:F10" si="0">D5*E5</f>
        <v>17440</v>
      </c>
      <c r="H5" s="26">
        <v>1</v>
      </c>
      <c r="I5" s="65" t="s">
        <v>701</v>
      </c>
      <c r="J5" s="90" t="s">
        <v>19</v>
      </c>
      <c r="K5" s="90">
        <v>218</v>
      </c>
      <c r="L5" s="91">
        <f>65+15</f>
        <v>80</v>
      </c>
      <c r="M5" s="92">
        <f t="shared" ref="M5:M10" si="1">K5*L5</f>
        <v>17440</v>
      </c>
      <c r="N5" s="85"/>
      <c r="O5" s="11"/>
    </row>
    <row r="6" spans="1:18" s="10" customFormat="1" ht="23.25" x14ac:dyDescent="0.3">
      <c r="A6" s="26">
        <v>3</v>
      </c>
      <c r="B6" s="65" t="s">
        <v>117</v>
      </c>
      <c r="C6" s="32" t="s">
        <v>20</v>
      </c>
      <c r="D6" s="32">
        <v>81</v>
      </c>
      <c r="E6" s="57">
        <v>6</v>
      </c>
      <c r="F6" s="30">
        <f t="shared" si="0"/>
        <v>486</v>
      </c>
      <c r="H6" s="26">
        <v>3</v>
      </c>
      <c r="I6" s="65" t="s">
        <v>117</v>
      </c>
      <c r="J6" s="32" t="s">
        <v>20</v>
      </c>
      <c r="K6" s="32">
        <v>81</v>
      </c>
      <c r="L6" s="57">
        <v>6</v>
      </c>
      <c r="M6" s="30">
        <f t="shared" si="1"/>
        <v>486</v>
      </c>
      <c r="N6" s="85"/>
      <c r="O6" s="11"/>
    </row>
    <row r="7" spans="1:18" s="10" customFormat="1" ht="23.25" x14ac:dyDescent="0.3">
      <c r="A7" s="26">
        <v>4</v>
      </c>
      <c r="B7" s="65" t="s">
        <v>71</v>
      </c>
      <c r="C7" s="32" t="s">
        <v>19</v>
      </c>
      <c r="D7" s="32">
        <v>33</v>
      </c>
      <c r="E7" s="57">
        <v>50</v>
      </c>
      <c r="F7" s="30">
        <f t="shared" si="0"/>
        <v>1650</v>
      </c>
      <c r="H7" s="26">
        <v>4</v>
      </c>
      <c r="I7" s="65" t="s">
        <v>71</v>
      </c>
      <c r="J7" s="32" t="s">
        <v>19</v>
      </c>
      <c r="K7" s="115">
        <v>0</v>
      </c>
      <c r="L7" s="57">
        <v>50</v>
      </c>
      <c r="M7" s="30">
        <f t="shared" si="1"/>
        <v>0</v>
      </c>
      <c r="N7" s="85"/>
      <c r="O7" s="11"/>
    </row>
    <row r="8" spans="1:18" s="10" customFormat="1" ht="23.25" x14ac:dyDescent="0.3">
      <c r="A8" s="26">
        <v>5</v>
      </c>
      <c r="B8" s="65" t="s">
        <v>95</v>
      </c>
      <c r="C8" s="32" t="s">
        <v>20</v>
      </c>
      <c r="D8" s="32">
        <v>56</v>
      </c>
      <c r="E8" s="57">
        <v>30</v>
      </c>
      <c r="F8" s="30">
        <f t="shared" si="0"/>
        <v>1680</v>
      </c>
      <c r="H8" s="26">
        <v>5</v>
      </c>
      <c r="I8" s="65" t="s">
        <v>95</v>
      </c>
      <c r="J8" s="32" t="s">
        <v>20</v>
      </c>
      <c r="K8" s="32">
        <v>56</v>
      </c>
      <c r="L8" s="118">
        <v>25</v>
      </c>
      <c r="M8" s="30">
        <f t="shared" si="1"/>
        <v>1400</v>
      </c>
      <c r="N8" s="85"/>
      <c r="O8" s="11"/>
    </row>
    <row r="9" spans="1:18" s="10" customFormat="1" ht="23.25" x14ac:dyDescent="0.3">
      <c r="A9" s="26">
        <v>6</v>
      </c>
      <c r="B9" s="70" t="s">
        <v>767</v>
      </c>
      <c r="C9" s="32" t="s">
        <v>20</v>
      </c>
      <c r="D9" s="88">
        <f>31+37</f>
        <v>68</v>
      </c>
      <c r="E9" s="57">
        <v>30</v>
      </c>
      <c r="F9" s="30">
        <f t="shared" si="0"/>
        <v>2040</v>
      </c>
      <c r="H9" s="26">
        <v>6</v>
      </c>
      <c r="I9" s="70" t="s">
        <v>767</v>
      </c>
      <c r="J9" s="32" t="s">
        <v>20</v>
      </c>
      <c r="K9" s="88">
        <f>31+37</f>
        <v>68</v>
      </c>
      <c r="L9" s="57">
        <v>30</v>
      </c>
      <c r="M9" s="30">
        <f t="shared" si="1"/>
        <v>2040</v>
      </c>
      <c r="N9" s="85"/>
      <c r="O9" s="11"/>
    </row>
    <row r="10" spans="1:18" s="10" customFormat="1" ht="23.25" x14ac:dyDescent="0.3">
      <c r="A10" s="26">
        <v>7</v>
      </c>
      <c r="B10" s="65" t="s">
        <v>122</v>
      </c>
      <c r="C10" s="32" t="s">
        <v>119</v>
      </c>
      <c r="D10" s="32">
        <v>1.6</v>
      </c>
      <c r="E10" s="57">
        <v>460</v>
      </c>
      <c r="F10" s="30">
        <f t="shared" si="0"/>
        <v>736</v>
      </c>
      <c r="H10" s="26">
        <v>7</v>
      </c>
      <c r="I10" s="65" t="s">
        <v>122</v>
      </c>
      <c r="J10" s="32" t="s">
        <v>119</v>
      </c>
      <c r="K10" s="32">
        <v>1.6</v>
      </c>
      <c r="L10" s="57">
        <v>460</v>
      </c>
      <c r="M10" s="30">
        <f t="shared" si="1"/>
        <v>736</v>
      </c>
      <c r="N10" s="85"/>
      <c r="O10" s="11"/>
    </row>
    <row r="11" spans="1:18" ht="24" thickBot="1" x14ac:dyDescent="0.3">
      <c r="A11" s="38"/>
      <c r="B11" s="39"/>
      <c r="C11" s="39"/>
      <c r="D11" s="39"/>
      <c r="E11" s="40" t="s">
        <v>16</v>
      </c>
      <c r="F11" s="35">
        <f>SUM(F5:F10)</f>
        <v>24032</v>
      </c>
      <c r="H11" s="38"/>
      <c r="I11" s="39"/>
      <c r="J11" s="39"/>
      <c r="K11" s="39"/>
      <c r="L11" s="40" t="s">
        <v>16</v>
      </c>
      <c r="M11" s="35">
        <f>SUM(M5:M10)</f>
        <v>22102</v>
      </c>
    </row>
    <row r="12" spans="1:18" ht="26.25" thickBot="1" x14ac:dyDescent="0.3">
      <c r="A12" s="76"/>
      <c r="B12" s="77"/>
      <c r="C12" s="77"/>
      <c r="D12" s="77"/>
      <c r="E12" s="78" t="s">
        <v>21</v>
      </c>
      <c r="F12" s="12">
        <f>SUMIF(E1:E19978,"CƏMİ",F1:F19978)</f>
        <v>24032</v>
      </c>
      <c r="H12" s="76"/>
      <c r="I12" s="77"/>
      <c r="J12" s="77"/>
      <c r="K12" s="77"/>
      <c r="L12" s="78" t="s">
        <v>21</v>
      </c>
      <c r="M12" s="12">
        <f>SUMIF(L1:L19978,"CƏMİ",M1:M19978)</f>
        <v>22102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F379-ADE5-40CB-AB60-0FCA5DABFA7A}">
  <sheetPr>
    <tabColor rgb="FFFFFF00"/>
    <pageSetUpPr fitToPage="1"/>
  </sheetPr>
  <dimension ref="A1:R11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E5" sqref="E5"/>
    </sheetView>
  </sheetViews>
  <sheetFormatPr defaultColWidth="9.140625" defaultRowHeight="15" x14ac:dyDescent="0.25"/>
  <cols>
    <col min="1" max="1" width="6.42578125" style="5" bestFit="1" customWidth="1"/>
    <col min="2" max="2" width="109.4257812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09.4257812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18.57031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66</v>
      </c>
      <c r="B1" s="175"/>
      <c r="C1" s="175"/>
      <c r="D1" s="175"/>
      <c r="E1" s="176" t="s">
        <v>0</v>
      </c>
      <c r="F1" s="177"/>
      <c r="H1" s="174" t="s">
        <v>66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45100</v>
      </c>
      <c r="H2" s="17"/>
      <c r="I2" s="18"/>
      <c r="J2" s="18"/>
      <c r="K2" s="19"/>
      <c r="L2" s="18"/>
      <c r="M2" s="46">
        <v>45100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F10</f>
        <v>5749.8</v>
      </c>
      <c r="O4" s="4"/>
    </row>
    <row r="5" spans="1:18" s="10" customFormat="1" ht="23.25" x14ac:dyDescent="0.3">
      <c r="A5" s="114">
        <v>1</v>
      </c>
      <c r="B5" s="65" t="s">
        <v>702</v>
      </c>
      <c r="C5" s="90" t="s">
        <v>19</v>
      </c>
      <c r="D5" s="90">
        <v>42</v>
      </c>
      <c r="E5" s="91">
        <f>50+30</f>
        <v>80</v>
      </c>
      <c r="F5" s="92">
        <f t="shared" ref="F5" si="0">D5*E5</f>
        <v>3360</v>
      </c>
      <c r="H5" s="114">
        <v>1</v>
      </c>
      <c r="I5" s="65" t="s">
        <v>702</v>
      </c>
      <c r="J5" s="90" t="s">
        <v>19</v>
      </c>
      <c r="K5" s="90">
        <v>42</v>
      </c>
      <c r="L5" s="91">
        <f>50+30</f>
        <v>80</v>
      </c>
      <c r="M5" s="92">
        <f t="shared" ref="M5:M9" si="1">K5*L5</f>
        <v>3360</v>
      </c>
      <c r="N5" s="85"/>
      <c r="O5" s="11"/>
    </row>
    <row r="6" spans="1:18" s="10" customFormat="1" ht="23.25" x14ac:dyDescent="0.3">
      <c r="A6" s="26">
        <v>3</v>
      </c>
      <c r="B6" s="70" t="s">
        <v>69</v>
      </c>
      <c r="C6" s="32" t="s">
        <v>19</v>
      </c>
      <c r="D6" s="32">
        <v>15</v>
      </c>
      <c r="E6" s="57">
        <v>50</v>
      </c>
      <c r="F6" s="30">
        <f t="shared" ref="F6:F9" si="2">D6*E6</f>
        <v>750</v>
      </c>
      <c r="H6" s="26">
        <v>3</v>
      </c>
      <c r="I6" s="70" t="s">
        <v>69</v>
      </c>
      <c r="J6" s="32" t="s">
        <v>19</v>
      </c>
      <c r="K6" s="32">
        <v>15</v>
      </c>
      <c r="L6" s="57">
        <v>50</v>
      </c>
      <c r="M6" s="30">
        <f t="shared" si="1"/>
        <v>750</v>
      </c>
      <c r="N6" s="85"/>
      <c r="O6" s="11"/>
    </row>
    <row r="7" spans="1:18" s="10" customFormat="1" ht="23.25" x14ac:dyDescent="0.3">
      <c r="A7" s="26">
        <v>4</v>
      </c>
      <c r="B7" s="70" t="s">
        <v>750</v>
      </c>
      <c r="C7" s="32" t="s">
        <v>20</v>
      </c>
      <c r="D7" s="32">
        <v>46</v>
      </c>
      <c r="E7" s="57">
        <v>30</v>
      </c>
      <c r="F7" s="30">
        <f t="shared" si="2"/>
        <v>1380</v>
      </c>
      <c r="H7" s="26">
        <v>4</v>
      </c>
      <c r="I7" s="70" t="s">
        <v>750</v>
      </c>
      <c r="J7" s="32" t="s">
        <v>20</v>
      </c>
      <c r="K7" s="32">
        <v>46</v>
      </c>
      <c r="L7" s="57">
        <v>30</v>
      </c>
      <c r="M7" s="30">
        <f t="shared" si="1"/>
        <v>1380</v>
      </c>
      <c r="N7" s="85"/>
      <c r="O7" s="11"/>
    </row>
    <row r="8" spans="1:18" s="10" customFormat="1" ht="23.25" x14ac:dyDescent="0.3">
      <c r="A8" s="26">
        <v>5</v>
      </c>
      <c r="B8" s="65" t="s">
        <v>122</v>
      </c>
      <c r="C8" s="32" t="s">
        <v>119</v>
      </c>
      <c r="D8" s="32">
        <v>0.33</v>
      </c>
      <c r="E8" s="57">
        <v>460</v>
      </c>
      <c r="F8" s="30">
        <f t="shared" si="2"/>
        <v>151.80000000000001</v>
      </c>
      <c r="H8" s="26">
        <v>5</v>
      </c>
      <c r="I8" s="65" t="s">
        <v>122</v>
      </c>
      <c r="J8" s="32" t="s">
        <v>119</v>
      </c>
      <c r="K8" s="32">
        <v>0.33</v>
      </c>
      <c r="L8" s="57">
        <v>460</v>
      </c>
      <c r="M8" s="30">
        <f t="shared" si="1"/>
        <v>151.80000000000001</v>
      </c>
      <c r="N8" s="85"/>
      <c r="O8" s="11"/>
    </row>
    <row r="9" spans="1:18" s="10" customFormat="1" ht="23.25" x14ac:dyDescent="0.3">
      <c r="A9" s="26">
        <v>6</v>
      </c>
      <c r="B9" s="65" t="s">
        <v>130</v>
      </c>
      <c r="C9" s="32" t="s">
        <v>20</v>
      </c>
      <c r="D9" s="32">
        <v>18</v>
      </c>
      <c r="E9" s="57">
        <v>6</v>
      </c>
      <c r="F9" s="30">
        <f t="shared" si="2"/>
        <v>108</v>
      </c>
      <c r="H9" s="26">
        <v>6</v>
      </c>
      <c r="I9" s="65" t="s">
        <v>130</v>
      </c>
      <c r="J9" s="32" t="s">
        <v>20</v>
      </c>
      <c r="K9" s="32">
        <v>18</v>
      </c>
      <c r="L9" s="57">
        <v>6</v>
      </c>
      <c r="M9" s="30">
        <f t="shared" si="1"/>
        <v>108</v>
      </c>
      <c r="N9" s="85"/>
      <c r="O9" s="11"/>
    </row>
    <row r="10" spans="1:18" ht="24" thickBot="1" x14ac:dyDescent="0.3">
      <c r="A10" s="38"/>
      <c r="B10" s="39"/>
      <c r="C10" s="39"/>
      <c r="D10" s="39"/>
      <c r="E10" s="40" t="s">
        <v>16</v>
      </c>
      <c r="F10" s="35">
        <f>SUM(F5:F9)</f>
        <v>5749.8</v>
      </c>
      <c r="H10" s="38"/>
      <c r="I10" s="39"/>
      <c r="J10" s="39"/>
      <c r="K10" s="39"/>
      <c r="L10" s="40" t="s">
        <v>16</v>
      </c>
      <c r="M10" s="35">
        <f>SUM(M5:M9)</f>
        <v>5749.8</v>
      </c>
    </row>
    <row r="11" spans="1:18" ht="26.25" thickBot="1" x14ac:dyDescent="0.3">
      <c r="A11" s="76"/>
      <c r="B11" s="77"/>
      <c r="C11" s="77"/>
      <c r="D11" s="77"/>
      <c r="E11" s="78" t="s">
        <v>21</v>
      </c>
      <c r="F11" s="12">
        <f>SUMIF(E1:E19977,"CƏMİ",F1:F19977)</f>
        <v>5749.8</v>
      </c>
      <c r="H11" s="76"/>
      <c r="I11" s="77"/>
      <c r="J11" s="77"/>
      <c r="K11" s="77"/>
      <c r="L11" s="78" t="s">
        <v>21</v>
      </c>
      <c r="M11" s="12">
        <f>SUMIF(L1:L19977,"CƏMİ",M1:M19977)</f>
        <v>5749.8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B86A-ABC4-4076-8BF5-451D8E0CD3EB}">
  <sheetPr>
    <tabColor rgb="FFFFFF00"/>
    <pageSetUpPr fitToPage="1"/>
  </sheetPr>
  <dimension ref="A1:R14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L7" sqref="L7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73</v>
      </c>
      <c r="B1" s="175"/>
      <c r="C1" s="175"/>
      <c r="D1" s="175"/>
      <c r="E1" s="176" t="s">
        <v>0</v>
      </c>
      <c r="F1" s="177"/>
      <c r="H1" s="174" t="s">
        <v>73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45100</v>
      </c>
      <c r="H2" s="17"/>
      <c r="I2" s="18"/>
      <c r="J2" s="18"/>
      <c r="K2" s="19"/>
      <c r="L2" s="18"/>
      <c r="M2" s="46">
        <v>45100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F13</f>
        <v>13932.6</v>
      </c>
      <c r="O4" s="4"/>
    </row>
    <row r="5" spans="1:18" s="10" customFormat="1" ht="23.25" x14ac:dyDescent="0.3">
      <c r="A5" s="26">
        <v>1</v>
      </c>
      <c r="B5" s="65" t="s">
        <v>71</v>
      </c>
      <c r="C5" s="32" t="s">
        <v>19</v>
      </c>
      <c r="D5" s="32">
        <v>47</v>
      </c>
      <c r="E5" s="57">
        <v>50</v>
      </c>
      <c r="F5" s="30">
        <f>D5*E5</f>
        <v>2350</v>
      </c>
      <c r="H5" s="26">
        <v>1</v>
      </c>
      <c r="I5" s="65" t="s">
        <v>71</v>
      </c>
      <c r="J5" s="32" t="s">
        <v>19</v>
      </c>
      <c r="K5" s="115">
        <v>0</v>
      </c>
      <c r="L5" s="57">
        <v>50</v>
      </c>
      <c r="M5" s="30">
        <f>K5*L5</f>
        <v>0</v>
      </c>
      <c r="N5" s="85"/>
      <c r="O5" s="11"/>
    </row>
    <row r="6" spans="1:18" s="10" customFormat="1" ht="23.25" x14ac:dyDescent="0.3">
      <c r="A6" s="26">
        <v>2</v>
      </c>
      <c r="B6" s="65" t="s">
        <v>95</v>
      </c>
      <c r="C6" s="32" t="s">
        <v>20</v>
      </c>
      <c r="D6" s="32">
        <v>71</v>
      </c>
      <c r="E6" s="57">
        <v>30</v>
      </c>
      <c r="F6" s="30">
        <f>D6*E6</f>
        <v>2130</v>
      </c>
      <c r="H6" s="26">
        <v>2</v>
      </c>
      <c r="I6" s="65" t="s">
        <v>95</v>
      </c>
      <c r="J6" s="32" t="s">
        <v>20</v>
      </c>
      <c r="K6" s="32">
        <v>71</v>
      </c>
      <c r="L6" s="118">
        <v>25</v>
      </c>
      <c r="M6" s="30">
        <f>K6*L6</f>
        <v>1775</v>
      </c>
      <c r="N6" s="85"/>
      <c r="O6" s="11"/>
    </row>
    <row r="7" spans="1:18" s="10" customFormat="1" ht="46.5" x14ac:dyDescent="0.3">
      <c r="A7" s="26">
        <v>3</v>
      </c>
      <c r="B7" s="31" t="s">
        <v>75</v>
      </c>
      <c r="C7" s="32" t="s">
        <v>19</v>
      </c>
      <c r="D7" s="32">
        <v>53</v>
      </c>
      <c r="E7" s="57">
        <v>80</v>
      </c>
      <c r="F7" s="30">
        <f>D7*E7</f>
        <v>4240</v>
      </c>
      <c r="H7" s="26">
        <v>3</v>
      </c>
      <c r="I7" s="31" t="s">
        <v>75</v>
      </c>
      <c r="J7" s="32" t="s">
        <v>19</v>
      </c>
      <c r="K7" s="32">
        <v>53</v>
      </c>
      <c r="L7" s="57">
        <v>80</v>
      </c>
      <c r="M7" s="30">
        <f>K7*L7</f>
        <v>4240</v>
      </c>
      <c r="N7" s="85"/>
      <c r="O7" s="11"/>
    </row>
    <row r="8" spans="1:18" s="10" customFormat="1" ht="23.25" x14ac:dyDescent="0.3">
      <c r="A8" s="26">
        <v>4</v>
      </c>
      <c r="B8" s="70" t="s">
        <v>69</v>
      </c>
      <c r="C8" s="32" t="s">
        <v>19</v>
      </c>
      <c r="D8" s="32">
        <v>20</v>
      </c>
      <c r="E8" s="57">
        <v>50</v>
      </c>
      <c r="F8" s="30">
        <f t="shared" ref="F8" si="0">D8*E8</f>
        <v>1000</v>
      </c>
      <c r="H8" s="26">
        <v>4</v>
      </c>
      <c r="I8" s="70" t="s">
        <v>69</v>
      </c>
      <c r="J8" s="32" t="s">
        <v>19</v>
      </c>
      <c r="K8" s="32">
        <v>20</v>
      </c>
      <c r="L8" s="57">
        <v>50</v>
      </c>
      <c r="M8" s="30">
        <f t="shared" ref="M8:M12" si="1">K8*L8</f>
        <v>1000</v>
      </c>
      <c r="N8" s="85"/>
      <c r="O8" s="11"/>
    </row>
    <row r="9" spans="1:18" s="10" customFormat="1" ht="23.25" x14ac:dyDescent="0.3">
      <c r="A9" s="26">
        <v>5</v>
      </c>
      <c r="B9" s="70" t="s">
        <v>766</v>
      </c>
      <c r="C9" s="32" t="s">
        <v>20</v>
      </c>
      <c r="D9" s="32">
        <v>66</v>
      </c>
      <c r="E9" s="57">
        <v>30</v>
      </c>
      <c r="F9" s="30">
        <f t="shared" ref="F9" si="2">D9*E9</f>
        <v>1980</v>
      </c>
      <c r="H9" s="26">
        <v>5</v>
      </c>
      <c r="I9" s="70" t="s">
        <v>766</v>
      </c>
      <c r="J9" s="32" t="s">
        <v>20</v>
      </c>
      <c r="K9" s="32">
        <v>66</v>
      </c>
      <c r="L9" s="57">
        <v>30</v>
      </c>
      <c r="M9" s="30">
        <f t="shared" si="1"/>
        <v>1980</v>
      </c>
      <c r="N9" s="85"/>
      <c r="O9" s="11"/>
    </row>
    <row r="10" spans="1:18" s="10" customFormat="1" ht="23.25" x14ac:dyDescent="0.3">
      <c r="A10" s="26">
        <v>6</v>
      </c>
      <c r="B10" s="74" t="s">
        <v>557</v>
      </c>
      <c r="C10" s="32" t="s">
        <v>19</v>
      </c>
      <c r="D10" s="32">
        <v>15</v>
      </c>
      <c r="E10" s="57">
        <v>50</v>
      </c>
      <c r="F10" s="30">
        <f t="shared" ref="F10:F12" si="3">D10*E10</f>
        <v>750</v>
      </c>
      <c r="H10" s="26">
        <v>6</v>
      </c>
      <c r="I10" s="74" t="s">
        <v>557</v>
      </c>
      <c r="J10" s="32" t="s">
        <v>19</v>
      </c>
      <c r="K10" s="32">
        <v>15</v>
      </c>
      <c r="L10" s="57">
        <v>50</v>
      </c>
      <c r="M10" s="30">
        <f t="shared" si="1"/>
        <v>750</v>
      </c>
      <c r="N10" s="85"/>
      <c r="O10" s="11"/>
    </row>
    <row r="11" spans="1:18" s="10" customFormat="1" ht="23.25" x14ac:dyDescent="0.3">
      <c r="A11" s="26">
        <v>7</v>
      </c>
      <c r="B11" s="74" t="s">
        <v>768</v>
      </c>
      <c r="C11" s="32" t="s">
        <v>20</v>
      </c>
      <c r="D11" s="32">
        <v>37</v>
      </c>
      <c r="E11" s="57">
        <v>30</v>
      </c>
      <c r="F11" s="30">
        <f t="shared" si="3"/>
        <v>1110</v>
      </c>
      <c r="H11" s="26">
        <v>7</v>
      </c>
      <c r="I11" s="74" t="s">
        <v>768</v>
      </c>
      <c r="J11" s="32" t="s">
        <v>20</v>
      </c>
      <c r="K11" s="115">
        <v>18.5</v>
      </c>
      <c r="L11" s="57">
        <v>30</v>
      </c>
      <c r="M11" s="30">
        <f t="shared" si="1"/>
        <v>555</v>
      </c>
      <c r="N11" s="85"/>
      <c r="O11" s="11"/>
    </row>
    <row r="12" spans="1:18" s="10" customFormat="1" ht="23.25" x14ac:dyDescent="0.3">
      <c r="A12" s="26">
        <v>8</v>
      </c>
      <c r="B12" s="65" t="s">
        <v>122</v>
      </c>
      <c r="C12" s="32" t="s">
        <v>119</v>
      </c>
      <c r="D12" s="32">
        <v>0.81</v>
      </c>
      <c r="E12" s="57">
        <v>460</v>
      </c>
      <c r="F12" s="30">
        <f t="shared" si="3"/>
        <v>372.6</v>
      </c>
      <c r="H12" s="26">
        <v>8</v>
      </c>
      <c r="I12" s="65" t="s">
        <v>122</v>
      </c>
      <c r="J12" s="32" t="s">
        <v>119</v>
      </c>
      <c r="K12" s="32">
        <v>0.81</v>
      </c>
      <c r="L12" s="57">
        <v>460</v>
      </c>
      <c r="M12" s="30">
        <f t="shared" si="1"/>
        <v>372.6</v>
      </c>
      <c r="N12" s="85"/>
      <c r="O12" s="11"/>
    </row>
    <row r="13" spans="1:18" ht="24" thickBot="1" x14ac:dyDescent="0.3">
      <c r="A13" s="38"/>
      <c r="B13" s="39"/>
      <c r="C13" s="39"/>
      <c r="D13" s="39"/>
      <c r="E13" s="40" t="s">
        <v>16</v>
      </c>
      <c r="F13" s="35">
        <f>SUM(F5:F12)</f>
        <v>13932.6</v>
      </c>
      <c r="H13" s="38"/>
      <c r="I13" s="39"/>
      <c r="J13" s="39"/>
      <c r="K13" s="39"/>
      <c r="L13" s="40" t="s">
        <v>16</v>
      </c>
      <c r="M13" s="35">
        <f>SUM(M5:M12)</f>
        <v>10672.6</v>
      </c>
    </row>
    <row r="14" spans="1:18" ht="26.25" thickBot="1" x14ac:dyDescent="0.3">
      <c r="A14" s="76"/>
      <c r="B14" s="77"/>
      <c r="C14" s="77"/>
      <c r="D14" s="77"/>
      <c r="E14" s="78" t="s">
        <v>21</v>
      </c>
      <c r="F14" s="12">
        <f>SUMIF(E1:E19980,"CƏMİ",F1:F19980)</f>
        <v>13932.6</v>
      </c>
      <c r="H14" s="76"/>
      <c r="I14" s="77"/>
      <c r="J14" s="77"/>
      <c r="K14" s="77"/>
      <c r="L14" s="78" t="s">
        <v>21</v>
      </c>
      <c r="M14" s="12">
        <f>SUMIF(L1:L19980,"CƏMİ",M1:M19980)</f>
        <v>10672.6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4729-1406-4195-842F-8BA64BE30E12}">
  <sheetPr>
    <tabColor rgb="FFFFFF00"/>
    <pageSetUpPr fitToPage="1"/>
  </sheetPr>
  <dimension ref="A1:R22"/>
  <sheetViews>
    <sheetView view="pageBreakPreview" zoomScale="55" zoomScaleNormal="55" zoomScaleSheetLayoutView="55" workbookViewId="0">
      <pane ySplit="3" topLeftCell="A4" activePane="bottomLeft" state="frozen"/>
      <selection activeCell="G5" sqref="G5"/>
      <selection pane="bottomLeft" activeCell="E5" sqref="E5"/>
    </sheetView>
  </sheetViews>
  <sheetFormatPr defaultColWidth="9.140625" defaultRowHeight="15" x14ac:dyDescent="0.25"/>
  <cols>
    <col min="1" max="1" width="6.42578125" style="5" bestFit="1" customWidth="1"/>
    <col min="2" max="2" width="117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7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18.57031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33</v>
      </c>
      <c r="B1" s="175"/>
      <c r="C1" s="175"/>
      <c r="D1" s="175"/>
      <c r="E1" s="176" t="s">
        <v>0</v>
      </c>
      <c r="F1" s="177"/>
      <c r="H1" s="174" t="s">
        <v>33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43</v>
      </c>
      <c r="C4" s="24"/>
      <c r="D4" s="24"/>
      <c r="E4" s="24"/>
      <c r="F4" s="25"/>
      <c r="H4" s="23"/>
      <c r="I4" s="24" t="s">
        <v>43</v>
      </c>
      <c r="J4" s="24"/>
      <c r="K4" s="24"/>
      <c r="L4" s="24"/>
      <c r="M4" s="25"/>
      <c r="N4" s="84">
        <f>F8</f>
        <v>4640</v>
      </c>
      <c r="O4" s="4"/>
    </row>
    <row r="5" spans="1:18" s="10" customFormat="1" ht="23.25" x14ac:dyDescent="0.3">
      <c r="A5" s="26">
        <v>1</v>
      </c>
      <c r="B5" s="36" t="s">
        <v>703</v>
      </c>
      <c r="C5" s="32" t="s">
        <v>19</v>
      </c>
      <c r="D5" s="32">
        <v>22</v>
      </c>
      <c r="E5" s="118">
        <f>50+30</f>
        <v>80</v>
      </c>
      <c r="F5" s="30">
        <f>D5*E5</f>
        <v>1760</v>
      </c>
      <c r="H5" s="26">
        <v>1</v>
      </c>
      <c r="I5" s="36" t="s">
        <v>703</v>
      </c>
      <c r="J5" s="32" t="s">
        <v>19</v>
      </c>
      <c r="K5" s="32">
        <v>22</v>
      </c>
      <c r="L5" s="118">
        <f>50+30</f>
        <v>80</v>
      </c>
      <c r="M5" s="30">
        <f>K5*L5</f>
        <v>1760</v>
      </c>
      <c r="N5" s="85"/>
      <c r="O5" s="11"/>
    </row>
    <row r="6" spans="1:18" s="10" customFormat="1" ht="23.25" x14ac:dyDescent="0.3">
      <c r="A6" s="26">
        <v>2</v>
      </c>
      <c r="B6" s="65" t="s">
        <v>42</v>
      </c>
      <c r="C6" s="32" t="s">
        <v>19</v>
      </c>
      <c r="D6" s="32">
        <v>28.8</v>
      </c>
      <c r="E6" s="29">
        <v>50</v>
      </c>
      <c r="F6" s="30">
        <f t="shared" ref="F6:F7" si="0">D6*E6</f>
        <v>1440</v>
      </c>
      <c r="H6" s="26">
        <v>2</v>
      </c>
      <c r="I6" s="65" t="s">
        <v>42</v>
      </c>
      <c r="J6" s="32" t="s">
        <v>19</v>
      </c>
      <c r="K6" s="115">
        <v>0</v>
      </c>
      <c r="L6" s="29">
        <v>50</v>
      </c>
      <c r="M6" s="30">
        <f t="shared" ref="M6:M7" si="1">K6*L6</f>
        <v>0</v>
      </c>
      <c r="N6" s="85"/>
      <c r="O6" s="11"/>
    </row>
    <row r="7" spans="1:18" s="10" customFormat="1" ht="23.25" x14ac:dyDescent="0.3">
      <c r="A7" s="26">
        <v>3</v>
      </c>
      <c r="B7" s="65" t="s">
        <v>709</v>
      </c>
      <c r="C7" s="32" t="s">
        <v>20</v>
      </c>
      <c r="D7" s="32">
        <v>48</v>
      </c>
      <c r="E7" s="29">
        <v>30</v>
      </c>
      <c r="F7" s="30">
        <f t="shared" si="0"/>
        <v>1440</v>
      </c>
      <c r="H7" s="26">
        <v>3</v>
      </c>
      <c r="I7" s="65" t="s">
        <v>709</v>
      </c>
      <c r="J7" s="32" t="s">
        <v>20</v>
      </c>
      <c r="K7" s="32">
        <v>48</v>
      </c>
      <c r="L7" s="118">
        <v>25</v>
      </c>
      <c r="M7" s="30">
        <f t="shared" si="1"/>
        <v>1200</v>
      </c>
      <c r="N7" s="85"/>
      <c r="O7" s="11"/>
    </row>
    <row r="8" spans="1:18" ht="23.25" x14ac:dyDescent="0.25">
      <c r="A8" s="69"/>
      <c r="B8" s="67"/>
      <c r="C8" s="67"/>
      <c r="D8" s="67"/>
      <c r="E8" s="68" t="s">
        <v>16</v>
      </c>
      <c r="F8" s="34">
        <f>SUM(F5:F7)</f>
        <v>4640</v>
      </c>
      <c r="H8" s="69"/>
      <c r="I8" s="67"/>
      <c r="J8" s="67"/>
      <c r="K8" s="67"/>
      <c r="L8" s="68" t="s">
        <v>16</v>
      </c>
      <c r="M8" s="34">
        <f>SUM(M5:M7)</f>
        <v>2960</v>
      </c>
    </row>
    <row r="9" spans="1:18" s="3" customFormat="1" ht="23.25" x14ac:dyDescent="0.35">
      <c r="A9" s="23"/>
      <c r="B9" s="24" t="s">
        <v>53</v>
      </c>
      <c r="C9" s="24"/>
      <c r="D9" s="24"/>
      <c r="E9" s="24"/>
      <c r="F9" s="25"/>
      <c r="H9" s="23"/>
      <c r="I9" s="24" t="s">
        <v>53</v>
      </c>
      <c r="J9" s="24"/>
      <c r="K9" s="24"/>
      <c r="L9" s="24"/>
      <c r="M9" s="25"/>
      <c r="N9" s="84">
        <f>F11</f>
        <v>920</v>
      </c>
      <c r="O9" s="4"/>
    </row>
    <row r="10" spans="1:18" s="10" customFormat="1" ht="23.25" x14ac:dyDescent="0.3">
      <c r="A10" s="26">
        <v>1</v>
      </c>
      <c r="B10" s="70" t="s">
        <v>704</v>
      </c>
      <c r="C10" s="32" t="s">
        <v>19</v>
      </c>
      <c r="D10" s="32">
        <v>11.5</v>
      </c>
      <c r="E10" s="29">
        <v>80</v>
      </c>
      <c r="F10" s="30">
        <f>D10*E10</f>
        <v>920</v>
      </c>
      <c r="H10" s="26">
        <v>1</v>
      </c>
      <c r="I10" s="70" t="s">
        <v>704</v>
      </c>
      <c r="J10" s="32" t="s">
        <v>19</v>
      </c>
      <c r="K10" s="32">
        <v>11.5</v>
      </c>
      <c r="L10" s="29">
        <v>80</v>
      </c>
      <c r="M10" s="30">
        <f>K10*L10</f>
        <v>920</v>
      </c>
      <c r="N10" s="85"/>
      <c r="O10" s="11"/>
    </row>
    <row r="11" spans="1:18" ht="23.25" x14ac:dyDescent="0.25">
      <c r="A11" s="69"/>
      <c r="B11" s="67"/>
      <c r="C11" s="67"/>
      <c r="D11" s="67"/>
      <c r="E11" s="68" t="s">
        <v>16</v>
      </c>
      <c r="F11" s="34">
        <f>SUM(F10:F10)</f>
        <v>920</v>
      </c>
      <c r="H11" s="69"/>
      <c r="I11" s="67"/>
      <c r="J11" s="67"/>
      <c r="K11" s="67"/>
      <c r="L11" s="68" t="s">
        <v>16</v>
      </c>
      <c r="M11" s="34">
        <f>SUM(M10:M10)</f>
        <v>920</v>
      </c>
    </row>
    <row r="12" spans="1:18" s="3" customFormat="1" ht="23.25" x14ac:dyDescent="0.35">
      <c r="A12" s="23"/>
      <c r="B12" s="24" t="s">
        <v>123</v>
      </c>
      <c r="C12" s="24"/>
      <c r="D12" s="24"/>
      <c r="E12" s="24"/>
      <c r="F12" s="25"/>
      <c r="H12" s="23"/>
      <c r="I12" s="24" t="s">
        <v>123</v>
      </c>
      <c r="J12" s="24"/>
      <c r="K12" s="24"/>
      <c r="L12" s="24"/>
      <c r="M12" s="25"/>
      <c r="N12" s="84">
        <f>F21</f>
        <v>8391</v>
      </c>
      <c r="O12" s="4"/>
    </row>
    <row r="13" spans="1:18" s="10" customFormat="1" ht="23.25" x14ac:dyDescent="0.3">
      <c r="A13" s="26">
        <v>1</v>
      </c>
      <c r="B13" s="70" t="s">
        <v>559</v>
      </c>
      <c r="C13" s="32" t="s">
        <v>20</v>
      </c>
      <c r="D13" s="88">
        <v>33</v>
      </c>
      <c r="E13" s="57">
        <v>30</v>
      </c>
      <c r="F13" s="30">
        <f t="shared" ref="F13:F20" si="2">D13*E13</f>
        <v>990</v>
      </c>
      <c r="H13" s="26">
        <v>1</v>
      </c>
      <c r="I13" s="70" t="s">
        <v>559</v>
      </c>
      <c r="J13" s="32" t="s">
        <v>20</v>
      </c>
      <c r="K13" s="88">
        <v>33</v>
      </c>
      <c r="L13" s="57">
        <v>30</v>
      </c>
      <c r="M13" s="30">
        <f t="shared" ref="M13:M20" si="3">K13*L13</f>
        <v>990</v>
      </c>
      <c r="N13" s="85"/>
      <c r="O13" s="11"/>
    </row>
    <row r="14" spans="1:18" s="10" customFormat="1" ht="23.25" x14ac:dyDescent="0.3">
      <c r="A14" s="26">
        <v>2</v>
      </c>
      <c r="B14" s="65" t="s">
        <v>555</v>
      </c>
      <c r="C14" s="32" t="s">
        <v>19</v>
      </c>
      <c r="D14" s="32">
        <v>10.8</v>
      </c>
      <c r="E14" s="57">
        <v>50</v>
      </c>
      <c r="F14" s="30">
        <f t="shared" si="2"/>
        <v>540</v>
      </c>
      <c r="H14" s="26">
        <v>2</v>
      </c>
      <c r="I14" s="65" t="s">
        <v>555</v>
      </c>
      <c r="J14" s="32" t="s">
        <v>19</v>
      </c>
      <c r="K14" s="32">
        <v>10.8</v>
      </c>
      <c r="L14" s="57">
        <v>50</v>
      </c>
      <c r="M14" s="30">
        <f t="shared" si="3"/>
        <v>540</v>
      </c>
      <c r="N14" s="85"/>
      <c r="O14" s="11"/>
    </row>
    <row r="15" spans="1:18" s="10" customFormat="1" ht="23.25" x14ac:dyDescent="0.3">
      <c r="A15" s="26">
        <v>3</v>
      </c>
      <c r="B15" s="65" t="s">
        <v>547</v>
      </c>
      <c r="C15" s="32" t="s">
        <v>20</v>
      </c>
      <c r="D15" s="32">
        <v>79.7</v>
      </c>
      <c r="E15" s="57">
        <v>30</v>
      </c>
      <c r="F15" s="30">
        <f t="shared" si="2"/>
        <v>2391</v>
      </c>
      <c r="H15" s="26">
        <v>3</v>
      </c>
      <c r="I15" s="65" t="s">
        <v>547</v>
      </c>
      <c r="J15" s="32" t="s">
        <v>20</v>
      </c>
      <c r="K15" s="115">
        <v>40</v>
      </c>
      <c r="L15" s="57">
        <v>30</v>
      </c>
      <c r="M15" s="30">
        <f t="shared" si="3"/>
        <v>1200</v>
      </c>
      <c r="N15" s="85"/>
      <c r="O15" s="11"/>
    </row>
    <row r="16" spans="1:18" s="10" customFormat="1" ht="23.25" x14ac:dyDescent="0.3">
      <c r="A16" s="26">
        <v>4</v>
      </c>
      <c r="B16" s="65" t="s">
        <v>548</v>
      </c>
      <c r="C16" s="32" t="s">
        <v>19</v>
      </c>
      <c r="D16" s="88">
        <v>13</v>
      </c>
      <c r="E16" s="57">
        <v>50</v>
      </c>
      <c r="F16" s="30">
        <f t="shared" si="2"/>
        <v>650</v>
      </c>
      <c r="H16" s="26">
        <v>4</v>
      </c>
      <c r="I16" s="65" t="s">
        <v>548</v>
      </c>
      <c r="J16" s="32" t="s">
        <v>19</v>
      </c>
      <c r="K16" s="88">
        <v>13</v>
      </c>
      <c r="L16" s="57">
        <v>50</v>
      </c>
      <c r="M16" s="30">
        <f t="shared" si="3"/>
        <v>650</v>
      </c>
      <c r="N16" s="85"/>
      <c r="O16" s="11"/>
    </row>
    <row r="17" spans="1:15" s="10" customFormat="1" ht="23.25" x14ac:dyDescent="0.3">
      <c r="A17" s="26">
        <v>5</v>
      </c>
      <c r="B17" s="70" t="s">
        <v>769</v>
      </c>
      <c r="C17" s="32" t="s">
        <v>20</v>
      </c>
      <c r="D17" s="88">
        <v>16.8</v>
      </c>
      <c r="E17" s="57">
        <v>30</v>
      </c>
      <c r="F17" s="30">
        <f t="shared" si="2"/>
        <v>504</v>
      </c>
      <c r="H17" s="26">
        <v>5</v>
      </c>
      <c r="I17" s="70" t="s">
        <v>769</v>
      </c>
      <c r="J17" s="32" t="s">
        <v>20</v>
      </c>
      <c r="K17" s="88">
        <v>16.8</v>
      </c>
      <c r="L17" s="57">
        <v>30</v>
      </c>
      <c r="M17" s="30">
        <f t="shared" si="3"/>
        <v>504</v>
      </c>
      <c r="N17" s="85"/>
      <c r="O17" s="11"/>
    </row>
    <row r="18" spans="1:15" s="10" customFormat="1" ht="23.25" x14ac:dyDescent="0.3">
      <c r="A18" s="26">
        <v>6</v>
      </c>
      <c r="B18" s="65" t="s">
        <v>549</v>
      </c>
      <c r="C18" s="32" t="s">
        <v>19</v>
      </c>
      <c r="D18" s="32">
        <v>11.8</v>
      </c>
      <c r="E18" s="57">
        <v>50</v>
      </c>
      <c r="F18" s="30">
        <f t="shared" ref="F18:F19" si="4">D18*E18</f>
        <v>590</v>
      </c>
      <c r="H18" s="26">
        <v>6</v>
      </c>
      <c r="I18" s="65" t="s">
        <v>549</v>
      </c>
      <c r="J18" s="32" t="s">
        <v>19</v>
      </c>
      <c r="K18" s="32">
        <v>11.8</v>
      </c>
      <c r="L18" s="57">
        <v>50</v>
      </c>
      <c r="M18" s="30">
        <f t="shared" si="3"/>
        <v>590</v>
      </c>
      <c r="N18" s="85"/>
      <c r="O18" s="11"/>
    </row>
    <row r="19" spans="1:15" s="10" customFormat="1" ht="23.25" x14ac:dyDescent="0.3">
      <c r="A19" s="26">
        <v>7</v>
      </c>
      <c r="B19" s="65" t="s">
        <v>730</v>
      </c>
      <c r="C19" s="32" t="s">
        <v>20</v>
      </c>
      <c r="D19" s="32">
        <v>53.2</v>
      </c>
      <c r="E19" s="57">
        <f>30</f>
        <v>30</v>
      </c>
      <c r="F19" s="30">
        <f t="shared" si="4"/>
        <v>1596</v>
      </c>
      <c r="H19" s="26">
        <v>7</v>
      </c>
      <c r="I19" s="65" t="s">
        <v>730</v>
      </c>
      <c r="J19" s="32" t="s">
        <v>20</v>
      </c>
      <c r="K19" s="32">
        <v>53.2</v>
      </c>
      <c r="L19" s="118">
        <v>25</v>
      </c>
      <c r="M19" s="30">
        <f t="shared" si="3"/>
        <v>1330</v>
      </c>
      <c r="N19" s="85"/>
      <c r="O19" s="11"/>
    </row>
    <row r="20" spans="1:15" s="10" customFormat="1" ht="23.25" x14ac:dyDescent="0.3">
      <c r="A20" s="26">
        <v>8</v>
      </c>
      <c r="B20" s="65" t="s">
        <v>729</v>
      </c>
      <c r="C20" s="32" t="s">
        <v>19</v>
      </c>
      <c r="D20" s="32">
        <v>22.6</v>
      </c>
      <c r="E20" s="57">
        <v>50</v>
      </c>
      <c r="F20" s="30">
        <f t="shared" si="2"/>
        <v>1130</v>
      </c>
      <c r="H20" s="26">
        <v>8</v>
      </c>
      <c r="I20" s="65" t="s">
        <v>729</v>
      </c>
      <c r="J20" s="32" t="s">
        <v>19</v>
      </c>
      <c r="K20" s="32">
        <v>22.6</v>
      </c>
      <c r="L20" s="57">
        <v>50</v>
      </c>
      <c r="M20" s="30">
        <f t="shared" si="3"/>
        <v>1130</v>
      </c>
      <c r="N20" s="85"/>
      <c r="O20" s="11"/>
    </row>
    <row r="21" spans="1:15" ht="24" thickBot="1" x14ac:dyDescent="0.3">
      <c r="A21" s="38"/>
      <c r="B21" s="39"/>
      <c r="C21" s="39"/>
      <c r="D21" s="39"/>
      <c r="E21" s="40" t="s">
        <v>16</v>
      </c>
      <c r="F21" s="35">
        <f>SUM(F13:F20)</f>
        <v>8391</v>
      </c>
      <c r="H21" s="38"/>
      <c r="I21" s="39"/>
      <c r="J21" s="39"/>
      <c r="K21" s="39"/>
      <c r="L21" s="40" t="s">
        <v>16</v>
      </c>
      <c r="M21" s="35">
        <f>SUM(M13:M20)</f>
        <v>6934</v>
      </c>
    </row>
    <row r="22" spans="1:15" ht="26.25" thickBot="1" x14ac:dyDescent="0.3">
      <c r="A22" s="76"/>
      <c r="B22" s="77"/>
      <c r="C22" s="77"/>
      <c r="D22" s="77"/>
      <c r="E22" s="78" t="s">
        <v>21</v>
      </c>
      <c r="F22" s="12">
        <f>SUMIF(E1:E19988,"CƏMİ",F1:F19988)</f>
        <v>13951</v>
      </c>
      <c r="H22" s="76"/>
      <c r="I22" s="77"/>
      <c r="J22" s="77"/>
      <c r="K22" s="77"/>
      <c r="L22" s="78" t="s">
        <v>21</v>
      </c>
      <c r="M22" s="12">
        <f>SUMIF(L1:L19988,"CƏMİ",M1:M19988)</f>
        <v>10814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4" fitToHeight="0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C0D4-7B3B-4719-99D3-D46BBD197386}">
  <sheetPr>
    <tabColor rgb="FFFFFF00"/>
    <pageSetUpPr fitToPage="1"/>
  </sheetPr>
  <dimension ref="A1:R13"/>
  <sheetViews>
    <sheetView view="pageBreakPreview" zoomScale="55" zoomScaleNormal="55" zoomScaleSheetLayoutView="55" workbookViewId="0">
      <pane ySplit="3" topLeftCell="A4" activePane="bottomLeft" state="frozen"/>
      <selection activeCell="G5" sqref="G5"/>
      <selection pane="bottomLeft" activeCell="B28" sqref="B28"/>
    </sheetView>
  </sheetViews>
  <sheetFormatPr defaultColWidth="9.140625" defaultRowHeight="15" x14ac:dyDescent="0.25"/>
  <cols>
    <col min="1" max="1" width="6.42578125" style="5" bestFit="1" customWidth="1"/>
    <col min="2" max="2" width="107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07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18.57031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47</v>
      </c>
      <c r="B1" s="175"/>
      <c r="C1" s="175"/>
      <c r="D1" s="175"/>
      <c r="E1" s="176" t="s">
        <v>0</v>
      </c>
      <c r="F1" s="177"/>
      <c r="H1" s="174" t="s">
        <v>47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45093</v>
      </c>
      <c r="H2" s="17"/>
      <c r="I2" s="18"/>
      <c r="J2" s="18"/>
      <c r="K2" s="19"/>
      <c r="L2" s="18"/>
      <c r="M2" s="46">
        <v>45093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F12</f>
        <v>7109</v>
      </c>
      <c r="O4" s="4"/>
    </row>
    <row r="5" spans="1:18" s="10" customFormat="1" ht="23.25" x14ac:dyDescent="0.3">
      <c r="A5" s="26">
        <v>1</v>
      </c>
      <c r="B5" s="65" t="s">
        <v>48</v>
      </c>
      <c r="C5" s="37" t="s">
        <v>19</v>
      </c>
      <c r="D5" s="37">
        <v>20.2</v>
      </c>
      <c r="E5" s="29">
        <v>50</v>
      </c>
      <c r="F5" s="30">
        <f>D5*E5</f>
        <v>1010</v>
      </c>
      <c r="H5" s="26">
        <v>1</v>
      </c>
      <c r="I5" s="65" t="s">
        <v>48</v>
      </c>
      <c r="J5" s="37" t="s">
        <v>19</v>
      </c>
      <c r="K5" s="37">
        <v>20.2</v>
      </c>
      <c r="L5" s="29">
        <v>50</v>
      </c>
      <c r="M5" s="30">
        <f>K5*L5</f>
        <v>1010</v>
      </c>
      <c r="N5" s="85"/>
      <c r="O5" s="11"/>
    </row>
    <row r="6" spans="1:18" s="10" customFormat="1" ht="23.25" x14ac:dyDescent="0.3">
      <c r="A6" s="26">
        <v>2</v>
      </c>
      <c r="B6" s="65" t="s">
        <v>44</v>
      </c>
      <c r="C6" s="32" t="s">
        <v>19</v>
      </c>
      <c r="D6" s="32">
        <v>19.5</v>
      </c>
      <c r="E6" s="29">
        <v>50</v>
      </c>
      <c r="F6" s="30">
        <f t="shared" ref="F6:F8" si="0">D6*E6</f>
        <v>975</v>
      </c>
      <c r="H6" s="26">
        <v>2</v>
      </c>
      <c r="I6" s="65" t="s">
        <v>44</v>
      </c>
      <c r="J6" s="32" t="s">
        <v>19</v>
      </c>
      <c r="K6" s="32">
        <v>19.5</v>
      </c>
      <c r="L6" s="29">
        <v>50</v>
      </c>
      <c r="M6" s="30">
        <f t="shared" ref="M6:M8" si="1">K6*L6</f>
        <v>975</v>
      </c>
      <c r="N6" s="85"/>
      <c r="O6" s="11"/>
    </row>
    <row r="7" spans="1:18" s="10" customFormat="1" ht="23.25" x14ac:dyDescent="0.3">
      <c r="A7" s="26">
        <v>3</v>
      </c>
      <c r="B7" s="65" t="s">
        <v>96</v>
      </c>
      <c r="C7" s="37" t="s">
        <v>20</v>
      </c>
      <c r="D7" s="37">
        <v>66</v>
      </c>
      <c r="E7" s="29">
        <v>30</v>
      </c>
      <c r="F7" s="30">
        <f t="shared" si="0"/>
        <v>1980</v>
      </c>
      <c r="H7" s="26">
        <v>3</v>
      </c>
      <c r="I7" s="65" t="s">
        <v>96</v>
      </c>
      <c r="J7" s="37" t="s">
        <v>20</v>
      </c>
      <c r="K7" s="37">
        <v>66</v>
      </c>
      <c r="L7" s="29">
        <v>30</v>
      </c>
      <c r="M7" s="30">
        <f t="shared" si="1"/>
        <v>1980</v>
      </c>
      <c r="N7" s="85"/>
      <c r="O7" s="11"/>
    </row>
    <row r="8" spans="1:18" s="10" customFormat="1" ht="23.25" x14ac:dyDescent="0.3">
      <c r="A8" s="26">
        <v>4</v>
      </c>
      <c r="B8" s="65" t="s">
        <v>710</v>
      </c>
      <c r="C8" s="32" t="s">
        <v>20</v>
      </c>
      <c r="D8" s="32">
        <v>67</v>
      </c>
      <c r="E8" s="29">
        <v>30</v>
      </c>
      <c r="F8" s="30">
        <f t="shared" si="0"/>
        <v>2010</v>
      </c>
      <c r="H8" s="26">
        <v>4</v>
      </c>
      <c r="I8" s="65" t="s">
        <v>710</v>
      </c>
      <c r="J8" s="32" t="s">
        <v>20</v>
      </c>
      <c r="K8" s="32">
        <v>67</v>
      </c>
      <c r="L8" s="29">
        <v>30</v>
      </c>
      <c r="M8" s="30">
        <f t="shared" si="1"/>
        <v>2010</v>
      </c>
      <c r="N8" s="85"/>
      <c r="O8" s="11"/>
    </row>
    <row r="9" spans="1:18" s="10" customFormat="1" ht="23.25" x14ac:dyDescent="0.3">
      <c r="A9" s="26">
        <v>5</v>
      </c>
      <c r="B9" s="31" t="s">
        <v>126</v>
      </c>
      <c r="C9" s="37" t="s">
        <v>19</v>
      </c>
      <c r="D9" s="37">
        <v>3</v>
      </c>
      <c r="E9" s="57">
        <v>50</v>
      </c>
      <c r="F9" s="30">
        <f>D9*E9</f>
        <v>150</v>
      </c>
      <c r="H9" s="26">
        <v>5</v>
      </c>
      <c r="I9" s="31" t="s">
        <v>126</v>
      </c>
      <c r="J9" s="37" t="s">
        <v>19</v>
      </c>
      <c r="K9" s="37">
        <v>3</v>
      </c>
      <c r="L9" s="57">
        <v>50</v>
      </c>
      <c r="M9" s="30">
        <f>K9*L9</f>
        <v>150</v>
      </c>
      <c r="N9" s="85"/>
      <c r="O9" s="11"/>
    </row>
    <row r="10" spans="1:18" s="10" customFormat="1" ht="23.25" x14ac:dyDescent="0.3">
      <c r="A10" s="26">
        <v>6</v>
      </c>
      <c r="B10" s="31" t="s">
        <v>125</v>
      </c>
      <c r="C10" s="32" t="s">
        <v>20</v>
      </c>
      <c r="D10" s="32">
        <v>18</v>
      </c>
      <c r="E10" s="57">
        <v>30</v>
      </c>
      <c r="F10" s="30">
        <f t="shared" ref="F10:F11" si="2">D10*E10</f>
        <v>540</v>
      </c>
      <c r="H10" s="26">
        <v>6</v>
      </c>
      <c r="I10" s="31" t="s">
        <v>125</v>
      </c>
      <c r="J10" s="32" t="s">
        <v>20</v>
      </c>
      <c r="K10" s="32">
        <v>18</v>
      </c>
      <c r="L10" s="57">
        <v>30</v>
      </c>
      <c r="M10" s="30">
        <f t="shared" ref="M10:M11" si="3">K10*L10</f>
        <v>540</v>
      </c>
      <c r="N10" s="85"/>
      <c r="O10" s="11"/>
    </row>
    <row r="11" spans="1:18" s="10" customFormat="1" ht="23.25" x14ac:dyDescent="0.3">
      <c r="A11" s="26">
        <v>7</v>
      </c>
      <c r="B11" s="65" t="s">
        <v>124</v>
      </c>
      <c r="C11" s="32" t="s">
        <v>20</v>
      </c>
      <c r="D11" s="32">
        <v>74</v>
      </c>
      <c r="E11" s="57">
        <v>6</v>
      </c>
      <c r="F11" s="30">
        <f t="shared" si="2"/>
        <v>444</v>
      </c>
      <c r="H11" s="26">
        <v>7</v>
      </c>
      <c r="I11" s="65" t="s">
        <v>124</v>
      </c>
      <c r="J11" s="32" t="s">
        <v>20</v>
      </c>
      <c r="K11" s="32">
        <v>74</v>
      </c>
      <c r="L11" s="57">
        <v>6</v>
      </c>
      <c r="M11" s="30">
        <f t="shared" si="3"/>
        <v>444</v>
      </c>
      <c r="N11" s="85"/>
      <c r="O11" s="11"/>
    </row>
    <row r="12" spans="1:18" ht="24" thickBot="1" x14ac:dyDescent="0.3">
      <c r="A12" s="38"/>
      <c r="B12" s="39"/>
      <c r="C12" s="39"/>
      <c r="D12" s="39"/>
      <c r="E12" s="40" t="s">
        <v>16</v>
      </c>
      <c r="F12" s="35">
        <f>SUM(F5:F11)</f>
        <v>7109</v>
      </c>
      <c r="H12" s="38"/>
      <c r="I12" s="39"/>
      <c r="J12" s="39"/>
      <c r="K12" s="39"/>
      <c r="L12" s="40" t="s">
        <v>16</v>
      </c>
      <c r="M12" s="35">
        <f>SUM(M5:M11)</f>
        <v>7109</v>
      </c>
    </row>
    <row r="13" spans="1:18" ht="26.25" thickBot="1" x14ac:dyDescent="0.3">
      <c r="A13" s="71"/>
      <c r="B13" s="72"/>
      <c r="C13" s="72"/>
      <c r="D13" s="72"/>
      <c r="E13" s="73" t="s">
        <v>21</v>
      </c>
      <c r="F13" s="12">
        <f>SUMIF(E1:E19979,"CƏMİ",F1:F19979)</f>
        <v>7109</v>
      </c>
      <c r="H13" s="71"/>
      <c r="I13" s="72"/>
      <c r="J13" s="72"/>
      <c r="K13" s="72"/>
      <c r="L13" s="73" t="s">
        <v>21</v>
      </c>
      <c r="M13" s="12">
        <f>SUMIF(L1:L19979,"CƏMİ",M1:M19979)</f>
        <v>7109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C0C1-87EB-416C-94FE-50EBD9BEF1FC}">
  <sheetPr>
    <tabColor rgb="FFFFFF00"/>
    <pageSetUpPr fitToPage="1"/>
  </sheetPr>
  <dimension ref="A1:R15"/>
  <sheetViews>
    <sheetView view="pageBreakPreview" zoomScale="55" zoomScaleNormal="55" zoomScaleSheetLayoutView="55" workbookViewId="0">
      <pane ySplit="3" topLeftCell="A4" activePane="bottomLeft" state="frozen"/>
      <selection activeCell="G5" sqref="G5"/>
      <selection pane="bottomLeft" activeCell="H36" sqref="H36"/>
    </sheetView>
  </sheetViews>
  <sheetFormatPr defaultColWidth="9.140625" defaultRowHeight="15" x14ac:dyDescent="0.25"/>
  <cols>
    <col min="1" max="1" width="6.42578125" style="5" bestFit="1" customWidth="1"/>
    <col min="2" max="2" width="111.14062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1.14062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18.57031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32</v>
      </c>
      <c r="B1" s="175"/>
      <c r="C1" s="175"/>
      <c r="D1" s="175"/>
      <c r="E1" s="176" t="s">
        <v>0</v>
      </c>
      <c r="F1" s="177"/>
      <c r="H1" s="174" t="s">
        <v>32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F14</f>
        <v>12268</v>
      </c>
      <c r="O4" s="4"/>
    </row>
    <row r="5" spans="1:18" s="10" customFormat="1" ht="23.25" x14ac:dyDescent="0.3">
      <c r="A5" s="26">
        <v>1</v>
      </c>
      <c r="B5" s="31" t="s">
        <v>705</v>
      </c>
      <c r="C5" s="37" t="s">
        <v>19</v>
      </c>
      <c r="D5" s="37">
        <v>70</v>
      </c>
      <c r="E5" s="118">
        <f>50+30</f>
        <v>80</v>
      </c>
      <c r="F5" s="30">
        <f>D5*E5</f>
        <v>5600</v>
      </c>
      <c r="H5" s="26">
        <v>1</v>
      </c>
      <c r="I5" s="154" t="s">
        <v>836</v>
      </c>
      <c r="J5" s="37" t="s">
        <v>19</v>
      </c>
      <c r="K5" s="155">
        <v>28.8</v>
      </c>
      <c r="L5" s="57">
        <f>50+30</f>
        <v>80</v>
      </c>
      <c r="M5" s="30">
        <f>K5*L5</f>
        <v>2304</v>
      </c>
      <c r="N5" s="85"/>
      <c r="O5" s="11"/>
    </row>
    <row r="6" spans="1:18" s="10" customFormat="1" ht="23.25" x14ac:dyDescent="0.3">
      <c r="A6" s="26">
        <v>2</v>
      </c>
      <c r="B6" s="65" t="s">
        <v>48</v>
      </c>
      <c r="C6" s="32" t="s">
        <v>19</v>
      </c>
      <c r="D6" s="32">
        <v>7</v>
      </c>
      <c r="E6" s="29">
        <v>50</v>
      </c>
      <c r="F6" s="30">
        <f t="shared" ref="F6:F8" si="0">D6*E6</f>
        <v>350</v>
      </c>
      <c r="H6" s="26">
        <v>2</v>
      </c>
      <c r="I6" s="154" t="s">
        <v>731</v>
      </c>
      <c r="J6" s="37" t="s">
        <v>19</v>
      </c>
      <c r="K6" s="155">
        <v>48</v>
      </c>
      <c r="L6" s="57">
        <f>50+30</f>
        <v>80</v>
      </c>
      <c r="M6" s="30">
        <f t="shared" ref="M6:M8" si="1">K6*L6</f>
        <v>3840</v>
      </c>
      <c r="N6" s="85"/>
      <c r="O6" s="11"/>
    </row>
    <row r="7" spans="1:18" s="10" customFormat="1" ht="23.25" x14ac:dyDescent="0.3">
      <c r="A7" s="26">
        <v>3</v>
      </c>
      <c r="B7" s="65" t="s">
        <v>706</v>
      </c>
      <c r="C7" s="32" t="s">
        <v>19</v>
      </c>
      <c r="D7" s="32">
        <v>3</v>
      </c>
      <c r="E7" s="118">
        <f>50+30</f>
        <v>80</v>
      </c>
      <c r="F7" s="30">
        <f t="shared" si="0"/>
        <v>240</v>
      </c>
      <c r="H7" s="26">
        <v>3</v>
      </c>
      <c r="I7" s="156" t="s">
        <v>837</v>
      </c>
      <c r="J7" s="32" t="s">
        <v>20</v>
      </c>
      <c r="K7" s="115">
        <v>9.3000000000000007</v>
      </c>
      <c r="L7" s="57">
        <v>30</v>
      </c>
      <c r="M7" s="30">
        <f t="shared" si="1"/>
        <v>279</v>
      </c>
      <c r="N7" s="85"/>
      <c r="O7" s="11"/>
    </row>
    <row r="8" spans="1:18" s="10" customFormat="1" ht="23.25" x14ac:dyDescent="0.3">
      <c r="A8" s="26">
        <v>4</v>
      </c>
      <c r="B8" s="65" t="s">
        <v>49</v>
      </c>
      <c r="C8" s="37" t="s">
        <v>20</v>
      </c>
      <c r="D8" s="37">
        <v>20</v>
      </c>
      <c r="E8" s="57">
        <v>30</v>
      </c>
      <c r="F8" s="30">
        <f t="shared" si="0"/>
        <v>600</v>
      </c>
      <c r="H8" s="26">
        <v>4</v>
      </c>
      <c r="I8" s="156" t="s">
        <v>838</v>
      </c>
      <c r="J8" s="37" t="s">
        <v>19</v>
      </c>
      <c r="K8" s="155">
        <v>6</v>
      </c>
      <c r="L8" s="57">
        <v>50</v>
      </c>
      <c r="M8" s="30">
        <f t="shared" si="1"/>
        <v>300</v>
      </c>
      <c r="N8" s="117">
        <v>22.12</v>
      </c>
      <c r="O8" s="11"/>
    </row>
    <row r="9" spans="1:18" s="10" customFormat="1" ht="23.25" x14ac:dyDescent="0.3">
      <c r="A9" s="26">
        <v>5</v>
      </c>
      <c r="B9" s="31" t="s">
        <v>127</v>
      </c>
      <c r="C9" s="37" t="s">
        <v>19</v>
      </c>
      <c r="D9" s="37">
        <v>7</v>
      </c>
      <c r="E9" s="57">
        <v>50</v>
      </c>
      <c r="F9" s="30">
        <f>D9*E9</f>
        <v>350</v>
      </c>
      <c r="H9" s="26">
        <v>5</v>
      </c>
      <c r="I9" s="154" t="s">
        <v>839</v>
      </c>
      <c r="J9" s="37" t="s">
        <v>19</v>
      </c>
      <c r="K9" s="155">
        <v>2.4</v>
      </c>
      <c r="L9" s="57">
        <v>50</v>
      </c>
      <c r="M9" s="30">
        <f>K9*L9</f>
        <v>120</v>
      </c>
      <c r="N9" s="85"/>
      <c r="O9" s="11"/>
    </row>
    <row r="10" spans="1:18" s="10" customFormat="1" ht="23.25" x14ac:dyDescent="0.3">
      <c r="A10" s="26">
        <v>6</v>
      </c>
      <c r="B10" s="31" t="s">
        <v>718</v>
      </c>
      <c r="C10" s="32" t="s">
        <v>20</v>
      </c>
      <c r="D10" s="32">
        <v>39</v>
      </c>
      <c r="E10" s="57">
        <v>30</v>
      </c>
      <c r="F10" s="30">
        <f t="shared" ref="F10:F12" si="2">D10*E10</f>
        <v>1170</v>
      </c>
      <c r="H10" s="26">
        <v>6</v>
      </c>
      <c r="I10" s="154" t="s">
        <v>840</v>
      </c>
      <c r="J10" s="32" t="s">
        <v>20</v>
      </c>
      <c r="K10" s="115">
        <v>8</v>
      </c>
      <c r="L10" s="57">
        <v>30</v>
      </c>
      <c r="M10" s="30">
        <f t="shared" ref="M10:M13" si="3">K10*L10</f>
        <v>240</v>
      </c>
      <c r="N10" s="85"/>
      <c r="O10" s="11"/>
    </row>
    <row r="11" spans="1:18" s="10" customFormat="1" ht="23.25" x14ac:dyDescent="0.3">
      <c r="A11" s="26">
        <v>7</v>
      </c>
      <c r="B11" s="65" t="s">
        <v>727</v>
      </c>
      <c r="C11" s="32" t="s">
        <v>19</v>
      </c>
      <c r="D11" s="32">
        <v>60.2</v>
      </c>
      <c r="E11" s="57">
        <v>50</v>
      </c>
      <c r="F11" s="30">
        <f t="shared" ref="F11" si="4">D11*E11</f>
        <v>3010</v>
      </c>
      <c r="H11" s="26">
        <v>7</v>
      </c>
      <c r="I11" s="65" t="s">
        <v>727</v>
      </c>
      <c r="J11" s="32" t="s">
        <v>19</v>
      </c>
      <c r="K11" s="115">
        <v>0</v>
      </c>
      <c r="L11" s="57">
        <v>50</v>
      </c>
      <c r="M11" s="30">
        <f t="shared" si="3"/>
        <v>0</v>
      </c>
      <c r="N11" s="85"/>
      <c r="O11" s="11"/>
    </row>
    <row r="12" spans="1:18" s="10" customFormat="1" ht="23.25" x14ac:dyDescent="0.3">
      <c r="A12" s="26">
        <v>8</v>
      </c>
      <c r="B12" s="65" t="s">
        <v>728</v>
      </c>
      <c r="C12" s="32" t="s">
        <v>20</v>
      </c>
      <c r="D12" s="32">
        <v>21</v>
      </c>
      <c r="E12" s="57">
        <v>30</v>
      </c>
      <c r="F12" s="30">
        <f t="shared" si="2"/>
        <v>630</v>
      </c>
      <c r="H12" s="26">
        <v>8</v>
      </c>
      <c r="I12" s="65" t="s">
        <v>728</v>
      </c>
      <c r="J12" s="32" t="s">
        <v>20</v>
      </c>
      <c r="K12" s="115">
        <v>0</v>
      </c>
      <c r="L12" s="57">
        <v>30</v>
      </c>
      <c r="M12" s="30">
        <f t="shared" si="3"/>
        <v>0</v>
      </c>
      <c r="N12" s="85"/>
      <c r="O12" s="11"/>
    </row>
    <row r="13" spans="1:18" s="10" customFormat="1" ht="23.25" x14ac:dyDescent="0.3">
      <c r="A13" s="26">
        <v>9</v>
      </c>
      <c r="B13" s="65" t="s">
        <v>124</v>
      </c>
      <c r="C13" s="32" t="s">
        <v>20</v>
      </c>
      <c r="D13" s="32">
        <v>53</v>
      </c>
      <c r="E13" s="57">
        <v>6</v>
      </c>
      <c r="F13" s="30">
        <f t="shared" ref="F13" si="5">D13*E13</f>
        <v>318</v>
      </c>
      <c r="H13" s="26">
        <v>9</v>
      </c>
      <c r="I13" s="65" t="s">
        <v>124</v>
      </c>
      <c r="J13" s="32" t="s">
        <v>20</v>
      </c>
      <c r="K13" s="115">
        <v>0</v>
      </c>
      <c r="L13" s="57">
        <v>6</v>
      </c>
      <c r="M13" s="30">
        <f t="shared" si="3"/>
        <v>0</v>
      </c>
      <c r="N13" s="85"/>
      <c r="O13" s="11"/>
    </row>
    <row r="14" spans="1:18" ht="24" thickBot="1" x14ac:dyDescent="0.3">
      <c r="A14" s="38"/>
      <c r="B14" s="39"/>
      <c r="C14" s="39"/>
      <c r="D14" s="39"/>
      <c r="E14" s="40" t="s">
        <v>16</v>
      </c>
      <c r="F14" s="35">
        <f>SUM(F5:F13)</f>
        <v>12268</v>
      </c>
      <c r="H14" s="38"/>
      <c r="I14" s="39"/>
      <c r="J14" s="39"/>
      <c r="K14" s="39"/>
      <c r="L14" s="40" t="s">
        <v>16</v>
      </c>
      <c r="M14" s="35">
        <f>SUM(M5:M13)</f>
        <v>7083</v>
      </c>
    </row>
    <row r="15" spans="1:18" ht="26.25" thickBot="1" x14ac:dyDescent="0.3">
      <c r="A15" s="71"/>
      <c r="B15" s="72"/>
      <c r="C15" s="72"/>
      <c r="D15" s="72"/>
      <c r="E15" s="73" t="s">
        <v>21</v>
      </c>
      <c r="F15" s="12">
        <f>SUMIF(E1:E19981,"CƏMİ",F1:F19981)</f>
        <v>12268</v>
      </c>
      <c r="H15" s="71"/>
      <c r="I15" s="72"/>
      <c r="J15" s="72"/>
      <c r="K15" s="72"/>
      <c r="L15" s="73" t="s">
        <v>21</v>
      </c>
      <c r="M15" s="12">
        <f>SUMIF(L1:L19981,"CƏMİ",M1:M19981)</f>
        <v>7083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C177C-3D63-4C36-92E4-EFF27F8A2145}">
  <sheetPr>
    <tabColor rgb="FFFFFF00"/>
    <pageSetUpPr fitToPage="1"/>
  </sheetPr>
  <dimension ref="A1:R16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L12" sqref="L12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18.57031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89</v>
      </c>
      <c r="B1" s="175"/>
      <c r="C1" s="175"/>
      <c r="D1" s="175"/>
      <c r="E1" s="176" t="s">
        <v>0</v>
      </c>
      <c r="F1" s="177"/>
      <c r="H1" s="174" t="s">
        <v>89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45100</v>
      </c>
      <c r="H2" s="17"/>
      <c r="I2" s="18"/>
      <c r="J2" s="18"/>
      <c r="K2" s="19"/>
      <c r="L2" s="18"/>
      <c r="M2" s="46">
        <v>45100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F15</f>
        <v>9666.4</v>
      </c>
      <c r="O4" s="4"/>
    </row>
    <row r="5" spans="1:18" s="10" customFormat="1" ht="23.25" x14ac:dyDescent="0.3">
      <c r="A5" s="26">
        <v>1</v>
      </c>
      <c r="B5" s="65" t="s">
        <v>90</v>
      </c>
      <c r="C5" s="178" t="s">
        <v>19</v>
      </c>
      <c r="D5" s="178">
        <v>33</v>
      </c>
      <c r="E5" s="180">
        <v>80</v>
      </c>
      <c r="F5" s="182">
        <f t="shared" ref="F5:F13" si="0">D5*E5</f>
        <v>2640</v>
      </c>
      <c r="H5" s="26">
        <v>1</v>
      </c>
      <c r="I5" s="65" t="s">
        <v>90</v>
      </c>
      <c r="J5" s="178" t="s">
        <v>19</v>
      </c>
      <c r="K5" s="178">
        <v>33</v>
      </c>
      <c r="L5" s="180">
        <v>80</v>
      </c>
      <c r="M5" s="182">
        <f t="shared" ref="M5" si="1">K5*L5</f>
        <v>2640</v>
      </c>
      <c r="N5" s="85"/>
      <c r="O5" s="11"/>
    </row>
    <row r="6" spans="1:18" s="10" customFormat="1" ht="23.25" x14ac:dyDescent="0.3">
      <c r="A6" s="26">
        <v>2</v>
      </c>
      <c r="B6" s="65" t="s">
        <v>719</v>
      </c>
      <c r="C6" s="179"/>
      <c r="D6" s="179"/>
      <c r="E6" s="181"/>
      <c r="F6" s="183"/>
      <c r="H6" s="26">
        <v>2</v>
      </c>
      <c r="I6" s="65" t="s">
        <v>719</v>
      </c>
      <c r="J6" s="179"/>
      <c r="K6" s="179"/>
      <c r="L6" s="181"/>
      <c r="M6" s="183"/>
      <c r="N6" s="85"/>
      <c r="O6" s="11"/>
    </row>
    <row r="7" spans="1:18" s="10" customFormat="1" ht="23.25" x14ac:dyDescent="0.3">
      <c r="A7" s="26">
        <v>3</v>
      </c>
      <c r="B7" s="65" t="s">
        <v>128</v>
      </c>
      <c r="C7" s="32" t="s">
        <v>19</v>
      </c>
      <c r="D7" s="32">
        <v>3.2</v>
      </c>
      <c r="E7" s="57"/>
      <c r="F7" s="30">
        <f t="shared" ref="F7:F8" si="2">D7*E7</f>
        <v>0</v>
      </c>
      <c r="H7" s="26">
        <v>3</v>
      </c>
      <c r="I7" s="65" t="s">
        <v>128</v>
      </c>
      <c r="J7" s="32" t="s">
        <v>19</v>
      </c>
      <c r="K7" s="32">
        <v>3.2</v>
      </c>
      <c r="L7" s="57"/>
      <c r="M7" s="30">
        <f t="shared" ref="M7:M14" si="3">K7*L7</f>
        <v>0</v>
      </c>
      <c r="N7" s="85"/>
      <c r="O7" s="11"/>
    </row>
    <row r="8" spans="1:18" s="10" customFormat="1" ht="23.25" x14ac:dyDescent="0.3">
      <c r="A8" s="26">
        <v>4</v>
      </c>
      <c r="B8" s="65" t="s">
        <v>129</v>
      </c>
      <c r="C8" s="32" t="s">
        <v>20</v>
      </c>
      <c r="D8" s="32">
        <v>12</v>
      </c>
      <c r="E8" s="57"/>
      <c r="F8" s="30">
        <f t="shared" si="2"/>
        <v>0</v>
      </c>
      <c r="H8" s="26">
        <v>4</v>
      </c>
      <c r="I8" s="65" t="s">
        <v>129</v>
      </c>
      <c r="J8" s="32" t="s">
        <v>20</v>
      </c>
      <c r="K8" s="32">
        <v>12</v>
      </c>
      <c r="L8" s="57"/>
      <c r="M8" s="30">
        <f t="shared" si="3"/>
        <v>0</v>
      </c>
      <c r="N8" s="85"/>
      <c r="O8" s="11"/>
    </row>
    <row r="9" spans="1:18" s="10" customFormat="1" ht="23.25" x14ac:dyDescent="0.3">
      <c r="A9" s="26">
        <v>5</v>
      </c>
      <c r="B9" s="65" t="s">
        <v>720</v>
      </c>
      <c r="C9" s="90" t="s">
        <v>19</v>
      </c>
      <c r="D9" s="90">
        <v>18</v>
      </c>
      <c r="E9" s="91">
        <v>80</v>
      </c>
      <c r="F9" s="92">
        <f t="shared" si="0"/>
        <v>1440</v>
      </c>
      <c r="H9" s="26">
        <v>5</v>
      </c>
      <c r="I9" s="65" t="s">
        <v>720</v>
      </c>
      <c r="J9" s="90" t="s">
        <v>19</v>
      </c>
      <c r="K9" s="90">
        <v>18</v>
      </c>
      <c r="L9" s="91">
        <v>80</v>
      </c>
      <c r="M9" s="92">
        <f t="shared" si="3"/>
        <v>1440</v>
      </c>
      <c r="N9" s="85"/>
      <c r="O9" s="11"/>
    </row>
    <row r="10" spans="1:18" s="10" customFormat="1" ht="23.25" x14ac:dyDescent="0.3">
      <c r="A10" s="26">
        <v>7</v>
      </c>
      <c r="B10" s="65" t="s">
        <v>71</v>
      </c>
      <c r="C10" s="32" t="s">
        <v>19</v>
      </c>
      <c r="D10" s="32">
        <v>33</v>
      </c>
      <c r="E10" s="57">
        <v>50</v>
      </c>
      <c r="F10" s="30">
        <f t="shared" si="0"/>
        <v>1650</v>
      </c>
      <c r="H10" s="26">
        <v>7</v>
      </c>
      <c r="I10" s="65" t="s">
        <v>71</v>
      </c>
      <c r="J10" s="32" t="s">
        <v>19</v>
      </c>
      <c r="K10" s="115">
        <v>0</v>
      </c>
      <c r="L10" s="57">
        <v>50</v>
      </c>
      <c r="M10" s="30">
        <f t="shared" si="3"/>
        <v>0</v>
      </c>
      <c r="N10" s="85"/>
      <c r="O10" s="11"/>
    </row>
    <row r="11" spans="1:18" s="10" customFormat="1" ht="23.25" x14ac:dyDescent="0.3">
      <c r="A11" s="26">
        <v>8</v>
      </c>
      <c r="B11" s="65" t="s">
        <v>172</v>
      </c>
      <c r="C11" s="32" t="s">
        <v>20</v>
      </c>
      <c r="D11" s="32">
        <v>51</v>
      </c>
      <c r="E11" s="57">
        <v>30</v>
      </c>
      <c r="F11" s="30">
        <f t="shared" si="0"/>
        <v>1530</v>
      </c>
      <c r="H11" s="26">
        <v>8</v>
      </c>
      <c r="I11" s="65" t="s">
        <v>172</v>
      </c>
      <c r="J11" s="32" t="s">
        <v>20</v>
      </c>
      <c r="K11" s="32">
        <v>51</v>
      </c>
      <c r="L11" s="118">
        <v>25</v>
      </c>
      <c r="M11" s="30">
        <f t="shared" si="3"/>
        <v>1275</v>
      </c>
      <c r="N11" s="85"/>
      <c r="O11" s="11"/>
    </row>
    <row r="12" spans="1:18" s="10" customFormat="1" ht="23.25" x14ac:dyDescent="0.3">
      <c r="A12" s="26">
        <v>9</v>
      </c>
      <c r="B12" s="70" t="s">
        <v>69</v>
      </c>
      <c r="C12" s="32" t="s">
        <v>19</v>
      </c>
      <c r="D12" s="88">
        <f>20-4.2</f>
        <v>15.8</v>
      </c>
      <c r="E12" s="57">
        <v>50</v>
      </c>
      <c r="F12" s="30">
        <f t="shared" si="0"/>
        <v>790</v>
      </c>
      <c r="H12" s="26">
        <v>9</v>
      </c>
      <c r="I12" s="70" t="s">
        <v>69</v>
      </c>
      <c r="J12" s="32" t="s">
        <v>19</v>
      </c>
      <c r="K12" s="88">
        <f>20-4.2</f>
        <v>15.8</v>
      </c>
      <c r="L12" s="57">
        <v>50</v>
      </c>
      <c r="M12" s="30">
        <f t="shared" si="3"/>
        <v>790</v>
      </c>
      <c r="N12" s="85"/>
      <c r="O12" s="11"/>
    </row>
    <row r="13" spans="1:18" s="10" customFormat="1" ht="23.25" x14ac:dyDescent="0.3">
      <c r="A13" s="26">
        <v>10</v>
      </c>
      <c r="B13" s="70" t="s">
        <v>750</v>
      </c>
      <c r="C13" s="32" t="s">
        <v>20</v>
      </c>
      <c r="D13" s="32">
        <v>41</v>
      </c>
      <c r="E13" s="57">
        <v>30</v>
      </c>
      <c r="F13" s="30">
        <f t="shared" si="0"/>
        <v>1230</v>
      </c>
      <c r="H13" s="26">
        <v>10</v>
      </c>
      <c r="I13" s="70" t="s">
        <v>750</v>
      </c>
      <c r="J13" s="32" t="s">
        <v>20</v>
      </c>
      <c r="K13" s="32">
        <v>41</v>
      </c>
      <c r="L13" s="57">
        <v>30</v>
      </c>
      <c r="M13" s="30">
        <f t="shared" si="3"/>
        <v>1230</v>
      </c>
      <c r="N13" s="85"/>
      <c r="O13" s="11"/>
    </row>
    <row r="14" spans="1:18" s="10" customFormat="1" ht="23.25" x14ac:dyDescent="0.3">
      <c r="A14" s="26">
        <v>11</v>
      </c>
      <c r="B14" s="65" t="s">
        <v>122</v>
      </c>
      <c r="C14" s="32" t="s">
        <v>119</v>
      </c>
      <c r="D14" s="32">
        <v>0.84</v>
      </c>
      <c r="E14" s="57">
        <v>460</v>
      </c>
      <c r="F14" s="30">
        <f t="shared" ref="F14" si="4">D14*E14</f>
        <v>386.4</v>
      </c>
      <c r="H14" s="26">
        <v>11</v>
      </c>
      <c r="I14" s="65" t="s">
        <v>122</v>
      </c>
      <c r="J14" s="32" t="s">
        <v>119</v>
      </c>
      <c r="K14" s="32">
        <v>0.84</v>
      </c>
      <c r="L14" s="57">
        <v>460</v>
      </c>
      <c r="M14" s="30">
        <f t="shared" si="3"/>
        <v>386.4</v>
      </c>
      <c r="N14" s="85"/>
      <c r="O14" s="11"/>
    </row>
    <row r="15" spans="1:18" ht="24" thickBot="1" x14ac:dyDescent="0.3">
      <c r="A15" s="38"/>
      <c r="B15" s="39"/>
      <c r="C15" s="39"/>
      <c r="D15" s="39"/>
      <c r="E15" s="40" t="s">
        <v>16</v>
      </c>
      <c r="F15" s="35">
        <f>SUM(F5:F14)</f>
        <v>9666.4</v>
      </c>
      <c r="H15" s="38"/>
      <c r="I15" s="39"/>
      <c r="J15" s="39"/>
      <c r="K15" s="39"/>
      <c r="L15" s="40" t="s">
        <v>16</v>
      </c>
      <c r="M15" s="35">
        <f>SUM(M5:M14)</f>
        <v>7761.4</v>
      </c>
    </row>
    <row r="16" spans="1:18" ht="26.25" thickBot="1" x14ac:dyDescent="0.3">
      <c r="A16" s="76"/>
      <c r="B16" s="77"/>
      <c r="C16" s="77"/>
      <c r="D16" s="77"/>
      <c r="E16" s="78" t="s">
        <v>21</v>
      </c>
      <c r="F16" s="12">
        <f>SUMIF(E1:E19982,"CƏMİ",F1:F19982)</f>
        <v>9666.4</v>
      </c>
      <c r="H16" s="76"/>
      <c r="I16" s="77"/>
      <c r="J16" s="77"/>
      <c r="K16" s="77"/>
      <c r="L16" s="78" t="s">
        <v>21</v>
      </c>
      <c r="M16" s="12">
        <f>SUMIF(L1:L19982,"CƏMİ",M1:M19982)</f>
        <v>7761.4</v>
      </c>
    </row>
  </sheetData>
  <mergeCells count="12">
    <mergeCell ref="A1:D1"/>
    <mergeCell ref="E1:F1"/>
    <mergeCell ref="C5:C6"/>
    <mergeCell ref="D5:D6"/>
    <mergeCell ref="E5:E6"/>
    <mergeCell ref="F5:F6"/>
    <mergeCell ref="H1:K1"/>
    <mergeCell ref="L1:M1"/>
    <mergeCell ref="J5:J6"/>
    <mergeCell ref="K5:K6"/>
    <mergeCell ref="L5:L6"/>
    <mergeCell ref="M5:M6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A7E-BBCC-4E65-A322-CDCB338A27C3}">
  <sheetPr>
    <tabColor rgb="FFFFFF00"/>
    <pageSetUpPr fitToPage="1"/>
  </sheetPr>
  <dimension ref="A1:R24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I38" sqref="I38"/>
    </sheetView>
  </sheetViews>
  <sheetFormatPr defaultColWidth="9.140625" defaultRowHeight="15" x14ac:dyDescent="0.25"/>
  <cols>
    <col min="1" max="1" width="6.42578125" style="5" bestFit="1" customWidth="1"/>
    <col min="2" max="2" width="116.8554687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6.8554687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34</v>
      </c>
      <c r="B1" s="175"/>
      <c r="C1" s="175"/>
      <c r="D1" s="175"/>
      <c r="E1" s="176" t="s">
        <v>0</v>
      </c>
      <c r="F1" s="177"/>
      <c r="H1" s="174" t="s">
        <v>34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F21</f>
        <v>26101</v>
      </c>
      <c r="O4" s="4"/>
    </row>
    <row r="5" spans="1:18" s="10" customFormat="1" ht="23.25" x14ac:dyDescent="0.3">
      <c r="A5" s="26">
        <v>1</v>
      </c>
      <c r="B5" s="70" t="s">
        <v>707</v>
      </c>
      <c r="C5" s="32" t="s">
        <v>19</v>
      </c>
      <c r="D5" s="32">
        <v>90</v>
      </c>
      <c r="E5" s="118">
        <f>50+30</f>
        <v>80</v>
      </c>
      <c r="F5" s="30">
        <f>D5*E5</f>
        <v>7200</v>
      </c>
      <c r="H5" s="26">
        <v>1</v>
      </c>
      <c r="I5" s="70" t="s">
        <v>707</v>
      </c>
      <c r="J5" s="32" t="s">
        <v>19</v>
      </c>
      <c r="K5" s="32">
        <v>90</v>
      </c>
      <c r="L5" s="118">
        <f>50+30</f>
        <v>80</v>
      </c>
      <c r="M5" s="30">
        <f>K5*L5</f>
        <v>7200</v>
      </c>
      <c r="N5" s="85"/>
      <c r="O5" s="11"/>
    </row>
    <row r="6" spans="1:18" s="10" customFormat="1" ht="23.25" x14ac:dyDescent="0.3">
      <c r="A6" s="26">
        <v>2</v>
      </c>
      <c r="B6" s="65" t="s">
        <v>42</v>
      </c>
      <c r="C6" s="32" t="s">
        <v>19</v>
      </c>
      <c r="D6" s="32">
        <v>25</v>
      </c>
      <c r="E6" s="29">
        <v>50</v>
      </c>
      <c r="F6" s="30">
        <f t="shared" ref="F6:F11" si="0">D6*E6</f>
        <v>1250</v>
      </c>
      <c r="H6" s="26">
        <v>2</v>
      </c>
      <c r="I6" s="65" t="s">
        <v>42</v>
      </c>
      <c r="J6" s="32" t="s">
        <v>19</v>
      </c>
      <c r="K6" s="115">
        <v>0</v>
      </c>
      <c r="L6" s="29">
        <v>50</v>
      </c>
      <c r="M6" s="30">
        <f t="shared" ref="M6:M11" si="1">K6*L6</f>
        <v>0</v>
      </c>
      <c r="N6" s="85"/>
      <c r="O6" s="11"/>
    </row>
    <row r="7" spans="1:18" s="10" customFormat="1" ht="23.25" x14ac:dyDescent="0.3">
      <c r="A7" s="26">
        <v>3</v>
      </c>
      <c r="B7" s="65" t="s">
        <v>711</v>
      </c>
      <c r="C7" s="32" t="s">
        <v>20</v>
      </c>
      <c r="D7" s="32">
        <v>42</v>
      </c>
      <c r="E7" s="29">
        <v>30</v>
      </c>
      <c r="F7" s="30">
        <f t="shared" si="0"/>
        <v>1260</v>
      </c>
      <c r="H7" s="26">
        <v>3</v>
      </c>
      <c r="I7" s="65" t="s">
        <v>711</v>
      </c>
      <c r="J7" s="32" t="s">
        <v>20</v>
      </c>
      <c r="K7" s="32">
        <v>42</v>
      </c>
      <c r="L7" s="118">
        <v>25</v>
      </c>
      <c r="M7" s="30">
        <f t="shared" si="1"/>
        <v>1050</v>
      </c>
      <c r="N7" s="85"/>
      <c r="O7" s="11"/>
    </row>
    <row r="8" spans="1:18" s="10" customFormat="1" ht="23.25" x14ac:dyDescent="0.3">
      <c r="A8" s="26">
        <v>4</v>
      </c>
      <c r="B8" s="65" t="s">
        <v>44</v>
      </c>
      <c r="C8" s="32" t="s">
        <v>19</v>
      </c>
      <c r="D8" s="32">
        <v>23</v>
      </c>
      <c r="E8" s="29">
        <v>50</v>
      </c>
      <c r="F8" s="30">
        <f t="shared" si="0"/>
        <v>1150</v>
      </c>
      <c r="H8" s="26">
        <v>4</v>
      </c>
      <c r="I8" s="65" t="s">
        <v>44</v>
      </c>
      <c r="J8" s="32" t="s">
        <v>19</v>
      </c>
      <c r="K8" s="32">
        <v>23</v>
      </c>
      <c r="L8" s="29">
        <v>50</v>
      </c>
      <c r="M8" s="30">
        <f t="shared" si="1"/>
        <v>1150</v>
      </c>
      <c r="N8" s="85"/>
      <c r="O8" s="11"/>
    </row>
    <row r="9" spans="1:18" s="10" customFormat="1" ht="23.25" x14ac:dyDescent="0.3">
      <c r="A9" s="26">
        <v>5</v>
      </c>
      <c r="B9" s="65" t="s">
        <v>712</v>
      </c>
      <c r="C9" s="32" t="s">
        <v>20</v>
      </c>
      <c r="D9" s="32">
        <v>71</v>
      </c>
      <c r="E9" s="29">
        <v>30</v>
      </c>
      <c r="F9" s="30">
        <f t="shared" si="0"/>
        <v>2130</v>
      </c>
      <c r="H9" s="26">
        <v>5</v>
      </c>
      <c r="I9" s="65" t="s">
        <v>712</v>
      </c>
      <c r="J9" s="32" t="s">
        <v>20</v>
      </c>
      <c r="K9" s="32">
        <v>71</v>
      </c>
      <c r="L9" s="29">
        <v>30</v>
      </c>
      <c r="M9" s="30">
        <f t="shared" si="1"/>
        <v>2130</v>
      </c>
      <c r="N9" s="85"/>
      <c r="O9" s="11"/>
    </row>
    <row r="10" spans="1:18" s="10" customFormat="1" ht="23.25" x14ac:dyDescent="0.3">
      <c r="A10" s="26">
        <v>6</v>
      </c>
      <c r="B10" s="65" t="s">
        <v>45</v>
      </c>
      <c r="C10" s="32" t="s">
        <v>19</v>
      </c>
      <c r="D10" s="32">
        <v>13.5</v>
      </c>
      <c r="E10" s="29">
        <v>50</v>
      </c>
      <c r="F10" s="30">
        <f t="shared" si="0"/>
        <v>675</v>
      </c>
      <c r="H10" s="26">
        <v>6</v>
      </c>
      <c r="I10" s="65" t="s">
        <v>45</v>
      </c>
      <c r="J10" s="32" t="s">
        <v>19</v>
      </c>
      <c r="K10" s="32">
        <v>13.5</v>
      </c>
      <c r="L10" s="29">
        <v>50</v>
      </c>
      <c r="M10" s="30">
        <f t="shared" si="1"/>
        <v>675</v>
      </c>
      <c r="N10" s="85"/>
      <c r="O10" s="11"/>
    </row>
    <row r="11" spans="1:18" s="10" customFormat="1" ht="23.25" x14ac:dyDescent="0.3">
      <c r="A11" s="26">
        <v>7</v>
      </c>
      <c r="B11" s="65" t="s">
        <v>713</v>
      </c>
      <c r="C11" s="32" t="s">
        <v>20</v>
      </c>
      <c r="D11" s="32">
        <v>27</v>
      </c>
      <c r="E11" s="29">
        <v>30</v>
      </c>
      <c r="F11" s="30">
        <f t="shared" si="0"/>
        <v>810</v>
      </c>
      <c r="H11" s="26">
        <v>7</v>
      </c>
      <c r="I11" s="65" t="s">
        <v>713</v>
      </c>
      <c r="J11" s="32" t="s">
        <v>20</v>
      </c>
      <c r="K11" s="32">
        <v>27</v>
      </c>
      <c r="L11" s="29">
        <v>30</v>
      </c>
      <c r="M11" s="30">
        <f t="shared" si="1"/>
        <v>810</v>
      </c>
      <c r="N11" s="85"/>
      <c r="O11" s="11"/>
    </row>
    <row r="12" spans="1:18" s="10" customFormat="1" ht="23.25" x14ac:dyDescent="0.3">
      <c r="A12" s="26">
        <v>8</v>
      </c>
      <c r="B12" s="70" t="s">
        <v>131</v>
      </c>
      <c r="C12" s="32" t="s">
        <v>20</v>
      </c>
      <c r="D12" s="88">
        <f>22-1.2</f>
        <v>20.8</v>
      </c>
      <c r="E12" s="57">
        <v>150</v>
      </c>
      <c r="F12" s="30">
        <f>D12*E12</f>
        <v>3120</v>
      </c>
      <c r="H12" s="26">
        <v>8</v>
      </c>
      <c r="I12" s="70" t="s">
        <v>131</v>
      </c>
      <c r="J12" s="32" t="s">
        <v>20</v>
      </c>
      <c r="K12" s="88">
        <f>22-1.2</f>
        <v>20.8</v>
      </c>
      <c r="L12" s="57">
        <v>150</v>
      </c>
      <c r="M12" s="30">
        <f>K12*L12</f>
        <v>3120</v>
      </c>
      <c r="N12" s="85"/>
      <c r="O12" s="11"/>
    </row>
    <row r="13" spans="1:18" s="10" customFormat="1" ht="23.25" x14ac:dyDescent="0.3">
      <c r="A13" s="26">
        <v>9</v>
      </c>
      <c r="B13" s="65" t="s">
        <v>132</v>
      </c>
      <c r="C13" s="32" t="s">
        <v>20</v>
      </c>
      <c r="D13" s="32">
        <v>125</v>
      </c>
      <c r="E13" s="57">
        <v>6</v>
      </c>
      <c r="F13" s="30">
        <f t="shared" ref="F13:F20" si="2">D13*E13</f>
        <v>750</v>
      </c>
      <c r="H13" s="26">
        <v>9</v>
      </c>
      <c r="I13" s="65" t="s">
        <v>132</v>
      </c>
      <c r="J13" s="32" t="s">
        <v>20</v>
      </c>
      <c r="K13" s="32">
        <v>125</v>
      </c>
      <c r="L13" s="57">
        <v>6</v>
      </c>
      <c r="M13" s="30">
        <f t="shared" ref="M13:M15" si="3">K13*L13</f>
        <v>750</v>
      </c>
      <c r="N13" s="85"/>
      <c r="O13" s="11"/>
    </row>
    <row r="14" spans="1:18" s="10" customFormat="1" ht="23.25" x14ac:dyDescent="0.3">
      <c r="A14" s="26">
        <v>10</v>
      </c>
      <c r="B14" s="65" t="s">
        <v>721</v>
      </c>
      <c r="C14" s="32" t="s">
        <v>19</v>
      </c>
      <c r="D14" s="32">
        <v>10</v>
      </c>
      <c r="E14" s="57">
        <v>50</v>
      </c>
      <c r="F14" s="30">
        <f t="shared" si="2"/>
        <v>500</v>
      </c>
      <c r="H14" s="26">
        <v>10</v>
      </c>
      <c r="I14" s="65" t="s">
        <v>721</v>
      </c>
      <c r="J14" s="32" t="s">
        <v>19</v>
      </c>
      <c r="K14" s="32">
        <v>10</v>
      </c>
      <c r="L14" s="57">
        <v>50</v>
      </c>
      <c r="M14" s="30">
        <f t="shared" si="3"/>
        <v>500</v>
      </c>
      <c r="N14" s="85"/>
      <c r="O14" s="11"/>
    </row>
    <row r="15" spans="1:18" s="10" customFormat="1" ht="23.25" x14ac:dyDescent="0.3">
      <c r="A15" s="26">
        <v>11</v>
      </c>
      <c r="B15" s="65" t="s">
        <v>722</v>
      </c>
      <c r="C15" s="32" t="s">
        <v>20</v>
      </c>
      <c r="D15" s="32">
        <v>25</v>
      </c>
      <c r="E15" s="57">
        <v>30</v>
      </c>
      <c r="F15" s="30">
        <f t="shared" si="2"/>
        <v>750</v>
      </c>
      <c r="H15" s="26">
        <v>11</v>
      </c>
      <c r="I15" s="65" t="s">
        <v>722</v>
      </c>
      <c r="J15" s="32" t="s">
        <v>20</v>
      </c>
      <c r="K15" s="32">
        <v>25</v>
      </c>
      <c r="L15" s="57">
        <v>30</v>
      </c>
      <c r="M15" s="30">
        <f t="shared" si="3"/>
        <v>750</v>
      </c>
      <c r="N15" s="85"/>
      <c r="O15" s="11"/>
    </row>
    <row r="16" spans="1:18" s="10" customFormat="1" ht="23.25" x14ac:dyDescent="0.3">
      <c r="A16" s="26">
        <v>12</v>
      </c>
      <c r="B16" s="65" t="s">
        <v>724</v>
      </c>
      <c r="C16" s="32" t="s">
        <v>19</v>
      </c>
      <c r="D16" s="32">
        <v>49</v>
      </c>
      <c r="E16" s="57">
        <v>50</v>
      </c>
      <c r="F16" s="30">
        <f>D16*E16</f>
        <v>2450</v>
      </c>
      <c r="H16" s="26">
        <v>12</v>
      </c>
      <c r="I16" s="65" t="s">
        <v>724</v>
      </c>
      <c r="J16" s="32" t="s">
        <v>19</v>
      </c>
      <c r="K16" s="32">
        <v>49</v>
      </c>
      <c r="L16" s="57">
        <v>50</v>
      </c>
      <c r="M16" s="30">
        <f>K16*L16</f>
        <v>2450</v>
      </c>
      <c r="N16" s="85"/>
      <c r="O16" s="11"/>
    </row>
    <row r="17" spans="1:15" s="10" customFormat="1" ht="23.25" x14ac:dyDescent="0.3">
      <c r="A17" s="26">
        <v>13</v>
      </c>
      <c r="B17" s="65" t="s">
        <v>723</v>
      </c>
      <c r="C17" s="32" t="s">
        <v>19</v>
      </c>
      <c r="D17" s="32">
        <v>37.4</v>
      </c>
      <c r="E17" s="57">
        <v>50</v>
      </c>
      <c r="F17" s="30">
        <f t="shared" ref="F17:F19" si="4">D17*E17</f>
        <v>1870</v>
      </c>
      <c r="H17" s="26">
        <v>13</v>
      </c>
      <c r="I17" s="65" t="s">
        <v>723</v>
      </c>
      <c r="J17" s="32" t="s">
        <v>19</v>
      </c>
      <c r="K17" s="32">
        <v>37.4</v>
      </c>
      <c r="L17" s="57">
        <v>50</v>
      </c>
      <c r="M17" s="30">
        <f t="shared" ref="M17:M20" si="5">K17*L17</f>
        <v>1870</v>
      </c>
      <c r="N17" s="85"/>
      <c r="O17" s="11"/>
    </row>
    <row r="18" spans="1:15" s="10" customFormat="1" ht="23.25" x14ac:dyDescent="0.3">
      <c r="A18" s="26">
        <v>14</v>
      </c>
      <c r="B18" s="65" t="s">
        <v>725</v>
      </c>
      <c r="C18" s="32" t="s">
        <v>20</v>
      </c>
      <c r="D18" s="32">
        <v>28.9</v>
      </c>
      <c r="E18" s="57">
        <v>30</v>
      </c>
      <c r="F18" s="30">
        <f t="shared" si="4"/>
        <v>867</v>
      </c>
      <c r="H18" s="26">
        <v>14</v>
      </c>
      <c r="I18" s="65" t="s">
        <v>725</v>
      </c>
      <c r="J18" s="32" t="s">
        <v>20</v>
      </c>
      <c r="K18" s="32">
        <v>28.9</v>
      </c>
      <c r="L18" s="57">
        <v>30</v>
      </c>
      <c r="M18" s="30">
        <f t="shared" si="5"/>
        <v>867</v>
      </c>
      <c r="N18" s="85"/>
      <c r="O18" s="11"/>
    </row>
    <row r="19" spans="1:15" s="10" customFormat="1" ht="23.25" x14ac:dyDescent="0.3">
      <c r="A19" s="26">
        <v>15</v>
      </c>
      <c r="B19" s="70" t="s">
        <v>726</v>
      </c>
      <c r="C19" s="32" t="s">
        <v>20</v>
      </c>
      <c r="D19" s="32">
        <v>38.6</v>
      </c>
      <c r="E19" s="57">
        <v>30</v>
      </c>
      <c r="F19" s="30">
        <f t="shared" si="4"/>
        <v>1158</v>
      </c>
      <c r="H19" s="26">
        <v>15</v>
      </c>
      <c r="I19" s="70" t="s">
        <v>726</v>
      </c>
      <c r="J19" s="32" t="s">
        <v>20</v>
      </c>
      <c r="K19" s="32">
        <v>38.6</v>
      </c>
      <c r="L19" s="57">
        <v>30</v>
      </c>
      <c r="M19" s="30">
        <f t="shared" si="5"/>
        <v>1158</v>
      </c>
      <c r="N19" s="85"/>
      <c r="O19" s="11"/>
    </row>
    <row r="20" spans="1:15" s="10" customFormat="1" ht="23.25" x14ac:dyDescent="0.3">
      <c r="A20" s="26">
        <v>16</v>
      </c>
      <c r="B20" s="65" t="s">
        <v>122</v>
      </c>
      <c r="C20" s="32" t="s">
        <v>119</v>
      </c>
      <c r="D20" s="32">
        <v>0.35</v>
      </c>
      <c r="E20" s="57">
        <v>460</v>
      </c>
      <c r="F20" s="30">
        <f t="shared" si="2"/>
        <v>161</v>
      </c>
      <c r="H20" s="26">
        <v>16</v>
      </c>
      <c r="I20" s="65" t="s">
        <v>122</v>
      </c>
      <c r="J20" s="32" t="s">
        <v>119</v>
      </c>
      <c r="K20" s="32">
        <v>0.35</v>
      </c>
      <c r="L20" s="57">
        <v>460</v>
      </c>
      <c r="M20" s="30">
        <f t="shared" si="5"/>
        <v>161</v>
      </c>
      <c r="N20" s="85"/>
      <c r="O20" s="11"/>
    </row>
    <row r="21" spans="1:15" ht="24" thickBot="1" x14ac:dyDescent="0.3">
      <c r="A21" s="38"/>
      <c r="B21" s="39"/>
      <c r="C21" s="39"/>
      <c r="D21" s="39"/>
      <c r="E21" s="40" t="s">
        <v>16</v>
      </c>
      <c r="F21" s="35">
        <f>SUM(F5:F20)</f>
        <v>26101</v>
      </c>
      <c r="H21" s="38"/>
      <c r="I21" s="39"/>
      <c r="J21" s="39"/>
      <c r="K21" s="39"/>
      <c r="L21" s="40" t="s">
        <v>16</v>
      </c>
      <c r="M21" s="35">
        <f>SUM(M5:M20)</f>
        <v>24641</v>
      </c>
    </row>
    <row r="22" spans="1:15" ht="26.25" thickBot="1" x14ac:dyDescent="0.3">
      <c r="A22" s="71"/>
      <c r="B22" s="72"/>
      <c r="C22" s="72"/>
      <c r="D22" s="72"/>
      <c r="E22" s="73" t="s">
        <v>21</v>
      </c>
      <c r="F22" s="12">
        <f>SUMIF(E1:E19988,"CƏMİ",F1:F19988)</f>
        <v>26101</v>
      </c>
      <c r="H22" s="71"/>
      <c r="I22" s="72"/>
      <c r="J22" s="72"/>
      <c r="K22" s="72"/>
      <c r="L22" s="73" t="s">
        <v>21</v>
      </c>
      <c r="M22" s="12">
        <f>SUMIF(L1:L19988,"CƏMİ",M1:M19988)</f>
        <v>24641</v>
      </c>
    </row>
    <row r="24" spans="1:15" ht="23.25" x14ac:dyDescent="0.35">
      <c r="I24" s="163" t="s">
        <v>841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4" fitToHeight="0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FAC7-2582-4FEF-9AF2-60275EC4858F}">
  <sheetPr>
    <tabColor rgb="FFFFFF00"/>
    <pageSetUpPr fitToPage="1"/>
  </sheetPr>
  <dimension ref="A1:R10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K6" sqref="K6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542</v>
      </c>
      <c r="B1" s="175"/>
      <c r="C1" s="175"/>
      <c r="D1" s="175"/>
      <c r="E1" s="176" t="s">
        <v>0</v>
      </c>
      <c r="F1" s="177"/>
      <c r="H1" s="174" t="s">
        <v>542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F9</f>
        <v>3347</v>
      </c>
      <c r="O4" s="4"/>
    </row>
    <row r="5" spans="1:18" s="10" customFormat="1" ht="23.25" x14ac:dyDescent="0.3">
      <c r="A5" s="26">
        <v>1</v>
      </c>
      <c r="B5" s="65" t="s">
        <v>543</v>
      </c>
      <c r="C5" s="32" t="s">
        <v>20</v>
      </c>
      <c r="D5" s="32">
        <v>26</v>
      </c>
      <c r="E5" s="57">
        <v>30</v>
      </c>
      <c r="F5" s="30">
        <f>D5*E5</f>
        <v>780</v>
      </c>
      <c r="H5" s="26">
        <v>1</v>
      </c>
      <c r="I5" s="65" t="s">
        <v>543</v>
      </c>
      <c r="J5" s="32" t="s">
        <v>20</v>
      </c>
      <c r="K5" s="115">
        <v>13</v>
      </c>
      <c r="L5" s="57">
        <v>30</v>
      </c>
      <c r="M5" s="30">
        <f>K5*L5</f>
        <v>390</v>
      </c>
      <c r="N5" s="85"/>
      <c r="O5" s="11"/>
    </row>
    <row r="6" spans="1:18" s="10" customFormat="1" ht="23.25" x14ac:dyDescent="0.3">
      <c r="A6" s="26">
        <v>2</v>
      </c>
      <c r="B6" s="65" t="s">
        <v>320</v>
      </c>
      <c r="C6" s="32" t="s">
        <v>19</v>
      </c>
      <c r="D6" s="88">
        <v>9.1</v>
      </c>
      <c r="E6" s="57">
        <v>50</v>
      </c>
      <c r="F6" s="30">
        <f t="shared" ref="F6:F8" si="0">D6*E6</f>
        <v>455</v>
      </c>
      <c r="H6" s="26">
        <v>2</v>
      </c>
      <c r="I6" s="65" t="s">
        <v>320</v>
      </c>
      <c r="J6" s="32" t="s">
        <v>19</v>
      </c>
      <c r="K6" s="88">
        <v>9.1</v>
      </c>
      <c r="L6" s="57">
        <v>50</v>
      </c>
      <c r="M6" s="30">
        <f t="shared" ref="M6:M8" si="1">K6*L6</f>
        <v>455</v>
      </c>
      <c r="N6" s="85"/>
      <c r="O6" s="11"/>
    </row>
    <row r="7" spans="1:18" s="10" customFormat="1" ht="23.25" x14ac:dyDescent="0.3">
      <c r="A7" s="26">
        <v>3</v>
      </c>
      <c r="B7" s="70" t="s">
        <v>764</v>
      </c>
      <c r="C7" s="32" t="s">
        <v>20</v>
      </c>
      <c r="D7" s="88">
        <v>45.9</v>
      </c>
      <c r="E7" s="57">
        <v>30</v>
      </c>
      <c r="F7" s="30">
        <f t="shared" si="0"/>
        <v>1377</v>
      </c>
      <c r="H7" s="26">
        <v>3</v>
      </c>
      <c r="I7" s="70" t="s">
        <v>764</v>
      </c>
      <c r="J7" s="32" t="s">
        <v>20</v>
      </c>
      <c r="K7" s="88">
        <v>45.9</v>
      </c>
      <c r="L7" s="57">
        <v>30</v>
      </c>
      <c r="M7" s="30">
        <f t="shared" si="1"/>
        <v>1377</v>
      </c>
      <c r="N7" s="85"/>
      <c r="O7" s="11"/>
    </row>
    <row r="8" spans="1:18" s="10" customFormat="1" ht="23.25" x14ac:dyDescent="0.3">
      <c r="A8" s="26">
        <v>4</v>
      </c>
      <c r="B8" s="65" t="s">
        <v>555</v>
      </c>
      <c r="C8" s="32" t="s">
        <v>19</v>
      </c>
      <c r="D8" s="32">
        <v>14.7</v>
      </c>
      <c r="E8" s="57">
        <v>50</v>
      </c>
      <c r="F8" s="30">
        <f t="shared" si="0"/>
        <v>735</v>
      </c>
      <c r="H8" s="26">
        <v>4</v>
      </c>
      <c r="I8" s="65" t="s">
        <v>555</v>
      </c>
      <c r="J8" s="32" t="s">
        <v>19</v>
      </c>
      <c r="K8" s="32">
        <v>14.7</v>
      </c>
      <c r="L8" s="57">
        <v>50</v>
      </c>
      <c r="M8" s="30">
        <f t="shared" si="1"/>
        <v>735</v>
      </c>
      <c r="N8" s="85"/>
      <c r="O8" s="11"/>
    </row>
    <row r="9" spans="1:18" ht="24" thickBot="1" x14ac:dyDescent="0.3">
      <c r="A9" s="38"/>
      <c r="B9" s="39"/>
      <c r="C9" s="39"/>
      <c r="D9" s="39"/>
      <c r="E9" s="40" t="s">
        <v>16</v>
      </c>
      <c r="F9" s="35">
        <f>SUM(F5:F8)</f>
        <v>3347</v>
      </c>
      <c r="H9" s="38"/>
      <c r="I9" s="39"/>
      <c r="J9" s="39"/>
      <c r="K9" s="39"/>
      <c r="L9" s="40" t="s">
        <v>16</v>
      </c>
      <c r="M9" s="35">
        <f>SUM(M5:M8)</f>
        <v>2957</v>
      </c>
    </row>
    <row r="10" spans="1:18" ht="26.25" thickBot="1" x14ac:dyDescent="0.3">
      <c r="A10" s="76"/>
      <c r="B10" s="77"/>
      <c r="C10" s="77"/>
      <c r="D10" s="77"/>
      <c r="E10" s="78" t="s">
        <v>21</v>
      </c>
      <c r="F10" s="12">
        <f>SUMIF(E1:E19976,"CƏMİ",F1:F19976)</f>
        <v>3347</v>
      </c>
      <c r="H10" s="76"/>
      <c r="I10" s="77"/>
      <c r="J10" s="77"/>
      <c r="K10" s="77"/>
      <c r="L10" s="78" t="s">
        <v>21</v>
      </c>
      <c r="M10" s="12">
        <f>SUMIF(L1:L19976,"CƏMİ",M1:M19976)</f>
        <v>2957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5E0D-F6D6-4A11-935F-1EB491B58CF9}">
  <sheetPr>
    <tabColor rgb="FFFFFF00"/>
    <pageSetUpPr fitToPage="1"/>
  </sheetPr>
  <dimension ref="A1:R10"/>
  <sheetViews>
    <sheetView view="pageBreakPreview" zoomScale="55" zoomScaleNormal="55" zoomScaleSheetLayoutView="55" workbookViewId="0">
      <pane ySplit="3" topLeftCell="A4" activePane="bottomLeft" state="frozen"/>
      <selection activeCell="E24" sqref="E24"/>
      <selection pane="bottomLeft" activeCell="L7" sqref="L7"/>
    </sheetView>
  </sheetViews>
  <sheetFormatPr defaultColWidth="9.140625" defaultRowHeight="15" x14ac:dyDescent="0.25"/>
  <cols>
    <col min="1" max="1" width="6.42578125" style="5" bestFit="1" customWidth="1"/>
    <col min="2" max="2" width="116.8554687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6.8554687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370</v>
      </c>
      <c r="B1" s="175"/>
      <c r="C1" s="175"/>
      <c r="D1" s="175"/>
      <c r="E1" s="176" t="s">
        <v>0</v>
      </c>
      <c r="F1" s="177"/>
      <c r="H1" s="174" t="s">
        <v>370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F9</f>
        <v>3302</v>
      </c>
      <c r="O4" s="4"/>
    </row>
    <row r="5" spans="1:18" s="10" customFormat="1" ht="23.25" x14ac:dyDescent="0.3">
      <c r="A5" s="26">
        <v>1</v>
      </c>
      <c r="B5" s="70" t="s">
        <v>731</v>
      </c>
      <c r="C5" s="32" t="s">
        <v>19</v>
      </c>
      <c r="D5" s="32">
        <v>33</v>
      </c>
      <c r="E5" s="57">
        <v>80</v>
      </c>
      <c r="F5" s="30">
        <f>D5*E5</f>
        <v>2640</v>
      </c>
      <c r="H5" s="26">
        <v>1</v>
      </c>
      <c r="I5" s="70" t="s">
        <v>731</v>
      </c>
      <c r="J5" s="32" t="s">
        <v>19</v>
      </c>
      <c r="K5" s="32">
        <v>33</v>
      </c>
      <c r="L5" s="57">
        <v>80</v>
      </c>
      <c r="M5" s="30">
        <f>K5*L5</f>
        <v>2640</v>
      </c>
      <c r="N5" s="85"/>
      <c r="O5" s="11"/>
    </row>
    <row r="6" spans="1:18" s="10" customFormat="1" ht="23.25" x14ac:dyDescent="0.3">
      <c r="A6" s="26">
        <v>2</v>
      </c>
      <c r="B6" s="65" t="s">
        <v>346</v>
      </c>
      <c r="C6" s="32" t="s">
        <v>20</v>
      </c>
      <c r="D6" s="32">
        <v>9</v>
      </c>
      <c r="E6" s="57">
        <v>30</v>
      </c>
      <c r="F6" s="30">
        <f t="shared" ref="F6:F8" si="0">D6*E6</f>
        <v>270</v>
      </c>
      <c r="H6" s="26">
        <v>2</v>
      </c>
      <c r="I6" s="65" t="s">
        <v>346</v>
      </c>
      <c r="J6" s="32" t="s">
        <v>20</v>
      </c>
      <c r="K6" s="32">
        <v>9</v>
      </c>
      <c r="L6" s="118">
        <v>25</v>
      </c>
      <c r="M6" s="30">
        <f t="shared" ref="M6:M8" si="1">K6*L6</f>
        <v>225</v>
      </c>
      <c r="N6" s="85"/>
      <c r="O6" s="11"/>
    </row>
    <row r="7" spans="1:18" s="10" customFormat="1" ht="23.25" x14ac:dyDescent="0.3">
      <c r="A7" s="26">
        <v>3</v>
      </c>
      <c r="B7" s="65" t="s">
        <v>347</v>
      </c>
      <c r="C7" s="32" t="s">
        <v>19</v>
      </c>
      <c r="D7" s="32">
        <v>6</v>
      </c>
      <c r="E7" s="57">
        <v>50</v>
      </c>
      <c r="F7" s="30">
        <f t="shared" si="0"/>
        <v>300</v>
      </c>
      <c r="H7" s="26">
        <v>3</v>
      </c>
      <c r="I7" s="65" t="s">
        <v>347</v>
      </c>
      <c r="J7" s="32" t="s">
        <v>19</v>
      </c>
      <c r="K7" s="115">
        <v>0</v>
      </c>
      <c r="L7" s="57">
        <v>50</v>
      </c>
      <c r="M7" s="30">
        <f t="shared" si="1"/>
        <v>0</v>
      </c>
      <c r="N7" s="85"/>
      <c r="O7" s="11"/>
    </row>
    <row r="8" spans="1:18" s="10" customFormat="1" ht="23.25" x14ac:dyDescent="0.3">
      <c r="A8" s="26">
        <v>4</v>
      </c>
      <c r="B8" s="65" t="s">
        <v>122</v>
      </c>
      <c r="C8" s="32" t="s">
        <v>119</v>
      </c>
      <c r="D8" s="32">
        <v>0.2</v>
      </c>
      <c r="E8" s="57">
        <v>460</v>
      </c>
      <c r="F8" s="30">
        <f t="shared" si="0"/>
        <v>92</v>
      </c>
      <c r="H8" s="26">
        <v>4</v>
      </c>
      <c r="I8" s="65" t="s">
        <v>122</v>
      </c>
      <c r="J8" s="32" t="s">
        <v>119</v>
      </c>
      <c r="K8" s="32">
        <v>0.2</v>
      </c>
      <c r="L8" s="57">
        <v>460</v>
      </c>
      <c r="M8" s="30">
        <f t="shared" si="1"/>
        <v>92</v>
      </c>
      <c r="N8" s="85"/>
      <c r="O8" s="11"/>
    </row>
    <row r="9" spans="1:18" ht="24" thickBot="1" x14ac:dyDescent="0.3">
      <c r="A9" s="38"/>
      <c r="B9" s="39"/>
      <c r="C9" s="39"/>
      <c r="D9" s="39"/>
      <c r="E9" s="40" t="s">
        <v>16</v>
      </c>
      <c r="F9" s="35">
        <f>SUM(F5:F8)</f>
        <v>3302</v>
      </c>
      <c r="H9" s="38"/>
      <c r="I9" s="39"/>
      <c r="J9" s="39"/>
      <c r="K9" s="39"/>
      <c r="L9" s="40" t="s">
        <v>16</v>
      </c>
      <c r="M9" s="35">
        <f>SUM(M5:M8)</f>
        <v>2957</v>
      </c>
    </row>
    <row r="10" spans="1:18" ht="26.25" thickBot="1" x14ac:dyDescent="0.3">
      <c r="A10" s="71"/>
      <c r="B10" s="72"/>
      <c r="C10" s="72"/>
      <c r="D10" s="72"/>
      <c r="E10" s="73" t="s">
        <v>21</v>
      </c>
      <c r="F10" s="12">
        <f>SUMIF(E1:E19976,"CƏMİ",F1:F19976)</f>
        <v>3302</v>
      </c>
      <c r="H10" s="71"/>
      <c r="I10" s="72"/>
      <c r="J10" s="72"/>
      <c r="K10" s="72"/>
      <c r="L10" s="73" t="s">
        <v>21</v>
      </c>
      <c r="M10" s="12">
        <f>SUMIF(L1:L19976,"CƏMİ",M1:M19976)</f>
        <v>2957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4" fitToHeight="0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7741F-5997-4F0F-AF44-B69575083998}">
  <sheetPr>
    <tabColor rgb="FFFFFF00"/>
    <pageSetUpPr fitToPage="1"/>
  </sheetPr>
  <dimension ref="A1:R17"/>
  <sheetViews>
    <sheetView view="pageBreakPreview" zoomScale="55" zoomScaleNormal="55" zoomScaleSheetLayoutView="55" workbookViewId="0">
      <pane ySplit="3" topLeftCell="A4" activePane="bottomLeft" state="frozen"/>
      <selection activeCell="E24" sqref="E24"/>
      <selection pane="bottomLeft" activeCell="I37" sqref="I37"/>
    </sheetView>
  </sheetViews>
  <sheetFormatPr defaultColWidth="9.140625" defaultRowHeight="15" x14ac:dyDescent="0.25"/>
  <cols>
    <col min="1" max="1" width="6.42578125" style="5" bestFit="1" customWidth="1"/>
    <col min="2" max="2" width="109.8554687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09.8554687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367</v>
      </c>
      <c r="B1" s="175"/>
      <c r="C1" s="175"/>
      <c r="D1" s="175"/>
      <c r="E1" s="176" t="s">
        <v>0</v>
      </c>
      <c r="F1" s="177"/>
      <c r="H1" s="174" t="s">
        <v>367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F16</f>
        <v>33005</v>
      </c>
      <c r="O4" s="4"/>
    </row>
    <row r="5" spans="1:18" s="10" customFormat="1" ht="23.25" x14ac:dyDescent="0.3">
      <c r="A5" s="26">
        <v>1</v>
      </c>
      <c r="B5" s="70" t="s">
        <v>346</v>
      </c>
      <c r="C5" s="32" t="s">
        <v>20</v>
      </c>
      <c r="D5" s="88">
        <v>60</v>
      </c>
      <c r="E5" s="57">
        <v>30</v>
      </c>
      <c r="F5" s="30">
        <f>D5*E5</f>
        <v>1800</v>
      </c>
      <c r="H5" s="26">
        <v>1</v>
      </c>
      <c r="I5" s="70" t="s">
        <v>346</v>
      </c>
      <c r="J5" s="32" t="s">
        <v>20</v>
      </c>
      <c r="K5" s="88">
        <v>60</v>
      </c>
      <c r="L5" s="118">
        <v>25</v>
      </c>
      <c r="M5" s="30">
        <f>K5*L5</f>
        <v>1500</v>
      </c>
      <c r="N5" s="85"/>
      <c r="O5" s="11"/>
    </row>
    <row r="6" spans="1:18" s="10" customFormat="1" ht="23.25" x14ac:dyDescent="0.3">
      <c r="A6" s="26">
        <v>2</v>
      </c>
      <c r="B6" s="70" t="s">
        <v>347</v>
      </c>
      <c r="C6" s="32" t="s">
        <v>19</v>
      </c>
      <c r="D6" s="32">
        <v>39</v>
      </c>
      <c r="E6" s="57">
        <v>50</v>
      </c>
      <c r="F6" s="30">
        <f t="shared" ref="F6:F15" si="0">D6*E6</f>
        <v>1950</v>
      </c>
      <c r="H6" s="26">
        <v>2</v>
      </c>
      <c r="I6" s="70" t="s">
        <v>347</v>
      </c>
      <c r="J6" s="32" t="s">
        <v>19</v>
      </c>
      <c r="K6" s="115">
        <v>0</v>
      </c>
      <c r="L6" s="57">
        <v>50</v>
      </c>
      <c r="M6" s="30">
        <f t="shared" ref="M6:M12" si="1">K6*L6</f>
        <v>0</v>
      </c>
      <c r="N6" s="85"/>
      <c r="O6" s="11"/>
    </row>
    <row r="7" spans="1:18" s="10" customFormat="1" ht="23.25" x14ac:dyDescent="0.3">
      <c r="A7" s="26">
        <v>3</v>
      </c>
      <c r="B7" s="70" t="s">
        <v>319</v>
      </c>
      <c r="C7" s="32" t="s">
        <v>20</v>
      </c>
      <c r="D7" s="88">
        <v>177</v>
      </c>
      <c r="E7" s="57">
        <v>30</v>
      </c>
      <c r="F7" s="30">
        <f t="shared" si="0"/>
        <v>5310</v>
      </c>
      <c r="H7" s="26">
        <v>3</v>
      </c>
      <c r="I7" s="70" t="s">
        <v>319</v>
      </c>
      <c r="J7" s="32" t="s">
        <v>20</v>
      </c>
      <c r="K7" s="115">
        <v>42</v>
      </c>
      <c r="L7" s="57">
        <v>30</v>
      </c>
      <c r="M7" s="30">
        <f t="shared" si="1"/>
        <v>1260</v>
      </c>
      <c r="N7" s="85"/>
      <c r="O7" s="11"/>
    </row>
    <row r="8" spans="1:18" s="10" customFormat="1" ht="23.25" x14ac:dyDescent="0.3">
      <c r="A8" s="26">
        <v>4</v>
      </c>
      <c r="B8" s="70" t="s">
        <v>558</v>
      </c>
      <c r="C8" s="32" t="s">
        <v>19</v>
      </c>
      <c r="D8" s="32">
        <v>110</v>
      </c>
      <c r="E8" s="57">
        <v>50</v>
      </c>
      <c r="F8" s="30">
        <f t="shared" si="0"/>
        <v>5500</v>
      </c>
      <c r="H8" s="26">
        <v>4</v>
      </c>
      <c r="I8" s="70" t="s">
        <v>558</v>
      </c>
      <c r="J8" s="32" t="s">
        <v>19</v>
      </c>
      <c r="K8" s="115">
        <v>42</v>
      </c>
      <c r="L8" s="57">
        <v>50</v>
      </c>
      <c r="M8" s="30">
        <f t="shared" si="1"/>
        <v>2100</v>
      </c>
      <c r="N8" s="85"/>
      <c r="O8" s="11"/>
    </row>
    <row r="9" spans="1:18" s="10" customFormat="1" ht="23.25" x14ac:dyDescent="0.3">
      <c r="A9" s="26">
        <v>5</v>
      </c>
      <c r="B9" s="65" t="s">
        <v>571</v>
      </c>
      <c r="C9" s="32" t="s">
        <v>19</v>
      </c>
      <c r="D9" s="32">
        <v>84</v>
      </c>
      <c r="E9" s="57">
        <v>80</v>
      </c>
      <c r="F9" s="30">
        <f t="shared" si="0"/>
        <v>6720</v>
      </c>
      <c r="H9" s="26">
        <v>5</v>
      </c>
      <c r="I9" s="65" t="s">
        <v>571</v>
      </c>
      <c r="J9" s="32" t="s">
        <v>19</v>
      </c>
      <c r="K9" s="32">
        <v>84</v>
      </c>
      <c r="L9" s="118">
        <v>25</v>
      </c>
      <c r="M9" s="30">
        <f t="shared" si="1"/>
        <v>2100</v>
      </c>
      <c r="N9" s="85"/>
      <c r="O9" s="11"/>
    </row>
    <row r="10" spans="1:18" s="10" customFormat="1" ht="23.25" x14ac:dyDescent="0.3">
      <c r="A10" s="26">
        <v>6</v>
      </c>
      <c r="B10" s="70" t="s">
        <v>559</v>
      </c>
      <c r="C10" s="32" t="s">
        <v>20</v>
      </c>
      <c r="D10" s="88">
        <v>108</v>
      </c>
      <c r="E10" s="57">
        <v>30</v>
      </c>
      <c r="F10" s="30">
        <f t="shared" si="0"/>
        <v>3240</v>
      </c>
      <c r="H10" s="26">
        <v>6</v>
      </c>
      <c r="I10" s="70" t="s">
        <v>559</v>
      </c>
      <c r="J10" s="32" t="s">
        <v>20</v>
      </c>
      <c r="K10" s="88">
        <v>108</v>
      </c>
      <c r="L10" s="57">
        <v>30</v>
      </c>
      <c r="M10" s="30">
        <f t="shared" si="1"/>
        <v>3240</v>
      </c>
      <c r="N10" s="85"/>
      <c r="O10" s="11"/>
    </row>
    <row r="11" spans="1:18" s="10" customFormat="1" ht="23.25" x14ac:dyDescent="0.3">
      <c r="A11" s="26">
        <v>7</v>
      </c>
      <c r="B11" s="70" t="s">
        <v>555</v>
      </c>
      <c r="C11" s="32" t="s">
        <v>19</v>
      </c>
      <c r="D11" s="32">
        <v>33.799999999999997</v>
      </c>
      <c r="E11" s="57">
        <v>50</v>
      </c>
      <c r="F11" s="30">
        <f t="shared" si="0"/>
        <v>1689.9999999999998</v>
      </c>
      <c r="H11" s="26">
        <v>7</v>
      </c>
      <c r="I11" s="70" t="s">
        <v>555</v>
      </c>
      <c r="J11" s="32" t="s">
        <v>19</v>
      </c>
      <c r="K11" s="32">
        <v>33.799999999999997</v>
      </c>
      <c r="L11" s="57">
        <v>50</v>
      </c>
      <c r="M11" s="30">
        <f t="shared" si="1"/>
        <v>1689.9999999999998</v>
      </c>
      <c r="N11" s="85"/>
      <c r="O11" s="11"/>
    </row>
    <row r="12" spans="1:18" s="10" customFormat="1" ht="23.25" x14ac:dyDescent="0.3">
      <c r="A12" s="26">
        <v>8</v>
      </c>
      <c r="B12" s="65" t="s">
        <v>581</v>
      </c>
      <c r="C12" s="32" t="s">
        <v>19</v>
      </c>
      <c r="D12" s="32">
        <v>52</v>
      </c>
      <c r="E12" s="57">
        <v>80</v>
      </c>
      <c r="F12" s="30">
        <f t="shared" si="0"/>
        <v>4160</v>
      </c>
      <c r="H12" s="26">
        <v>8</v>
      </c>
      <c r="I12" s="65" t="s">
        <v>581</v>
      </c>
      <c r="J12" s="32" t="s">
        <v>19</v>
      </c>
      <c r="K12" s="32">
        <v>52</v>
      </c>
      <c r="L12" s="57">
        <v>80</v>
      </c>
      <c r="M12" s="30">
        <f t="shared" si="1"/>
        <v>4160</v>
      </c>
      <c r="N12" s="85"/>
      <c r="O12" s="11"/>
    </row>
    <row r="13" spans="1:18" s="10" customFormat="1" ht="23.25" x14ac:dyDescent="0.3">
      <c r="A13" s="26">
        <v>9</v>
      </c>
      <c r="B13" s="65" t="s">
        <v>634</v>
      </c>
      <c r="C13" s="32" t="s">
        <v>20</v>
      </c>
      <c r="D13" s="32">
        <v>41.2</v>
      </c>
      <c r="E13" s="57">
        <v>30</v>
      </c>
      <c r="F13" s="30">
        <f>D13*E13</f>
        <v>1236</v>
      </c>
      <c r="H13" s="26">
        <v>9</v>
      </c>
      <c r="I13" s="65" t="s">
        <v>634</v>
      </c>
      <c r="J13" s="32" t="s">
        <v>20</v>
      </c>
      <c r="K13" s="115">
        <v>20.6</v>
      </c>
      <c r="L13" s="57">
        <v>30</v>
      </c>
      <c r="M13" s="30">
        <f>K13*L13</f>
        <v>618</v>
      </c>
      <c r="N13" s="85"/>
      <c r="O13" s="11"/>
    </row>
    <row r="14" spans="1:18" s="10" customFormat="1" ht="23.25" x14ac:dyDescent="0.3">
      <c r="A14" s="26">
        <v>10</v>
      </c>
      <c r="B14" s="65" t="s">
        <v>635</v>
      </c>
      <c r="C14" s="32" t="s">
        <v>19</v>
      </c>
      <c r="D14" s="32">
        <v>15.1</v>
      </c>
      <c r="E14" s="57">
        <v>50</v>
      </c>
      <c r="F14" s="30">
        <f t="shared" ref="F14" si="2">D14*E14</f>
        <v>755</v>
      </c>
      <c r="H14" s="26">
        <v>10</v>
      </c>
      <c r="I14" s="65" t="s">
        <v>635</v>
      </c>
      <c r="J14" s="32" t="s">
        <v>19</v>
      </c>
      <c r="K14" s="32">
        <v>15.1</v>
      </c>
      <c r="L14" s="57">
        <v>50</v>
      </c>
      <c r="M14" s="30">
        <f t="shared" ref="M14:M15" si="3">K14*L14</f>
        <v>755</v>
      </c>
      <c r="N14" s="85"/>
      <c r="O14" s="11"/>
    </row>
    <row r="15" spans="1:18" s="10" customFormat="1" ht="23.25" x14ac:dyDescent="0.3">
      <c r="A15" s="26">
        <v>11</v>
      </c>
      <c r="B15" s="65" t="s">
        <v>122</v>
      </c>
      <c r="C15" s="32" t="s">
        <v>119</v>
      </c>
      <c r="D15" s="32">
        <v>1.4</v>
      </c>
      <c r="E15" s="57">
        <v>460</v>
      </c>
      <c r="F15" s="30">
        <f t="shared" si="0"/>
        <v>644</v>
      </c>
      <c r="H15" s="26">
        <v>11</v>
      </c>
      <c r="I15" s="65" t="s">
        <v>122</v>
      </c>
      <c r="J15" s="32" t="s">
        <v>119</v>
      </c>
      <c r="K15" s="32">
        <v>1.4</v>
      </c>
      <c r="L15" s="57">
        <v>460</v>
      </c>
      <c r="M15" s="30">
        <f t="shared" si="3"/>
        <v>644</v>
      </c>
      <c r="N15" s="85"/>
      <c r="O15" s="11"/>
    </row>
    <row r="16" spans="1:18" ht="24" thickBot="1" x14ac:dyDescent="0.3">
      <c r="A16" s="38"/>
      <c r="B16" s="39"/>
      <c r="C16" s="39"/>
      <c r="D16" s="39"/>
      <c r="E16" s="40" t="s">
        <v>16</v>
      </c>
      <c r="F16" s="35">
        <f>SUM(F5:F15)</f>
        <v>33005</v>
      </c>
      <c r="H16" s="38"/>
      <c r="I16" s="39"/>
      <c r="J16" s="39"/>
      <c r="K16" s="39"/>
      <c r="L16" s="40" t="s">
        <v>16</v>
      </c>
      <c r="M16" s="35">
        <f>SUM(M5:M15)</f>
        <v>18067</v>
      </c>
    </row>
    <row r="17" spans="1:13" ht="26.25" thickBot="1" x14ac:dyDescent="0.3">
      <c r="A17" s="71"/>
      <c r="B17" s="72"/>
      <c r="C17" s="72"/>
      <c r="D17" s="72"/>
      <c r="E17" s="73" t="s">
        <v>21</v>
      </c>
      <c r="F17" s="12">
        <f>SUMIF(E1:E19983,"CƏMİ",F1:F19983)</f>
        <v>33005</v>
      </c>
      <c r="H17" s="71"/>
      <c r="I17" s="72"/>
      <c r="J17" s="72"/>
      <c r="K17" s="72"/>
      <c r="L17" s="73" t="s">
        <v>21</v>
      </c>
      <c r="M17" s="12">
        <f>SUMIF(L1:L19983,"CƏMİ",M1:M19983)</f>
        <v>18067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AB1C4-18F3-43AF-9FD1-5D8EA3385A32}">
  <sheetPr>
    <tabColor rgb="FFFFFF00"/>
    <pageSetUpPr fitToPage="1"/>
  </sheetPr>
  <dimension ref="A1:R9"/>
  <sheetViews>
    <sheetView view="pageBreakPreview" zoomScale="55" zoomScaleNormal="55" zoomScaleSheetLayoutView="55" workbookViewId="0">
      <pane ySplit="3" topLeftCell="A4" activePane="bottomLeft" state="frozen"/>
      <selection activeCell="E24" sqref="E24"/>
      <selection pane="bottomLeft" activeCell="K8" sqref="K8"/>
    </sheetView>
  </sheetViews>
  <sheetFormatPr defaultColWidth="9.140625" defaultRowHeight="15" x14ac:dyDescent="0.25"/>
  <cols>
    <col min="1" max="1" width="6.42578125" style="5" bestFit="1" customWidth="1"/>
    <col min="2" max="2" width="99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99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18.57031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452</v>
      </c>
      <c r="B1" s="175"/>
      <c r="C1" s="175"/>
      <c r="D1" s="175"/>
      <c r="E1" s="176" t="s">
        <v>0</v>
      </c>
      <c r="F1" s="177"/>
      <c r="H1" s="174" t="s">
        <v>452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F8</f>
        <v>8960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99.5</v>
      </c>
      <c r="E5" s="57">
        <v>30</v>
      </c>
      <c r="F5" s="30">
        <f>D5*E5</f>
        <v>2985</v>
      </c>
      <c r="H5" s="26">
        <v>1</v>
      </c>
      <c r="I5" s="70" t="s">
        <v>559</v>
      </c>
      <c r="J5" s="32" t="s">
        <v>20</v>
      </c>
      <c r="K5" s="88">
        <v>99.5</v>
      </c>
      <c r="L5" s="57">
        <v>30</v>
      </c>
      <c r="M5" s="30">
        <f>K5*L5</f>
        <v>2985</v>
      </c>
      <c r="N5" s="85"/>
      <c r="O5" s="11"/>
    </row>
    <row r="6" spans="1:18" s="10" customFormat="1" ht="23.25" x14ac:dyDescent="0.3">
      <c r="A6" s="26">
        <v>2</v>
      </c>
      <c r="B6" s="70" t="s">
        <v>555</v>
      </c>
      <c r="C6" s="32" t="s">
        <v>19</v>
      </c>
      <c r="D6" s="32">
        <v>31</v>
      </c>
      <c r="E6" s="57">
        <v>50</v>
      </c>
      <c r="F6" s="30">
        <f>D6*E6</f>
        <v>1550</v>
      </c>
      <c r="H6" s="26">
        <v>2</v>
      </c>
      <c r="I6" s="70" t="s">
        <v>555</v>
      </c>
      <c r="J6" s="32" t="s">
        <v>19</v>
      </c>
      <c r="K6" s="32">
        <v>31</v>
      </c>
      <c r="L6" s="57">
        <v>50</v>
      </c>
      <c r="M6" s="30">
        <f>K6*L6</f>
        <v>1550</v>
      </c>
      <c r="N6" s="85"/>
      <c r="O6" s="11"/>
    </row>
    <row r="7" spans="1:18" s="10" customFormat="1" ht="23.25" x14ac:dyDescent="0.3">
      <c r="A7" s="26">
        <v>3</v>
      </c>
      <c r="B7" s="36" t="s">
        <v>365</v>
      </c>
      <c r="C7" s="32" t="s">
        <v>20</v>
      </c>
      <c r="D7" s="32">
        <v>29.5</v>
      </c>
      <c r="E7" s="57">
        <v>150</v>
      </c>
      <c r="F7" s="30">
        <f>D7*E7</f>
        <v>4425</v>
      </c>
      <c r="H7" s="26">
        <v>3</v>
      </c>
      <c r="I7" s="36" t="s">
        <v>365</v>
      </c>
      <c r="J7" s="32" t="s">
        <v>20</v>
      </c>
      <c r="K7" s="115">
        <v>23</v>
      </c>
      <c r="L7" s="57">
        <v>150</v>
      </c>
      <c r="M7" s="30">
        <f>K7*L7</f>
        <v>3450</v>
      </c>
      <c r="N7" s="85"/>
      <c r="O7" s="11"/>
    </row>
    <row r="8" spans="1:18" ht="24" thickBot="1" x14ac:dyDescent="0.3">
      <c r="A8" s="38"/>
      <c r="B8" s="39"/>
      <c r="C8" s="39"/>
      <c r="D8" s="39"/>
      <c r="E8" s="40" t="s">
        <v>16</v>
      </c>
      <c r="F8" s="35">
        <f>SUM(F5:F7)</f>
        <v>8960</v>
      </c>
      <c r="H8" s="38"/>
      <c r="I8" s="39"/>
      <c r="J8" s="39"/>
      <c r="K8" s="39"/>
      <c r="L8" s="40" t="s">
        <v>16</v>
      </c>
      <c r="M8" s="35">
        <f>SUM(M5:M7)</f>
        <v>7985</v>
      </c>
    </row>
    <row r="9" spans="1:18" ht="26.25" thickBot="1" x14ac:dyDescent="0.3">
      <c r="A9" s="76"/>
      <c r="B9" s="77"/>
      <c r="C9" s="77"/>
      <c r="D9" s="77"/>
      <c r="E9" s="78" t="s">
        <v>21</v>
      </c>
      <c r="F9" s="12">
        <f>SUMIF(E1:E19975,"CƏMİ",F1:F19975)</f>
        <v>8960</v>
      </c>
      <c r="H9" s="76"/>
      <c r="I9" s="77"/>
      <c r="J9" s="77"/>
      <c r="K9" s="77"/>
      <c r="L9" s="78" t="s">
        <v>21</v>
      </c>
      <c r="M9" s="12">
        <f>SUMIF(L1:L19975,"CƏMİ",M1:M19975)</f>
        <v>7985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6" fitToHeight="0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6C66-FE80-4422-8D00-3FB2EDBF1008}">
  <sheetPr>
    <tabColor rgb="FFFFFF00"/>
    <pageSetUpPr fitToPage="1"/>
  </sheetPr>
  <dimension ref="A1:R9"/>
  <sheetViews>
    <sheetView view="pageBreakPreview" zoomScale="55" zoomScaleNormal="55" zoomScaleSheetLayoutView="55" workbookViewId="0">
      <pane ySplit="3" topLeftCell="A4" activePane="bottomLeft" state="frozen"/>
      <selection activeCell="E24" sqref="E24"/>
      <selection pane="bottomLeft" activeCell="I40" sqref="I40"/>
    </sheetView>
  </sheetViews>
  <sheetFormatPr defaultColWidth="9.140625" defaultRowHeight="15" x14ac:dyDescent="0.25"/>
  <cols>
    <col min="1" max="1" width="6.42578125" style="5" bestFit="1" customWidth="1"/>
    <col min="2" max="2" width="99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99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18.57031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448</v>
      </c>
      <c r="B1" s="175"/>
      <c r="C1" s="175"/>
      <c r="D1" s="175"/>
      <c r="E1" s="176" t="s">
        <v>0</v>
      </c>
      <c r="F1" s="177"/>
      <c r="H1" s="174" t="s">
        <v>448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F8</f>
        <v>5860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59.5</v>
      </c>
      <c r="E5" s="57">
        <v>30</v>
      </c>
      <c r="F5" s="30">
        <f>D5*E5</f>
        <v>1785</v>
      </c>
      <c r="H5" s="26">
        <v>1</v>
      </c>
      <c r="I5" s="70" t="s">
        <v>559</v>
      </c>
      <c r="J5" s="32" t="s">
        <v>20</v>
      </c>
      <c r="K5" s="88">
        <v>59.5</v>
      </c>
      <c r="L5" s="57">
        <v>30</v>
      </c>
      <c r="M5" s="30">
        <f>K5*L5</f>
        <v>1785</v>
      </c>
      <c r="N5" s="85"/>
      <c r="O5" s="11"/>
    </row>
    <row r="6" spans="1:18" s="10" customFormat="1" ht="23.25" x14ac:dyDescent="0.3">
      <c r="A6" s="26">
        <v>2</v>
      </c>
      <c r="B6" s="70" t="s">
        <v>555</v>
      </c>
      <c r="C6" s="32" t="s">
        <v>19</v>
      </c>
      <c r="D6" s="32">
        <v>18.8</v>
      </c>
      <c r="E6" s="57">
        <v>50</v>
      </c>
      <c r="F6" s="30">
        <f t="shared" ref="F6:F7" si="0">D6*E6</f>
        <v>940</v>
      </c>
      <c r="H6" s="26">
        <v>2</v>
      </c>
      <c r="I6" s="70" t="s">
        <v>555</v>
      </c>
      <c r="J6" s="32" t="s">
        <v>19</v>
      </c>
      <c r="K6" s="32">
        <v>18.8</v>
      </c>
      <c r="L6" s="57">
        <v>50</v>
      </c>
      <c r="M6" s="30">
        <f t="shared" ref="M6:M7" si="1">K6*L6</f>
        <v>940</v>
      </c>
      <c r="N6" s="85"/>
      <c r="O6" s="11"/>
    </row>
    <row r="7" spans="1:18" s="10" customFormat="1" ht="23.25" x14ac:dyDescent="0.3">
      <c r="A7" s="26">
        <v>3</v>
      </c>
      <c r="B7" s="36" t="s">
        <v>365</v>
      </c>
      <c r="C7" s="32" t="s">
        <v>20</v>
      </c>
      <c r="D7" s="32">
        <v>20.9</v>
      </c>
      <c r="E7" s="57">
        <v>150</v>
      </c>
      <c r="F7" s="30">
        <f t="shared" si="0"/>
        <v>3135</v>
      </c>
      <c r="H7" s="26">
        <v>3</v>
      </c>
      <c r="I7" s="36" t="s">
        <v>365</v>
      </c>
      <c r="J7" s="32" t="s">
        <v>20</v>
      </c>
      <c r="K7" s="115">
        <v>0</v>
      </c>
      <c r="L7" s="57">
        <v>150</v>
      </c>
      <c r="M7" s="30">
        <f t="shared" si="1"/>
        <v>0</v>
      </c>
      <c r="N7" s="85"/>
      <c r="O7" s="11"/>
    </row>
    <row r="8" spans="1:18" ht="24" thickBot="1" x14ac:dyDescent="0.3">
      <c r="A8" s="38"/>
      <c r="B8" s="39"/>
      <c r="C8" s="39"/>
      <c r="D8" s="39"/>
      <c r="E8" s="40" t="s">
        <v>16</v>
      </c>
      <c r="F8" s="35">
        <f>SUM(F5:F7)</f>
        <v>5860</v>
      </c>
      <c r="H8" s="38"/>
      <c r="I8" s="39"/>
      <c r="J8" s="39"/>
      <c r="K8" s="39"/>
      <c r="L8" s="40" t="s">
        <v>16</v>
      </c>
      <c r="M8" s="35">
        <f>SUM(M5:M7)</f>
        <v>2725</v>
      </c>
    </row>
    <row r="9" spans="1:18" ht="26.25" thickBot="1" x14ac:dyDescent="0.3">
      <c r="A9" s="76"/>
      <c r="B9" s="77"/>
      <c r="C9" s="77"/>
      <c r="D9" s="77"/>
      <c r="E9" s="78" t="s">
        <v>21</v>
      </c>
      <c r="F9" s="12">
        <f>SUMIF(E1:E19975,"CƏMİ",F1:F19975)</f>
        <v>5860</v>
      </c>
      <c r="H9" s="76"/>
      <c r="I9" s="77"/>
      <c r="J9" s="77"/>
      <c r="K9" s="77"/>
      <c r="L9" s="78" t="s">
        <v>21</v>
      </c>
      <c r="M9" s="12">
        <f>SUMIF(L1:L19975,"CƏMİ",M1:M19975)</f>
        <v>2725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6" fitToHeight="0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465D-0A26-48AB-B05B-FEE213174C46}">
  <sheetPr>
    <tabColor rgb="FFFFFF00"/>
    <pageSetUpPr fitToPage="1"/>
  </sheetPr>
  <dimension ref="A1:R9"/>
  <sheetViews>
    <sheetView view="pageBreakPreview" zoomScale="55" zoomScaleNormal="55" zoomScaleSheetLayoutView="55" workbookViewId="0">
      <pane ySplit="3" topLeftCell="A4" activePane="bottomLeft" state="frozen"/>
      <selection activeCell="E24" sqref="E24"/>
      <selection pane="bottomLeft" activeCell="K5" sqref="K5:K7"/>
    </sheetView>
  </sheetViews>
  <sheetFormatPr defaultColWidth="9.140625" defaultRowHeight="15" x14ac:dyDescent="0.25"/>
  <cols>
    <col min="1" max="1" width="6.42578125" style="5" bestFit="1" customWidth="1"/>
    <col min="2" max="2" width="99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99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18.57031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399</v>
      </c>
      <c r="B1" s="175"/>
      <c r="C1" s="175"/>
      <c r="D1" s="175"/>
      <c r="E1" s="176" t="s">
        <v>0</v>
      </c>
      <c r="F1" s="177"/>
      <c r="H1" s="174" t="s">
        <v>399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F8</f>
        <v>3989.8</v>
      </c>
      <c r="O4" s="4"/>
    </row>
    <row r="5" spans="1:18" s="10" customFormat="1" ht="23.25" x14ac:dyDescent="0.3">
      <c r="A5" s="26">
        <v>1</v>
      </c>
      <c r="B5" s="36" t="s">
        <v>365</v>
      </c>
      <c r="C5" s="32" t="s">
        <v>20</v>
      </c>
      <c r="D5" s="32">
        <v>15</v>
      </c>
      <c r="E5" s="57">
        <v>150</v>
      </c>
      <c r="F5" s="30">
        <f>D5*E5</f>
        <v>2250</v>
      </c>
      <c r="H5" s="26">
        <v>1</v>
      </c>
      <c r="I5" s="36" t="s">
        <v>365</v>
      </c>
      <c r="J5" s="32" t="s">
        <v>20</v>
      </c>
      <c r="K5" s="115">
        <v>0</v>
      </c>
      <c r="L5" s="57">
        <v>150</v>
      </c>
      <c r="M5" s="30">
        <f>K5*L5</f>
        <v>0</v>
      </c>
      <c r="N5" s="85"/>
      <c r="O5" s="11"/>
    </row>
    <row r="6" spans="1:18" s="10" customFormat="1" ht="23.25" x14ac:dyDescent="0.3">
      <c r="A6" s="26">
        <v>2</v>
      </c>
      <c r="B6" s="65" t="s">
        <v>582</v>
      </c>
      <c r="C6" s="32" t="s">
        <v>19</v>
      </c>
      <c r="D6" s="32">
        <v>21</v>
      </c>
      <c r="E6" s="57">
        <v>80</v>
      </c>
      <c r="F6" s="30">
        <f t="shared" ref="F6:F7" si="0">D6*E6</f>
        <v>1680</v>
      </c>
      <c r="H6" s="26">
        <v>2</v>
      </c>
      <c r="I6" s="65" t="s">
        <v>582</v>
      </c>
      <c r="J6" s="32" t="s">
        <v>19</v>
      </c>
      <c r="K6" s="115">
        <v>0</v>
      </c>
      <c r="L6" s="57">
        <v>80</v>
      </c>
      <c r="M6" s="30">
        <f t="shared" ref="M6:M7" si="1">K6*L6</f>
        <v>0</v>
      </c>
      <c r="N6" s="85"/>
      <c r="O6" s="11"/>
    </row>
    <row r="7" spans="1:18" s="10" customFormat="1" ht="23.25" x14ac:dyDescent="0.3">
      <c r="A7" s="26">
        <v>3</v>
      </c>
      <c r="B7" s="65" t="s">
        <v>122</v>
      </c>
      <c r="C7" s="32" t="s">
        <v>119</v>
      </c>
      <c r="D7" s="32">
        <v>0.13</v>
      </c>
      <c r="E7" s="57">
        <v>460</v>
      </c>
      <c r="F7" s="30">
        <f t="shared" si="0"/>
        <v>59.800000000000004</v>
      </c>
      <c r="H7" s="26">
        <v>3</v>
      </c>
      <c r="I7" s="65" t="s">
        <v>122</v>
      </c>
      <c r="J7" s="32" t="s">
        <v>119</v>
      </c>
      <c r="K7" s="115">
        <v>0</v>
      </c>
      <c r="L7" s="57">
        <v>460</v>
      </c>
      <c r="M7" s="30">
        <f t="shared" si="1"/>
        <v>0</v>
      </c>
      <c r="N7" s="85"/>
      <c r="O7" s="11"/>
    </row>
    <row r="8" spans="1:18" ht="24" thickBot="1" x14ac:dyDescent="0.3">
      <c r="A8" s="38"/>
      <c r="B8" s="39"/>
      <c r="C8" s="39"/>
      <c r="D8" s="39"/>
      <c r="E8" s="40" t="s">
        <v>16</v>
      </c>
      <c r="F8" s="35">
        <f>SUM(F5:F7)</f>
        <v>3989.8</v>
      </c>
      <c r="H8" s="38"/>
      <c r="I8" s="39"/>
      <c r="J8" s="39"/>
      <c r="K8" s="39"/>
      <c r="L8" s="40" t="s">
        <v>16</v>
      </c>
      <c r="M8" s="35">
        <f>SUM(M5:M7)</f>
        <v>0</v>
      </c>
    </row>
    <row r="9" spans="1:18" ht="26.25" thickBot="1" x14ac:dyDescent="0.3">
      <c r="A9" s="76"/>
      <c r="B9" s="77"/>
      <c r="C9" s="77"/>
      <c r="D9" s="77"/>
      <c r="E9" s="78" t="s">
        <v>21</v>
      </c>
      <c r="F9" s="12">
        <f>SUMIF(E1:E19975,"CƏMİ",F1:F19975)</f>
        <v>3989.8</v>
      </c>
      <c r="H9" s="76"/>
      <c r="I9" s="77"/>
      <c r="J9" s="77"/>
      <c r="K9" s="77"/>
      <c r="L9" s="78" t="s">
        <v>21</v>
      </c>
      <c r="M9" s="12">
        <f>SUMIF(L1:L19975,"CƏMİ",M1:M19975)</f>
        <v>0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6" fitToHeight="0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343F-B57B-4EDC-ABD2-D63DBD3B7782}">
  <sheetPr>
    <tabColor rgb="FFFFFF00"/>
    <pageSetUpPr fitToPage="1"/>
  </sheetPr>
  <dimension ref="A1:R7"/>
  <sheetViews>
    <sheetView view="pageBreakPreview" zoomScale="55" zoomScaleNormal="55" zoomScaleSheetLayoutView="55" workbookViewId="0">
      <pane ySplit="3" topLeftCell="A4" activePane="bottomLeft" state="frozen"/>
      <selection activeCell="E24" sqref="E24"/>
      <selection pane="bottomLeft" activeCell="K6" sqref="K6"/>
    </sheetView>
  </sheetViews>
  <sheetFormatPr defaultColWidth="9.140625" defaultRowHeight="15" x14ac:dyDescent="0.25"/>
  <cols>
    <col min="1" max="1" width="6.42578125" style="5" bestFit="1" customWidth="1"/>
    <col min="2" max="2" width="91.14062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91.14062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18.57031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364</v>
      </c>
      <c r="B1" s="175"/>
      <c r="C1" s="175"/>
      <c r="D1" s="175"/>
      <c r="E1" s="176" t="s">
        <v>0</v>
      </c>
      <c r="F1" s="177"/>
      <c r="H1" s="174" t="s">
        <v>364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F6</f>
        <v>1050</v>
      </c>
      <c r="O4" s="4"/>
    </row>
    <row r="5" spans="1:18" s="10" customFormat="1" ht="23.25" x14ac:dyDescent="0.3">
      <c r="A5" s="26">
        <v>1</v>
      </c>
      <c r="B5" s="36" t="s">
        <v>365</v>
      </c>
      <c r="C5" s="32" t="s">
        <v>20</v>
      </c>
      <c r="D5" s="32">
        <v>7</v>
      </c>
      <c r="E5" s="57">
        <v>150</v>
      </c>
      <c r="F5" s="30">
        <f>D5*E5</f>
        <v>1050</v>
      </c>
      <c r="H5" s="26">
        <v>1</v>
      </c>
      <c r="I5" s="36" t="s">
        <v>365</v>
      </c>
      <c r="J5" s="32" t="s">
        <v>20</v>
      </c>
      <c r="K5" s="115">
        <v>0</v>
      </c>
      <c r="L5" s="57">
        <v>150</v>
      </c>
      <c r="M5" s="30">
        <f>K5*L5</f>
        <v>0</v>
      </c>
      <c r="N5" s="85"/>
      <c r="O5" s="11"/>
    </row>
    <row r="6" spans="1:18" ht="24" thickBot="1" x14ac:dyDescent="0.3">
      <c r="A6" s="38"/>
      <c r="B6" s="39"/>
      <c r="C6" s="39"/>
      <c r="D6" s="39"/>
      <c r="E6" s="40" t="s">
        <v>16</v>
      </c>
      <c r="F6" s="35">
        <f>SUM(F5:F5)</f>
        <v>1050</v>
      </c>
      <c r="H6" s="38"/>
      <c r="I6" s="39"/>
      <c r="J6" s="39"/>
      <c r="K6" s="39"/>
      <c r="L6" s="40" t="s">
        <v>16</v>
      </c>
      <c r="M6" s="35">
        <f>SUM(M5:M5)</f>
        <v>0</v>
      </c>
    </row>
    <row r="7" spans="1:18" ht="26.25" thickBot="1" x14ac:dyDescent="0.3">
      <c r="A7" s="76"/>
      <c r="B7" s="77"/>
      <c r="C7" s="77"/>
      <c r="D7" s="77"/>
      <c r="E7" s="78" t="s">
        <v>21</v>
      </c>
      <c r="F7" s="12">
        <f>SUMIF(E1:E19973,"CƏMİ",F1:F19973)</f>
        <v>1050</v>
      </c>
      <c r="H7" s="76"/>
      <c r="I7" s="77"/>
      <c r="J7" s="77"/>
      <c r="K7" s="77"/>
      <c r="L7" s="78" t="s">
        <v>21</v>
      </c>
      <c r="M7" s="12">
        <f>SUMIF(L1:L19973,"CƏMİ",M1:M19973)</f>
        <v>0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8" fitToHeight="0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7854-ED08-42D8-B610-38073A7535F6}">
  <sheetPr>
    <tabColor rgb="FFFFFF00"/>
    <pageSetUpPr fitToPage="1"/>
  </sheetPr>
  <dimension ref="A1:R8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M57" sqref="M57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279</v>
      </c>
      <c r="B1" s="175"/>
      <c r="C1" s="175"/>
      <c r="D1" s="175"/>
      <c r="E1" s="176" t="s">
        <v>0</v>
      </c>
      <c r="F1" s="177"/>
      <c r="H1" s="174" t="s">
        <v>279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45219</v>
      </c>
      <c r="H2" s="17"/>
      <c r="I2" s="18"/>
      <c r="J2" s="18"/>
      <c r="K2" s="19"/>
      <c r="L2" s="18"/>
      <c r="M2" s="46">
        <v>45219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F7</f>
        <v>1922</v>
      </c>
      <c r="O4" s="4"/>
    </row>
    <row r="5" spans="1:18" s="10" customFormat="1" ht="23.25" x14ac:dyDescent="0.3">
      <c r="A5" s="26">
        <v>1</v>
      </c>
      <c r="B5" s="70" t="s">
        <v>750</v>
      </c>
      <c r="C5" s="32" t="s">
        <v>20</v>
      </c>
      <c r="D5" s="88">
        <v>41.4</v>
      </c>
      <c r="E5" s="57">
        <v>30</v>
      </c>
      <c r="F5" s="30">
        <f t="shared" ref="F5:F6" si="0">D5*E5</f>
        <v>1242</v>
      </c>
      <c r="H5" s="26">
        <v>1</v>
      </c>
      <c r="I5" s="70" t="s">
        <v>750</v>
      </c>
      <c r="J5" s="32" t="s">
        <v>20</v>
      </c>
      <c r="K5" s="88">
        <v>41.4</v>
      </c>
      <c r="L5" s="57">
        <v>30</v>
      </c>
      <c r="M5" s="30">
        <f t="shared" ref="M5:M6" si="1">K5*L5</f>
        <v>1242</v>
      </c>
      <c r="N5" s="85"/>
      <c r="O5" s="11"/>
    </row>
    <row r="6" spans="1:18" s="10" customFormat="1" ht="23.25" x14ac:dyDescent="0.3">
      <c r="A6" s="26">
        <v>2</v>
      </c>
      <c r="B6" s="65" t="s">
        <v>44</v>
      </c>
      <c r="C6" s="32" t="s">
        <v>19</v>
      </c>
      <c r="D6" s="32">
        <v>13.6</v>
      </c>
      <c r="E6" s="57">
        <v>50</v>
      </c>
      <c r="F6" s="30">
        <f t="shared" si="0"/>
        <v>680</v>
      </c>
      <c r="H6" s="26">
        <v>2</v>
      </c>
      <c r="I6" s="65" t="s">
        <v>44</v>
      </c>
      <c r="J6" s="32" t="s">
        <v>19</v>
      </c>
      <c r="K6" s="32">
        <v>13.6</v>
      </c>
      <c r="L6" s="57">
        <v>50</v>
      </c>
      <c r="M6" s="30">
        <f t="shared" si="1"/>
        <v>680</v>
      </c>
      <c r="N6" s="85"/>
      <c r="O6" s="11"/>
    </row>
    <row r="7" spans="1:18" ht="24" thickBot="1" x14ac:dyDescent="0.3">
      <c r="A7" s="38"/>
      <c r="B7" s="39"/>
      <c r="C7" s="39"/>
      <c r="D7" s="39"/>
      <c r="E7" s="40" t="s">
        <v>16</v>
      </c>
      <c r="F7" s="35">
        <f>SUM(F5:F6)</f>
        <v>1922</v>
      </c>
      <c r="H7" s="38"/>
      <c r="I7" s="39"/>
      <c r="J7" s="39"/>
      <c r="K7" s="39"/>
      <c r="L7" s="40" t="s">
        <v>16</v>
      </c>
      <c r="M7" s="35">
        <f>SUM(M5:M6)</f>
        <v>1922</v>
      </c>
    </row>
    <row r="8" spans="1:18" ht="26.25" thickBot="1" x14ac:dyDescent="0.3">
      <c r="A8" s="76"/>
      <c r="B8" s="77"/>
      <c r="C8" s="77"/>
      <c r="D8" s="77"/>
      <c r="E8" s="78" t="s">
        <v>21</v>
      </c>
      <c r="F8" s="12">
        <f>SUMIF(E1:E19974,"CƏMİ",F1:F19974)</f>
        <v>1922</v>
      </c>
      <c r="H8" s="76"/>
      <c r="I8" s="77"/>
      <c r="J8" s="77"/>
      <c r="K8" s="77"/>
      <c r="L8" s="78" t="s">
        <v>21</v>
      </c>
      <c r="M8" s="12">
        <f>SUMIF(L1:L19974,"CƏMİ",M1:M19974)</f>
        <v>1922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49E4-D953-4731-9D26-A48C461B60A1}">
  <sheetPr>
    <tabColor rgb="FFFFFF00"/>
    <pageSetUpPr fitToPage="1"/>
  </sheetPr>
  <dimension ref="A1:R8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E31" sqref="E31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274</v>
      </c>
      <c r="B1" s="175"/>
      <c r="C1" s="175"/>
      <c r="D1" s="175"/>
      <c r="E1" s="176" t="s">
        <v>0</v>
      </c>
      <c r="F1" s="177"/>
      <c r="H1" s="174" t="s">
        <v>274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45219</v>
      </c>
      <c r="H2" s="17"/>
      <c r="I2" s="18"/>
      <c r="J2" s="18"/>
      <c r="K2" s="19"/>
      <c r="L2" s="18"/>
      <c r="M2" s="46">
        <v>45219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F7</f>
        <v>2681</v>
      </c>
      <c r="O4" s="4"/>
    </row>
    <row r="5" spans="1:18" s="10" customFormat="1" ht="23.25" x14ac:dyDescent="0.3">
      <c r="A5" s="26">
        <v>1</v>
      </c>
      <c r="B5" s="70" t="s">
        <v>750</v>
      </c>
      <c r="C5" s="32" t="s">
        <v>20</v>
      </c>
      <c r="D5" s="88">
        <v>57.7</v>
      </c>
      <c r="E5" s="57">
        <v>30</v>
      </c>
      <c r="F5" s="30">
        <f t="shared" ref="F5:F6" si="0">D5*E5</f>
        <v>1731</v>
      </c>
      <c r="H5" s="26">
        <v>1</v>
      </c>
      <c r="I5" s="70" t="s">
        <v>750</v>
      </c>
      <c r="J5" s="32" t="s">
        <v>20</v>
      </c>
      <c r="K5" s="88">
        <v>57.7</v>
      </c>
      <c r="L5" s="57">
        <v>30</v>
      </c>
      <c r="M5" s="30">
        <f t="shared" ref="M5:M6" si="1">K5*L5</f>
        <v>1731</v>
      </c>
      <c r="N5" s="85"/>
      <c r="O5" s="11"/>
    </row>
    <row r="6" spans="1:18" s="10" customFormat="1" ht="23.25" x14ac:dyDescent="0.3">
      <c r="A6" s="26">
        <v>2</v>
      </c>
      <c r="B6" s="65" t="s">
        <v>44</v>
      </c>
      <c r="C6" s="32" t="s">
        <v>19</v>
      </c>
      <c r="D6" s="32">
        <v>19</v>
      </c>
      <c r="E6" s="57">
        <v>50</v>
      </c>
      <c r="F6" s="30">
        <f t="shared" si="0"/>
        <v>950</v>
      </c>
      <c r="H6" s="26">
        <v>2</v>
      </c>
      <c r="I6" s="65" t="s">
        <v>44</v>
      </c>
      <c r="J6" s="32" t="s">
        <v>19</v>
      </c>
      <c r="K6" s="32">
        <v>19</v>
      </c>
      <c r="L6" s="57">
        <v>50</v>
      </c>
      <c r="M6" s="30">
        <f t="shared" si="1"/>
        <v>950</v>
      </c>
      <c r="N6" s="85"/>
      <c r="O6" s="11"/>
    </row>
    <row r="7" spans="1:18" ht="24" thickBot="1" x14ac:dyDescent="0.3">
      <c r="A7" s="38"/>
      <c r="B7" s="39"/>
      <c r="C7" s="39"/>
      <c r="D7" s="39"/>
      <c r="E7" s="40" t="s">
        <v>16</v>
      </c>
      <c r="F7" s="35">
        <f>SUM(F5:F6)</f>
        <v>2681</v>
      </c>
      <c r="H7" s="38"/>
      <c r="I7" s="39"/>
      <c r="J7" s="39"/>
      <c r="K7" s="39"/>
      <c r="L7" s="40" t="s">
        <v>16</v>
      </c>
      <c r="M7" s="35">
        <f>SUM(M5:M6)</f>
        <v>2681</v>
      </c>
    </row>
    <row r="8" spans="1:18" ht="26.25" thickBot="1" x14ac:dyDescent="0.3">
      <c r="A8" s="76"/>
      <c r="B8" s="77"/>
      <c r="C8" s="77"/>
      <c r="D8" s="77"/>
      <c r="E8" s="78" t="s">
        <v>21</v>
      </c>
      <c r="F8" s="12">
        <f>SUMIF(E1:E19974,"CƏMİ",F1:F19974)</f>
        <v>2681</v>
      </c>
      <c r="H8" s="76"/>
      <c r="I8" s="77"/>
      <c r="J8" s="77"/>
      <c r="K8" s="77"/>
      <c r="L8" s="78" t="s">
        <v>21</v>
      </c>
      <c r="M8" s="12">
        <f>SUMIF(L1:L19974,"CƏMİ",M1:M19974)</f>
        <v>2681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E6B3-1377-44A2-AC26-1C2C28D00D90}">
  <sheetPr>
    <tabColor rgb="FFFFFF00"/>
    <pageSetUpPr fitToPage="1"/>
  </sheetPr>
  <dimension ref="A1:R8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E23" sqref="E23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276</v>
      </c>
      <c r="B1" s="175"/>
      <c r="C1" s="175"/>
      <c r="D1" s="175"/>
      <c r="E1" s="176" t="s">
        <v>0</v>
      </c>
      <c r="F1" s="177"/>
      <c r="H1" s="174" t="s">
        <v>276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45219</v>
      </c>
      <c r="H2" s="17"/>
      <c r="I2" s="18"/>
      <c r="J2" s="18"/>
      <c r="K2" s="19"/>
      <c r="L2" s="18"/>
      <c r="M2" s="46">
        <v>45219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F7</f>
        <v>3429</v>
      </c>
      <c r="O4" s="4"/>
    </row>
    <row r="5" spans="1:18" s="10" customFormat="1" ht="23.25" x14ac:dyDescent="0.3">
      <c r="A5" s="26">
        <v>1</v>
      </c>
      <c r="B5" s="70" t="s">
        <v>750</v>
      </c>
      <c r="C5" s="32" t="s">
        <v>20</v>
      </c>
      <c r="D5" s="88">
        <v>73.8</v>
      </c>
      <c r="E5" s="57">
        <v>30</v>
      </c>
      <c r="F5" s="30">
        <f t="shared" ref="F5:F6" si="0">D5*E5</f>
        <v>2214</v>
      </c>
      <c r="H5" s="26">
        <v>1</v>
      </c>
      <c r="I5" s="70" t="s">
        <v>750</v>
      </c>
      <c r="J5" s="32" t="s">
        <v>20</v>
      </c>
      <c r="K5" s="88">
        <v>73.8</v>
      </c>
      <c r="L5" s="57">
        <v>30</v>
      </c>
      <c r="M5" s="30">
        <f t="shared" ref="M5:M6" si="1">K5*L5</f>
        <v>2214</v>
      </c>
      <c r="N5" s="85"/>
      <c r="O5" s="11"/>
    </row>
    <row r="6" spans="1:18" s="10" customFormat="1" ht="23.25" x14ac:dyDescent="0.3">
      <c r="A6" s="26">
        <v>2</v>
      </c>
      <c r="B6" s="65" t="s">
        <v>44</v>
      </c>
      <c r="C6" s="32" t="s">
        <v>19</v>
      </c>
      <c r="D6" s="32">
        <v>24.3</v>
      </c>
      <c r="E6" s="57">
        <v>50</v>
      </c>
      <c r="F6" s="30">
        <f t="shared" si="0"/>
        <v>1215</v>
      </c>
      <c r="H6" s="26">
        <v>2</v>
      </c>
      <c r="I6" s="65" t="s">
        <v>44</v>
      </c>
      <c r="J6" s="32" t="s">
        <v>19</v>
      </c>
      <c r="K6" s="32">
        <v>24.3</v>
      </c>
      <c r="L6" s="57">
        <v>50</v>
      </c>
      <c r="M6" s="30">
        <f t="shared" si="1"/>
        <v>1215</v>
      </c>
      <c r="N6" s="85"/>
      <c r="O6" s="11"/>
    </row>
    <row r="7" spans="1:18" ht="24" thickBot="1" x14ac:dyDescent="0.3">
      <c r="A7" s="38"/>
      <c r="B7" s="39"/>
      <c r="C7" s="39"/>
      <c r="D7" s="39"/>
      <c r="E7" s="40" t="s">
        <v>16</v>
      </c>
      <c r="F7" s="35">
        <f>SUM(F5:F6)</f>
        <v>3429</v>
      </c>
      <c r="H7" s="38"/>
      <c r="I7" s="39"/>
      <c r="J7" s="39"/>
      <c r="K7" s="39"/>
      <c r="L7" s="40" t="s">
        <v>16</v>
      </c>
      <c r="M7" s="35">
        <f>SUM(M5:M6)</f>
        <v>3429</v>
      </c>
    </row>
    <row r="8" spans="1:18" ht="26.25" thickBot="1" x14ac:dyDescent="0.3">
      <c r="A8" s="76"/>
      <c r="B8" s="77"/>
      <c r="C8" s="77"/>
      <c r="D8" s="77"/>
      <c r="E8" s="78" t="s">
        <v>21</v>
      </c>
      <c r="F8" s="12">
        <f>SUMIF(E1:E19974,"CƏMİ",F1:F19974)</f>
        <v>3429</v>
      </c>
      <c r="H8" s="76"/>
      <c r="I8" s="77"/>
      <c r="J8" s="77"/>
      <c r="K8" s="77"/>
      <c r="L8" s="78" t="s">
        <v>21</v>
      </c>
      <c r="M8" s="12">
        <f>SUMIF(L1:L19974,"CƏMİ",M1:M19974)</f>
        <v>3429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24B0-E0AF-4123-8657-7A58D5655E2C}">
  <sheetPr>
    <tabColor rgb="FFFFFF00"/>
    <pageSetUpPr fitToPage="1"/>
  </sheetPr>
  <dimension ref="A1:R8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K7" sqref="K7"/>
    </sheetView>
  </sheetViews>
  <sheetFormatPr defaultColWidth="9.140625" defaultRowHeight="15" x14ac:dyDescent="0.25"/>
  <cols>
    <col min="1" max="1" width="6.42578125" style="5" bestFit="1" customWidth="1"/>
    <col min="2" max="2" width="114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4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624</v>
      </c>
      <c r="B1" s="175"/>
      <c r="C1" s="175"/>
      <c r="D1" s="175"/>
      <c r="E1" s="176" t="s">
        <v>0</v>
      </c>
      <c r="F1" s="177"/>
      <c r="H1" s="174" t="s">
        <v>624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F7</f>
        <v>2422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53.9</v>
      </c>
      <c r="E5" s="57">
        <v>30</v>
      </c>
      <c r="F5" s="30">
        <f>D5*E5</f>
        <v>1617</v>
      </c>
      <c r="H5" s="26">
        <v>1</v>
      </c>
      <c r="I5" s="70" t="s">
        <v>559</v>
      </c>
      <c r="J5" s="32" t="s">
        <v>20</v>
      </c>
      <c r="K5" s="115">
        <v>40</v>
      </c>
      <c r="L5" s="57">
        <v>30</v>
      </c>
      <c r="M5" s="30">
        <f>K5*L5</f>
        <v>1200</v>
      </c>
      <c r="N5" s="85"/>
      <c r="O5" s="11"/>
    </row>
    <row r="6" spans="1:18" s="10" customFormat="1" ht="23.25" x14ac:dyDescent="0.3">
      <c r="A6" s="26">
        <v>2</v>
      </c>
      <c r="B6" s="70" t="s">
        <v>555</v>
      </c>
      <c r="C6" s="32" t="s">
        <v>19</v>
      </c>
      <c r="D6" s="32">
        <v>16.100000000000001</v>
      </c>
      <c r="E6" s="57">
        <v>50</v>
      </c>
      <c r="F6" s="30">
        <f t="shared" ref="F6" si="0">D6*E6</f>
        <v>805.00000000000011</v>
      </c>
      <c r="H6" s="26">
        <v>2</v>
      </c>
      <c r="I6" s="70" t="s">
        <v>555</v>
      </c>
      <c r="J6" s="32" t="s">
        <v>19</v>
      </c>
      <c r="K6" s="115">
        <v>11</v>
      </c>
      <c r="L6" s="57">
        <v>50</v>
      </c>
      <c r="M6" s="30">
        <f t="shared" ref="M6" si="1">K6*L6</f>
        <v>550</v>
      </c>
      <c r="N6" s="85"/>
      <c r="O6" s="11"/>
    </row>
    <row r="7" spans="1:18" ht="24" thickBot="1" x14ac:dyDescent="0.3">
      <c r="A7" s="38"/>
      <c r="B7" s="39"/>
      <c r="C7" s="39"/>
      <c r="D7" s="39"/>
      <c r="E7" s="40" t="s">
        <v>16</v>
      </c>
      <c r="F7" s="35">
        <f>SUM(F5:F6)</f>
        <v>2422</v>
      </c>
      <c r="H7" s="38"/>
      <c r="I7" s="39"/>
      <c r="J7" s="39"/>
      <c r="K7" s="39"/>
      <c r="L7" s="40" t="s">
        <v>16</v>
      </c>
      <c r="M7" s="35">
        <f>SUM(M5:M6)</f>
        <v>1750</v>
      </c>
    </row>
    <row r="8" spans="1:18" ht="26.25" thickBot="1" x14ac:dyDescent="0.3">
      <c r="A8" s="71"/>
      <c r="B8" s="72"/>
      <c r="C8" s="72"/>
      <c r="D8" s="72"/>
      <c r="E8" s="73" t="s">
        <v>21</v>
      </c>
      <c r="F8" s="12">
        <f>SUMIF(E1:E19974,"CƏMİ",F1:F19974)</f>
        <v>2422</v>
      </c>
      <c r="H8" s="71"/>
      <c r="I8" s="72"/>
      <c r="J8" s="72"/>
      <c r="K8" s="72"/>
      <c r="L8" s="73" t="s">
        <v>21</v>
      </c>
      <c r="M8" s="12">
        <f>SUMIF(L1:L19974,"CƏMİ",M1:M19974)</f>
        <v>1750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4" fitToHeight="0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D044-AD03-49D4-AFD6-E25AF4117997}">
  <sheetPr>
    <tabColor rgb="FFFFFF00"/>
    <pageSetUpPr fitToPage="1"/>
  </sheetPr>
  <dimension ref="A1:R11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K7" sqref="K7:K9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842</v>
      </c>
      <c r="B1" s="175"/>
      <c r="C1" s="175"/>
      <c r="D1" s="175"/>
      <c r="E1" s="176" t="s">
        <v>0</v>
      </c>
      <c r="F1" s="177"/>
      <c r="H1" s="174" t="s">
        <v>842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F10</f>
        <v>3275.8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43.9</v>
      </c>
      <c r="E5" s="57">
        <v>30</v>
      </c>
      <c r="F5" s="30">
        <f>D5*E5</f>
        <v>1317</v>
      </c>
      <c r="H5" s="26">
        <v>1</v>
      </c>
      <c r="I5" s="70" t="s">
        <v>559</v>
      </c>
      <c r="J5" s="32" t="s">
        <v>20</v>
      </c>
      <c r="K5" s="88">
        <v>43.9</v>
      </c>
      <c r="L5" s="57">
        <v>30</v>
      </c>
      <c r="M5" s="30">
        <f>K5*L5</f>
        <v>1317</v>
      </c>
      <c r="N5" s="85"/>
      <c r="O5" s="11"/>
    </row>
    <row r="6" spans="1:18" s="10" customFormat="1" ht="23.25" x14ac:dyDescent="0.3">
      <c r="A6" s="26">
        <v>2</v>
      </c>
      <c r="B6" s="65" t="s">
        <v>555</v>
      </c>
      <c r="C6" s="32" t="s">
        <v>19</v>
      </c>
      <c r="D6" s="32">
        <v>14.1</v>
      </c>
      <c r="E6" s="57">
        <v>50</v>
      </c>
      <c r="F6" s="30">
        <f t="shared" ref="F6:F9" si="0">D6*E6</f>
        <v>705</v>
      </c>
      <c r="H6" s="26">
        <v>2</v>
      </c>
      <c r="I6" s="65" t="s">
        <v>555</v>
      </c>
      <c r="J6" s="32" t="s">
        <v>19</v>
      </c>
      <c r="K6" s="32">
        <v>14.1</v>
      </c>
      <c r="L6" s="57">
        <v>50</v>
      </c>
      <c r="M6" s="30">
        <f t="shared" ref="M6:M9" si="1">K6*L6</f>
        <v>705</v>
      </c>
      <c r="N6" s="85"/>
      <c r="O6" s="11"/>
    </row>
    <row r="7" spans="1:18" s="10" customFormat="1" ht="23.25" x14ac:dyDescent="0.3">
      <c r="A7" s="26">
        <v>3</v>
      </c>
      <c r="B7" s="65" t="s">
        <v>355</v>
      </c>
      <c r="C7" s="32" t="s">
        <v>20</v>
      </c>
      <c r="D7" s="32">
        <v>33</v>
      </c>
      <c r="E7" s="57">
        <v>30</v>
      </c>
      <c r="F7" s="30">
        <f t="shared" si="0"/>
        <v>990</v>
      </c>
      <c r="H7" s="26">
        <v>3</v>
      </c>
      <c r="I7" s="65" t="s">
        <v>355</v>
      </c>
      <c r="J7" s="32" t="s">
        <v>20</v>
      </c>
      <c r="K7" s="115">
        <v>0</v>
      </c>
      <c r="L7" s="57">
        <v>30</v>
      </c>
      <c r="M7" s="30">
        <f t="shared" si="1"/>
        <v>0</v>
      </c>
      <c r="N7" s="85"/>
      <c r="O7" s="11"/>
    </row>
    <row r="8" spans="1:18" s="10" customFormat="1" ht="23.25" x14ac:dyDescent="0.3">
      <c r="A8" s="26">
        <v>4</v>
      </c>
      <c r="B8" s="65" t="s">
        <v>354</v>
      </c>
      <c r="C8" s="32" t="s">
        <v>19</v>
      </c>
      <c r="D8" s="88">
        <v>5</v>
      </c>
      <c r="E8" s="57">
        <v>50</v>
      </c>
      <c r="F8" s="30">
        <f t="shared" si="0"/>
        <v>250</v>
      </c>
      <c r="H8" s="26">
        <v>4</v>
      </c>
      <c r="I8" s="65" t="s">
        <v>354</v>
      </c>
      <c r="J8" s="32" t="s">
        <v>19</v>
      </c>
      <c r="K8" s="115">
        <v>0</v>
      </c>
      <c r="L8" s="57">
        <v>50</v>
      </c>
      <c r="M8" s="30">
        <f t="shared" si="1"/>
        <v>0</v>
      </c>
      <c r="N8" s="85"/>
      <c r="O8" s="11"/>
    </row>
    <row r="9" spans="1:18" s="10" customFormat="1" ht="23.25" x14ac:dyDescent="0.3">
      <c r="A9" s="26">
        <v>5</v>
      </c>
      <c r="B9" s="65" t="s">
        <v>122</v>
      </c>
      <c r="C9" s="32" t="s">
        <v>119</v>
      </c>
      <c r="D9" s="32">
        <v>0.03</v>
      </c>
      <c r="E9" s="57">
        <v>460</v>
      </c>
      <c r="F9" s="30">
        <f t="shared" si="0"/>
        <v>13.799999999999999</v>
      </c>
      <c r="H9" s="26">
        <v>5</v>
      </c>
      <c r="I9" s="65" t="s">
        <v>122</v>
      </c>
      <c r="J9" s="32" t="s">
        <v>119</v>
      </c>
      <c r="K9" s="115">
        <v>0</v>
      </c>
      <c r="L9" s="57">
        <v>460</v>
      </c>
      <c r="M9" s="30">
        <f t="shared" si="1"/>
        <v>0</v>
      </c>
      <c r="N9" s="85"/>
      <c r="O9" s="11"/>
    </row>
    <row r="10" spans="1:18" ht="24" thickBot="1" x14ac:dyDescent="0.3">
      <c r="A10" s="38"/>
      <c r="B10" s="39"/>
      <c r="C10" s="39"/>
      <c r="D10" s="39"/>
      <c r="E10" s="40" t="s">
        <v>16</v>
      </c>
      <c r="F10" s="35">
        <f>SUM(F5:F9)</f>
        <v>3275.8</v>
      </c>
      <c r="H10" s="38"/>
      <c r="I10" s="39"/>
      <c r="J10" s="39"/>
      <c r="K10" s="39"/>
      <c r="L10" s="40" t="s">
        <v>16</v>
      </c>
      <c r="M10" s="35">
        <f>SUM(M5:M9)</f>
        <v>2022</v>
      </c>
    </row>
    <row r="11" spans="1:18" ht="26.25" thickBot="1" x14ac:dyDescent="0.3">
      <c r="A11" s="76"/>
      <c r="B11" s="77"/>
      <c r="C11" s="77"/>
      <c r="D11" s="77"/>
      <c r="E11" s="78" t="s">
        <v>21</v>
      </c>
      <c r="F11" s="12">
        <f>SUMIF(E1:E19977,"CƏMİ",F1:F19977)</f>
        <v>3275.8</v>
      </c>
      <c r="H11" s="76"/>
      <c r="I11" s="77"/>
      <c r="J11" s="77"/>
      <c r="K11" s="77"/>
      <c r="L11" s="78" t="s">
        <v>21</v>
      </c>
      <c r="M11" s="12">
        <f>SUMIF(L1:L19977,"CƏMİ",M1:M19977)</f>
        <v>2022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B02C3-300D-424A-8D18-C9262BCBAED3}">
  <sheetPr>
    <tabColor rgb="FFFFFF00"/>
    <pageSetUpPr fitToPage="1"/>
  </sheetPr>
  <dimension ref="A1:R12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K10" sqref="K10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272</v>
      </c>
      <c r="B1" s="175"/>
      <c r="C1" s="175"/>
      <c r="D1" s="175"/>
      <c r="E1" s="176" t="s">
        <v>0</v>
      </c>
      <c r="F1" s="177"/>
      <c r="H1" s="174" t="s">
        <v>272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45219</v>
      </c>
      <c r="H2" s="17"/>
      <c r="I2" s="18"/>
      <c r="J2" s="18"/>
      <c r="K2" s="19"/>
      <c r="L2" s="18"/>
      <c r="M2" s="46">
        <v>45219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F11</f>
        <v>4242</v>
      </c>
      <c r="O4" s="4"/>
    </row>
    <row r="5" spans="1:18" s="10" customFormat="1" ht="23.25" x14ac:dyDescent="0.3">
      <c r="A5" s="26">
        <v>1</v>
      </c>
      <c r="B5" s="70" t="s">
        <v>750</v>
      </c>
      <c r="C5" s="32" t="s">
        <v>20</v>
      </c>
      <c r="D5" s="88">
        <v>45</v>
      </c>
      <c r="E5" s="57">
        <v>30</v>
      </c>
      <c r="F5" s="30">
        <f t="shared" ref="F5:F10" si="0">D5*E5</f>
        <v>1350</v>
      </c>
      <c r="H5" s="26">
        <v>1</v>
      </c>
      <c r="I5" s="70" t="s">
        <v>750</v>
      </c>
      <c r="J5" s="32" t="s">
        <v>20</v>
      </c>
      <c r="K5" s="88">
        <v>45</v>
      </c>
      <c r="L5" s="57">
        <v>30</v>
      </c>
      <c r="M5" s="30">
        <f t="shared" ref="M5:M6" si="1">K5*L5</f>
        <v>1350</v>
      </c>
      <c r="N5" s="85"/>
      <c r="O5" s="11"/>
    </row>
    <row r="6" spans="1:18" s="10" customFormat="1" ht="23.25" x14ac:dyDescent="0.3">
      <c r="A6" s="26">
        <v>2</v>
      </c>
      <c r="B6" s="65" t="s">
        <v>44</v>
      </c>
      <c r="C6" s="32" t="s">
        <v>19</v>
      </c>
      <c r="D6" s="32">
        <v>18</v>
      </c>
      <c r="E6" s="57">
        <v>50</v>
      </c>
      <c r="F6" s="30">
        <f t="shared" si="0"/>
        <v>900</v>
      </c>
      <c r="H6" s="26">
        <v>2</v>
      </c>
      <c r="I6" s="65" t="s">
        <v>44</v>
      </c>
      <c r="J6" s="32" t="s">
        <v>19</v>
      </c>
      <c r="K6" s="32">
        <v>18</v>
      </c>
      <c r="L6" s="57">
        <v>50</v>
      </c>
      <c r="M6" s="30">
        <f t="shared" si="1"/>
        <v>900</v>
      </c>
      <c r="N6" s="85"/>
      <c r="O6" s="11"/>
    </row>
    <row r="7" spans="1:18" s="10" customFormat="1" ht="23.25" x14ac:dyDescent="0.3">
      <c r="A7" s="26">
        <v>5</v>
      </c>
      <c r="B7" s="65" t="s">
        <v>70</v>
      </c>
      <c r="C7" s="32" t="s">
        <v>20</v>
      </c>
      <c r="D7" s="32">
        <v>24</v>
      </c>
      <c r="E7" s="57">
        <v>30</v>
      </c>
      <c r="F7" s="30">
        <f>D7*E7</f>
        <v>720</v>
      </c>
      <c r="H7" s="26">
        <v>5</v>
      </c>
      <c r="I7" s="65" t="s">
        <v>70</v>
      </c>
      <c r="J7" s="32" t="s">
        <v>20</v>
      </c>
      <c r="K7" s="115">
        <v>12</v>
      </c>
      <c r="L7" s="57">
        <v>30</v>
      </c>
      <c r="M7" s="30">
        <f>K7*L7</f>
        <v>360</v>
      </c>
      <c r="N7" s="85"/>
      <c r="O7" s="11"/>
    </row>
    <row r="8" spans="1:18" s="10" customFormat="1" ht="23.25" x14ac:dyDescent="0.3">
      <c r="A8" s="26">
        <v>6</v>
      </c>
      <c r="B8" s="65" t="s">
        <v>745</v>
      </c>
      <c r="C8" s="32" t="s">
        <v>19</v>
      </c>
      <c r="D8" s="32">
        <v>6</v>
      </c>
      <c r="E8" s="57">
        <v>50</v>
      </c>
      <c r="F8" s="30">
        <f>D8*E8</f>
        <v>300</v>
      </c>
      <c r="H8" s="26">
        <v>6</v>
      </c>
      <c r="I8" s="65" t="s">
        <v>745</v>
      </c>
      <c r="J8" s="32" t="s">
        <v>19</v>
      </c>
      <c r="K8" s="32">
        <v>6</v>
      </c>
      <c r="L8" s="57">
        <v>50</v>
      </c>
      <c r="M8" s="30">
        <f>K8*L8</f>
        <v>300</v>
      </c>
      <c r="N8" s="85"/>
      <c r="O8" s="11"/>
    </row>
    <row r="9" spans="1:18" s="10" customFormat="1" ht="23.25" x14ac:dyDescent="0.3">
      <c r="A9" s="26">
        <v>3</v>
      </c>
      <c r="B9" s="65" t="s">
        <v>227</v>
      </c>
      <c r="C9" s="32" t="s">
        <v>20</v>
      </c>
      <c r="D9" s="32">
        <v>22.4</v>
      </c>
      <c r="E9" s="57">
        <v>30</v>
      </c>
      <c r="F9" s="30">
        <f t="shared" si="0"/>
        <v>672</v>
      </c>
      <c r="H9" s="26">
        <v>3</v>
      </c>
      <c r="I9" s="65" t="s">
        <v>227</v>
      </c>
      <c r="J9" s="32" t="s">
        <v>20</v>
      </c>
      <c r="K9" s="115">
        <v>11.2</v>
      </c>
      <c r="L9" s="57">
        <v>30</v>
      </c>
      <c r="M9" s="30">
        <f t="shared" ref="M9:M10" si="2">K9*L9</f>
        <v>336</v>
      </c>
      <c r="N9" s="85"/>
      <c r="O9" s="11"/>
    </row>
    <row r="10" spans="1:18" s="10" customFormat="1" ht="23.25" x14ac:dyDescent="0.3">
      <c r="A10" s="26">
        <v>4</v>
      </c>
      <c r="B10" s="65" t="s">
        <v>231</v>
      </c>
      <c r="C10" s="32" t="s">
        <v>19</v>
      </c>
      <c r="D10" s="88">
        <v>6</v>
      </c>
      <c r="E10" s="57">
        <v>50</v>
      </c>
      <c r="F10" s="30">
        <f t="shared" si="0"/>
        <v>300</v>
      </c>
      <c r="H10" s="26">
        <v>4</v>
      </c>
      <c r="I10" s="65" t="s">
        <v>231</v>
      </c>
      <c r="J10" s="32" t="s">
        <v>19</v>
      </c>
      <c r="K10" s="88">
        <v>6</v>
      </c>
      <c r="L10" s="57">
        <v>50</v>
      </c>
      <c r="M10" s="30">
        <f t="shared" si="2"/>
        <v>300</v>
      </c>
      <c r="N10" s="85"/>
      <c r="O10" s="11"/>
    </row>
    <row r="11" spans="1:18" ht="24" thickBot="1" x14ac:dyDescent="0.3">
      <c r="A11" s="38"/>
      <c r="B11" s="39"/>
      <c r="C11" s="39"/>
      <c r="D11" s="39"/>
      <c r="E11" s="40" t="s">
        <v>16</v>
      </c>
      <c r="F11" s="35">
        <f>SUM(F5:F10)</f>
        <v>4242</v>
      </c>
      <c r="H11" s="38"/>
      <c r="I11" s="39"/>
      <c r="J11" s="39"/>
      <c r="K11" s="39"/>
      <c r="L11" s="40" t="s">
        <v>16</v>
      </c>
      <c r="M11" s="35">
        <f>SUM(M5:M10)</f>
        <v>3546</v>
      </c>
    </row>
    <row r="12" spans="1:18" ht="26.25" thickBot="1" x14ac:dyDescent="0.3">
      <c r="A12" s="76"/>
      <c r="B12" s="77"/>
      <c r="C12" s="77"/>
      <c r="D12" s="77"/>
      <c r="E12" s="78" t="s">
        <v>21</v>
      </c>
      <c r="F12" s="12">
        <f>SUMIF(E1:E19978,"CƏMİ",F1:F19978)</f>
        <v>4242</v>
      </c>
      <c r="H12" s="76"/>
      <c r="I12" s="77"/>
      <c r="J12" s="77"/>
      <c r="K12" s="77"/>
      <c r="L12" s="78" t="s">
        <v>21</v>
      </c>
      <c r="M12" s="12">
        <f>SUMIF(L1:L19978,"CƏMİ",M1:M19978)</f>
        <v>3546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2A4A-41F8-4D56-879B-52E5AD50D7F3}">
  <sheetPr>
    <tabColor rgb="FFFFFF00"/>
    <pageSetUpPr fitToPage="1"/>
  </sheetPr>
  <dimension ref="A1:R10"/>
  <sheetViews>
    <sheetView view="pageBreakPreview" zoomScale="55" zoomScaleNormal="55" zoomScaleSheetLayoutView="55" workbookViewId="0">
      <pane ySplit="3" topLeftCell="A4" activePane="bottomLeft" state="frozen"/>
      <selection activeCell="D15" sqref="D15"/>
      <selection pane="bottomLeft" activeCell="K6" sqref="K6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466</v>
      </c>
      <c r="B1" s="175"/>
      <c r="C1" s="175"/>
      <c r="D1" s="175"/>
      <c r="E1" s="176" t="s">
        <v>0</v>
      </c>
      <c r="F1" s="177"/>
      <c r="H1" s="174" t="s">
        <v>466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F9</f>
        <v>4451</v>
      </c>
      <c r="O4" s="4"/>
    </row>
    <row r="5" spans="1:18" s="10" customFormat="1" ht="23.25" x14ac:dyDescent="0.3">
      <c r="A5" s="26">
        <v>1</v>
      </c>
      <c r="B5" s="65" t="s">
        <v>355</v>
      </c>
      <c r="C5" s="32" t="s">
        <v>20</v>
      </c>
      <c r="D5" s="32">
        <v>33.5</v>
      </c>
      <c r="E5" s="57">
        <v>30</v>
      </c>
      <c r="F5" s="30">
        <f>D5*E5</f>
        <v>1005</v>
      </c>
      <c r="H5" s="26">
        <v>1</v>
      </c>
      <c r="I5" s="65" t="s">
        <v>355</v>
      </c>
      <c r="J5" s="32" t="s">
        <v>20</v>
      </c>
      <c r="K5" s="115">
        <v>12.6</v>
      </c>
      <c r="L5" s="57">
        <v>30</v>
      </c>
      <c r="M5" s="30">
        <f>K5*L5</f>
        <v>378</v>
      </c>
      <c r="N5" s="85"/>
      <c r="O5" s="11"/>
    </row>
    <row r="6" spans="1:18" s="10" customFormat="1" ht="23.25" x14ac:dyDescent="0.3">
      <c r="A6" s="26">
        <v>2</v>
      </c>
      <c r="B6" s="65" t="s">
        <v>354</v>
      </c>
      <c r="C6" s="32" t="s">
        <v>19</v>
      </c>
      <c r="D6" s="88">
        <v>5</v>
      </c>
      <c r="E6" s="57">
        <v>50</v>
      </c>
      <c r="F6" s="30">
        <f t="shared" ref="F6:F8" si="0">D6*E6</f>
        <v>250</v>
      </c>
      <c r="H6" s="26">
        <v>2</v>
      </c>
      <c r="I6" s="65" t="s">
        <v>354</v>
      </c>
      <c r="J6" s="32" t="s">
        <v>19</v>
      </c>
      <c r="K6" s="88">
        <v>5</v>
      </c>
      <c r="L6" s="57">
        <v>50</v>
      </c>
      <c r="M6" s="30">
        <f t="shared" ref="M6:M8" si="1">K6*L6</f>
        <v>250</v>
      </c>
      <c r="N6" s="85"/>
      <c r="O6" s="11"/>
    </row>
    <row r="7" spans="1:18" s="10" customFormat="1" ht="23.25" x14ac:dyDescent="0.3">
      <c r="A7" s="26">
        <v>3</v>
      </c>
      <c r="B7" s="70" t="s">
        <v>559</v>
      </c>
      <c r="C7" s="32" t="s">
        <v>20</v>
      </c>
      <c r="D7" s="88">
        <v>65.2</v>
      </c>
      <c r="E7" s="57">
        <v>30</v>
      </c>
      <c r="F7" s="30">
        <f t="shared" si="0"/>
        <v>1956</v>
      </c>
      <c r="H7" s="26">
        <v>3</v>
      </c>
      <c r="I7" s="70" t="s">
        <v>559</v>
      </c>
      <c r="J7" s="32" t="s">
        <v>20</v>
      </c>
      <c r="K7" s="88">
        <v>65.2</v>
      </c>
      <c r="L7" s="57">
        <v>30</v>
      </c>
      <c r="M7" s="30">
        <f t="shared" si="1"/>
        <v>1956</v>
      </c>
      <c r="N7" s="85"/>
      <c r="O7" s="11"/>
    </row>
    <row r="8" spans="1:18" s="10" customFormat="1" ht="23.25" x14ac:dyDescent="0.3">
      <c r="A8" s="26">
        <v>4</v>
      </c>
      <c r="B8" s="65" t="s">
        <v>555</v>
      </c>
      <c r="C8" s="32" t="s">
        <v>19</v>
      </c>
      <c r="D8" s="32">
        <v>24.8</v>
      </c>
      <c r="E8" s="57">
        <v>50</v>
      </c>
      <c r="F8" s="30">
        <f t="shared" si="0"/>
        <v>1240</v>
      </c>
      <c r="H8" s="26">
        <v>4</v>
      </c>
      <c r="I8" s="65" t="s">
        <v>555</v>
      </c>
      <c r="J8" s="32" t="s">
        <v>19</v>
      </c>
      <c r="K8" s="32">
        <v>24.8</v>
      </c>
      <c r="L8" s="57">
        <v>50</v>
      </c>
      <c r="M8" s="30">
        <f t="shared" si="1"/>
        <v>1240</v>
      </c>
      <c r="N8" s="85"/>
      <c r="O8" s="11"/>
    </row>
    <row r="9" spans="1:18" ht="24" thickBot="1" x14ac:dyDescent="0.3">
      <c r="A9" s="38"/>
      <c r="B9" s="39"/>
      <c r="C9" s="39"/>
      <c r="D9" s="39"/>
      <c r="E9" s="40" t="s">
        <v>16</v>
      </c>
      <c r="F9" s="35">
        <f>SUM(F5:F8)</f>
        <v>4451</v>
      </c>
      <c r="H9" s="38"/>
      <c r="I9" s="39"/>
      <c r="J9" s="39"/>
      <c r="K9" s="39"/>
      <c r="L9" s="40" t="s">
        <v>16</v>
      </c>
      <c r="M9" s="35">
        <f>SUM(M5:M8)</f>
        <v>3824</v>
      </c>
    </row>
    <row r="10" spans="1:18" ht="26.25" thickBot="1" x14ac:dyDescent="0.3">
      <c r="A10" s="76"/>
      <c r="B10" s="77"/>
      <c r="C10" s="77"/>
      <c r="D10" s="77"/>
      <c r="E10" s="78" t="s">
        <v>21</v>
      </c>
      <c r="F10" s="12">
        <f>SUMIF(E1:E19976,"CƏMİ",F1:F19976)</f>
        <v>4451</v>
      </c>
      <c r="H10" s="76"/>
      <c r="I10" s="77"/>
      <c r="J10" s="77"/>
      <c r="K10" s="77"/>
      <c r="L10" s="78" t="s">
        <v>21</v>
      </c>
      <c r="M10" s="12">
        <f>SUMIF(L1:L19976,"CƏMİ",M1:M19976)</f>
        <v>3824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9034-BAC5-4C79-87F0-4F77DF553C23}">
  <sheetPr>
    <tabColor rgb="FFFFFF00"/>
    <pageSetUpPr fitToPage="1"/>
  </sheetPr>
  <dimension ref="A1:R8"/>
  <sheetViews>
    <sheetView view="pageBreakPreview" zoomScale="55" zoomScaleNormal="55" zoomScaleSheetLayoutView="55" workbookViewId="0">
      <pane ySplit="3" topLeftCell="A4" activePane="bottomLeft" state="frozen"/>
      <selection activeCell="D15" sqref="D15"/>
      <selection pane="bottomLeft" activeCell="K6" sqref="K6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533</v>
      </c>
      <c r="B1" s="175"/>
      <c r="C1" s="175"/>
      <c r="D1" s="175"/>
      <c r="E1" s="176" t="s">
        <v>0</v>
      </c>
      <c r="F1" s="177"/>
      <c r="H1" s="174" t="s">
        <v>533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F7</f>
        <v>4222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90.9</v>
      </c>
      <c r="E5" s="57">
        <v>30</v>
      </c>
      <c r="F5" s="30">
        <f>D5*E5</f>
        <v>2727</v>
      </c>
      <c r="H5" s="26">
        <v>1</v>
      </c>
      <c r="I5" s="70" t="s">
        <v>559</v>
      </c>
      <c r="J5" s="32" t="s">
        <v>20</v>
      </c>
      <c r="K5" s="88">
        <v>90.9</v>
      </c>
      <c r="L5" s="57">
        <v>30</v>
      </c>
      <c r="M5" s="30">
        <f>K5*L5</f>
        <v>2727</v>
      </c>
      <c r="N5" s="85"/>
      <c r="O5" s="11"/>
    </row>
    <row r="6" spans="1:18" s="10" customFormat="1" ht="23.25" x14ac:dyDescent="0.3">
      <c r="A6" s="26">
        <v>2</v>
      </c>
      <c r="B6" s="65" t="s">
        <v>555</v>
      </c>
      <c r="C6" s="32" t="s">
        <v>19</v>
      </c>
      <c r="D6" s="32">
        <v>29.9</v>
      </c>
      <c r="E6" s="57">
        <v>50</v>
      </c>
      <c r="F6" s="30">
        <f>D6*E6</f>
        <v>1495</v>
      </c>
      <c r="H6" s="26">
        <v>2</v>
      </c>
      <c r="I6" s="65" t="s">
        <v>555</v>
      </c>
      <c r="J6" s="32" t="s">
        <v>19</v>
      </c>
      <c r="K6" s="32">
        <v>29.9</v>
      </c>
      <c r="L6" s="57">
        <v>50</v>
      </c>
      <c r="M6" s="30">
        <f>K6*L6</f>
        <v>1495</v>
      </c>
      <c r="N6" s="85"/>
      <c r="O6" s="11"/>
    </row>
    <row r="7" spans="1:18" ht="24" thickBot="1" x14ac:dyDescent="0.3">
      <c r="A7" s="38"/>
      <c r="B7" s="39"/>
      <c r="C7" s="39"/>
      <c r="D7" s="39"/>
      <c r="E7" s="40" t="s">
        <v>16</v>
      </c>
      <c r="F7" s="35">
        <f>SUM(F5:F6)</f>
        <v>4222</v>
      </c>
      <c r="H7" s="38"/>
      <c r="I7" s="39"/>
      <c r="J7" s="39"/>
      <c r="K7" s="39"/>
      <c r="L7" s="40" t="s">
        <v>16</v>
      </c>
      <c r="M7" s="35">
        <f>SUM(M5:M6)</f>
        <v>4222</v>
      </c>
    </row>
    <row r="8" spans="1:18" ht="26.25" thickBot="1" x14ac:dyDescent="0.3">
      <c r="A8" s="76"/>
      <c r="B8" s="77"/>
      <c r="C8" s="77"/>
      <c r="D8" s="77"/>
      <c r="E8" s="78" t="s">
        <v>21</v>
      </c>
      <c r="F8" s="12">
        <f>SUMIF(E1:E19974,"CƏMİ",F1:F19974)</f>
        <v>4222</v>
      </c>
      <c r="H8" s="76"/>
      <c r="I8" s="77"/>
      <c r="J8" s="77"/>
      <c r="K8" s="77"/>
      <c r="L8" s="78" t="s">
        <v>21</v>
      </c>
      <c r="M8" s="12">
        <f>SUMIF(L1:L19974,"CƏMİ",M1:M19974)</f>
        <v>4222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1CBF-807E-42B7-9913-AA27472EB3CF}">
  <sheetPr>
    <tabColor rgb="FFFFFF00"/>
    <pageSetUpPr fitToPage="1"/>
  </sheetPr>
  <dimension ref="A1:R12"/>
  <sheetViews>
    <sheetView view="pageBreakPreview" zoomScale="55" zoomScaleNormal="55" zoomScaleSheetLayoutView="55" workbookViewId="0">
      <pane ySplit="3" topLeftCell="A4" activePane="bottomLeft" state="frozen"/>
      <selection activeCell="D15" sqref="D15"/>
      <selection pane="bottomLeft" activeCell="K9" sqref="K9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532</v>
      </c>
      <c r="B1" s="175"/>
      <c r="C1" s="175"/>
      <c r="D1" s="175"/>
      <c r="E1" s="176" t="s">
        <v>0</v>
      </c>
      <c r="F1" s="177"/>
      <c r="H1" s="174" t="s">
        <v>532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F11</f>
        <v>16648.8</v>
      </c>
      <c r="O4" s="4"/>
    </row>
    <row r="5" spans="1:18" s="10" customFormat="1" ht="23.25" x14ac:dyDescent="0.3">
      <c r="A5" s="26">
        <v>1</v>
      </c>
      <c r="B5" s="70" t="s">
        <v>770</v>
      </c>
      <c r="C5" s="32" t="s">
        <v>19</v>
      </c>
      <c r="D5" s="88">
        <v>125</v>
      </c>
      <c r="E5" s="57">
        <v>80</v>
      </c>
      <c r="F5" s="30">
        <f>D5*E5</f>
        <v>10000</v>
      </c>
      <c r="H5" s="26">
        <v>1</v>
      </c>
      <c r="I5" s="70" t="s">
        <v>770</v>
      </c>
      <c r="J5" s="32" t="s">
        <v>19</v>
      </c>
      <c r="K5" s="88">
        <v>125</v>
      </c>
      <c r="L5" s="57">
        <v>80</v>
      </c>
      <c r="M5" s="30">
        <f>K5*L5</f>
        <v>10000</v>
      </c>
      <c r="N5" s="85"/>
      <c r="O5" s="11"/>
    </row>
    <row r="6" spans="1:18" s="10" customFormat="1" ht="23.25" x14ac:dyDescent="0.3">
      <c r="A6" s="26">
        <v>2</v>
      </c>
      <c r="B6" s="70" t="s">
        <v>559</v>
      </c>
      <c r="C6" s="32" t="s">
        <v>20</v>
      </c>
      <c r="D6" s="88">
        <v>48</v>
      </c>
      <c r="E6" s="57">
        <v>30</v>
      </c>
      <c r="F6" s="30">
        <f t="shared" ref="F6:F10" si="0">D6*E6</f>
        <v>1440</v>
      </c>
      <c r="H6" s="26">
        <v>2</v>
      </c>
      <c r="I6" s="70" t="s">
        <v>559</v>
      </c>
      <c r="J6" s="32" t="s">
        <v>20</v>
      </c>
      <c r="K6" s="88">
        <v>48</v>
      </c>
      <c r="L6" s="57">
        <v>30</v>
      </c>
      <c r="M6" s="30">
        <f t="shared" ref="M6:M10" si="1">K6*L6</f>
        <v>1440</v>
      </c>
      <c r="N6" s="85"/>
      <c r="O6" s="11"/>
    </row>
    <row r="7" spans="1:18" s="10" customFormat="1" ht="23.25" x14ac:dyDescent="0.3">
      <c r="A7" s="26">
        <v>3</v>
      </c>
      <c r="B7" s="65" t="s">
        <v>555</v>
      </c>
      <c r="C7" s="32" t="s">
        <v>19</v>
      </c>
      <c r="D7" s="32">
        <v>14.74</v>
      </c>
      <c r="E7" s="57">
        <v>50</v>
      </c>
      <c r="F7" s="30">
        <f t="shared" si="0"/>
        <v>737</v>
      </c>
      <c r="H7" s="26">
        <v>3</v>
      </c>
      <c r="I7" s="65" t="s">
        <v>555</v>
      </c>
      <c r="J7" s="32" t="s">
        <v>19</v>
      </c>
      <c r="K7" s="32">
        <v>14.74</v>
      </c>
      <c r="L7" s="57">
        <v>50</v>
      </c>
      <c r="M7" s="30">
        <f t="shared" si="1"/>
        <v>737</v>
      </c>
      <c r="N7" s="85"/>
      <c r="O7" s="11"/>
    </row>
    <row r="8" spans="1:18" s="10" customFormat="1" ht="23.25" x14ac:dyDescent="0.3">
      <c r="A8" s="26">
        <v>4</v>
      </c>
      <c r="B8" s="65" t="s">
        <v>355</v>
      </c>
      <c r="C8" s="32" t="s">
        <v>20</v>
      </c>
      <c r="D8" s="32">
        <v>46.4</v>
      </c>
      <c r="E8" s="57">
        <v>30</v>
      </c>
      <c r="F8" s="30">
        <f t="shared" si="0"/>
        <v>1392</v>
      </c>
      <c r="H8" s="26">
        <v>4</v>
      </c>
      <c r="I8" s="65" t="s">
        <v>355</v>
      </c>
      <c r="J8" s="32" t="s">
        <v>20</v>
      </c>
      <c r="K8" s="115">
        <v>23.2</v>
      </c>
      <c r="L8" s="57">
        <v>30</v>
      </c>
      <c r="M8" s="30">
        <f t="shared" si="1"/>
        <v>696</v>
      </c>
      <c r="N8" s="85"/>
      <c r="O8" s="11"/>
    </row>
    <row r="9" spans="1:18" s="10" customFormat="1" ht="23.25" x14ac:dyDescent="0.3">
      <c r="A9" s="26">
        <v>5</v>
      </c>
      <c r="B9" s="65" t="s">
        <v>354</v>
      </c>
      <c r="C9" s="32" t="s">
        <v>19</v>
      </c>
      <c r="D9" s="88">
        <v>30.5</v>
      </c>
      <c r="E9" s="57">
        <v>50</v>
      </c>
      <c r="F9" s="30">
        <f t="shared" si="0"/>
        <v>1525</v>
      </c>
      <c r="H9" s="26">
        <v>5</v>
      </c>
      <c r="I9" s="65" t="s">
        <v>354</v>
      </c>
      <c r="J9" s="32" t="s">
        <v>19</v>
      </c>
      <c r="K9" s="88">
        <v>30.5</v>
      </c>
      <c r="L9" s="57">
        <v>50</v>
      </c>
      <c r="M9" s="30">
        <f t="shared" si="1"/>
        <v>1525</v>
      </c>
      <c r="N9" s="85"/>
      <c r="O9" s="11"/>
    </row>
    <row r="10" spans="1:18" s="10" customFormat="1" ht="23.25" x14ac:dyDescent="0.3">
      <c r="A10" s="26">
        <v>6</v>
      </c>
      <c r="B10" s="65" t="s">
        <v>122</v>
      </c>
      <c r="C10" s="32" t="s">
        <v>119</v>
      </c>
      <c r="D10" s="32">
        <v>3.38</v>
      </c>
      <c r="E10" s="57">
        <v>460</v>
      </c>
      <c r="F10" s="30">
        <f t="shared" si="0"/>
        <v>1554.8</v>
      </c>
      <c r="H10" s="26">
        <v>6</v>
      </c>
      <c r="I10" s="65" t="s">
        <v>122</v>
      </c>
      <c r="J10" s="32" t="s">
        <v>119</v>
      </c>
      <c r="K10" s="32">
        <v>3.38</v>
      </c>
      <c r="L10" s="57">
        <v>460</v>
      </c>
      <c r="M10" s="30">
        <f t="shared" si="1"/>
        <v>1554.8</v>
      </c>
      <c r="N10" s="85"/>
      <c r="O10" s="11"/>
    </row>
    <row r="11" spans="1:18" ht="24" thickBot="1" x14ac:dyDescent="0.3">
      <c r="A11" s="38"/>
      <c r="B11" s="39"/>
      <c r="C11" s="39"/>
      <c r="D11" s="39"/>
      <c r="E11" s="40" t="s">
        <v>16</v>
      </c>
      <c r="F11" s="35">
        <f>SUM(F5:F10)</f>
        <v>16648.8</v>
      </c>
      <c r="H11" s="38"/>
      <c r="I11" s="39"/>
      <c r="J11" s="39"/>
      <c r="K11" s="39"/>
      <c r="L11" s="40" t="s">
        <v>16</v>
      </c>
      <c r="M11" s="35">
        <f>SUM(M5:M10)</f>
        <v>15952.8</v>
      </c>
    </row>
    <row r="12" spans="1:18" ht="26.25" thickBot="1" x14ac:dyDescent="0.3">
      <c r="A12" s="76"/>
      <c r="B12" s="77"/>
      <c r="C12" s="77"/>
      <c r="D12" s="77"/>
      <c r="E12" s="78" t="s">
        <v>21</v>
      </c>
      <c r="F12" s="12">
        <f>SUMIF(E1:E19978,"CƏMİ",F1:F19978)</f>
        <v>16648.8</v>
      </c>
      <c r="H12" s="76"/>
      <c r="I12" s="77"/>
      <c r="J12" s="77"/>
      <c r="K12" s="77"/>
      <c r="L12" s="78" t="s">
        <v>21</v>
      </c>
      <c r="M12" s="12">
        <f>SUMIF(L1:L19978,"CƏMİ",M1:M19978)</f>
        <v>15952.8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DFC4-16D0-4754-8EE5-38B017892026}">
  <sheetPr>
    <tabColor rgb="FFFFFF00"/>
    <pageSetUpPr fitToPage="1"/>
  </sheetPr>
  <dimension ref="A1:R8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L4" sqref="L4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268</v>
      </c>
      <c r="B1" s="175"/>
      <c r="C1" s="175"/>
      <c r="D1" s="175"/>
      <c r="E1" s="176" t="s">
        <v>0</v>
      </c>
      <c r="F1" s="177"/>
      <c r="H1" s="174" t="s">
        <v>268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45219</v>
      </c>
      <c r="H2" s="17"/>
      <c r="I2" s="18"/>
      <c r="J2" s="18"/>
      <c r="K2" s="19"/>
      <c r="L2" s="18"/>
      <c r="M2" s="46">
        <v>45219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F7</f>
        <v>2075</v>
      </c>
      <c r="O4" s="4"/>
    </row>
    <row r="5" spans="1:18" s="10" customFormat="1" ht="23.25" x14ac:dyDescent="0.3">
      <c r="A5" s="26">
        <v>1</v>
      </c>
      <c r="B5" s="70" t="s">
        <v>750</v>
      </c>
      <c r="C5" s="32" t="s">
        <v>20</v>
      </c>
      <c r="D5" s="88">
        <v>45</v>
      </c>
      <c r="E5" s="57">
        <v>30</v>
      </c>
      <c r="F5" s="30">
        <f t="shared" ref="F5:F6" si="0">D5*E5</f>
        <v>1350</v>
      </c>
      <c r="H5" s="26">
        <v>1</v>
      </c>
      <c r="I5" s="70" t="s">
        <v>750</v>
      </c>
      <c r="J5" s="32" t="s">
        <v>20</v>
      </c>
      <c r="K5" s="88">
        <v>45</v>
      </c>
      <c r="L5" s="57">
        <v>30</v>
      </c>
      <c r="M5" s="30">
        <f t="shared" ref="M5:M6" si="1">K5*L5</f>
        <v>1350</v>
      </c>
      <c r="N5" s="85"/>
      <c r="O5" s="11"/>
    </row>
    <row r="6" spans="1:18" s="10" customFormat="1" ht="23.25" x14ac:dyDescent="0.3">
      <c r="A6" s="26">
        <v>2</v>
      </c>
      <c r="B6" s="65" t="s">
        <v>44</v>
      </c>
      <c r="C6" s="32" t="s">
        <v>19</v>
      </c>
      <c r="D6" s="32">
        <v>14.5</v>
      </c>
      <c r="E6" s="57">
        <v>50</v>
      </c>
      <c r="F6" s="30">
        <f t="shared" si="0"/>
        <v>725</v>
      </c>
      <c r="H6" s="26">
        <v>2</v>
      </c>
      <c r="I6" s="65" t="s">
        <v>44</v>
      </c>
      <c r="J6" s="32" t="s">
        <v>19</v>
      </c>
      <c r="K6" s="32">
        <v>14.5</v>
      </c>
      <c r="L6" s="57">
        <v>50</v>
      </c>
      <c r="M6" s="30">
        <f t="shared" si="1"/>
        <v>725</v>
      </c>
      <c r="N6" s="85"/>
      <c r="O6" s="11"/>
    </row>
    <row r="7" spans="1:18" ht="24" thickBot="1" x14ac:dyDescent="0.3">
      <c r="A7" s="38"/>
      <c r="B7" s="39"/>
      <c r="C7" s="39"/>
      <c r="D7" s="39"/>
      <c r="E7" s="40" t="s">
        <v>16</v>
      </c>
      <c r="F7" s="35">
        <f>SUM(F5:F6)</f>
        <v>2075</v>
      </c>
      <c r="H7" s="38"/>
      <c r="I7" s="39"/>
      <c r="J7" s="39"/>
      <c r="K7" s="39"/>
      <c r="L7" s="40" t="s">
        <v>16</v>
      </c>
      <c r="M7" s="35">
        <f>SUM(M5:M6)</f>
        <v>2075</v>
      </c>
    </row>
    <row r="8" spans="1:18" ht="26.25" thickBot="1" x14ac:dyDescent="0.3">
      <c r="A8" s="76"/>
      <c r="B8" s="77"/>
      <c r="C8" s="77"/>
      <c r="D8" s="77"/>
      <c r="E8" s="78" t="s">
        <v>21</v>
      </c>
      <c r="F8" s="12">
        <f>SUMIF(E1:E19974,"CƏMİ",F1:F19974)</f>
        <v>2075</v>
      </c>
      <c r="H8" s="76"/>
      <c r="I8" s="77"/>
      <c r="J8" s="77"/>
      <c r="K8" s="77"/>
      <c r="L8" s="78" t="s">
        <v>21</v>
      </c>
      <c r="M8" s="12">
        <f>SUMIF(L1:L19974,"CƏMİ",M1:M19974)</f>
        <v>2075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EE8FD-0313-43F0-B93E-A8C9F8C89784}">
  <sheetPr>
    <tabColor rgb="FFFFFF00"/>
    <pageSetUpPr fitToPage="1"/>
  </sheetPr>
  <dimension ref="A1:R8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K7" sqref="K7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270</v>
      </c>
      <c r="B1" s="175"/>
      <c r="C1" s="175"/>
      <c r="D1" s="175"/>
      <c r="E1" s="176" t="s">
        <v>0</v>
      </c>
      <c r="F1" s="177"/>
      <c r="H1" s="174" t="s">
        <v>270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45219</v>
      </c>
      <c r="H2" s="17"/>
      <c r="I2" s="18"/>
      <c r="J2" s="18"/>
      <c r="K2" s="19"/>
      <c r="L2" s="18"/>
      <c r="M2" s="46">
        <v>45219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F7</f>
        <v>2075</v>
      </c>
      <c r="O4" s="4"/>
    </row>
    <row r="5" spans="1:18" s="10" customFormat="1" ht="23.25" x14ac:dyDescent="0.3">
      <c r="A5" s="26">
        <v>1</v>
      </c>
      <c r="B5" s="70" t="s">
        <v>750</v>
      </c>
      <c r="C5" s="32" t="s">
        <v>20</v>
      </c>
      <c r="D5" s="88">
        <v>45</v>
      </c>
      <c r="E5" s="57">
        <v>30</v>
      </c>
      <c r="F5" s="30">
        <f t="shared" ref="F5:F6" si="0">D5*E5</f>
        <v>1350</v>
      </c>
      <c r="H5" s="26">
        <v>1</v>
      </c>
      <c r="I5" s="70" t="s">
        <v>750</v>
      </c>
      <c r="J5" s="32" t="s">
        <v>20</v>
      </c>
      <c r="K5" s="115">
        <v>40</v>
      </c>
      <c r="L5" s="57">
        <v>30</v>
      </c>
      <c r="M5" s="30">
        <f t="shared" ref="M5:M6" si="1">K5*L5</f>
        <v>1200</v>
      </c>
      <c r="N5" s="85"/>
      <c r="O5" s="11"/>
    </row>
    <row r="6" spans="1:18" s="10" customFormat="1" ht="23.25" x14ac:dyDescent="0.3">
      <c r="A6" s="26">
        <v>2</v>
      </c>
      <c r="B6" s="65" t="s">
        <v>44</v>
      </c>
      <c r="C6" s="32" t="s">
        <v>19</v>
      </c>
      <c r="D6" s="32">
        <v>14.5</v>
      </c>
      <c r="E6" s="57">
        <v>50</v>
      </c>
      <c r="F6" s="30">
        <f t="shared" si="0"/>
        <v>725</v>
      </c>
      <c r="H6" s="26">
        <v>2</v>
      </c>
      <c r="I6" s="65" t="s">
        <v>44</v>
      </c>
      <c r="J6" s="32" t="s">
        <v>19</v>
      </c>
      <c r="K6" s="115">
        <v>13</v>
      </c>
      <c r="L6" s="57">
        <v>50</v>
      </c>
      <c r="M6" s="30">
        <f t="shared" si="1"/>
        <v>650</v>
      </c>
      <c r="N6" s="85"/>
      <c r="O6" s="11"/>
    </row>
    <row r="7" spans="1:18" ht="24" thickBot="1" x14ac:dyDescent="0.3">
      <c r="A7" s="38"/>
      <c r="B7" s="39"/>
      <c r="C7" s="39"/>
      <c r="D7" s="39"/>
      <c r="E7" s="40" t="s">
        <v>16</v>
      </c>
      <c r="F7" s="35">
        <f>SUM(F5:F6)</f>
        <v>2075</v>
      </c>
      <c r="H7" s="38"/>
      <c r="I7" s="39"/>
      <c r="J7" s="39"/>
      <c r="K7" s="39"/>
      <c r="L7" s="40" t="s">
        <v>16</v>
      </c>
      <c r="M7" s="35">
        <f>SUM(M5:M6)</f>
        <v>1850</v>
      </c>
    </row>
    <row r="8" spans="1:18" ht="26.25" thickBot="1" x14ac:dyDescent="0.3">
      <c r="A8" s="76"/>
      <c r="B8" s="77"/>
      <c r="C8" s="77"/>
      <c r="D8" s="77"/>
      <c r="E8" s="78" t="s">
        <v>21</v>
      </c>
      <c r="F8" s="12">
        <f>SUMIF(E1:E19974,"CƏMİ",F1:F19974)</f>
        <v>2075</v>
      </c>
      <c r="H8" s="76"/>
      <c r="I8" s="77"/>
      <c r="J8" s="77"/>
      <c r="K8" s="77"/>
      <c r="L8" s="78" t="s">
        <v>21</v>
      </c>
      <c r="M8" s="12">
        <f>SUMIF(L1:L19974,"CƏMİ",M1:M19974)</f>
        <v>1850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E604-EBCB-49AD-9860-005A57E3802E}">
  <sheetPr>
    <tabColor rgb="FFFFFF00"/>
    <pageSetUpPr fitToPage="1"/>
  </sheetPr>
  <dimension ref="A1:R8"/>
  <sheetViews>
    <sheetView view="pageBreakPreview" zoomScale="55" zoomScaleNormal="55" zoomScaleSheetLayoutView="55" workbookViewId="0">
      <pane ySplit="3" topLeftCell="A4" activePane="bottomLeft" state="frozen"/>
      <selection activeCell="G5" sqref="G5"/>
      <selection pane="bottomLeft" activeCell="F24" sqref="F24"/>
    </sheetView>
  </sheetViews>
  <sheetFormatPr defaultColWidth="9.140625" defaultRowHeight="15" x14ac:dyDescent="0.25"/>
  <cols>
    <col min="1" max="1" width="6.42578125" style="5" bestFit="1" customWidth="1"/>
    <col min="2" max="2" width="99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99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18.57031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488</v>
      </c>
      <c r="B1" s="175"/>
      <c r="C1" s="175"/>
      <c r="D1" s="175"/>
      <c r="E1" s="176" t="s">
        <v>0</v>
      </c>
      <c r="F1" s="177"/>
      <c r="H1" s="174" t="s">
        <v>488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F7</f>
        <v>1717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37.9</v>
      </c>
      <c r="E5" s="57">
        <v>30</v>
      </c>
      <c r="F5" s="30">
        <f>D5*E5</f>
        <v>1137</v>
      </c>
      <c r="H5" s="26">
        <v>1</v>
      </c>
      <c r="I5" s="70" t="s">
        <v>559</v>
      </c>
      <c r="J5" s="32" t="s">
        <v>20</v>
      </c>
      <c r="K5" s="88">
        <v>37.9</v>
      </c>
      <c r="L5" s="57">
        <v>30</v>
      </c>
      <c r="M5" s="30">
        <f>K5*L5</f>
        <v>1137</v>
      </c>
      <c r="N5" s="85"/>
      <c r="O5" s="11"/>
    </row>
    <row r="6" spans="1:18" s="10" customFormat="1" ht="23.25" x14ac:dyDescent="0.3">
      <c r="A6" s="26">
        <v>2</v>
      </c>
      <c r="B6" s="70" t="s">
        <v>555</v>
      </c>
      <c r="C6" s="32" t="s">
        <v>19</v>
      </c>
      <c r="D6" s="32">
        <v>11.6</v>
      </c>
      <c r="E6" s="57">
        <v>50</v>
      </c>
      <c r="F6" s="30">
        <f>D6*E6</f>
        <v>580</v>
      </c>
      <c r="H6" s="26">
        <v>2</v>
      </c>
      <c r="I6" s="70" t="s">
        <v>555</v>
      </c>
      <c r="J6" s="32" t="s">
        <v>19</v>
      </c>
      <c r="K6" s="32">
        <v>11.6</v>
      </c>
      <c r="L6" s="57">
        <v>50</v>
      </c>
      <c r="M6" s="30">
        <f>K6*L6</f>
        <v>580</v>
      </c>
      <c r="N6" s="85"/>
      <c r="O6" s="11"/>
    </row>
    <row r="7" spans="1:18" ht="24" thickBot="1" x14ac:dyDescent="0.3">
      <c r="A7" s="38"/>
      <c r="B7" s="39"/>
      <c r="C7" s="39"/>
      <c r="D7" s="39"/>
      <c r="E7" s="40" t="s">
        <v>16</v>
      </c>
      <c r="F7" s="35">
        <f>SUM(F5:F6)</f>
        <v>1717</v>
      </c>
      <c r="H7" s="38"/>
      <c r="I7" s="39"/>
      <c r="J7" s="39"/>
      <c r="K7" s="39"/>
      <c r="L7" s="40" t="s">
        <v>16</v>
      </c>
      <c r="M7" s="35">
        <f>SUM(M5:M6)</f>
        <v>1717</v>
      </c>
    </row>
    <row r="8" spans="1:18" ht="26.25" thickBot="1" x14ac:dyDescent="0.3">
      <c r="A8" s="76"/>
      <c r="B8" s="77"/>
      <c r="C8" s="77"/>
      <c r="D8" s="77"/>
      <c r="E8" s="78" t="s">
        <v>21</v>
      </c>
      <c r="F8" s="12">
        <f>SUMIF(E1:E19974,"CƏMİ",F1:F19974)</f>
        <v>1717</v>
      </c>
      <c r="H8" s="76"/>
      <c r="I8" s="77"/>
      <c r="J8" s="77"/>
      <c r="K8" s="77"/>
      <c r="L8" s="78" t="s">
        <v>21</v>
      </c>
      <c r="M8" s="12">
        <f>SUMIF(L1:L19974,"CƏMİ",M1:M19974)</f>
        <v>1717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6" fitToHeight="0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FE40-3B5C-45B0-A855-4BAA3B54D539}">
  <sheetPr>
    <tabColor rgb="FFFFFF00"/>
    <pageSetUpPr fitToPage="1"/>
  </sheetPr>
  <dimension ref="A1:R13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K9" sqref="K9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254</v>
      </c>
      <c r="B1" s="175"/>
      <c r="C1" s="175"/>
      <c r="D1" s="175"/>
      <c r="E1" s="176" t="s">
        <v>0</v>
      </c>
      <c r="F1" s="177"/>
      <c r="H1" s="174" t="s">
        <v>254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45219</v>
      </c>
      <c r="H2" s="17"/>
      <c r="I2" s="18"/>
      <c r="J2" s="18"/>
      <c r="K2" s="19"/>
      <c r="L2" s="18"/>
      <c r="M2" s="46">
        <v>45219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F12</f>
        <v>5182.2</v>
      </c>
      <c r="O4" s="4"/>
    </row>
    <row r="5" spans="1:18" s="10" customFormat="1" ht="23.25" x14ac:dyDescent="0.3">
      <c r="A5" s="26">
        <v>1</v>
      </c>
      <c r="B5" s="70" t="s">
        <v>750</v>
      </c>
      <c r="C5" s="32" t="s">
        <v>20</v>
      </c>
      <c r="D5" s="88">
        <v>33.5</v>
      </c>
      <c r="E5" s="57">
        <v>30</v>
      </c>
      <c r="F5" s="30">
        <f t="shared" ref="F5:F11" si="0">D5*E5</f>
        <v>1005</v>
      </c>
      <c r="H5" s="26">
        <v>1</v>
      </c>
      <c r="I5" s="70" t="s">
        <v>750</v>
      </c>
      <c r="J5" s="32" t="s">
        <v>20</v>
      </c>
      <c r="K5" s="88">
        <v>33.5</v>
      </c>
      <c r="L5" s="57">
        <v>30</v>
      </c>
      <c r="M5" s="30">
        <f t="shared" ref="M5:M6" si="1">K5*L5</f>
        <v>1005</v>
      </c>
      <c r="N5" s="85"/>
      <c r="O5" s="11"/>
    </row>
    <row r="6" spans="1:18" s="10" customFormat="1" ht="23.25" x14ac:dyDescent="0.3">
      <c r="A6" s="26">
        <v>2</v>
      </c>
      <c r="B6" s="65" t="s">
        <v>44</v>
      </c>
      <c r="C6" s="32" t="s">
        <v>19</v>
      </c>
      <c r="D6" s="32">
        <v>8.8000000000000007</v>
      </c>
      <c r="E6" s="57">
        <v>50</v>
      </c>
      <c r="F6" s="30">
        <f t="shared" si="0"/>
        <v>440.00000000000006</v>
      </c>
      <c r="H6" s="26">
        <v>2</v>
      </c>
      <c r="I6" s="65" t="s">
        <v>44</v>
      </c>
      <c r="J6" s="32" t="s">
        <v>19</v>
      </c>
      <c r="K6" s="32">
        <v>8.8000000000000007</v>
      </c>
      <c r="L6" s="57">
        <v>50</v>
      </c>
      <c r="M6" s="30">
        <f t="shared" si="1"/>
        <v>440.00000000000006</v>
      </c>
      <c r="N6" s="85"/>
      <c r="O6" s="11"/>
    </row>
    <row r="7" spans="1:18" s="10" customFormat="1" ht="23.25" x14ac:dyDescent="0.3">
      <c r="A7" s="26">
        <v>5</v>
      </c>
      <c r="B7" s="65" t="s">
        <v>172</v>
      </c>
      <c r="C7" s="32" t="s">
        <v>20</v>
      </c>
      <c r="D7" s="32">
        <v>37.4</v>
      </c>
      <c r="E7" s="57">
        <v>30</v>
      </c>
      <c r="F7" s="30">
        <f>D7*E7</f>
        <v>1122</v>
      </c>
      <c r="H7" s="26">
        <v>5</v>
      </c>
      <c r="I7" s="65" t="s">
        <v>172</v>
      </c>
      <c r="J7" s="32" t="s">
        <v>20</v>
      </c>
      <c r="K7" s="32">
        <v>37.4</v>
      </c>
      <c r="L7" s="118">
        <v>25</v>
      </c>
      <c r="M7" s="30">
        <f>K7*L7</f>
        <v>935</v>
      </c>
      <c r="N7" s="85"/>
      <c r="O7" s="11"/>
    </row>
    <row r="8" spans="1:18" s="10" customFormat="1" ht="46.5" x14ac:dyDescent="0.3">
      <c r="A8" s="26">
        <v>6</v>
      </c>
      <c r="B8" s="31" t="s">
        <v>744</v>
      </c>
      <c r="C8" s="32" t="s">
        <v>19</v>
      </c>
      <c r="D8" s="32">
        <v>22.4</v>
      </c>
      <c r="E8" s="57">
        <v>50</v>
      </c>
      <c r="F8" s="30">
        <f>D8*E8</f>
        <v>1120</v>
      </c>
      <c r="H8" s="26">
        <v>6</v>
      </c>
      <c r="I8" s="31" t="s">
        <v>744</v>
      </c>
      <c r="J8" s="32" t="s">
        <v>19</v>
      </c>
      <c r="K8" s="115">
        <v>0</v>
      </c>
      <c r="L8" s="57">
        <v>50</v>
      </c>
      <c r="M8" s="30">
        <f>K8*L8</f>
        <v>0</v>
      </c>
      <c r="N8" s="85"/>
      <c r="O8" s="11"/>
    </row>
    <row r="9" spans="1:18" s="10" customFormat="1" ht="23.25" x14ac:dyDescent="0.3">
      <c r="A9" s="26">
        <v>3</v>
      </c>
      <c r="B9" s="65" t="s">
        <v>227</v>
      </c>
      <c r="C9" s="32" t="s">
        <v>20</v>
      </c>
      <c r="D9" s="32">
        <v>30.4</v>
      </c>
      <c r="E9" s="57">
        <v>30</v>
      </c>
      <c r="F9" s="30">
        <f t="shared" si="0"/>
        <v>912</v>
      </c>
      <c r="H9" s="26">
        <v>3</v>
      </c>
      <c r="I9" s="65" t="s">
        <v>227</v>
      </c>
      <c r="J9" s="32" t="s">
        <v>20</v>
      </c>
      <c r="K9" s="115">
        <v>15.2</v>
      </c>
      <c r="L9" s="57">
        <v>30</v>
      </c>
      <c r="M9" s="30">
        <f t="shared" ref="M9:M11" si="2">K9*L9</f>
        <v>456</v>
      </c>
      <c r="N9" s="85"/>
      <c r="O9" s="11"/>
    </row>
    <row r="10" spans="1:18" s="10" customFormat="1" ht="23.25" x14ac:dyDescent="0.3">
      <c r="A10" s="26">
        <v>4</v>
      </c>
      <c r="B10" s="65" t="s">
        <v>231</v>
      </c>
      <c r="C10" s="32" t="s">
        <v>19</v>
      </c>
      <c r="D10" s="88">
        <v>10.1</v>
      </c>
      <c r="E10" s="57">
        <v>50</v>
      </c>
      <c r="F10" s="30">
        <f t="shared" si="0"/>
        <v>505</v>
      </c>
      <c r="H10" s="26">
        <v>4</v>
      </c>
      <c r="I10" s="65" t="s">
        <v>231</v>
      </c>
      <c r="J10" s="32" t="s">
        <v>19</v>
      </c>
      <c r="K10" s="88">
        <v>10.1</v>
      </c>
      <c r="L10" s="57">
        <v>50</v>
      </c>
      <c r="M10" s="30">
        <f t="shared" si="2"/>
        <v>505</v>
      </c>
      <c r="N10" s="85"/>
      <c r="O10" s="11"/>
    </row>
    <row r="11" spans="1:18" s="10" customFormat="1" ht="23.25" x14ac:dyDescent="0.3">
      <c r="A11" s="26">
        <v>7</v>
      </c>
      <c r="B11" s="65" t="s">
        <v>122</v>
      </c>
      <c r="C11" s="32" t="s">
        <v>119</v>
      </c>
      <c r="D11" s="32">
        <v>0.17</v>
      </c>
      <c r="E11" s="57">
        <v>460</v>
      </c>
      <c r="F11" s="30">
        <f t="shared" si="0"/>
        <v>78.2</v>
      </c>
      <c r="H11" s="26">
        <v>7</v>
      </c>
      <c r="I11" s="65" t="s">
        <v>122</v>
      </c>
      <c r="J11" s="32" t="s">
        <v>119</v>
      </c>
      <c r="K11" s="32">
        <v>0.17</v>
      </c>
      <c r="L11" s="57">
        <v>460</v>
      </c>
      <c r="M11" s="30">
        <f t="shared" si="2"/>
        <v>78.2</v>
      </c>
      <c r="N11" s="85"/>
      <c r="O11" s="11"/>
    </row>
    <row r="12" spans="1:18" ht="24" thickBot="1" x14ac:dyDescent="0.3">
      <c r="A12" s="38"/>
      <c r="B12" s="39"/>
      <c r="C12" s="39"/>
      <c r="D12" s="39"/>
      <c r="E12" s="40" t="s">
        <v>16</v>
      </c>
      <c r="F12" s="35">
        <f>SUM(F5:F11)</f>
        <v>5182.2</v>
      </c>
      <c r="H12" s="38"/>
      <c r="I12" s="39"/>
      <c r="J12" s="39"/>
      <c r="K12" s="39"/>
      <c r="L12" s="40" t="s">
        <v>16</v>
      </c>
      <c r="M12" s="35">
        <f>SUM(M5:M11)</f>
        <v>3419.2</v>
      </c>
    </row>
    <row r="13" spans="1:18" ht="26.25" thickBot="1" x14ac:dyDescent="0.3">
      <c r="A13" s="76"/>
      <c r="B13" s="77"/>
      <c r="C13" s="77"/>
      <c r="D13" s="77"/>
      <c r="E13" s="78" t="s">
        <v>21</v>
      </c>
      <c r="F13" s="12">
        <f>SUMIF(E1:E19979,"CƏMİ",F1:F19979)</f>
        <v>5182.2</v>
      </c>
      <c r="H13" s="76"/>
      <c r="I13" s="77"/>
      <c r="J13" s="77"/>
      <c r="K13" s="77"/>
      <c r="L13" s="78" t="s">
        <v>21</v>
      </c>
      <c r="M13" s="12">
        <f>SUMIF(L1:L19979,"CƏMİ",M1:M19979)</f>
        <v>3419.2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35D7-642F-49C4-A3D1-DA1D85FB6776}">
  <sheetPr>
    <tabColor rgb="FFFFFF00"/>
    <pageSetUpPr fitToPage="1"/>
  </sheetPr>
  <dimension ref="A1:R8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E20" sqref="E19:E20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252</v>
      </c>
      <c r="B1" s="175"/>
      <c r="C1" s="175"/>
      <c r="D1" s="175"/>
      <c r="E1" s="176" t="s">
        <v>0</v>
      </c>
      <c r="F1" s="177"/>
      <c r="H1" s="174" t="s">
        <v>252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45219</v>
      </c>
      <c r="H2" s="17"/>
      <c r="I2" s="18"/>
      <c r="J2" s="18"/>
      <c r="K2" s="19"/>
      <c r="L2" s="18"/>
      <c r="M2" s="46">
        <v>45219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F7</f>
        <v>2667</v>
      </c>
      <c r="O4" s="4"/>
    </row>
    <row r="5" spans="1:18" s="10" customFormat="1" ht="23.25" x14ac:dyDescent="0.3">
      <c r="A5" s="26">
        <v>1</v>
      </c>
      <c r="B5" s="70" t="s">
        <v>750</v>
      </c>
      <c r="C5" s="32" t="s">
        <v>20</v>
      </c>
      <c r="D5" s="88">
        <v>57.4</v>
      </c>
      <c r="E5" s="57">
        <v>30</v>
      </c>
      <c r="F5" s="30">
        <f t="shared" ref="F5:F6" si="0">D5*E5</f>
        <v>1722</v>
      </c>
      <c r="H5" s="26">
        <v>1</v>
      </c>
      <c r="I5" s="70" t="s">
        <v>750</v>
      </c>
      <c r="J5" s="32" t="s">
        <v>20</v>
      </c>
      <c r="K5" s="88">
        <v>57.4</v>
      </c>
      <c r="L5" s="57">
        <v>30</v>
      </c>
      <c r="M5" s="30">
        <f t="shared" ref="M5:M6" si="1">K5*L5</f>
        <v>1722</v>
      </c>
      <c r="N5" s="85"/>
      <c r="O5" s="11"/>
    </row>
    <row r="6" spans="1:18" s="10" customFormat="1" ht="23.25" x14ac:dyDescent="0.3">
      <c r="A6" s="26">
        <v>2</v>
      </c>
      <c r="B6" s="65" t="s">
        <v>44</v>
      </c>
      <c r="C6" s="32" t="s">
        <v>19</v>
      </c>
      <c r="D6" s="32">
        <v>18.899999999999999</v>
      </c>
      <c r="E6" s="57">
        <v>50</v>
      </c>
      <c r="F6" s="30">
        <f t="shared" si="0"/>
        <v>944.99999999999989</v>
      </c>
      <c r="H6" s="26">
        <v>2</v>
      </c>
      <c r="I6" s="65" t="s">
        <v>44</v>
      </c>
      <c r="J6" s="32" t="s">
        <v>19</v>
      </c>
      <c r="K6" s="32">
        <v>18.899999999999999</v>
      </c>
      <c r="L6" s="57">
        <v>50</v>
      </c>
      <c r="M6" s="30">
        <f t="shared" si="1"/>
        <v>944.99999999999989</v>
      </c>
      <c r="N6" s="85"/>
      <c r="O6" s="11"/>
    </row>
    <row r="7" spans="1:18" ht="24" thickBot="1" x14ac:dyDescent="0.3">
      <c r="A7" s="38"/>
      <c r="B7" s="39"/>
      <c r="C7" s="39"/>
      <c r="D7" s="39"/>
      <c r="E7" s="40" t="s">
        <v>16</v>
      </c>
      <c r="F7" s="35">
        <f>SUM(F5:F6)</f>
        <v>2667</v>
      </c>
      <c r="H7" s="38"/>
      <c r="I7" s="39"/>
      <c r="J7" s="39"/>
      <c r="K7" s="39"/>
      <c r="L7" s="40" t="s">
        <v>16</v>
      </c>
      <c r="M7" s="35">
        <f>SUM(M5:M6)</f>
        <v>2667</v>
      </c>
    </row>
    <row r="8" spans="1:18" ht="26.25" thickBot="1" x14ac:dyDescent="0.3">
      <c r="A8" s="76"/>
      <c r="B8" s="77"/>
      <c r="C8" s="77"/>
      <c r="D8" s="77"/>
      <c r="E8" s="78" t="s">
        <v>21</v>
      </c>
      <c r="F8" s="12">
        <f>SUMIF(E1:E19974,"CƏMİ",F1:F19974)</f>
        <v>2667</v>
      </c>
      <c r="H8" s="76"/>
      <c r="I8" s="77"/>
      <c r="J8" s="77"/>
      <c r="K8" s="77"/>
      <c r="L8" s="78" t="s">
        <v>21</v>
      </c>
      <c r="M8" s="12">
        <f>SUMIF(L1:L19974,"CƏMİ",M1:M19974)</f>
        <v>2667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709F-3B7C-4AE3-8F0C-5AF4BA658714}">
  <sheetPr>
    <tabColor rgb="FFFFFF00"/>
    <pageSetUpPr fitToPage="1"/>
  </sheetPr>
  <dimension ref="A1:R10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K6" sqref="K6"/>
    </sheetView>
  </sheetViews>
  <sheetFormatPr defaultColWidth="9.140625" defaultRowHeight="15" x14ac:dyDescent="0.25"/>
  <cols>
    <col min="1" max="1" width="6.42578125" style="5" bestFit="1" customWidth="1"/>
    <col min="2" max="2" width="114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4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623</v>
      </c>
      <c r="B1" s="175"/>
      <c r="C1" s="175"/>
      <c r="D1" s="175"/>
      <c r="E1" s="176" t="s">
        <v>0</v>
      </c>
      <c r="F1" s="177"/>
      <c r="H1" s="174" t="s">
        <v>623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F9</f>
        <v>3590</v>
      </c>
      <c r="O4" s="4"/>
    </row>
    <row r="5" spans="1:18" s="10" customFormat="1" ht="23.25" x14ac:dyDescent="0.3">
      <c r="A5" s="26">
        <v>1</v>
      </c>
      <c r="B5" s="65" t="s">
        <v>297</v>
      </c>
      <c r="C5" s="32" t="s">
        <v>20</v>
      </c>
      <c r="D5" s="32">
        <v>15</v>
      </c>
      <c r="E5" s="57">
        <v>30</v>
      </c>
      <c r="F5" s="30">
        <f>D5*E5</f>
        <v>450</v>
      </c>
      <c r="H5" s="26">
        <v>1</v>
      </c>
      <c r="I5" s="65" t="s">
        <v>297</v>
      </c>
      <c r="J5" s="32" t="s">
        <v>20</v>
      </c>
      <c r="K5" s="115">
        <v>7.5</v>
      </c>
      <c r="L5" s="57">
        <v>30</v>
      </c>
      <c r="M5" s="30">
        <f>K5*L5</f>
        <v>225</v>
      </c>
      <c r="N5" s="85"/>
      <c r="O5" s="11"/>
    </row>
    <row r="6" spans="1:18" s="10" customFormat="1" ht="23.25" x14ac:dyDescent="0.3">
      <c r="A6" s="26">
        <v>2</v>
      </c>
      <c r="B6" s="65" t="s">
        <v>439</v>
      </c>
      <c r="C6" s="32" t="s">
        <v>19</v>
      </c>
      <c r="D6" s="32">
        <v>4.8</v>
      </c>
      <c r="E6" s="57">
        <v>50</v>
      </c>
      <c r="F6" s="30">
        <f t="shared" ref="F6:F8" si="0">D6*E6</f>
        <v>240</v>
      </c>
      <c r="H6" s="26">
        <v>2</v>
      </c>
      <c r="I6" s="65" t="s">
        <v>439</v>
      </c>
      <c r="J6" s="32" t="s">
        <v>19</v>
      </c>
      <c r="K6" s="32">
        <v>4.8</v>
      </c>
      <c r="L6" s="57">
        <v>50</v>
      </c>
      <c r="M6" s="30">
        <f t="shared" ref="M6:M8" si="1">K6*L6</f>
        <v>240</v>
      </c>
      <c r="N6" s="85"/>
      <c r="O6" s="11"/>
    </row>
    <row r="7" spans="1:18" s="10" customFormat="1" ht="23.25" x14ac:dyDescent="0.3">
      <c r="A7" s="26">
        <v>3</v>
      </c>
      <c r="B7" s="70" t="s">
        <v>559</v>
      </c>
      <c r="C7" s="32" t="s">
        <v>20</v>
      </c>
      <c r="D7" s="88">
        <v>64.5</v>
      </c>
      <c r="E7" s="57">
        <v>30</v>
      </c>
      <c r="F7" s="30">
        <f t="shared" si="0"/>
        <v>1935</v>
      </c>
      <c r="H7" s="26">
        <v>3</v>
      </c>
      <c r="I7" s="70" t="s">
        <v>559</v>
      </c>
      <c r="J7" s="32" t="s">
        <v>20</v>
      </c>
      <c r="K7" s="88">
        <v>64.5</v>
      </c>
      <c r="L7" s="57">
        <v>30</v>
      </c>
      <c r="M7" s="30">
        <f t="shared" si="1"/>
        <v>1935</v>
      </c>
      <c r="N7" s="85"/>
      <c r="O7" s="11"/>
    </row>
    <row r="8" spans="1:18" s="10" customFormat="1" ht="23.25" x14ac:dyDescent="0.3">
      <c r="A8" s="26">
        <v>4</v>
      </c>
      <c r="B8" s="70" t="s">
        <v>555</v>
      </c>
      <c r="C8" s="32" t="s">
        <v>19</v>
      </c>
      <c r="D8" s="32">
        <v>19.3</v>
      </c>
      <c r="E8" s="57">
        <v>50</v>
      </c>
      <c r="F8" s="30">
        <f t="shared" si="0"/>
        <v>965</v>
      </c>
      <c r="H8" s="26">
        <v>4</v>
      </c>
      <c r="I8" s="70" t="s">
        <v>555</v>
      </c>
      <c r="J8" s="32" t="s">
        <v>19</v>
      </c>
      <c r="K8" s="32">
        <v>19.3</v>
      </c>
      <c r="L8" s="57">
        <v>50</v>
      </c>
      <c r="M8" s="30">
        <f t="shared" si="1"/>
        <v>965</v>
      </c>
      <c r="N8" s="85"/>
      <c r="O8" s="11"/>
    </row>
    <row r="9" spans="1:18" ht="24" thickBot="1" x14ac:dyDescent="0.3">
      <c r="A9" s="38"/>
      <c r="B9" s="39"/>
      <c r="C9" s="39"/>
      <c r="D9" s="39"/>
      <c r="E9" s="40" t="s">
        <v>16</v>
      </c>
      <c r="F9" s="35">
        <f>SUM(F5:F8)</f>
        <v>3590</v>
      </c>
      <c r="H9" s="38"/>
      <c r="I9" s="39"/>
      <c r="J9" s="39"/>
      <c r="K9" s="39"/>
      <c r="L9" s="40" t="s">
        <v>16</v>
      </c>
      <c r="M9" s="35">
        <f>SUM(M5:M8)</f>
        <v>3365</v>
      </c>
    </row>
    <row r="10" spans="1:18" ht="26.25" thickBot="1" x14ac:dyDescent="0.3">
      <c r="A10" s="71"/>
      <c r="B10" s="72"/>
      <c r="C10" s="72"/>
      <c r="D10" s="72"/>
      <c r="E10" s="73" t="s">
        <v>21</v>
      </c>
      <c r="F10" s="12">
        <f>SUMIF(E1:E19976,"CƏMİ",F1:F19976)</f>
        <v>3590</v>
      </c>
      <c r="H10" s="71"/>
      <c r="I10" s="72"/>
      <c r="J10" s="72"/>
      <c r="K10" s="72"/>
      <c r="L10" s="73" t="s">
        <v>21</v>
      </c>
      <c r="M10" s="12">
        <f>SUMIF(L1:L19976,"CƏMİ",M1:M19976)</f>
        <v>3365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4" fitToHeight="0"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4EE3-2E3B-40AD-932B-38ABDA31B145}">
  <sheetPr>
    <tabColor rgb="FFFFFF00"/>
    <pageSetUpPr fitToPage="1"/>
  </sheetPr>
  <dimension ref="A1:R8"/>
  <sheetViews>
    <sheetView view="pageBreakPreview" zoomScale="55" zoomScaleNormal="55" zoomScaleSheetLayoutView="55" workbookViewId="0">
      <pane ySplit="3" topLeftCell="A4" activePane="bottomLeft" state="frozen"/>
      <selection activeCell="D13" sqref="D13"/>
      <selection pane="bottomLeft" activeCell="D19" sqref="D19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500</v>
      </c>
      <c r="B1" s="175"/>
      <c r="C1" s="175"/>
      <c r="D1" s="175"/>
      <c r="E1" s="176" t="s">
        <v>0</v>
      </c>
      <c r="F1" s="177"/>
      <c r="H1" s="174" t="s">
        <v>500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F7</f>
        <v>3895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84</v>
      </c>
      <c r="E5" s="57">
        <v>30</v>
      </c>
      <c r="F5" s="30">
        <f>D5*E5</f>
        <v>2520</v>
      </c>
      <c r="H5" s="26">
        <v>1</v>
      </c>
      <c r="I5" s="70" t="s">
        <v>559</v>
      </c>
      <c r="J5" s="32" t="s">
        <v>20</v>
      </c>
      <c r="K5" s="88">
        <v>84</v>
      </c>
      <c r="L5" s="57">
        <v>30</v>
      </c>
      <c r="M5" s="30">
        <f>K5*L5</f>
        <v>2520</v>
      </c>
      <c r="N5" s="85"/>
      <c r="O5" s="11"/>
    </row>
    <row r="6" spans="1:18" s="10" customFormat="1" ht="23.25" x14ac:dyDescent="0.3">
      <c r="A6" s="26">
        <v>2</v>
      </c>
      <c r="B6" s="65" t="s">
        <v>555</v>
      </c>
      <c r="C6" s="32" t="s">
        <v>19</v>
      </c>
      <c r="D6" s="32">
        <v>27.5</v>
      </c>
      <c r="E6" s="57">
        <v>50</v>
      </c>
      <c r="F6" s="30">
        <f>D6*E6</f>
        <v>1375</v>
      </c>
      <c r="H6" s="26">
        <v>2</v>
      </c>
      <c r="I6" s="65" t="s">
        <v>555</v>
      </c>
      <c r="J6" s="32" t="s">
        <v>19</v>
      </c>
      <c r="K6" s="32">
        <v>27.5</v>
      </c>
      <c r="L6" s="57">
        <v>50</v>
      </c>
      <c r="M6" s="30">
        <f>K6*L6</f>
        <v>1375</v>
      </c>
      <c r="N6" s="85"/>
      <c r="O6" s="11"/>
    </row>
    <row r="7" spans="1:18" ht="24" thickBot="1" x14ac:dyDescent="0.3">
      <c r="A7" s="38"/>
      <c r="B7" s="39"/>
      <c r="C7" s="39"/>
      <c r="D7" s="39"/>
      <c r="E7" s="40" t="s">
        <v>16</v>
      </c>
      <c r="F7" s="35">
        <f>SUM(F5:F6)</f>
        <v>3895</v>
      </c>
      <c r="H7" s="38"/>
      <c r="I7" s="39"/>
      <c r="J7" s="39"/>
      <c r="K7" s="39"/>
      <c r="L7" s="40" t="s">
        <v>16</v>
      </c>
      <c r="M7" s="35">
        <f>SUM(M5:M6)</f>
        <v>3895</v>
      </c>
    </row>
    <row r="8" spans="1:18" ht="26.25" thickBot="1" x14ac:dyDescent="0.3">
      <c r="A8" s="76"/>
      <c r="B8" s="77"/>
      <c r="C8" s="77"/>
      <c r="D8" s="77"/>
      <c r="E8" s="78" t="s">
        <v>21</v>
      </c>
      <c r="F8" s="12">
        <f>SUMIF(E1:E19977,"CƏMİ",F1:F19977)</f>
        <v>3895</v>
      </c>
      <c r="H8" s="76"/>
      <c r="I8" s="77"/>
      <c r="J8" s="77"/>
      <c r="K8" s="77"/>
      <c r="L8" s="78" t="s">
        <v>21</v>
      </c>
      <c r="M8" s="12">
        <f>SUMIF(L1:L19977,"CƏMİ",M1:M19977)</f>
        <v>3895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84B9-0909-4798-A6C0-3AF86241402E}">
  <sheetPr>
    <tabColor rgb="FFFFFF00"/>
    <pageSetUpPr fitToPage="1"/>
  </sheetPr>
  <dimension ref="A1:R9"/>
  <sheetViews>
    <sheetView view="pageBreakPreview" zoomScale="55" zoomScaleNormal="55" zoomScaleSheetLayoutView="55" workbookViewId="0">
      <pane ySplit="3" topLeftCell="A4" activePane="bottomLeft" state="frozen"/>
      <selection activeCell="D13" sqref="D13"/>
      <selection pane="bottomLeft" activeCell="I39" sqref="I39"/>
    </sheetView>
  </sheetViews>
  <sheetFormatPr defaultColWidth="9.140625" defaultRowHeight="15" x14ac:dyDescent="0.25"/>
  <cols>
    <col min="1" max="1" width="6.42578125" style="5" bestFit="1" customWidth="1"/>
    <col min="2" max="2" width="99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99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18.57031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479</v>
      </c>
      <c r="B1" s="175"/>
      <c r="C1" s="175"/>
      <c r="D1" s="175"/>
      <c r="E1" s="176" t="s">
        <v>0</v>
      </c>
      <c r="F1" s="177"/>
      <c r="H1" s="174" t="s">
        <v>479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F8</f>
        <v>3613.6</v>
      </c>
      <c r="O4" s="4"/>
    </row>
    <row r="5" spans="1:18" s="10" customFormat="1" ht="23.25" x14ac:dyDescent="0.3">
      <c r="A5" s="26">
        <v>1</v>
      </c>
      <c r="B5" s="65" t="s">
        <v>576</v>
      </c>
      <c r="C5" s="32" t="s">
        <v>19</v>
      </c>
      <c r="D5" s="88">
        <v>28.5</v>
      </c>
      <c r="E5" s="57">
        <v>80</v>
      </c>
      <c r="F5" s="30">
        <f>D5*E5</f>
        <v>2280</v>
      </c>
      <c r="H5" s="26">
        <v>1</v>
      </c>
      <c r="I5" s="65" t="s">
        <v>576</v>
      </c>
      <c r="J5" s="32" t="s">
        <v>19</v>
      </c>
      <c r="K5" s="88">
        <v>28.5</v>
      </c>
      <c r="L5" s="57">
        <v>80</v>
      </c>
      <c r="M5" s="30">
        <f>K5*L5</f>
        <v>2280</v>
      </c>
      <c r="N5" s="85"/>
      <c r="O5" s="11"/>
    </row>
    <row r="6" spans="1:18" s="10" customFormat="1" ht="23.25" x14ac:dyDescent="0.3">
      <c r="A6" s="26">
        <v>2</v>
      </c>
      <c r="B6" s="36" t="s">
        <v>365</v>
      </c>
      <c r="C6" s="32" t="s">
        <v>20</v>
      </c>
      <c r="D6" s="32">
        <v>8.4</v>
      </c>
      <c r="E6" s="57">
        <v>150</v>
      </c>
      <c r="F6" s="30">
        <f t="shared" ref="F6:F7" si="0">D6*E6</f>
        <v>1260</v>
      </c>
      <c r="H6" s="26">
        <v>2</v>
      </c>
      <c r="I6" s="36" t="s">
        <v>365</v>
      </c>
      <c r="J6" s="32" t="s">
        <v>20</v>
      </c>
      <c r="K6" s="115">
        <v>0</v>
      </c>
      <c r="L6" s="57">
        <v>150</v>
      </c>
      <c r="M6" s="30">
        <f t="shared" ref="M6:M7" si="1">K6*L6</f>
        <v>0</v>
      </c>
      <c r="N6" s="85"/>
      <c r="O6" s="11"/>
    </row>
    <row r="7" spans="1:18" s="10" customFormat="1" ht="23.25" x14ac:dyDescent="0.3">
      <c r="A7" s="26">
        <v>3</v>
      </c>
      <c r="B7" s="65" t="s">
        <v>122</v>
      </c>
      <c r="C7" s="32" t="s">
        <v>119</v>
      </c>
      <c r="D7" s="32">
        <v>0.16</v>
      </c>
      <c r="E7" s="57">
        <v>460</v>
      </c>
      <c r="F7" s="30">
        <f t="shared" si="0"/>
        <v>73.600000000000009</v>
      </c>
      <c r="H7" s="26">
        <v>3</v>
      </c>
      <c r="I7" s="65" t="s">
        <v>122</v>
      </c>
      <c r="J7" s="32" t="s">
        <v>119</v>
      </c>
      <c r="K7" s="32">
        <v>0.16</v>
      </c>
      <c r="L7" s="57">
        <v>460</v>
      </c>
      <c r="M7" s="30">
        <f t="shared" si="1"/>
        <v>73.600000000000009</v>
      </c>
      <c r="N7" s="85"/>
      <c r="O7" s="11"/>
    </row>
    <row r="8" spans="1:18" ht="24" thickBot="1" x14ac:dyDescent="0.3">
      <c r="A8" s="38"/>
      <c r="B8" s="39"/>
      <c r="C8" s="39"/>
      <c r="D8" s="39"/>
      <c r="E8" s="40" t="s">
        <v>16</v>
      </c>
      <c r="F8" s="35">
        <f>SUM(F5:F7)</f>
        <v>3613.6</v>
      </c>
      <c r="H8" s="38"/>
      <c r="I8" s="39"/>
      <c r="J8" s="39"/>
      <c r="K8" s="39"/>
      <c r="L8" s="40" t="s">
        <v>16</v>
      </c>
      <c r="M8" s="35">
        <f>SUM(M5:M7)</f>
        <v>2353.6</v>
      </c>
    </row>
    <row r="9" spans="1:18" ht="26.25" thickBot="1" x14ac:dyDescent="0.3">
      <c r="A9" s="76"/>
      <c r="B9" s="77"/>
      <c r="C9" s="77"/>
      <c r="D9" s="77"/>
      <c r="E9" s="78" t="s">
        <v>21</v>
      </c>
      <c r="F9" s="12">
        <f>SUMIF(E1:E19975,"CƏMİ",F1:F19975)</f>
        <v>3613.6</v>
      </c>
      <c r="H9" s="76"/>
      <c r="I9" s="77"/>
      <c r="J9" s="77"/>
      <c r="K9" s="77"/>
      <c r="L9" s="78" t="s">
        <v>21</v>
      </c>
      <c r="M9" s="12">
        <f>SUMIF(L1:L19975,"CƏMİ",M1:M19975)</f>
        <v>2353.6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6" fitToHeight="0"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5E421-FE6C-488C-B32D-33FD5F2BAD79}">
  <sheetPr>
    <tabColor rgb="FFFFFF00"/>
    <pageSetUpPr fitToPage="1"/>
  </sheetPr>
  <dimension ref="A1:R11"/>
  <sheetViews>
    <sheetView view="pageBreakPreview" zoomScale="55" zoomScaleNormal="55" zoomScaleSheetLayoutView="55" workbookViewId="0">
      <pane ySplit="3" topLeftCell="A4" activePane="bottomLeft" state="frozen"/>
      <selection activeCell="D13" sqref="D13"/>
      <selection pane="bottomLeft" activeCell="K8" sqref="K8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464</v>
      </c>
      <c r="B1" s="175"/>
      <c r="C1" s="175"/>
      <c r="D1" s="175"/>
      <c r="E1" s="176" t="s">
        <v>0</v>
      </c>
      <c r="F1" s="177"/>
      <c r="H1" s="174" t="s">
        <v>464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F10</f>
        <v>4971.2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74.400000000000006</v>
      </c>
      <c r="E5" s="57">
        <v>30</v>
      </c>
      <c r="F5" s="30">
        <f>D5*E5</f>
        <v>2232</v>
      </c>
      <c r="H5" s="26">
        <v>1</v>
      </c>
      <c r="I5" s="70" t="s">
        <v>559</v>
      </c>
      <c r="J5" s="32" t="s">
        <v>20</v>
      </c>
      <c r="K5" s="88">
        <v>74.400000000000006</v>
      </c>
      <c r="L5" s="57">
        <v>30</v>
      </c>
      <c r="M5" s="30">
        <f>K5*L5</f>
        <v>2232</v>
      </c>
      <c r="N5" s="85"/>
      <c r="O5" s="11"/>
    </row>
    <row r="6" spans="1:18" s="10" customFormat="1" ht="23.25" x14ac:dyDescent="0.3">
      <c r="A6" s="26">
        <v>2</v>
      </c>
      <c r="B6" s="65" t="s">
        <v>556</v>
      </c>
      <c r="C6" s="32" t="s">
        <v>19</v>
      </c>
      <c r="D6" s="32">
        <v>24.3</v>
      </c>
      <c r="E6" s="57">
        <v>50</v>
      </c>
      <c r="F6" s="30">
        <f t="shared" ref="F6:F9" si="0">D6*E6</f>
        <v>1215</v>
      </c>
      <c r="H6" s="26">
        <v>2</v>
      </c>
      <c r="I6" s="65" t="s">
        <v>556</v>
      </c>
      <c r="J6" s="32" t="s">
        <v>19</v>
      </c>
      <c r="K6" s="32">
        <v>24.3</v>
      </c>
      <c r="L6" s="57">
        <v>50</v>
      </c>
      <c r="M6" s="30">
        <f t="shared" ref="M6:M9" si="1">K6*L6</f>
        <v>1215</v>
      </c>
      <c r="N6" s="85"/>
      <c r="O6" s="11"/>
    </row>
    <row r="7" spans="1:18" s="10" customFormat="1" ht="23.25" x14ac:dyDescent="0.3">
      <c r="A7" s="26">
        <v>3</v>
      </c>
      <c r="B7" s="65" t="s">
        <v>319</v>
      </c>
      <c r="C7" s="32" t="s">
        <v>20</v>
      </c>
      <c r="D7" s="32">
        <v>30.4</v>
      </c>
      <c r="E7" s="57">
        <v>30</v>
      </c>
      <c r="F7" s="30">
        <f t="shared" si="0"/>
        <v>912</v>
      </c>
      <c r="H7" s="26">
        <v>3</v>
      </c>
      <c r="I7" s="65" t="s">
        <v>319</v>
      </c>
      <c r="J7" s="32" t="s">
        <v>20</v>
      </c>
      <c r="K7" s="115">
        <v>15.2</v>
      </c>
      <c r="L7" s="57">
        <v>30</v>
      </c>
      <c r="M7" s="30">
        <f t="shared" si="1"/>
        <v>456</v>
      </c>
      <c r="N7" s="85"/>
      <c r="O7" s="11"/>
    </row>
    <row r="8" spans="1:18" s="10" customFormat="1" ht="23.25" x14ac:dyDescent="0.3">
      <c r="A8" s="26">
        <v>4</v>
      </c>
      <c r="B8" s="31" t="s">
        <v>320</v>
      </c>
      <c r="C8" s="32" t="s">
        <v>19</v>
      </c>
      <c r="D8" s="32">
        <v>11.6</v>
      </c>
      <c r="E8" s="57">
        <v>50</v>
      </c>
      <c r="F8" s="30">
        <f t="shared" si="0"/>
        <v>580</v>
      </c>
      <c r="H8" s="26">
        <v>4</v>
      </c>
      <c r="I8" s="31" t="s">
        <v>320</v>
      </c>
      <c r="J8" s="32" t="s">
        <v>19</v>
      </c>
      <c r="K8" s="32">
        <v>11.6</v>
      </c>
      <c r="L8" s="57">
        <v>50</v>
      </c>
      <c r="M8" s="30">
        <f t="shared" si="1"/>
        <v>580</v>
      </c>
      <c r="N8" s="85"/>
      <c r="O8" s="11"/>
    </row>
    <row r="9" spans="1:18" s="10" customFormat="1" ht="23.25" x14ac:dyDescent="0.3">
      <c r="A9" s="26">
        <v>5</v>
      </c>
      <c r="B9" s="65" t="s">
        <v>122</v>
      </c>
      <c r="C9" s="32" t="s">
        <v>119</v>
      </c>
      <c r="D9" s="32">
        <v>7.0000000000000007E-2</v>
      </c>
      <c r="E9" s="57">
        <v>460</v>
      </c>
      <c r="F9" s="30">
        <f t="shared" si="0"/>
        <v>32.200000000000003</v>
      </c>
      <c r="H9" s="26">
        <v>5</v>
      </c>
      <c r="I9" s="65" t="s">
        <v>122</v>
      </c>
      <c r="J9" s="32" t="s">
        <v>119</v>
      </c>
      <c r="K9" s="32">
        <v>7.0000000000000007E-2</v>
      </c>
      <c r="L9" s="57">
        <v>460</v>
      </c>
      <c r="M9" s="30">
        <f t="shared" si="1"/>
        <v>32.200000000000003</v>
      </c>
      <c r="N9" s="85"/>
      <c r="O9" s="11"/>
    </row>
    <row r="10" spans="1:18" ht="24" thickBot="1" x14ac:dyDescent="0.3">
      <c r="A10" s="38"/>
      <c r="B10" s="39"/>
      <c r="C10" s="39"/>
      <c r="D10" s="39"/>
      <c r="E10" s="40" t="s">
        <v>16</v>
      </c>
      <c r="F10" s="35">
        <f>SUM(F5:F9)</f>
        <v>4971.2</v>
      </c>
      <c r="H10" s="38"/>
      <c r="I10" s="39"/>
      <c r="J10" s="39"/>
      <c r="K10" s="39"/>
      <c r="L10" s="40" t="s">
        <v>16</v>
      </c>
      <c r="M10" s="35">
        <f>SUM(M5:M9)</f>
        <v>4515.2</v>
      </c>
    </row>
    <row r="11" spans="1:18" ht="26.25" thickBot="1" x14ac:dyDescent="0.3">
      <c r="A11" s="76"/>
      <c r="B11" s="77"/>
      <c r="C11" s="77"/>
      <c r="D11" s="77"/>
      <c r="E11" s="78" t="s">
        <v>21</v>
      </c>
      <c r="F11" s="12">
        <f>SUMIF(E1:E19974,"CƏMİ",F1:F19974)</f>
        <v>4971.2</v>
      </c>
      <c r="H11" s="76"/>
      <c r="I11" s="77"/>
      <c r="J11" s="77"/>
      <c r="K11" s="77"/>
      <c r="L11" s="78" t="s">
        <v>21</v>
      </c>
      <c r="M11" s="12">
        <f>SUMIF(L1:L19974,"CƏMİ",M1:M19974)</f>
        <v>4515.2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59CB-90E8-4DD8-97EE-CD8C6849C41F}">
  <sheetPr>
    <tabColor rgb="FFFFFF00"/>
    <pageSetUpPr fitToPage="1"/>
  </sheetPr>
  <dimension ref="A1:R14"/>
  <sheetViews>
    <sheetView view="pageBreakPreview" zoomScale="55" zoomScaleNormal="55" zoomScaleSheetLayoutView="55" workbookViewId="0">
      <pane ySplit="3" topLeftCell="A4" activePane="bottomLeft" state="frozen"/>
      <selection activeCell="D13" sqref="D13"/>
      <selection pane="bottomLeft" activeCell="K9" sqref="K9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835</v>
      </c>
      <c r="B1" s="175"/>
      <c r="C1" s="175"/>
      <c r="D1" s="175"/>
      <c r="E1" s="176" t="s">
        <v>0</v>
      </c>
      <c r="F1" s="177"/>
      <c r="H1" s="174" t="s">
        <v>835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F13</f>
        <v>7371</v>
      </c>
      <c r="O4" s="4"/>
    </row>
    <row r="5" spans="1:18" s="10" customFormat="1" ht="23.25" x14ac:dyDescent="0.3">
      <c r="A5" s="26">
        <v>1</v>
      </c>
      <c r="B5" s="65" t="s">
        <v>319</v>
      </c>
      <c r="C5" s="32" t="s">
        <v>20</v>
      </c>
      <c r="D5" s="32">
        <v>49</v>
      </c>
      <c r="E5" s="57">
        <v>30</v>
      </c>
      <c r="F5" s="30">
        <f>D5*E5</f>
        <v>1470</v>
      </c>
      <c r="H5" s="26">
        <v>1</v>
      </c>
      <c r="I5" s="65" t="s">
        <v>319</v>
      </c>
      <c r="J5" s="32" t="s">
        <v>20</v>
      </c>
      <c r="K5" s="115">
        <v>24.5</v>
      </c>
      <c r="L5" s="57">
        <v>30</v>
      </c>
      <c r="M5" s="30">
        <f>K5*L5</f>
        <v>735</v>
      </c>
      <c r="N5" s="85"/>
      <c r="O5" s="11"/>
    </row>
    <row r="6" spans="1:18" s="10" customFormat="1" ht="23.25" x14ac:dyDescent="0.3">
      <c r="A6" s="26">
        <v>2</v>
      </c>
      <c r="B6" s="31" t="s">
        <v>320</v>
      </c>
      <c r="C6" s="32" t="s">
        <v>19</v>
      </c>
      <c r="D6" s="32">
        <v>18.2</v>
      </c>
      <c r="E6" s="57">
        <v>50</v>
      </c>
      <c r="F6" s="30">
        <f t="shared" ref="F6:F12" si="0">D6*E6</f>
        <v>910</v>
      </c>
      <c r="H6" s="26">
        <v>2</v>
      </c>
      <c r="I6" s="31" t="s">
        <v>320</v>
      </c>
      <c r="J6" s="32" t="s">
        <v>19</v>
      </c>
      <c r="K6" s="32">
        <v>18.2</v>
      </c>
      <c r="L6" s="57">
        <v>50</v>
      </c>
      <c r="M6" s="30">
        <f t="shared" ref="M6:M12" si="1">K6*L6</f>
        <v>910</v>
      </c>
      <c r="N6" s="85"/>
      <c r="O6" s="11"/>
    </row>
    <row r="7" spans="1:18" s="10" customFormat="1" ht="23.25" x14ac:dyDescent="0.3">
      <c r="A7" s="26">
        <v>3</v>
      </c>
      <c r="B7" s="70" t="s">
        <v>559</v>
      </c>
      <c r="C7" s="32" t="s">
        <v>20</v>
      </c>
      <c r="D7" s="88">
        <v>67.900000000000006</v>
      </c>
      <c r="E7" s="57">
        <v>30</v>
      </c>
      <c r="F7" s="30">
        <f t="shared" si="0"/>
        <v>2037.0000000000002</v>
      </c>
      <c r="H7" s="26">
        <v>3</v>
      </c>
      <c r="I7" s="70" t="s">
        <v>559</v>
      </c>
      <c r="J7" s="32" t="s">
        <v>20</v>
      </c>
      <c r="K7" s="88">
        <v>67.900000000000006</v>
      </c>
      <c r="L7" s="57">
        <v>30</v>
      </c>
      <c r="M7" s="30">
        <f t="shared" si="1"/>
        <v>2037.0000000000002</v>
      </c>
      <c r="N7" s="85"/>
      <c r="O7" s="11"/>
    </row>
    <row r="8" spans="1:18" s="10" customFormat="1" ht="23.25" x14ac:dyDescent="0.3">
      <c r="A8" s="26">
        <v>4</v>
      </c>
      <c r="B8" s="65" t="s">
        <v>555</v>
      </c>
      <c r="C8" s="32" t="s">
        <v>19</v>
      </c>
      <c r="D8" s="32">
        <v>20.399999999999999</v>
      </c>
      <c r="E8" s="57">
        <v>50</v>
      </c>
      <c r="F8" s="30">
        <f t="shared" si="0"/>
        <v>1019.9999999999999</v>
      </c>
      <c r="H8" s="26">
        <v>4</v>
      </c>
      <c r="I8" s="65" t="s">
        <v>555</v>
      </c>
      <c r="J8" s="32" t="s">
        <v>19</v>
      </c>
      <c r="K8" s="32">
        <v>20.399999999999999</v>
      </c>
      <c r="L8" s="57">
        <v>50</v>
      </c>
      <c r="M8" s="30">
        <f t="shared" si="1"/>
        <v>1019.9999999999999</v>
      </c>
      <c r="N8" s="85"/>
      <c r="O8" s="11"/>
    </row>
    <row r="9" spans="1:18" s="10" customFormat="1" ht="23.25" x14ac:dyDescent="0.3">
      <c r="A9" s="26">
        <v>5</v>
      </c>
      <c r="B9" s="65" t="s">
        <v>297</v>
      </c>
      <c r="C9" s="32" t="s">
        <v>20</v>
      </c>
      <c r="D9" s="32">
        <v>18.399999999999999</v>
      </c>
      <c r="E9" s="57">
        <v>30</v>
      </c>
      <c r="F9" s="30">
        <f t="shared" si="0"/>
        <v>552</v>
      </c>
      <c r="H9" s="26">
        <v>5</v>
      </c>
      <c r="I9" s="65" t="s">
        <v>297</v>
      </c>
      <c r="J9" s="32" t="s">
        <v>20</v>
      </c>
      <c r="K9" s="115">
        <v>9.1999999999999993</v>
      </c>
      <c r="L9" s="57">
        <v>30</v>
      </c>
      <c r="M9" s="30">
        <f t="shared" si="1"/>
        <v>276</v>
      </c>
      <c r="N9" s="85"/>
      <c r="O9" s="11"/>
    </row>
    <row r="10" spans="1:18" s="10" customFormat="1" ht="23.25" x14ac:dyDescent="0.3">
      <c r="A10" s="26">
        <v>6</v>
      </c>
      <c r="B10" s="65" t="s">
        <v>626</v>
      </c>
      <c r="C10" s="32" t="s">
        <v>19</v>
      </c>
      <c r="D10" s="32">
        <v>13</v>
      </c>
      <c r="E10" s="57">
        <v>50</v>
      </c>
      <c r="F10" s="30">
        <f t="shared" si="0"/>
        <v>650</v>
      </c>
      <c r="H10" s="26">
        <v>6</v>
      </c>
      <c r="I10" s="65" t="s">
        <v>626</v>
      </c>
      <c r="J10" s="32" t="s">
        <v>19</v>
      </c>
      <c r="K10" s="32">
        <v>13</v>
      </c>
      <c r="L10" s="57">
        <v>50</v>
      </c>
      <c r="M10" s="30">
        <f t="shared" si="1"/>
        <v>650</v>
      </c>
      <c r="N10" s="85"/>
      <c r="O10" s="11"/>
    </row>
    <row r="11" spans="1:18" s="10" customFormat="1" ht="23.25" x14ac:dyDescent="0.3">
      <c r="A11" s="26">
        <v>7</v>
      </c>
      <c r="B11" s="70" t="s">
        <v>627</v>
      </c>
      <c r="C11" s="32" t="s">
        <v>19</v>
      </c>
      <c r="D11" s="32">
        <v>8</v>
      </c>
      <c r="E11" s="57">
        <v>80</v>
      </c>
      <c r="F11" s="30">
        <f t="shared" ref="F11" si="2">D11*E11</f>
        <v>640</v>
      </c>
      <c r="H11" s="26">
        <v>7</v>
      </c>
      <c r="I11" s="70" t="s">
        <v>627</v>
      </c>
      <c r="J11" s="32" t="s">
        <v>19</v>
      </c>
      <c r="K11" s="32">
        <v>8</v>
      </c>
      <c r="L11" s="57">
        <v>80</v>
      </c>
      <c r="M11" s="30">
        <f t="shared" si="1"/>
        <v>640</v>
      </c>
      <c r="N11" s="85"/>
      <c r="O11" s="11"/>
    </row>
    <row r="12" spans="1:18" s="10" customFormat="1" ht="23.25" x14ac:dyDescent="0.3">
      <c r="A12" s="26">
        <v>8</v>
      </c>
      <c r="B12" s="65" t="s">
        <v>122</v>
      </c>
      <c r="C12" s="32" t="s">
        <v>119</v>
      </c>
      <c r="D12" s="32">
        <v>0.2</v>
      </c>
      <c r="E12" s="57">
        <v>460</v>
      </c>
      <c r="F12" s="30">
        <f t="shared" si="0"/>
        <v>92</v>
      </c>
      <c r="H12" s="26">
        <v>8</v>
      </c>
      <c r="I12" s="65" t="s">
        <v>122</v>
      </c>
      <c r="J12" s="32" t="s">
        <v>119</v>
      </c>
      <c r="K12" s="32">
        <v>0.2</v>
      </c>
      <c r="L12" s="57">
        <v>460</v>
      </c>
      <c r="M12" s="30">
        <f t="shared" si="1"/>
        <v>92</v>
      </c>
      <c r="N12" s="85"/>
      <c r="O12" s="11"/>
    </row>
    <row r="13" spans="1:18" ht="24" thickBot="1" x14ac:dyDescent="0.3">
      <c r="A13" s="38"/>
      <c r="B13" s="39"/>
      <c r="C13" s="39"/>
      <c r="D13" s="39"/>
      <c r="E13" s="40" t="s">
        <v>16</v>
      </c>
      <c r="F13" s="35">
        <f>SUM(F5:F12)</f>
        <v>7371</v>
      </c>
      <c r="H13" s="38"/>
      <c r="I13" s="39"/>
      <c r="J13" s="39"/>
      <c r="K13" s="39"/>
      <c r="L13" s="40" t="s">
        <v>16</v>
      </c>
      <c r="M13" s="35">
        <f>SUM(M5:M12)</f>
        <v>6360</v>
      </c>
    </row>
    <row r="14" spans="1:18" ht="26.25" thickBot="1" x14ac:dyDescent="0.3">
      <c r="A14" s="76"/>
      <c r="B14" s="77"/>
      <c r="C14" s="77"/>
      <c r="D14" s="77"/>
      <c r="E14" s="78" t="s">
        <v>21</v>
      </c>
      <c r="F14" s="12">
        <f>SUMIF(E1:E19978,"CƏMİ",F1:F19978)</f>
        <v>7371</v>
      </c>
      <c r="H14" s="76"/>
      <c r="I14" s="77"/>
      <c r="J14" s="77"/>
      <c r="K14" s="77"/>
      <c r="L14" s="78" t="s">
        <v>21</v>
      </c>
      <c r="M14" s="12">
        <f>SUMIF(L1:L19978,"CƏMİ",M1:M19978)</f>
        <v>6360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54E0-F7DB-4A2F-B507-4CD64893322C}">
  <sheetPr>
    <tabColor rgb="FFFFFF00"/>
    <pageSetUpPr fitToPage="1"/>
  </sheetPr>
  <dimension ref="A1:R8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E30" sqref="E30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284</v>
      </c>
      <c r="B1" s="175"/>
      <c r="C1" s="175"/>
      <c r="D1" s="175"/>
      <c r="E1" s="176" t="s">
        <v>0</v>
      </c>
      <c r="F1" s="177"/>
      <c r="H1" s="174" t="s">
        <v>284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45219</v>
      </c>
      <c r="H2" s="17"/>
      <c r="I2" s="18"/>
      <c r="J2" s="18"/>
      <c r="K2" s="19"/>
      <c r="L2" s="18"/>
      <c r="M2" s="46">
        <v>45219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F7</f>
        <v>2319</v>
      </c>
      <c r="O4" s="4"/>
    </row>
    <row r="5" spans="1:18" s="10" customFormat="1" ht="23.25" x14ac:dyDescent="0.3">
      <c r="A5" s="26">
        <v>1</v>
      </c>
      <c r="B5" s="70" t="s">
        <v>750</v>
      </c>
      <c r="C5" s="32" t="s">
        <v>20</v>
      </c>
      <c r="D5" s="88">
        <v>49.8</v>
      </c>
      <c r="E5" s="57">
        <v>30</v>
      </c>
      <c r="F5" s="30">
        <f t="shared" ref="F5:F6" si="0">D5*E5</f>
        <v>1494</v>
      </c>
      <c r="H5" s="26">
        <v>1</v>
      </c>
      <c r="I5" s="70" t="s">
        <v>750</v>
      </c>
      <c r="J5" s="32" t="s">
        <v>20</v>
      </c>
      <c r="K5" s="88">
        <v>49.8</v>
      </c>
      <c r="L5" s="57">
        <v>30</v>
      </c>
      <c r="M5" s="30">
        <f t="shared" ref="M5:M6" si="1">K5*L5</f>
        <v>1494</v>
      </c>
      <c r="N5" s="85"/>
      <c r="O5" s="11"/>
    </row>
    <row r="6" spans="1:18" s="10" customFormat="1" ht="23.25" x14ac:dyDescent="0.3">
      <c r="A6" s="26">
        <v>2</v>
      </c>
      <c r="B6" s="65" t="s">
        <v>44</v>
      </c>
      <c r="C6" s="32" t="s">
        <v>19</v>
      </c>
      <c r="D6" s="32">
        <v>16.5</v>
      </c>
      <c r="E6" s="57">
        <v>50</v>
      </c>
      <c r="F6" s="30">
        <f t="shared" si="0"/>
        <v>825</v>
      </c>
      <c r="H6" s="26">
        <v>2</v>
      </c>
      <c r="I6" s="65" t="s">
        <v>44</v>
      </c>
      <c r="J6" s="32" t="s">
        <v>19</v>
      </c>
      <c r="K6" s="32">
        <v>16.5</v>
      </c>
      <c r="L6" s="57">
        <v>50</v>
      </c>
      <c r="M6" s="30">
        <f t="shared" si="1"/>
        <v>825</v>
      </c>
      <c r="N6" s="85"/>
      <c r="O6" s="11"/>
    </row>
    <row r="7" spans="1:18" ht="24" thickBot="1" x14ac:dyDescent="0.3">
      <c r="A7" s="38"/>
      <c r="B7" s="39"/>
      <c r="C7" s="39"/>
      <c r="D7" s="39"/>
      <c r="E7" s="40" t="s">
        <v>16</v>
      </c>
      <c r="F7" s="35">
        <f>SUM(F5:F6)</f>
        <v>2319</v>
      </c>
      <c r="H7" s="38"/>
      <c r="I7" s="39"/>
      <c r="J7" s="39"/>
      <c r="K7" s="39"/>
      <c r="L7" s="40" t="s">
        <v>16</v>
      </c>
      <c r="M7" s="35">
        <f>SUM(M5:M6)</f>
        <v>2319</v>
      </c>
    </row>
    <row r="8" spans="1:18" ht="26.25" thickBot="1" x14ac:dyDescent="0.3">
      <c r="A8" s="76"/>
      <c r="B8" s="77"/>
      <c r="C8" s="77"/>
      <c r="D8" s="77"/>
      <c r="E8" s="78" t="s">
        <v>21</v>
      </c>
      <c r="F8" s="12">
        <f>SUMIF(E1:E19974,"CƏMİ",F1:F19974)</f>
        <v>2319</v>
      </c>
      <c r="H8" s="76"/>
      <c r="I8" s="77"/>
      <c r="J8" s="77"/>
      <c r="K8" s="77"/>
      <c r="L8" s="78" t="s">
        <v>21</v>
      </c>
      <c r="M8" s="12">
        <f>SUMIF(L1:L19974,"CƏMİ",M1:M19974)</f>
        <v>2319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E4F9E-F442-4E78-A142-7DED2092D450}">
  <sheetPr>
    <tabColor rgb="FFFFFF00"/>
    <pageSetUpPr fitToPage="1"/>
  </sheetPr>
  <dimension ref="A1:R8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D36" sqref="D36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286</v>
      </c>
      <c r="B1" s="175"/>
      <c r="C1" s="175"/>
      <c r="D1" s="175"/>
      <c r="E1" s="176" t="s">
        <v>0</v>
      </c>
      <c r="F1" s="177"/>
      <c r="H1" s="174" t="s">
        <v>286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45219</v>
      </c>
      <c r="H2" s="17"/>
      <c r="I2" s="18"/>
      <c r="J2" s="18"/>
      <c r="K2" s="19"/>
      <c r="L2" s="18"/>
      <c r="M2" s="46">
        <v>45219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F7</f>
        <v>2729</v>
      </c>
      <c r="O4" s="4"/>
    </row>
    <row r="5" spans="1:18" s="10" customFormat="1" ht="23.25" x14ac:dyDescent="0.3">
      <c r="A5" s="26">
        <v>1</v>
      </c>
      <c r="B5" s="70" t="s">
        <v>750</v>
      </c>
      <c r="C5" s="32" t="s">
        <v>20</v>
      </c>
      <c r="D5" s="88">
        <v>58.8</v>
      </c>
      <c r="E5" s="57">
        <v>30</v>
      </c>
      <c r="F5" s="30">
        <f t="shared" ref="F5:F6" si="0">D5*E5</f>
        <v>1764</v>
      </c>
      <c r="H5" s="26">
        <v>1</v>
      </c>
      <c r="I5" s="70" t="s">
        <v>750</v>
      </c>
      <c r="J5" s="32" t="s">
        <v>20</v>
      </c>
      <c r="K5" s="88">
        <v>58.8</v>
      </c>
      <c r="L5" s="57">
        <v>30</v>
      </c>
      <c r="M5" s="30">
        <f t="shared" ref="M5:M6" si="1">K5*L5</f>
        <v>1764</v>
      </c>
      <c r="N5" s="85"/>
      <c r="O5" s="11"/>
    </row>
    <row r="6" spans="1:18" s="10" customFormat="1" ht="23.25" x14ac:dyDescent="0.3">
      <c r="A6" s="26">
        <v>2</v>
      </c>
      <c r="B6" s="65" t="s">
        <v>44</v>
      </c>
      <c r="C6" s="32" t="s">
        <v>19</v>
      </c>
      <c r="D6" s="32">
        <v>19.3</v>
      </c>
      <c r="E6" s="57">
        <v>50</v>
      </c>
      <c r="F6" s="30">
        <f t="shared" si="0"/>
        <v>965</v>
      </c>
      <c r="H6" s="26">
        <v>2</v>
      </c>
      <c r="I6" s="65" t="s">
        <v>44</v>
      </c>
      <c r="J6" s="32" t="s">
        <v>19</v>
      </c>
      <c r="K6" s="32">
        <v>19.3</v>
      </c>
      <c r="L6" s="57">
        <v>50</v>
      </c>
      <c r="M6" s="30">
        <f t="shared" si="1"/>
        <v>965</v>
      </c>
      <c r="N6" s="85"/>
      <c r="O6" s="11"/>
    </row>
    <row r="7" spans="1:18" ht="24" thickBot="1" x14ac:dyDescent="0.3">
      <c r="A7" s="38"/>
      <c r="B7" s="39"/>
      <c r="C7" s="39"/>
      <c r="D7" s="39"/>
      <c r="E7" s="40" t="s">
        <v>16</v>
      </c>
      <c r="F7" s="35">
        <f>SUM(F5:F6)</f>
        <v>2729</v>
      </c>
      <c r="H7" s="38"/>
      <c r="I7" s="39"/>
      <c r="J7" s="39"/>
      <c r="K7" s="39"/>
      <c r="L7" s="40" t="s">
        <v>16</v>
      </c>
      <c r="M7" s="35">
        <f>SUM(M5:M6)</f>
        <v>2729</v>
      </c>
    </row>
    <row r="8" spans="1:18" ht="26.25" thickBot="1" x14ac:dyDescent="0.3">
      <c r="A8" s="76"/>
      <c r="B8" s="77"/>
      <c r="C8" s="77"/>
      <c r="D8" s="77"/>
      <c r="E8" s="78" t="s">
        <v>21</v>
      </c>
      <c r="F8" s="12">
        <f>SUMIF(E1:E19974,"CƏMİ",F1:F19974)</f>
        <v>2729</v>
      </c>
      <c r="H8" s="76"/>
      <c r="I8" s="77"/>
      <c r="J8" s="77"/>
      <c r="K8" s="77"/>
      <c r="L8" s="78" t="s">
        <v>21</v>
      </c>
      <c r="M8" s="12">
        <f>SUMIF(L1:L19974,"CƏMİ",M1:M19974)</f>
        <v>2729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CFA0-32E1-4679-AFE8-402582CC9F5D}">
  <sheetPr>
    <tabColor rgb="FFFFFF00"/>
    <pageSetUpPr fitToPage="1"/>
  </sheetPr>
  <dimension ref="A1:R9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O6" sqref="O6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280</v>
      </c>
      <c r="B1" s="175"/>
      <c r="C1" s="175"/>
      <c r="D1" s="175"/>
      <c r="E1" s="176" t="s">
        <v>0</v>
      </c>
      <c r="F1" s="177"/>
      <c r="H1" s="174" t="s">
        <v>280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45219</v>
      </c>
      <c r="H2" s="17"/>
      <c r="I2" s="18"/>
      <c r="J2" s="18"/>
      <c r="K2" s="19"/>
      <c r="L2" s="18"/>
      <c r="M2" s="46">
        <v>45219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F8</f>
        <v>9747</v>
      </c>
      <c r="O4" s="4"/>
    </row>
    <row r="5" spans="1:18" s="10" customFormat="1" ht="23.25" x14ac:dyDescent="0.3">
      <c r="A5" s="26">
        <v>1</v>
      </c>
      <c r="B5" s="70" t="s">
        <v>750</v>
      </c>
      <c r="C5" s="32" t="s">
        <v>20</v>
      </c>
      <c r="D5" s="88">
        <v>119.4</v>
      </c>
      <c r="E5" s="57">
        <v>30</v>
      </c>
      <c r="F5" s="30">
        <f t="shared" ref="F5:F6" si="0">D5*E5</f>
        <v>3582</v>
      </c>
      <c r="H5" s="26">
        <v>1</v>
      </c>
      <c r="I5" s="70" t="s">
        <v>750</v>
      </c>
      <c r="J5" s="32" t="s">
        <v>20</v>
      </c>
      <c r="K5" s="88">
        <v>119.4</v>
      </c>
      <c r="L5" s="57">
        <v>30</v>
      </c>
      <c r="M5" s="30">
        <f t="shared" ref="M5:M6" si="1">K5*L5</f>
        <v>3582</v>
      </c>
      <c r="N5" s="85"/>
      <c r="O5" s="11"/>
    </row>
    <row r="6" spans="1:18" s="10" customFormat="1" ht="23.25" x14ac:dyDescent="0.3">
      <c r="A6" s="26">
        <v>2</v>
      </c>
      <c r="B6" s="65" t="s">
        <v>44</v>
      </c>
      <c r="C6" s="32" t="s">
        <v>19</v>
      </c>
      <c r="D6" s="32">
        <v>39.299999999999997</v>
      </c>
      <c r="E6" s="57">
        <v>50</v>
      </c>
      <c r="F6" s="30">
        <f t="shared" si="0"/>
        <v>1964.9999999999998</v>
      </c>
      <c r="H6" s="26">
        <v>2</v>
      </c>
      <c r="I6" s="65" t="s">
        <v>44</v>
      </c>
      <c r="J6" s="32" t="s">
        <v>19</v>
      </c>
      <c r="K6" s="32">
        <v>39.299999999999997</v>
      </c>
      <c r="L6" s="57">
        <v>50</v>
      </c>
      <c r="M6" s="30">
        <f t="shared" si="1"/>
        <v>1964.9999999999998</v>
      </c>
      <c r="N6" s="85"/>
      <c r="O6" s="11"/>
    </row>
    <row r="7" spans="1:18" s="10" customFormat="1" ht="23.25" x14ac:dyDescent="0.3">
      <c r="A7" s="26">
        <v>3</v>
      </c>
      <c r="B7" s="65" t="s">
        <v>258</v>
      </c>
      <c r="C7" s="32" t="s">
        <v>20</v>
      </c>
      <c r="D7" s="32">
        <v>28</v>
      </c>
      <c r="E7" s="75">
        <v>150</v>
      </c>
      <c r="F7" s="30">
        <f>D7*E7</f>
        <v>4200</v>
      </c>
      <c r="H7" s="26">
        <v>3</v>
      </c>
      <c r="I7" s="65" t="s">
        <v>258</v>
      </c>
      <c r="J7" s="32" t="s">
        <v>20</v>
      </c>
      <c r="K7" s="32">
        <v>28</v>
      </c>
      <c r="L7" s="75">
        <v>150</v>
      </c>
      <c r="M7" s="30">
        <f>K7*L7</f>
        <v>4200</v>
      </c>
      <c r="N7" s="85"/>
      <c r="O7" s="11"/>
    </row>
    <row r="8" spans="1:18" ht="24" thickBot="1" x14ac:dyDescent="0.3">
      <c r="A8" s="38"/>
      <c r="B8" s="39"/>
      <c r="C8" s="39"/>
      <c r="D8" s="39"/>
      <c r="E8" s="40" t="s">
        <v>16</v>
      </c>
      <c r="F8" s="35">
        <f>SUM(F5:F7)</f>
        <v>9747</v>
      </c>
      <c r="H8" s="38"/>
      <c r="I8" s="39"/>
      <c r="J8" s="39"/>
      <c r="K8" s="39"/>
      <c r="L8" s="40" t="s">
        <v>16</v>
      </c>
      <c r="M8" s="35">
        <f>SUM(M5:M7)</f>
        <v>9747</v>
      </c>
    </row>
    <row r="9" spans="1:18" ht="26.25" thickBot="1" x14ac:dyDescent="0.3">
      <c r="A9" s="76"/>
      <c r="B9" s="77"/>
      <c r="C9" s="77"/>
      <c r="D9" s="77"/>
      <c r="E9" s="78" t="s">
        <v>21</v>
      </c>
      <c r="F9" s="12">
        <f>SUMIF(E1:E19975,"CƏMİ",F1:F19975)</f>
        <v>9747</v>
      </c>
      <c r="H9" s="76"/>
      <c r="I9" s="77"/>
      <c r="J9" s="77"/>
      <c r="K9" s="77"/>
      <c r="L9" s="78" t="s">
        <v>21</v>
      </c>
      <c r="M9" s="12">
        <f>SUMIF(L1:L19975,"CƏMİ",M1:M19975)</f>
        <v>9747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C3E87-B8AD-471A-ACFF-273875436533}">
  <sheetPr>
    <tabColor rgb="FFFFFF00"/>
    <pageSetUpPr fitToPage="1"/>
  </sheetPr>
  <dimension ref="A1:R9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C56" sqref="C56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282</v>
      </c>
      <c r="B1" s="175"/>
      <c r="C1" s="175"/>
      <c r="D1" s="175"/>
      <c r="E1" s="176" t="s">
        <v>0</v>
      </c>
      <c r="F1" s="177"/>
      <c r="H1" s="174" t="s">
        <v>282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45219</v>
      </c>
      <c r="H2" s="17"/>
      <c r="I2" s="18"/>
      <c r="J2" s="18"/>
      <c r="K2" s="19"/>
      <c r="L2" s="18"/>
      <c r="M2" s="46">
        <v>45219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F8</f>
        <v>4204</v>
      </c>
      <c r="O4" s="4"/>
    </row>
    <row r="5" spans="1:18" s="10" customFormat="1" ht="23.25" x14ac:dyDescent="0.3">
      <c r="A5" s="26">
        <v>1</v>
      </c>
      <c r="B5" s="70" t="s">
        <v>750</v>
      </c>
      <c r="C5" s="32" t="s">
        <v>20</v>
      </c>
      <c r="D5" s="88">
        <v>36.799999999999997</v>
      </c>
      <c r="E5" s="57">
        <v>30</v>
      </c>
      <c r="F5" s="30">
        <f t="shared" ref="F5:F6" si="0">D5*E5</f>
        <v>1104</v>
      </c>
      <c r="H5" s="26">
        <v>1</v>
      </c>
      <c r="I5" s="70" t="s">
        <v>750</v>
      </c>
      <c r="J5" s="32" t="s">
        <v>20</v>
      </c>
      <c r="K5" s="88">
        <v>36.799999999999997</v>
      </c>
      <c r="L5" s="57">
        <v>30</v>
      </c>
      <c r="M5" s="30">
        <f t="shared" ref="M5:M6" si="1">K5*L5</f>
        <v>1104</v>
      </c>
      <c r="N5" s="85"/>
      <c r="O5" s="11"/>
    </row>
    <row r="6" spans="1:18" s="10" customFormat="1" ht="23.25" x14ac:dyDescent="0.3">
      <c r="A6" s="26">
        <v>2</v>
      </c>
      <c r="B6" s="65" t="s">
        <v>44</v>
      </c>
      <c r="C6" s="32" t="s">
        <v>19</v>
      </c>
      <c r="D6" s="32">
        <v>11</v>
      </c>
      <c r="E6" s="57">
        <v>50</v>
      </c>
      <c r="F6" s="30">
        <f t="shared" si="0"/>
        <v>550</v>
      </c>
      <c r="H6" s="26">
        <v>2</v>
      </c>
      <c r="I6" s="65" t="s">
        <v>44</v>
      </c>
      <c r="J6" s="32" t="s">
        <v>19</v>
      </c>
      <c r="K6" s="32">
        <v>11</v>
      </c>
      <c r="L6" s="57">
        <v>50</v>
      </c>
      <c r="M6" s="30">
        <f t="shared" si="1"/>
        <v>550</v>
      </c>
      <c r="N6" s="85"/>
      <c r="O6" s="11"/>
    </row>
    <row r="7" spans="1:18" s="10" customFormat="1" ht="23.25" x14ac:dyDescent="0.3">
      <c r="A7" s="26">
        <v>3</v>
      </c>
      <c r="B7" s="65" t="s">
        <v>258</v>
      </c>
      <c r="C7" s="32" t="s">
        <v>20</v>
      </c>
      <c r="D7" s="32">
        <v>17</v>
      </c>
      <c r="E7" s="75">
        <v>150</v>
      </c>
      <c r="F7" s="30">
        <f>D7*E7</f>
        <v>2550</v>
      </c>
      <c r="H7" s="26">
        <v>3</v>
      </c>
      <c r="I7" s="65" t="s">
        <v>258</v>
      </c>
      <c r="J7" s="32" t="s">
        <v>20</v>
      </c>
      <c r="K7" s="32">
        <v>17</v>
      </c>
      <c r="L7" s="75">
        <v>150</v>
      </c>
      <c r="M7" s="30">
        <f>K7*L7</f>
        <v>2550</v>
      </c>
      <c r="N7" s="85"/>
      <c r="O7" s="11"/>
    </row>
    <row r="8" spans="1:18" ht="24" thickBot="1" x14ac:dyDescent="0.3">
      <c r="A8" s="38"/>
      <c r="B8" s="39"/>
      <c r="C8" s="39"/>
      <c r="D8" s="39"/>
      <c r="E8" s="40" t="s">
        <v>16</v>
      </c>
      <c r="F8" s="35">
        <f>SUM(F5:F7)</f>
        <v>4204</v>
      </c>
      <c r="H8" s="38"/>
      <c r="I8" s="39"/>
      <c r="J8" s="39"/>
      <c r="K8" s="39"/>
      <c r="L8" s="40" t="s">
        <v>16</v>
      </c>
      <c r="M8" s="35">
        <f>SUM(M5:M7)</f>
        <v>4204</v>
      </c>
    </row>
    <row r="9" spans="1:18" ht="26.25" thickBot="1" x14ac:dyDescent="0.3">
      <c r="A9" s="76"/>
      <c r="B9" s="77"/>
      <c r="C9" s="77"/>
      <c r="D9" s="77"/>
      <c r="E9" s="78" t="s">
        <v>21</v>
      </c>
      <c r="F9" s="12">
        <f>SUMIF(E1:E19975,"CƏMİ",F1:F19975)</f>
        <v>4204</v>
      </c>
      <c r="H9" s="76"/>
      <c r="I9" s="77"/>
      <c r="J9" s="77"/>
      <c r="K9" s="77"/>
      <c r="L9" s="78" t="s">
        <v>21</v>
      </c>
      <c r="M9" s="12">
        <f>SUMIF(L1:L19975,"CƏMİ",M1:M19975)</f>
        <v>4204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ACD83-E868-4534-8BD1-738CBE2ABC9D}">
  <sheetPr>
    <tabColor rgb="FFFFFF00"/>
    <pageSetUpPr fitToPage="1"/>
  </sheetPr>
  <dimension ref="A1:R11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I9" sqref="I9"/>
    </sheetView>
  </sheetViews>
  <sheetFormatPr defaultColWidth="9.140625" defaultRowHeight="15" x14ac:dyDescent="0.25"/>
  <cols>
    <col min="1" max="1" width="6.42578125" style="5" bestFit="1" customWidth="1"/>
    <col min="2" max="2" width="114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4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625</v>
      </c>
      <c r="B1" s="175"/>
      <c r="C1" s="175"/>
      <c r="D1" s="175"/>
      <c r="E1" s="176" t="s">
        <v>0</v>
      </c>
      <c r="F1" s="177"/>
      <c r="H1" s="174" t="s">
        <v>625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F10</f>
        <v>4321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61.5</v>
      </c>
      <c r="E5" s="57">
        <v>30</v>
      </c>
      <c r="F5" s="30">
        <f>D5*E5</f>
        <v>1845</v>
      </c>
      <c r="H5" s="26">
        <v>1</v>
      </c>
      <c r="I5" s="70" t="s">
        <v>559</v>
      </c>
      <c r="J5" s="32" t="s">
        <v>20</v>
      </c>
      <c r="K5" s="88">
        <v>61.5</v>
      </c>
      <c r="L5" s="57">
        <v>30</v>
      </c>
      <c r="M5" s="30">
        <f>K5*L5</f>
        <v>1845</v>
      </c>
      <c r="N5" s="85"/>
      <c r="O5" s="11"/>
    </row>
    <row r="6" spans="1:18" s="10" customFormat="1" ht="23.25" x14ac:dyDescent="0.3">
      <c r="A6" s="26">
        <v>2</v>
      </c>
      <c r="B6" s="70" t="s">
        <v>555</v>
      </c>
      <c r="C6" s="32" t="s">
        <v>19</v>
      </c>
      <c r="D6" s="32">
        <v>19</v>
      </c>
      <c r="E6" s="57">
        <v>50</v>
      </c>
      <c r="F6" s="30">
        <f>D6*E6</f>
        <v>950</v>
      </c>
      <c r="H6" s="26">
        <v>2</v>
      </c>
      <c r="I6" s="70" t="s">
        <v>555</v>
      </c>
      <c r="J6" s="32" t="s">
        <v>19</v>
      </c>
      <c r="K6" s="32">
        <v>19</v>
      </c>
      <c r="L6" s="57">
        <v>50</v>
      </c>
      <c r="M6" s="30">
        <f>K6*L6</f>
        <v>950</v>
      </c>
      <c r="N6" s="85"/>
      <c r="O6" s="11"/>
    </row>
    <row r="7" spans="1:18" s="10" customFormat="1" ht="23.25" x14ac:dyDescent="0.3">
      <c r="A7" s="26">
        <v>3</v>
      </c>
      <c r="B7" s="65" t="s">
        <v>297</v>
      </c>
      <c r="C7" s="32" t="s">
        <v>20</v>
      </c>
      <c r="D7" s="32">
        <v>22</v>
      </c>
      <c r="E7" s="57">
        <v>30</v>
      </c>
      <c r="F7" s="30">
        <f>D7*E7</f>
        <v>660</v>
      </c>
      <c r="H7" s="26">
        <v>3</v>
      </c>
      <c r="I7" s="65" t="s">
        <v>297</v>
      </c>
      <c r="J7" s="32" t="s">
        <v>20</v>
      </c>
      <c r="K7" s="115">
        <v>11</v>
      </c>
      <c r="L7" s="57">
        <v>30</v>
      </c>
      <c r="M7" s="30">
        <f>K7*L7</f>
        <v>330</v>
      </c>
      <c r="N7" s="85"/>
      <c r="O7" s="11"/>
    </row>
    <row r="8" spans="1:18" s="10" customFormat="1" ht="23.25" x14ac:dyDescent="0.3">
      <c r="A8" s="26">
        <v>4</v>
      </c>
      <c r="B8" s="65" t="s">
        <v>348</v>
      </c>
      <c r="C8" s="32" t="s">
        <v>19</v>
      </c>
      <c r="D8" s="32">
        <v>16.399999999999999</v>
      </c>
      <c r="E8" s="57">
        <v>50</v>
      </c>
      <c r="F8" s="30">
        <f t="shared" ref="F8:F9" si="0">D8*E8</f>
        <v>819.99999999999989</v>
      </c>
      <c r="H8" s="26">
        <v>4</v>
      </c>
      <c r="I8" s="65" t="s">
        <v>348</v>
      </c>
      <c r="J8" s="32" t="s">
        <v>19</v>
      </c>
      <c r="K8" s="32">
        <v>16.399999999999999</v>
      </c>
      <c r="L8" s="57">
        <v>50</v>
      </c>
      <c r="M8" s="30">
        <f t="shared" ref="M8:M9" si="1">K8*L8</f>
        <v>819.99999999999989</v>
      </c>
      <c r="N8" s="85"/>
      <c r="O8" s="11"/>
    </row>
    <row r="9" spans="1:18" s="10" customFormat="1" ht="23.25" x14ac:dyDescent="0.3">
      <c r="A9" s="26">
        <v>5</v>
      </c>
      <c r="B9" s="65" t="s">
        <v>122</v>
      </c>
      <c r="C9" s="32" t="s">
        <v>119</v>
      </c>
      <c r="D9" s="32">
        <v>0.1</v>
      </c>
      <c r="E9" s="57">
        <v>460</v>
      </c>
      <c r="F9" s="30">
        <f t="shared" si="0"/>
        <v>46</v>
      </c>
      <c r="H9" s="26">
        <v>5</v>
      </c>
      <c r="I9" s="65" t="s">
        <v>122</v>
      </c>
      <c r="J9" s="32" t="s">
        <v>119</v>
      </c>
      <c r="K9" s="32">
        <v>0.1</v>
      </c>
      <c r="L9" s="57">
        <v>460</v>
      </c>
      <c r="M9" s="30">
        <f t="shared" si="1"/>
        <v>46</v>
      </c>
      <c r="N9" s="85"/>
      <c r="O9" s="11"/>
    </row>
    <row r="10" spans="1:18" ht="24" thickBot="1" x14ac:dyDescent="0.3">
      <c r="A10" s="38"/>
      <c r="B10" s="39"/>
      <c r="C10" s="39"/>
      <c r="D10" s="39"/>
      <c r="E10" s="40" t="s">
        <v>16</v>
      </c>
      <c r="F10" s="35">
        <f>SUM(F5:F9)</f>
        <v>4321</v>
      </c>
      <c r="H10" s="38"/>
      <c r="I10" s="39"/>
      <c r="J10" s="39"/>
      <c r="K10" s="39"/>
      <c r="L10" s="40" t="s">
        <v>16</v>
      </c>
      <c r="M10" s="35">
        <f>SUM(M5:M9)</f>
        <v>3991</v>
      </c>
    </row>
    <row r="11" spans="1:18" ht="26.25" thickBot="1" x14ac:dyDescent="0.3">
      <c r="A11" s="71"/>
      <c r="B11" s="72"/>
      <c r="C11" s="72"/>
      <c r="D11" s="72"/>
      <c r="E11" s="73" t="s">
        <v>21</v>
      </c>
      <c r="F11" s="12">
        <f>SUMIF(E1:E19977,"CƏMİ",F1:F19977)</f>
        <v>4321</v>
      </c>
      <c r="H11" s="71"/>
      <c r="I11" s="72"/>
      <c r="J11" s="72"/>
      <c r="K11" s="72"/>
      <c r="L11" s="73" t="s">
        <v>21</v>
      </c>
      <c r="M11" s="12">
        <f>SUMIF(L1:L19977,"CƏMİ",M1:M19977)</f>
        <v>3991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4" fitToHeight="0"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F5454-376D-4131-BE37-4C2636994A90}">
  <sheetPr>
    <tabColor rgb="FFFFFF00"/>
    <pageSetUpPr fitToPage="1"/>
  </sheetPr>
  <dimension ref="A1:R17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L8" sqref="L8"/>
    </sheetView>
  </sheetViews>
  <sheetFormatPr defaultColWidth="9.140625" defaultRowHeight="15" x14ac:dyDescent="0.25"/>
  <cols>
    <col min="1" max="1" width="6.42578125" style="5" bestFit="1" customWidth="1"/>
    <col min="2" max="2" width="109.8554687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09.8554687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358</v>
      </c>
      <c r="B1" s="175"/>
      <c r="C1" s="175"/>
      <c r="D1" s="175"/>
      <c r="E1" s="176" t="s">
        <v>0</v>
      </c>
      <c r="F1" s="177"/>
      <c r="H1" s="174" t="s">
        <v>358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F16</f>
        <v>25712</v>
      </c>
      <c r="O4" s="4"/>
    </row>
    <row r="5" spans="1:18" s="10" customFormat="1" ht="23.25" x14ac:dyDescent="0.3">
      <c r="A5" s="26">
        <v>1</v>
      </c>
      <c r="B5" s="65" t="s">
        <v>346</v>
      </c>
      <c r="C5" s="32" t="s">
        <v>20</v>
      </c>
      <c r="D5" s="32">
        <v>80</v>
      </c>
      <c r="E5" s="57">
        <v>30</v>
      </c>
      <c r="F5" s="30">
        <f>D5*E5</f>
        <v>2400</v>
      </c>
      <c r="H5" s="26">
        <v>1</v>
      </c>
      <c r="I5" s="65" t="s">
        <v>346</v>
      </c>
      <c r="J5" s="32" t="s">
        <v>20</v>
      </c>
      <c r="K5" s="32">
        <v>80</v>
      </c>
      <c r="L5" s="118">
        <v>25</v>
      </c>
      <c r="M5" s="30">
        <f>K5*L5</f>
        <v>2000</v>
      </c>
      <c r="N5" s="85"/>
      <c r="O5" s="11"/>
    </row>
    <row r="6" spans="1:18" s="10" customFormat="1" ht="23.25" x14ac:dyDescent="0.3">
      <c r="A6" s="26">
        <v>2</v>
      </c>
      <c r="B6" s="65" t="s">
        <v>347</v>
      </c>
      <c r="C6" s="32" t="s">
        <v>19</v>
      </c>
      <c r="D6" s="32">
        <v>52.6</v>
      </c>
      <c r="E6" s="57">
        <v>50</v>
      </c>
      <c r="F6" s="30">
        <f t="shared" ref="F6:F15" si="0">D6*E6</f>
        <v>2630</v>
      </c>
      <c r="H6" s="26">
        <v>2</v>
      </c>
      <c r="I6" s="65" t="s">
        <v>347</v>
      </c>
      <c r="J6" s="32" t="s">
        <v>19</v>
      </c>
      <c r="K6" s="115">
        <v>0</v>
      </c>
      <c r="L6" s="57">
        <v>50</v>
      </c>
      <c r="M6" s="30">
        <f t="shared" ref="M6:M10" si="1">K6*L6</f>
        <v>0</v>
      </c>
      <c r="N6" s="85"/>
      <c r="O6" s="11"/>
    </row>
    <row r="7" spans="1:18" s="10" customFormat="1" ht="23.25" x14ac:dyDescent="0.3">
      <c r="A7" s="26">
        <v>3</v>
      </c>
      <c r="B7" s="65" t="s">
        <v>580</v>
      </c>
      <c r="C7" s="32" t="s">
        <v>19</v>
      </c>
      <c r="D7" s="32">
        <v>65</v>
      </c>
      <c r="E7" s="57">
        <v>80</v>
      </c>
      <c r="F7" s="30">
        <f t="shared" si="0"/>
        <v>5200</v>
      </c>
      <c r="H7" s="26">
        <v>3</v>
      </c>
      <c r="I7" s="65" t="s">
        <v>580</v>
      </c>
      <c r="J7" s="32" t="s">
        <v>19</v>
      </c>
      <c r="K7" s="115">
        <v>38</v>
      </c>
      <c r="L7" s="118">
        <v>25</v>
      </c>
      <c r="M7" s="30">
        <f t="shared" si="1"/>
        <v>950</v>
      </c>
      <c r="N7" s="85"/>
      <c r="O7" s="11"/>
    </row>
    <row r="8" spans="1:18" s="10" customFormat="1" ht="23.25" x14ac:dyDescent="0.3">
      <c r="A8" s="26">
        <v>4</v>
      </c>
      <c r="B8" s="70" t="s">
        <v>559</v>
      </c>
      <c r="C8" s="32" t="s">
        <v>20</v>
      </c>
      <c r="D8" s="88">
        <v>162</v>
      </c>
      <c r="E8" s="57">
        <v>30</v>
      </c>
      <c r="F8" s="30">
        <f t="shared" si="0"/>
        <v>4860</v>
      </c>
      <c r="H8" s="26">
        <v>4</v>
      </c>
      <c r="I8" s="70" t="s">
        <v>559</v>
      </c>
      <c r="J8" s="32" t="s">
        <v>20</v>
      </c>
      <c r="K8" s="88">
        <v>162</v>
      </c>
      <c r="L8" s="57">
        <v>30</v>
      </c>
      <c r="M8" s="30">
        <f t="shared" si="1"/>
        <v>4860</v>
      </c>
      <c r="N8" s="85"/>
      <c r="O8" s="11"/>
    </row>
    <row r="9" spans="1:18" s="10" customFormat="1" ht="23.25" x14ac:dyDescent="0.3">
      <c r="A9" s="26">
        <v>5</v>
      </c>
      <c r="B9" s="70" t="s">
        <v>555</v>
      </c>
      <c r="C9" s="32" t="s">
        <v>19</v>
      </c>
      <c r="D9" s="32">
        <v>53</v>
      </c>
      <c r="E9" s="57">
        <v>50</v>
      </c>
      <c r="F9" s="30">
        <f t="shared" si="0"/>
        <v>2650</v>
      </c>
      <c r="H9" s="26">
        <v>5</v>
      </c>
      <c r="I9" s="70" t="s">
        <v>555</v>
      </c>
      <c r="J9" s="32" t="s">
        <v>19</v>
      </c>
      <c r="K9" s="32">
        <v>53</v>
      </c>
      <c r="L9" s="57">
        <v>50</v>
      </c>
      <c r="M9" s="30">
        <f t="shared" si="1"/>
        <v>2650</v>
      </c>
      <c r="N9" s="85"/>
      <c r="O9" s="11"/>
    </row>
    <row r="10" spans="1:18" s="10" customFormat="1" ht="23.25" x14ac:dyDescent="0.3">
      <c r="A10" s="26">
        <v>6</v>
      </c>
      <c r="B10" s="65" t="s">
        <v>571</v>
      </c>
      <c r="C10" s="32" t="s">
        <v>19</v>
      </c>
      <c r="D10" s="32">
        <v>36</v>
      </c>
      <c r="E10" s="57">
        <v>80</v>
      </c>
      <c r="F10" s="30">
        <f t="shared" ref="F10" si="2">D10*E10</f>
        <v>2880</v>
      </c>
      <c r="H10" s="26">
        <v>6</v>
      </c>
      <c r="I10" s="65" t="s">
        <v>571</v>
      </c>
      <c r="J10" s="32" t="s">
        <v>19</v>
      </c>
      <c r="K10" s="32">
        <v>36</v>
      </c>
      <c r="L10" s="57">
        <v>80</v>
      </c>
      <c r="M10" s="30">
        <f t="shared" si="1"/>
        <v>2880</v>
      </c>
      <c r="N10" s="85"/>
      <c r="O10" s="11"/>
    </row>
    <row r="11" spans="1:18" s="10" customFormat="1" ht="23.25" x14ac:dyDescent="0.3">
      <c r="A11" s="26">
        <v>7</v>
      </c>
      <c r="B11" s="65" t="s">
        <v>351</v>
      </c>
      <c r="C11" s="32" t="s">
        <v>20</v>
      </c>
      <c r="D11" s="32">
        <v>60.5</v>
      </c>
      <c r="E11" s="57">
        <v>30</v>
      </c>
      <c r="F11" s="30">
        <f>D11*E11</f>
        <v>1815</v>
      </c>
      <c r="H11" s="26">
        <v>7</v>
      </c>
      <c r="I11" s="65" t="s">
        <v>351</v>
      </c>
      <c r="J11" s="32" t="s">
        <v>20</v>
      </c>
      <c r="K11" s="32">
        <v>60.5</v>
      </c>
      <c r="L11" s="57">
        <v>30</v>
      </c>
      <c r="M11" s="30">
        <f>K11*L11</f>
        <v>1815</v>
      </c>
      <c r="N11" s="85"/>
      <c r="O11" s="11"/>
    </row>
    <row r="12" spans="1:18" s="10" customFormat="1" ht="23.25" x14ac:dyDescent="0.3">
      <c r="A12" s="26">
        <v>8</v>
      </c>
      <c r="B12" s="65" t="s">
        <v>631</v>
      </c>
      <c r="C12" s="32" t="s">
        <v>19</v>
      </c>
      <c r="D12" s="32">
        <v>9</v>
      </c>
      <c r="E12" s="57">
        <v>50</v>
      </c>
      <c r="F12" s="30">
        <f t="shared" ref="F12" si="3">D12*E12</f>
        <v>450</v>
      </c>
      <c r="H12" s="26">
        <v>8</v>
      </c>
      <c r="I12" s="65" t="s">
        <v>631</v>
      </c>
      <c r="J12" s="32" t="s">
        <v>19</v>
      </c>
      <c r="K12" s="32">
        <v>9</v>
      </c>
      <c r="L12" s="57">
        <v>50</v>
      </c>
      <c r="M12" s="30">
        <f t="shared" ref="M12" si="4">K12*L12</f>
        <v>450</v>
      </c>
      <c r="N12" s="85"/>
      <c r="O12" s="11"/>
    </row>
    <row r="13" spans="1:18" s="10" customFormat="1" ht="23.25" x14ac:dyDescent="0.3">
      <c r="A13" s="26">
        <v>9</v>
      </c>
      <c r="B13" s="65" t="s">
        <v>632</v>
      </c>
      <c r="C13" s="32" t="s">
        <v>20</v>
      </c>
      <c r="D13" s="32">
        <v>37.700000000000003</v>
      </c>
      <c r="E13" s="57">
        <v>30</v>
      </c>
      <c r="F13" s="30">
        <f>D13*E13</f>
        <v>1131</v>
      </c>
      <c r="H13" s="26">
        <v>9</v>
      </c>
      <c r="I13" s="65" t="s">
        <v>632</v>
      </c>
      <c r="J13" s="32" t="s">
        <v>20</v>
      </c>
      <c r="K13" s="32">
        <v>37.700000000000003</v>
      </c>
      <c r="L13" s="57">
        <v>30</v>
      </c>
      <c r="M13" s="30">
        <f>K13*L13</f>
        <v>1131</v>
      </c>
      <c r="N13" s="85"/>
      <c r="O13" s="11"/>
    </row>
    <row r="14" spans="1:18" s="10" customFormat="1" ht="23.25" x14ac:dyDescent="0.3">
      <c r="A14" s="26">
        <v>10</v>
      </c>
      <c r="B14" s="65" t="s">
        <v>633</v>
      </c>
      <c r="C14" s="32" t="s">
        <v>19</v>
      </c>
      <c r="D14" s="32">
        <v>28.4</v>
      </c>
      <c r="E14" s="57">
        <v>50</v>
      </c>
      <c r="F14" s="30">
        <f t="shared" ref="F14" si="5">D14*E14</f>
        <v>1420</v>
      </c>
      <c r="H14" s="26">
        <v>10</v>
      </c>
      <c r="I14" s="65" t="s">
        <v>633</v>
      </c>
      <c r="J14" s="32" t="s">
        <v>19</v>
      </c>
      <c r="K14" s="32">
        <v>28.4</v>
      </c>
      <c r="L14" s="57">
        <v>50</v>
      </c>
      <c r="M14" s="30">
        <f t="shared" ref="M14:M15" si="6">K14*L14</f>
        <v>1420</v>
      </c>
      <c r="N14" s="85"/>
      <c r="O14" s="11"/>
    </row>
    <row r="15" spans="1:18" s="10" customFormat="1" ht="23.25" x14ac:dyDescent="0.3">
      <c r="A15" s="26">
        <v>11</v>
      </c>
      <c r="B15" s="65" t="s">
        <v>122</v>
      </c>
      <c r="C15" s="32" t="s">
        <v>119</v>
      </c>
      <c r="D15" s="32">
        <v>0.6</v>
      </c>
      <c r="E15" s="57">
        <v>460</v>
      </c>
      <c r="F15" s="30">
        <f t="shared" si="0"/>
        <v>276</v>
      </c>
      <c r="H15" s="26">
        <v>11</v>
      </c>
      <c r="I15" s="65" t="s">
        <v>122</v>
      </c>
      <c r="J15" s="32" t="s">
        <v>119</v>
      </c>
      <c r="K15" s="32">
        <v>0.6</v>
      </c>
      <c r="L15" s="57">
        <v>460</v>
      </c>
      <c r="M15" s="30">
        <f t="shared" si="6"/>
        <v>276</v>
      </c>
      <c r="N15" s="85"/>
      <c r="O15" s="11"/>
    </row>
    <row r="16" spans="1:18" ht="24" thickBot="1" x14ac:dyDescent="0.3">
      <c r="A16" s="38"/>
      <c r="B16" s="39"/>
      <c r="C16" s="39"/>
      <c r="D16" s="39"/>
      <c r="E16" s="40" t="s">
        <v>16</v>
      </c>
      <c r="F16" s="35">
        <f>SUM(F5:F15)</f>
        <v>25712</v>
      </c>
      <c r="H16" s="38"/>
      <c r="I16" s="39"/>
      <c r="J16" s="39"/>
      <c r="K16" s="39"/>
      <c r="L16" s="40" t="s">
        <v>16</v>
      </c>
      <c r="M16" s="35">
        <f>SUM(M5:M15)</f>
        <v>18432</v>
      </c>
    </row>
    <row r="17" spans="1:13" ht="26.25" thickBot="1" x14ac:dyDescent="0.3">
      <c r="A17" s="71"/>
      <c r="B17" s="72"/>
      <c r="C17" s="72"/>
      <c r="D17" s="72"/>
      <c r="E17" s="73" t="s">
        <v>21</v>
      </c>
      <c r="F17" s="12">
        <f>SUMIF(E1:E19983,"CƏMİ",F1:F19983)</f>
        <v>25712</v>
      </c>
      <c r="H17" s="71"/>
      <c r="I17" s="72"/>
      <c r="J17" s="72"/>
      <c r="K17" s="72"/>
      <c r="L17" s="73" t="s">
        <v>21</v>
      </c>
      <c r="M17" s="12">
        <f>SUMIF(L1:L19983,"CƏMİ",M1:M19983)</f>
        <v>18432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55F1-A9AF-415B-9903-0897605EC876}">
  <sheetPr>
    <tabColor rgb="FFFFFF00"/>
    <pageSetUpPr fitToPage="1"/>
  </sheetPr>
  <dimension ref="A1:R10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L7" sqref="L7"/>
    </sheetView>
  </sheetViews>
  <sheetFormatPr defaultColWidth="9.140625" defaultRowHeight="15" x14ac:dyDescent="0.25"/>
  <cols>
    <col min="1" max="1" width="6.42578125" style="5" bestFit="1" customWidth="1"/>
    <col min="2" max="2" width="111.710937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1.710937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17.57031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134</v>
      </c>
      <c r="B1" s="175"/>
      <c r="C1" s="175"/>
      <c r="D1" s="175"/>
      <c r="E1" s="176" t="s">
        <v>0</v>
      </c>
      <c r="F1" s="177"/>
      <c r="H1" s="174" t="s">
        <v>134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45100</v>
      </c>
      <c r="H2" s="17"/>
      <c r="I2" s="18"/>
      <c r="J2" s="18"/>
      <c r="K2" s="19"/>
      <c r="L2" s="18"/>
      <c r="M2" s="46">
        <v>45100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10" customFormat="1" ht="22.5" x14ac:dyDescent="0.3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7">
        <f>F9</f>
        <v>6240</v>
      </c>
      <c r="O4" s="11"/>
    </row>
    <row r="5" spans="1:18" s="10" customFormat="1" ht="23.25" x14ac:dyDescent="0.3">
      <c r="A5" s="26">
        <v>1</v>
      </c>
      <c r="B5" s="65" t="s">
        <v>42</v>
      </c>
      <c r="C5" s="32" t="s">
        <v>19</v>
      </c>
      <c r="D5" s="32">
        <v>27</v>
      </c>
      <c r="E5" s="29">
        <v>50</v>
      </c>
      <c r="F5" s="30">
        <f>D5*E5</f>
        <v>1350</v>
      </c>
      <c r="H5" s="26">
        <v>1</v>
      </c>
      <c r="I5" s="65" t="s">
        <v>42</v>
      </c>
      <c r="J5" s="32" t="s">
        <v>19</v>
      </c>
      <c r="K5" s="115">
        <v>0</v>
      </c>
      <c r="L5" s="29">
        <v>50</v>
      </c>
      <c r="M5" s="30">
        <f>K5*L5</f>
        <v>0</v>
      </c>
      <c r="N5" s="85"/>
      <c r="O5" s="11"/>
    </row>
    <row r="6" spans="1:18" s="10" customFormat="1" ht="23.25" x14ac:dyDescent="0.3">
      <c r="A6" s="26">
        <v>2</v>
      </c>
      <c r="B6" s="65" t="s">
        <v>714</v>
      </c>
      <c r="C6" s="32" t="s">
        <v>20</v>
      </c>
      <c r="D6" s="32">
        <v>45</v>
      </c>
      <c r="E6" s="29">
        <v>30</v>
      </c>
      <c r="F6" s="30">
        <f>D6*E6</f>
        <v>1350</v>
      </c>
      <c r="H6" s="26">
        <v>2</v>
      </c>
      <c r="I6" s="65" t="s">
        <v>714</v>
      </c>
      <c r="J6" s="32" t="s">
        <v>20</v>
      </c>
      <c r="K6" s="32">
        <v>45</v>
      </c>
      <c r="L6" s="118">
        <v>25</v>
      </c>
      <c r="M6" s="30">
        <f>K6*L6</f>
        <v>1125</v>
      </c>
      <c r="N6" s="85"/>
      <c r="O6" s="11"/>
    </row>
    <row r="7" spans="1:18" s="10" customFormat="1" ht="23.25" x14ac:dyDescent="0.3">
      <c r="A7" s="26">
        <v>3</v>
      </c>
      <c r="B7" s="70" t="s">
        <v>136</v>
      </c>
      <c r="C7" s="32" t="s">
        <v>19</v>
      </c>
      <c r="D7" s="88">
        <f>33-3</f>
        <v>30</v>
      </c>
      <c r="E7" s="57">
        <v>50</v>
      </c>
      <c r="F7" s="30">
        <f t="shared" ref="F7:F8" si="0">D7*E7</f>
        <v>1500</v>
      </c>
      <c r="H7" s="26">
        <v>3</v>
      </c>
      <c r="I7" s="70" t="s">
        <v>136</v>
      </c>
      <c r="J7" s="32" t="s">
        <v>19</v>
      </c>
      <c r="K7" s="115">
        <v>20</v>
      </c>
      <c r="L7" s="57">
        <v>50</v>
      </c>
      <c r="M7" s="30">
        <f t="shared" ref="M7:M8" si="1">K7*L7</f>
        <v>1000</v>
      </c>
      <c r="N7" s="85"/>
      <c r="O7" s="11"/>
    </row>
    <row r="8" spans="1:18" s="10" customFormat="1" ht="23.25" x14ac:dyDescent="0.3">
      <c r="A8" s="26">
        <v>4</v>
      </c>
      <c r="B8" s="70" t="s">
        <v>771</v>
      </c>
      <c r="C8" s="32" t="s">
        <v>20</v>
      </c>
      <c r="D8" s="88">
        <f>86-18</f>
        <v>68</v>
      </c>
      <c r="E8" s="57">
        <v>30</v>
      </c>
      <c r="F8" s="30">
        <f t="shared" si="0"/>
        <v>2040</v>
      </c>
      <c r="H8" s="26">
        <v>4</v>
      </c>
      <c r="I8" s="70" t="s">
        <v>771</v>
      </c>
      <c r="J8" s="32" t="s">
        <v>20</v>
      </c>
      <c r="K8" s="115">
        <v>58</v>
      </c>
      <c r="L8" s="57">
        <v>30</v>
      </c>
      <c r="M8" s="30">
        <f t="shared" si="1"/>
        <v>1740</v>
      </c>
      <c r="N8" s="85"/>
      <c r="O8" s="11"/>
    </row>
    <row r="9" spans="1:18" ht="24" thickBot="1" x14ac:dyDescent="0.3">
      <c r="A9" s="38"/>
      <c r="B9" s="39"/>
      <c r="C9" s="66"/>
      <c r="D9" s="39"/>
      <c r="E9" s="40" t="s">
        <v>16</v>
      </c>
      <c r="F9" s="35">
        <f>SUM(F5:F8)</f>
        <v>6240</v>
      </c>
      <c r="H9" s="38"/>
      <c r="I9" s="39"/>
      <c r="J9" s="66"/>
      <c r="K9" s="39"/>
      <c r="L9" s="40" t="s">
        <v>16</v>
      </c>
      <c r="M9" s="35">
        <f>SUM(M5:M8)</f>
        <v>3865</v>
      </c>
    </row>
    <row r="10" spans="1:18" ht="26.25" thickBot="1" x14ac:dyDescent="0.3">
      <c r="A10" s="76"/>
      <c r="B10" s="77"/>
      <c r="C10" s="77"/>
      <c r="D10" s="77"/>
      <c r="E10" s="78" t="s">
        <v>21</v>
      </c>
      <c r="F10" s="12">
        <f>SUMIF(E1:E19976,"CƏMİ",F1:F19976)</f>
        <v>6240</v>
      </c>
      <c r="H10" s="76"/>
      <c r="I10" s="77"/>
      <c r="J10" s="77"/>
      <c r="K10" s="77"/>
      <c r="L10" s="78" t="s">
        <v>21</v>
      </c>
      <c r="M10" s="12">
        <f>SUMIF(L1:L19976,"CƏMİ",M1:M19976)</f>
        <v>3865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DD6E-72D3-4FA3-998C-08E9E6AB988F}">
  <sheetPr>
    <tabColor rgb="FFFFFF00"/>
    <pageSetUpPr fitToPage="1"/>
  </sheetPr>
  <dimension ref="A1:R7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B18" sqref="B18"/>
    </sheetView>
  </sheetViews>
  <sheetFormatPr defaultColWidth="9.140625" defaultRowHeight="15" x14ac:dyDescent="0.25"/>
  <cols>
    <col min="1" max="1" width="6.42578125" style="5" bestFit="1" customWidth="1"/>
    <col min="2" max="2" width="132.8554687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32.8554687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630</v>
      </c>
      <c r="B1" s="175"/>
      <c r="C1" s="175"/>
      <c r="D1" s="175"/>
      <c r="E1" s="176" t="s">
        <v>0</v>
      </c>
      <c r="F1" s="177"/>
      <c r="H1" s="174" t="s">
        <v>630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F6</f>
        <v>1380</v>
      </c>
      <c r="O4" s="4"/>
    </row>
    <row r="5" spans="1:18" s="10" customFormat="1" ht="23.25" x14ac:dyDescent="0.3">
      <c r="A5" s="26">
        <v>1</v>
      </c>
      <c r="B5" s="70" t="s">
        <v>734</v>
      </c>
      <c r="C5" s="32" t="s">
        <v>20</v>
      </c>
      <c r="D5" s="88">
        <v>46</v>
      </c>
      <c r="E5" s="57">
        <v>30</v>
      </c>
      <c r="F5" s="30">
        <f>D5*E5</f>
        <v>1380</v>
      </c>
      <c r="H5" s="26">
        <v>1</v>
      </c>
      <c r="I5" s="70" t="s">
        <v>734</v>
      </c>
      <c r="J5" s="32" t="s">
        <v>20</v>
      </c>
      <c r="K5" s="88">
        <v>46</v>
      </c>
      <c r="L5" s="57">
        <v>30</v>
      </c>
      <c r="M5" s="30">
        <f>K5*L5</f>
        <v>1380</v>
      </c>
      <c r="N5" s="85"/>
      <c r="O5" s="11"/>
    </row>
    <row r="6" spans="1:18" ht="24" thickBot="1" x14ac:dyDescent="0.3">
      <c r="A6" s="38"/>
      <c r="B6" s="39"/>
      <c r="C6" s="39"/>
      <c r="D6" s="39"/>
      <c r="E6" s="40" t="s">
        <v>16</v>
      </c>
      <c r="F6" s="35">
        <f>SUM(F5:F5)</f>
        <v>1380</v>
      </c>
      <c r="H6" s="38"/>
      <c r="I6" s="39"/>
      <c r="J6" s="39"/>
      <c r="K6" s="39"/>
      <c r="L6" s="40" t="s">
        <v>16</v>
      </c>
      <c r="M6" s="35">
        <f>SUM(M5:M5)</f>
        <v>1380</v>
      </c>
    </row>
    <row r="7" spans="1:18" ht="26.25" thickBot="1" x14ac:dyDescent="0.3">
      <c r="A7" s="71"/>
      <c r="B7" s="72"/>
      <c r="C7" s="72"/>
      <c r="D7" s="72"/>
      <c r="E7" s="73" t="s">
        <v>21</v>
      </c>
      <c r="F7" s="12">
        <f>SUMIF(E1:E19973,"CƏMİ",F1:F19973)</f>
        <v>1380</v>
      </c>
      <c r="H7" s="71"/>
      <c r="I7" s="72"/>
      <c r="J7" s="72"/>
      <c r="K7" s="72"/>
      <c r="L7" s="73" t="s">
        <v>21</v>
      </c>
      <c r="M7" s="12">
        <f>SUMIF(L1:L19973,"CƏMİ",M1:M19973)</f>
        <v>1380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2" fitToHeight="0" orientation="portrait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1812-D799-4447-8197-77B65084B907}">
  <sheetPr>
    <tabColor rgb="FFFFFF00"/>
    <pageSetUpPr fitToPage="1"/>
  </sheetPr>
  <dimension ref="A1:R15"/>
  <sheetViews>
    <sheetView view="pageBreakPreview" zoomScale="55" zoomScaleNormal="55" zoomScaleSheetLayoutView="55" workbookViewId="0">
      <pane ySplit="3" topLeftCell="A4" activePane="bottomLeft" state="frozen"/>
      <selection activeCell="D9" sqref="D9"/>
      <selection pane="bottomLeft" activeCell="L6" sqref="L6"/>
    </sheetView>
  </sheetViews>
  <sheetFormatPr defaultColWidth="9.140625" defaultRowHeight="15" x14ac:dyDescent="0.25"/>
  <cols>
    <col min="1" max="1" width="6.42578125" style="5" bestFit="1" customWidth="1"/>
    <col min="2" max="2" width="109.8554687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09.8554687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617</v>
      </c>
      <c r="B1" s="175"/>
      <c r="C1" s="175"/>
      <c r="D1" s="175"/>
      <c r="E1" s="176" t="s">
        <v>0</v>
      </c>
      <c r="F1" s="177"/>
      <c r="H1" s="174" t="s">
        <v>617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F14</f>
        <v>12568</v>
      </c>
      <c r="O4" s="4"/>
    </row>
    <row r="5" spans="1:18" s="10" customFormat="1" ht="23.25" x14ac:dyDescent="0.3">
      <c r="A5" s="26">
        <v>1</v>
      </c>
      <c r="B5" s="70" t="s">
        <v>571</v>
      </c>
      <c r="C5" s="32" t="s">
        <v>19</v>
      </c>
      <c r="D5" s="32">
        <v>44.7</v>
      </c>
      <c r="E5" s="57">
        <v>80</v>
      </c>
      <c r="F5" s="30">
        <f>D5*E5</f>
        <v>3576</v>
      </c>
      <c r="H5" s="26">
        <v>1</v>
      </c>
      <c r="I5" s="70" t="s">
        <v>571</v>
      </c>
      <c r="J5" s="32" t="s">
        <v>19</v>
      </c>
      <c r="K5" s="32">
        <v>44.7</v>
      </c>
      <c r="L5" s="118">
        <v>25</v>
      </c>
      <c r="M5" s="30">
        <f>K5*L5</f>
        <v>1117.5</v>
      </c>
      <c r="N5" s="85"/>
      <c r="O5" s="11"/>
    </row>
    <row r="6" spans="1:18" s="10" customFormat="1" ht="23.25" x14ac:dyDescent="0.3">
      <c r="A6" s="26">
        <v>2</v>
      </c>
      <c r="B6" s="65" t="s">
        <v>297</v>
      </c>
      <c r="C6" s="32" t="s">
        <v>20</v>
      </c>
      <c r="D6" s="32">
        <v>96</v>
      </c>
      <c r="E6" s="57">
        <v>30</v>
      </c>
      <c r="F6" s="30">
        <f>D6*E6</f>
        <v>2880</v>
      </c>
      <c r="H6" s="26">
        <v>2</v>
      </c>
      <c r="I6" s="65" t="s">
        <v>297</v>
      </c>
      <c r="J6" s="32" t="s">
        <v>20</v>
      </c>
      <c r="K6" s="115">
        <v>48</v>
      </c>
      <c r="L6" s="57">
        <v>30</v>
      </c>
      <c r="M6" s="30">
        <f>K6*L6</f>
        <v>1440</v>
      </c>
      <c r="N6" s="85"/>
      <c r="O6" s="11"/>
    </row>
    <row r="7" spans="1:18" s="10" customFormat="1" ht="23.25" x14ac:dyDescent="0.3">
      <c r="A7" s="26">
        <v>3</v>
      </c>
      <c r="B7" s="65" t="s">
        <v>439</v>
      </c>
      <c r="C7" s="32" t="s">
        <v>19</v>
      </c>
      <c r="D7" s="32">
        <v>48</v>
      </c>
      <c r="E7" s="57">
        <v>50</v>
      </c>
      <c r="F7" s="30">
        <f t="shared" ref="F7" si="0">D7*E7</f>
        <v>2400</v>
      </c>
      <c r="H7" s="26">
        <v>3</v>
      </c>
      <c r="I7" s="65" t="s">
        <v>439</v>
      </c>
      <c r="J7" s="32" t="s">
        <v>19</v>
      </c>
      <c r="K7" s="32">
        <v>48</v>
      </c>
      <c r="L7" s="57">
        <v>50</v>
      </c>
      <c r="M7" s="30">
        <f t="shared" ref="M7" si="1">K7*L7</f>
        <v>2400</v>
      </c>
      <c r="N7" s="85"/>
      <c r="O7" s="11"/>
    </row>
    <row r="8" spans="1:18" s="10" customFormat="1" ht="23.25" x14ac:dyDescent="0.3">
      <c r="A8" s="26">
        <v>4</v>
      </c>
      <c r="B8" s="65" t="s">
        <v>618</v>
      </c>
      <c r="C8" s="32" t="s">
        <v>20</v>
      </c>
      <c r="D8" s="32">
        <v>29.3</v>
      </c>
      <c r="E8" s="57">
        <v>30</v>
      </c>
      <c r="F8" s="30">
        <f>D8*E8</f>
        <v>879</v>
      </c>
      <c r="H8" s="26">
        <v>4</v>
      </c>
      <c r="I8" s="65" t="s">
        <v>618</v>
      </c>
      <c r="J8" s="32" t="s">
        <v>20</v>
      </c>
      <c r="K8" s="32">
        <v>29.3</v>
      </c>
      <c r="L8" s="57">
        <v>30</v>
      </c>
      <c r="M8" s="30">
        <f>K8*L8</f>
        <v>879</v>
      </c>
      <c r="N8" s="85"/>
      <c r="O8" s="11"/>
    </row>
    <row r="9" spans="1:18" s="10" customFormat="1" ht="23.25" x14ac:dyDescent="0.3">
      <c r="A9" s="26">
        <v>5</v>
      </c>
      <c r="B9" s="65" t="s">
        <v>619</v>
      </c>
      <c r="C9" s="32" t="s">
        <v>19</v>
      </c>
      <c r="D9" s="32">
        <v>12.7</v>
      </c>
      <c r="E9" s="57">
        <v>50</v>
      </c>
      <c r="F9" s="30">
        <f t="shared" ref="F9" si="2">D9*E9</f>
        <v>635</v>
      </c>
      <c r="H9" s="26">
        <v>5</v>
      </c>
      <c r="I9" s="65" t="s">
        <v>619</v>
      </c>
      <c r="J9" s="32" t="s">
        <v>19</v>
      </c>
      <c r="K9" s="32">
        <v>12.7</v>
      </c>
      <c r="L9" s="57">
        <v>50</v>
      </c>
      <c r="M9" s="30">
        <f t="shared" ref="M9" si="3">K9*L9</f>
        <v>635</v>
      </c>
      <c r="N9" s="85"/>
      <c r="O9" s="11"/>
    </row>
    <row r="10" spans="1:18" s="10" customFormat="1" ht="23.25" x14ac:dyDescent="0.3">
      <c r="A10" s="26">
        <v>6</v>
      </c>
      <c r="B10" s="65" t="s">
        <v>620</v>
      </c>
      <c r="C10" s="32" t="s">
        <v>19</v>
      </c>
      <c r="D10" s="32">
        <v>12.4</v>
      </c>
      <c r="E10" s="57">
        <v>80</v>
      </c>
      <c r="F10" s="30">
        <f>D10*E10</f>
        <v>992</v>
      </c>
      <c r="H10" s="26">
        <v>6</v>
      </c>
      <c r="I10" s="65" t="s">
        <v>620</v>
      </c>
      <c r="J10" s="32" t="s">
        <v>19</v>
      </c>
      <c r="K10" s="32">
        <v>12.4</v>
      </c>
      <c r="L10" s="57">
        <v>80</v>
      </c>
      <c r="M10" s="30">
        <f>K10*L10</f>
        <v>992</v>
      </c>
      <c r="N10" s="85"/>
      <c r="O10" s="11"/>
    </row>
    <row r="11" spans="1:18" s="10" customFormat="1" ht="23.25" x14ac:dyDescent="0.3">
      <c r="A11" s="26">
        <v>7</v>
      </c>
      <c r="B11" s="65" t="s">
        <v>621</v>
      </c>
      <c r="C11" s="32" t="s">
        <v>20</v>
      </c>
      <c r="D11" s="32">
        <v>19.2</v>
      </c>
      <c r="E11" s="57">
        <v>30</v>
      </c>
      <c r="F11" s="30">
        <f>D11*E11</f>
        <v>576</v>
      </c>
      <c r="H11" s="26">
        <v>7</v>
      </c>
      <c r="I11" s="65" t="s">
        <v>621</v>
      </c>
      <c r="J11" s="32" t="s">
        <v>20</v>
      </c>
      <c r="K11" s="32">
        <v>19.2</v>
      </c>
      <c r="L11" s="57">
        <v>30</v>
      </c>
      <c r="M11" s="30">
        <f>K11*L11</f>
        <v>576</v>
      </c>
      <c r="N11" s="85"/>
      <c r="O11" s="11"/>
    </row>
    <row r="12" spans="1:18" s="10" customFormat="1" ht="23.25" x14ac:dyDescent="0.3">
      <c r="A12" s="26">
        <v>8</v>
      </c>
      <c r="B12" s="65" t="s">
        <v>622</v>
      </c>
      <c r="C12" s="32" t="s">
        <v>19</v>
      </c>
      <c r="D12" s="32">
        <v>8</v>
      </c>
      <c r="E12" s="57">
        <v>50</v>
      </c>
      <c r="F12" s="30">
        <f>D12*E12</f>
        <v>400</v>
      </c>
      <c r="H12" s="26">
        <v>8</v>
      </c>
      <c r="I12" s="65" t="s">
        <v>622</v>
      </c>
      <c r="J12" s="32" t="s">
        <v>19</v>
      </c>
      <c r="K12" s="32">
        <v>8</v>
      </c>
      <c r="L12" s="57">
        <v>50</v>
      </c>
      <c r="M12" s="30">
        <f>K12*L12</f>
        <v>400</v>
      </c>
      <c r="N12" s="85"/>
      <c r="O12" s="11"/>
    </row>
    <row r="13" spans="1:18" s="10" customFormat="1" ht="23.25" x14ac:dyDescent="0.3">
      <c r="A13" s="26">
        <v>9</v>
      </c>
      <c r="B13" s="65" t="s">
        <v>122</v>
      </c>
      <c r="C13" s="32" t="s">
        <v>119</v>
      </c>
      <c r="D13" s="32">
        <v>0.5</v>
      </c>
      <c r="E13" s="57">
        <v>460</v>
      </c>
      <c r="F13" s="30">
        <f t="shared" ref="F13" si="4">D13*E13</f>
        <v>230</v>
      </c>
      <c r="H13" s="26">
        <v>9</v>
      </c>
      <c r="I13" s="65" t="s">
        <v>122</v>
      </c>
      <c r="J13" s="32" t="s">
        <v>119</v>
      </c>
      <c r="K13" s="32">
        <v>0.5</v>
      </c>
      <c r="L13" s="57">
        <v>460</v>
      </c>
      <c r="M13" s="30">
        <f t="shared" ref="M13" si="5">K13*L13</f>
        <v>230</v>
      </c>
      <c r="N13" s="85"/>
      <c r="O13" s="11"/>
    </row>
    <row r="14" spans="1:18" ht="24" thickBot="1" x14ac:dyDescent="0.3">
      <c r="A14" s="38"/>
      <c r="B14" s="39"/>
      <c r="C14" s="39"/>
      <c r="D14" s="39"/>
      <c r="E14" s="40" t="s">
        <v>16</v>
      </c>
      <c r="F14" s="35">
        <f>SUM(F5:F13)</f>
        <v>12568</v>
      </c>
      <c r="H14" s="38"/>
      <c r="I14" s="39"/>
      <c r="J14" s="39"/>
      <c r="K14" s="39"/>
      <c r="L14" s="40" t="s">
        <v>16</v>
      </c>
      <c r="M14" s="35">
        <f>SUM(M5:M13)</f>
        <v>8669.5</v>
      </c>
    </row>
    <row r="15" spans="1:18" ht="26.25" thickBot="1" x14ac:dyDescent="0.3">
      <c r="A15" s="71"/>
      <c r="B15" s="72"/>
      <c r="C15" s="72"/>
      <c r="D15" s="72"/>
      <c r="E15" s="73" t="s">
        <v>21</v>
      </c>
      <c r="F15" s="12">
        <f>SUMIF(E1:E19981,"CƏMİ",F1:F19981)</f>
        <v>12568</v>
      </c>
      <c r="H15" s="71"/>
      <c r="I15" s="72"/>
      <c r="J15" s="72"/>
      <c r="K15" s="72"/>
      <c r="L15" s="73" t="s">
        <v>21</v>
      </c>
      <c r="M15" s="12">
        <f>SUMIF(L1:L19981,"CƏMİ",M1:M19981)</f>
        <v>8669.5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CA50A-3C40-4714-B692-DB7DAB5C3750}">
  <sheetPr>
    <tabColor rgb="FFFFFF00"/>
    <pageSetUpPr fitToPage="1"/>
  </sheetPr>
  <dimension ref="A1:R8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K6" sqref="K6"/>
    </sheetView>
  </sheetViews>
  <sheetFormatPr defaultColWidth="9.140625" defaultRowHeight="15" x14ac:dyDescent="0.25"/>
  <cols>
    <col min="1" max="1" width="6.42578125" style="5" bestFit="1" customWidth="1"/>
    <col min="2" max="2" width="109.8554687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09.8554687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541</v>
      </c>
      <c r="B1" s="175"/>
      <c r="C1" s="175"/>
      <c r="D1" s="175"/>
      <c r="E1" s="176" t="s">
        <v>0</v>
      </c>
      <c r="F1" s="177"/>
      <c r="H1" s="174" t="s">
        <v>541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F7</f>
        <v>4241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104.7</v>
      </c>
      <c r="E5" s="57">
        <v>30</v>
      </c>
      <c r="F5" s="30">
        <f>D5*E5</f>
        <v>3141</v>
      </c>
      <c r="H5" s="26">
        <v>1</v>
      </c>
      <c r="I5" s="70" t="s">
        <v>559</v>
      </c>
      <c r="J5" s="32" t="s">
        <v>20</v>
      </c>
      <c r="K5" s="115">
        <v>90</v>
      </c>
      <c r="L5" s="57">
        <v>30</v>
      </c>
      <c r="M5" s="30">
        <f>K5*L5</f>
        <v>2700</v>
      </c>
      <c r="N5" s="85"/>
      <c r="O5" s="11"/>
    </row>
    <row r="6" spans="1:18" s="10" customFormat="1" ht="23.25" x14ac:dyDescent="0.3">
      <c r="A6" s="26">
        <v>2</v>
      </c>
      <c r="B6" s="70" t="s">
        <v>555</v>
      </c>
      <c r="C6" s="32" t="s">
        <v>19</v>
      </c>
      <c r="D6" s="32">
        <v>22</v>
      </c>
      <c r="E6" s="57">
        <v>50</v>
      </c>
      <c r="F6" s="30">
        <f t="shared" ref="F6" si="0">D6*E6</f>
        <v>1100</v>
      </c>
      <c r="H6" s="26">
        <v>2</v>
      </c>
      <c r="I6" s="70" t="s">
        <v>555</v>
      </c>
      <c r="J6" s="32" t="s">
        <v>19</v>
      </c>
      <c r="K6" s="32">
        <v>22</v>
      </c>
      <c r="L6" s="57">
        <v>50</v>
      </c>
      <c r="M6" s="30">
        <f t="shared" ref="M6" si="1">K6*L6</f>
        <v>1100</v>
      </c>
      <c r="N6" s="85"/>
      <c r="O6" s="11"/>
    </row>
    <row r="7" spans="1:18" ht="24" thickBot="1" x14ac:dyDescent="0.3">
      <c r="A7" s="38"/>
      <c r="B7" s="39"/>
      <c r="C7" s="39"/>
      <c r="D7" s="39"/>
      <c r="E7" s="40" t="s">
        <v>16</v>
      </c>
      <c r="F7" s="35">
        <f>SUM(F5:F6)</f>
        <v>4241</v>
      </c>
      <c r="H7" s="38"/>
      <c r="I7" s="39"/>
      <c r="J7" s="39"/>
      <c r="K7" s="39"/>
      <c r="L7" s="40" t="s">
        <v>16</v>
      </c>
      <c r="M7" s="35">
        <f>SUM(M5:M6)</f>
        <v>3800</v>
      </c>
    </row>
    <row r="8" spans="1:18" ht="26.25" thickBot="1" x14ac:dyDescent="0.3">
      <c r="A8" s="71"/>
      <c r="B8" s="72"/>
      <c r="C8" s="72"/>
      <c r="D8" s="72"/>
      <c r="E8" s="73" t="s">
        <v>21</v>
      </c>
      <c r="F8" s="12">
        <f>SUMIF(E1:E19974,"CƏMİ",F1:F19974)</f>
        <v>4241</v>
      </c>
      <c r="H8" s="71"/>
      <c r="I8" s="72"/>
      <c r="J8" s="72"/>
      <c r="K8" s="72"/>
      <c r="L8" s="73" t="s">
        <v>21</v>
      </c>
      <c r="M8" s="12">
        <f>SUMIF(L1:L19974,"CƏMİ",M1:M19974)</f>
        <v>3800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4976-AF1E-45E5-9719-71A1C60A0A02}">
  <sheetPr>
    <tabColor rgb="FFFFFF00"/>
    <pageSetUpPr fitToPage="1"/>
  </sheetPr>
  <dimension ref="A1:R12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K8" sqref="K8"/>
    </sheetView>
  </sheetViews>
  <sheetFormatPr defaultColWidth="9.140625" defaultRowHeight="15" x14ac:dyDescent="0.25"/>
  <cols>
    <col min="1" max="1" width="6.42578125" style="5" bestFit="1" customWidth="1"/>
    <col min="2" max="2" width="114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4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436</v>
      </c>
      <c r="B1" s="175"/>
      <c r="C1" s="175"/>
      <c r="D1" s="175"/>
      <c r="E1" s="176" t="s">
        <v>0</v>
      </c>
      <c r="F1" s="177"/>
      <c r="H1" s="174" t="s">
        <v>436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F11</f>
        <v>15768.6</v>
      </c>
      <c r="O4" s="4"/>
    </row>
    <row r="5" spans="1:18" s="10" customFormat="1" ht="23.25" x14ac:dyDescent="0.3">
      <c r="A5" s="26">
        <v>1</v>
      </c>
      <c r="B5" s="65" t="s">
        <v>297</v>
      </c>
      <c r="C5" s="32" t="s">
        <v>20</v>
      </c>
      <c r="D5" s="32">
        <v>46.6</v>
      </c>
      <c r="E5" s="57">
        <v>30</v>
      </c>
      <c r="F5" s="30">
        <f>D5*E5</f>
        <v>1398</v>
      </c>
      <c r="H5" s="26">
        <v>1</v>
      </c>
      <c r="I5" s="65" t="s">
        <v>297</v>
      </c>
      <c r="J5" s="32" t="s">
        <v>20</v>
      </c>
      <c r="K5" s="115">
        <v>23.3</v>
      </c>
      <c r="L5" s="57">
        <v>30</v>
      </c>
      <c r="M5" s="30">
        <f>K5*L5</f>
        <v>699</v>
      </c>
      <c r="N5" s="85"/>
      <c r="O5" s="11"/>
    </row>
    <row r="6" spans="1:18" s="10" customFormat="1" ht="23.25" x14ac:dyDescent="0.3">
      <c r="A6" s="26">
        <v>2</v>
      </c>
      <c r="B6" s="65" t="s">
        <v>439</v>
      </c>
      <c r="C6" s="32" t="s">
        <v>19</v>
      </c>
      <c r="D6" s="32">
        <v>20.399999999999999</v>
      </c>
      <c r="E6" s="57">
        <v>50</v>
      </c>
      <c r="F6" s="30">
        <f t="shared" ref="F6:F10" si="0">D6*E6</f>
        <v>1019.9999999999999</v>
      </c>
      <c r="H6" s="26">
        <v>2</v>
      </c>
      <c r="I6" s="65" t="s">
        <v>439</v>
      </c>
      <c r="J6" s="32" t="s">
        <v>19</v>
      </c>
      <c r="K6" s="115">
        <v>10</v>
      </c>
      <c r="L6" s="57">
        <v>50</v>
      </c>
      <c r="M6" s="30">
        <f t="shared" ref="M6:M10" si="1">K6*L6</f>
        <v>500</v>
      </c>
      <c r="N6" s="85"/>
      <c r="O6" s="11"/>
    </row>
    <row r="7" spans="1:18" s="10" customFormat="1" ht="23.25" x14ac:dyDescent="0.3">
      <c r="A7" s="26">
        <v>3</v>
      </c>
      <c r="B7" s="70" t="s">
        <v>559</v>
      </c>
      <c r="C7" s="32" t="s">
        <v>20</v>
      </c>
      <c r="D7" s="88">
        <v>106.3</v>
      </c>
      <c r="E7" s="57">
        <v>30</v>
      </c>
      <c r="F7" s="30">
        <f t="shared" si="0"/>
        <v>3189</v>
      </c>
      <c r="H7" s="26">
        <v>3</v>
      </c>
      <c r="I7" s="70" t="s">
        <v>559</v>
      </c>
      <c r="J7" s="32" t="s">
        <v>20</v>
      </c>
      <c r="K7" s="88">
        <v>106.3</v>
      </c>
      <c r="L7" s="57">
        <v>30</v>
      </c>
      <c r="M7" s="30">
        <f t="shared" si="1"/>
        <v>3189</v>
      </c>
      <c r="N7" s="85"/>
      <c r="O7" s="11"/>
    </row>
    <row r="8" spans="1:18" s="10" customFormat="1" ht="23.25" x14ac:dyDescent="0.3">
      <c r="A8" s="26">
        <v>4</v>
      </c>
      <c r="B8" s="70" t="s">
        <v>555</v>
      </c>
      <c r="C8" s="32" t="s">
        <v>19</v>
      </c>
      <c r="D8" s="32">
        <v>31.8</v>
      </c>
      <c r="E8" s="57">
        <v>50</v>
      </c>
      <c r="F8" s="30">
        <f t="shared" si="0"/>
        <v>1590</v>
      </c>
      <c r="H8" s="26">
        <v>4</v>
      </c>
      <c r="I8" s="70" t="s">
        <v>555</v>
      </c>
      <c r="J8" s="32" t="s">
        <v>19</v>
      </c>
      <c r="K8" s="32">
        <v>31.8</v>
      </c>
      <c r="L8" s="57">
        <v>50</v>
      </c>
      <c r="M8" s="30">
        <f t="shared" si="1"/>
        <v>1590</v>
      </c>
      <c r="N8" s="85"/>
      <c r="O8" s="11"/>
    </row>
    <row r="9" spans="1:18" s="10" customFormat="1" ht="23.25" x14ac:dyDescent="0.3">
      <c r="A9" s="26">
        <v>5</v>
      </c>
      <c r="B9" s="70" t="s">
        <v>572</v>
      </c>
      <c r="C9" s="32" t="s">
        <v>19</v>
      </c>
      <c r="D9" s="32">
        <v>93</v>
      </c>
      <c r="E9" s="57">
        <v>80</v>
      </c>
      <c r="F9" s="30">
        <f t="shared" si="0"/>
        <v>7440</v>
      </c>
      <c r="H9" s="26">
        <v>5</v>
      </c>
      <c r="I9" s="70" t="s">
        <v>572</v>
      </c>
      <c r="J9" s="32" t="s">
        <v>19</v>
      </c>
      <c r="K9" s="32">
        <v>93</v>
      </c>
      <c r="L9" s="57">
        <v>80</v>
      </c>
      <c r="M9" s="30">
        <f t="shared" si="1"/>
        <v>7440</v>
      </c>
      <c r="N9" s="85"/>
      <c r="O9" s="11"/>
    </row>
    <row r="10" spans="1:18" s="10" customFormat="1" ht="23.25" x14ac:dyDescent="0.3">
      <c r="A10" s="26">
        <v>6</v>
      </c>
      <c r="B10" s="65" t="s">
        <v>122</v>
      </c>
      <c r="C10" s="32" t="s">
        <v>119</v>
      </c>
      <c r="D10" s="32">
        <v>2.46</v>
      </c>
      <c r="E10" s="57">
        <v>460</v>
      </c>
      <c r="F10" s="30">
        <f t="shared" si="0"/>
        <v>1131.5999999999999</v>
      </c>
      <c r="H10" s="26">
        <v>6</v>
      </c>
      <c r="I10" s="65" t="s">
        <v>122</v>
      </c>
      <c r="J10" s="32" t="s">
        <v>119</v>
      </c>
      <c r="K10" s="32">
        <v>2.46</v>
      </c>
      <c r="L10" s="57">
        <v>460</v>
      </c>
      <c r="M10" s="30">
        <f t="shared" si="1"/>
        <v>1131.5999999999999</v>
      </c>
      <c r="N10" s="85"/>
      <c r="O10" s="11"/>
    </row>
    <row r="11" spans="1:18" ht="24" thickBot="1" x14ac:dyDescent="0.3">
      <c r="A11" s="38"/>
      <c r="B11" s="39"/>
      <c r="C11" s="39"/>
      <c r="D11" s="39"/>
      <c r="E11" s="40" t="s">
        <v>16</v>
      </c>
      <c r="F11" s="35">
        <f>SUM(F5:F10)</f>
        <v>15768.6</v>
      </c>
      <c r="H11" s="38"/>
      <c r="I11" s="39"/>
      <c r="J11" s="39"/>
      <c r="K11" s="39"/>
      <c r="L11" s="40" t="s">
        <v>16</v>
      </c>
      <c r="M11" s="35">
        <f>SUM(M5:M10)</f>
        <v>14549.6</v>
      </c>
    </row>
    <row r="12" spans="1:18" ht="26.25" thickBot="1" x14ac:dyDescent="0.3">
      <c r="A12" s="71"/>
      <c r="B12" s="72"/>
      <c r="C12" s="72"/>
      <c r="D12" s="72"/>
      <c r="E12" s="73" t="s">
        <v>21</v>
      </c>
      <c r="F12" s="12">
        <f>SUMIF(E1:E19978,"CƏMİ",F1:F19978)</f>
        <v>15768.6</v>
      </c>
      <c r="H12" s="71"/>
      <c r="I12" s="72"/>
      <c r="J12" s="72"/>
      <c r="K12" s="72"/>
      <c r="L12" s="73" t="s">
        <v>21</v>
      </c>
      <c r="M12" s="12">
        <f>SUMIF(L1:L19978,"CƏMİ",M1:M19978)</f>
        <v>14549.6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4" fitToHeight="0" orientation="portrait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69AD-59CC-4167-9872-A128940E4B5C}">
  <sheetPr>
    <tabColor rgb="FFFFFF00"/>
    <pageSetUpPr fitToPage="1"/>
  </sheetPr>
  <dimension ref="A1:R8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L6" sqref="L6"/>
    </sheetView>
  </sheetViews>
  <sheetFormatPr defaultColWidth="9.140625" defaultRowHeight="15" x14ac:dyDescent="0.25"/>
  <cols>
    <col min="1" max="1" width="6.42578125" style="5" bestFit="1" customWidth="1"/>
    <col min="2" max="2" width="98.2851562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98.2851562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15.8554687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82</v>
      </c>
      <c r="B1" s="175"/>
      <c r="C1" s="175"/>
      <c r="D1" s="175"/>
      <c r="E1" s="176" t="s">
        <v>0</v>
      </c>
      <c r="F1" s="177"/>
      <c r="H1" s="174" t="s">
        <v>82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45100</v>
      </c>
      <c r="H2" s="17"/>
      <c r="I2" s="18"/>
      <c r="J2" s="18"/>
      <c r="K2" s="19"/>
      <c r="L2" s="18"/>
      <c r="M2" s="46">
        <v>45100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F7</f>
        <v>220</v>
      </c>
      <c r="O4" s="4"/>
    </row>
    <row r="5" spans="1:18" s="10" customFormat="1" ht="23.25" x14ac:dyDescent="0.3">
      <c r="A5" s="26">
        <v>1</v>
      </c>
      <c r="B5" s="70" t="s">
        <v>560</v>
      </c>
      <c r="C5" s="32" t="s">
        <v>19</v>
      </c>
      <c r="D5" s="88">
        <f>3-1</f>
        <v>2</v>
      </c>
      <c r="E5" s="57">
        <v>50</v>
      </c>
      <c r="F5" s="30">
        <f t="shared" ref="F5:F6" si="0">D5*E5</f>
        <v>100</v>
      </c>
      <c r="H5" s="26">
        <v>1</v>
      </c>
      <c r="I5" s="70" t="s">
        <v>560</v>
      </c>
      <c r="J5" s="32" t="s">
        <v>19</v>
      </c>
      <c r="K5" s="88">
        <f>3-1</f>
        <v>2</v>
      </c>
      <c r="L5" s="57">
        <v>50</v>
      </c>
      <c r="M5" s="30">
        <f t="shared" ref="M5:M6" si="1">K5*L5</f>
        <v>100</v>
      </c>
      <c r="N5" s="85"/>
      <c r="O5" s="11"/>
    </row>
    <row r="6" spans="1:18" s="10" customFormat="1" ht="23.25" x14ac:dyDescent="0.3">
      <c r="A6" s="26">
        <v>2</v>
      </c>
      <c r="B6" s="70" t="s">
        <v>561</v>
      </c>
      <c r="C6" s="32" t="s">
        <v>20</v>
      </c>
      <c r="D6" s="32">
        <v>4</v>
      </c>
      <c r="E6" s="57">
        <v>30</v>
      </c>
      <c r="F6" s="30">
        <f t="shared" si="0"/>
        <v>120</v>
      </c>
      <c r="H6" s="26">
        <v>2</v>
      </c>
      <c r="I6" s="70" t="s">
        <v>561</v>
      </c>
      <c r="J6" s="32" t="s">
        <v>20</v>
      </c>
      <c r="K6" s="32">
        <v>4</v>
      </c>
      <c r="L6" s="57">
        <v>30</v>
      </c>
      <c r="M6" s="30">
        <f t="shared" si="1"/>
        <v>120</v>
      </c>
      <c r="N6" s="85"/>
      <c r="O6" s="11"/>
    </row>
    <row r="7" spans="1:18" ht="24" thickBot="1" x14ac:dyDescent="0.3">
      <c r="A7" s="38"/>
      <c r="B7" s="39"/>
      <c r="C7" s="39"/>
      <c r="D7" s="39"/>
      <c r="E7" s="40" t="s">
        <v>16</v>
      </c>
      <c r="F7" s="35">
        <f>SUM(F5:F6)</f>
        <v>220</v>
      </c>
      <c r="H7" s="38"/>
      <c r="I7" s="39"/>
      <c r="J7" s="39"/>
      <c r="K7" s="39"/>
      <c r="L7" s="40" t="s">
        <v>16</v>
      </c>
      <c r="M7" s="35">
        <f>SUM(M5:M6)</f>
        <v>220</v>
      </c>
    </row>
    <row r="8" spans="1:18" ht="26.25" thickBot="1" x14ac:dyDescent="0.3">
      <c r="A8" s="76"/>
      <c r="B8" s="77"/>
      <c r="C8" s="77"/>
      <c r="D8" s="77"/>
      <c r="E8" s="78" t="s">
        <v>21</v>
      </c>
      <c r="F8" s="12">
        <f>SUMIF(E1:E19974,"CƏMİ",F1:F19974)</f>
        <v>220</v>
      </c>
      <c r="H8" s="76"/>
      <c r="I8" s="77"/>
      <c r="J8" s="77"/>
      <c r="K8" s="77"/>
      <c r="L8" s="78" t="s">
        <v>21</v>
      </c>
      <c r="M8" s="12">
        <f>SUMIF(L1:L19974,"CƏMİ",M1:M19974)</f>
        <v>220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6" fitToHeight="0" orientation="portrait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EF7E-030E-4CD5-9FB5-D0B3408E409B}">
  <sheetPr>
    <tabColor rgb="FFFFFF00"/>
    <pageSetUpPr fitToPage="1"/>
  </sheetPr>
  <dimension ref="A1:R10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K8" sqref="K8"/>
    </sheetView>
  </sheetViews>
  <sheetFormatPr defaultColWidth="9.140625" defaultRowHeight="15" x14ac:dyDescent="0.25"/>
  <cols>
    <col min="1" max="1" width="6.42578125" style="5" bestFit="1" customWidth="1"/>
    <col min="2" max="2" width="96.4257812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96.4257812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18.57031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80</v>
      </c>
      <c r="B1" s="175"/>
      <c r="C1" s="175"/>
      <c r="D1" s="175"/>
      <c r="E1" s="176" t="s">
        <v>0</v>
      </c>
      <c r="F1" s="177"/>
      <c r="H1" s="174" t="s">
        <v>80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45100</v>
      </c>
      <c r="H2" s="17"/>
      <c r="I2" s="18"/>
      <c r="J2" s="18"/>
      <c r="K2" s="19"/>
      <c r="L2" s="18"/>
      <c r="M2" s="46">
        <v>45100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F9</f>
        <v>1840</v>
      </c>
      <c r="O4" s="4"/>
    </row>
    <row r="5" spans="1:18" s="10" customFormat="1" ht="23.25" x14ac:dyDescent="0.3">
      <c r="A5" s="26">
        <v>1</v>
      </c>
      <c r="B5" s="70" t="s">
        <v>560</v>
      </c>
      <c r="C5" s="32" t="s">
        <v>19</v>
      </c>
      <c r="D5" s="88">
        <f>3-1</f>
        <v>2</v>
      </c>
      <c r="E5" s="57">
        <v>50</v>
      </c>
      <c r="F5" s="30">
        <f t="shared" ref="F5:F8" si="0">D5*E5</f>
        <v>100</v>
      </c>
      <c r="H5" s="26">
        <v>1</v>
      </c>
      <c r="I5" s="70" t="s">
        <v>560</v>
      </c>
      <c r="J5" s="32" t="s">
        <v>19</v>
      </c>
      <c r="K5" s="88">
        <f>3-1</f>
        <v>2</v>
      </c>
      <c r="L5" s="57">
        <v>50</v>
      </c>
      <c r="M5" s="30">
        <f t="shared" ref="M5:M8" si="1">K5*L5</f>
        <v>100</v>
      </c>
      <c r="N5" s="85"/>
      <c r="O5" s="11"/>
    </row>
    <row r="6" spans="1:18" s="10" customFormat="1" ht="23.25" x14ac:dyDescent="0.3">
      <c r="A6" s="26">
        <v>2</v>
      </c>
      <c r="B6" s="70" t="s">
        <v>561</v>
      </c>
      <c r="C6" s="32" t="s">
        <v>20</v>
      </c>
      <c r="D6" s="32">
        <v>4</v>
      </c>
      <c r="E6" s="57">
        <v>30</v>
      </c>
      <c r="F6" s="30">
        <f t="shared" si="0"/>
        <v>120</v>
      </c>
      <c r="H6" s="26">
        <v>2</v>
      </c>
      <c r="I6" s="70" t="s">
        <v>561</v>
      </c>
      <c r="J6" s="32" t="s">
        <v>20</v>
      </c>
      <c r="K6" s="32">
        <v>4</v>
      </c>
      <c r="L6" s="57">
        <v>30</v>
      </c>
      <c r="M6" s="30">
        <f t="shared" si="1"/>
        <v>120</v>
      </c>
      <c r="N6" s="85"/>
      <c r="O6" s="11"/>
    </row>
    <row r="7" spans="1:18" s="10" customFormat="1" ht="23.25" x14ac:dyDescent="0.3">
      <c r="A7" s="26">
        <v>3</v>
      </c>
      <c r="B7" s="70" t="s">
        <v>562</v>
      </c>
      <c r="C7" s="32" t="s">
        <v>19</v>
      </c>
      <c r="D7" s="32">
        <v>18</v>
      </c>
      <c r="E7" s="57">
        <v>50</v>
      </c>
      <c r="F7" s="30">
        <f t="shared" si="0"/>
        <v>900</v>
      </c>
      <c r="H7" s="26">
        <v>3</v>
      </c>
      <c r="I7" s="70" t="s">
        <v>562</v>
      </c>
      <c r="J7" s="32" t="s">
        <v>19</v>
      </c>
      <c r="K7" s="115">
        <v>14</v>
      </c>
      <c r="L7" s="57">
        <v>50</v>
      </c>
      <c r="M7" s="30">
        <f t="shared" si="1"/>
        <v>700</v>
      </c>
      <c r="N7" s="85"/>
      <c r="O7" s="11"/>
    </row>
    <row r="8" spans="1:18" s="10" customFormat="1" ht="23.25" x14ac:dyDescent="0.3">
      <c r="A8" s="26">
        <v>4</v>
      </c>
      <c r="B8" s="70" t="s">
        <v>563</v>
      </c>
      <c r="C8" s="32" t="s">
        <v>20</v>
      </c>
      <c r="D8" s="32">
        <v>24</v>
      </c>
      <c r="E8" s="57">
        <v>30</v>
      </c>
      <c r="F8" s="30">
        <f t="shared" si="0"/>
        <v>720</v>
      </c>
      <c r="H8" s="26">
        <v>4</v>
      </c>
      <c r="I8" s="70" t="s">
        <v>563</v>
      </c>
      <c r="J8" s="32" t="s">
        <v>20</v>
      </c>
      <c r="K8" s="32">
        <v>24</v>
      </c>
      <c r="L8" s="57">
        <v>30</v>
      </c>
      <c r="M8" s="30">
        <f t="shared" si="1"/>
        <v>720</v>
      </c>
      <c r="N8" s="85"/>
      <c r="O8" s="11"/>
    </row>
    <row r="9" spans="1:18" ht="24" thickBot="1" x14ac:dyDescent="0.3">
      <c r="A9" s="38"/>
      <c r="B9" s="39"/>
      <c r="C9" s="39"/>
      <c r="D9" s="39"/>
      <c r="E9" s="40" t="s">
        <v>16</v>
      </c>
      <c r="F9" s="35">
        <f>SUM(F5:F8)</f>
        <v>1840</v>
      </c>
      <c r="H9" s="38"/>
      <c r="I9" s="39"/>
      <c r="J9" s="39"/>
      <c r="K9" s="39"/>
      <c r="L9" s="40" t="s">
        <v>16</v>
      </c>
      <c r="M9" s="35">
        <f>SUM(M5:M8)</f>
        <v>1640</v>
      </c>
    </row>
    <row r="10" spans="1:18" ht="26.25" thickBot="1" x14ac:dyDescent="0.3">
      <c r="A10" s="76"/>
      <c r="B10" s="77"/>
      <c r="C10" s="77"/>
      <c r="D10" s="77"/>
      <c r="E10" s="78" t="s">
        <v>21</v>
      </c>
      <c r="F10" s="12">
        <f>SUMIF(E1:E19976,"CƏMİ",F1:F19976)</f>
        <v>1840</v>
      </c>
      <c r="H10" s="76"/>
      <c r="I10" s="77"/>
      <c r="J10" s="77"/>
      <c r="K10" s="77"/>
      <c r="L10" s="78" t="s">
        <v>21</v>
      </c>
      <c r="M10" s="12">
        <f>SUMIF(L1:L19976,"CƏMİ",M1:M19976)</f>
        <v>1640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7" fitToHeight="0" orientation="portrait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3014-1895-42ED-A1F7-EFE6821BE6D7}">
  <sheetPr>
    <tabColor rgb="FFFFFF00"/>
    <pageSetUpPr fitToPage="1"/>
  </sheetPr>
  <dimension ref="A1:R7"/>
  <sheetViews>
    <sheetView view="pageBreakPreview" zoomScale="55" zoomScaleNormal="55" zoomScaleSheetLayoutView="55" workbookViewId="0">
      <pane ySplit="3" topLeftCell="A4" activePane="bottomLeft" state="frozen"/>
      <selection activeCell="G5" sqref="G5"/>
      <selection pane="bottomLeft" activeCell="K6" sqref="K6"/>
    </sheetView>
  </sheetViews>
  <sheetFormatPr defaultColWidth="9.140625" defaultRowHeight="15" x14ac:dyDescent="0.25"/>
  <cols>
    <col min="1" max="1" width="6.42578125" style="5" bestFit="1" customWidth="1"/>
    <col min="2" max="2" width="96.14062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96.14062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18.57031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85</v>
      </c>
      <c r="B1" s="175"/>
      <c r="C1" s="175"/>
      <c r="D1" s="175"/>
      <c r="E1" s="176" t="s">
        <v>0</v>
      </c>
      <c r="F1" s="177"/>
      <c r="H1" s="174" t="s">
        <v>85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45093</v>
      </c>
      <c r="H2" s="17"/>
      <c r="I2" s="18"/>
      <c r="J2" s="18"/>
      <c r="K2" s="19"/>
      <c r="L2" s="18"/>
      <c r="M2" s="46">
        <v>45093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F6</f>
        <v>6000</v>
      </c>
      <c r="O4" s="4"/>
    </row>
    <row r="5" spans="1:18" s="10" customFormat="1" ht="23.25" x14ac:dyDescent="0.3">
      <c r="A5" s="26">
        <v>1</v>
      </c>
      <c r="B5" s="70" t="s">
        <v>118</v>
      </c>
      <c r="C5" s="32" t="s">
        <v>20</v>
      </c>
      <c r="D5" s="32">
        <v>40</v>
      </c>
      <c r="E5" s="57">
        <v>150</v>
      </c>
      <c r="F5" s="30">
        <f t="shared" ref="F5" si="0">D5*E5</f>
        <v>6000</v>
      </c>
      <c r="H5" s="26">
        <v>1</v>
      </c>
      <c r="I5" s="70" t="s">
        <v>118</v>
      </c>
      <c r="J5" s="32" t="s">
        <v>20</v>
      </c>
      <c r="K5" s="115">
        <v>25</v>
      </c>
      <c r="L5" s="57">
        <v>150</v>
      </c>
      <c r="M5" s="30">
        <f t="shared" ref="M5" si="1">K5*L5</f>
        <v>3750</v>
      </c>
      <c r="N5" s="85"/>
      <c r="O5" s="11"/>
    </row>
    <row r="6" spans="1:18" ht="24" thickBot="1" x14ac:dyDescent="0.3">
      <c r="A6" s="38"/>
      <c r="B6" s="39"/>
      <c r="C6" s="39"/>
      <c r="D6" s="39"/>
      <c r="E6" s="40" t="s">
        <v>16</v>
      </c>
      <c r="F6" s="35">
        <f>SUM(F5:F5)</f>
        <v>6000</v>
      </c>
      <c r="H6" s="38"/>
      <c r="I6" s="39"/>
      <c r="J6" s="39"/>
      <c r="K6" s="39"/>
      <c r="L6" s="40" t="s">
        <v>16</v>
      </c>
      <c r="M6" s="35">
        <f>SUM(M5:M5)</f>
        <v>3750</v>
      </c>
    </row>
    <row r="7" spans="1:18" ht="26.25" thickBot="1" x14ac:dyDescent="0.3">
      <c r="A7" s="76"/>
      <c r="B7" s="77"/>
      <c r="C7" s="77"/>
      <c r="D7" s="77"/>
      <c r="E7" s="78" t="s">
        <v>21</v>
      </c>
      <c r="F7" s="12">
        <f>SUMIF(E1:E19973,"CƏMİ",F1:F19973)</f>
        <v>6000</v>
      </c>
      <c r="H7" s="76"/>
      <c r="I7" s="77"/>
      <c r="J7" s="77"/>
      <c r="K7" s="77"/>
      <c r="L7" s="78" t="s">
        <v>21</v>
      </c>
      <c r="M7" s="12">
        <f>SUMIF(L1:L19973,"CƏMİ",M1:M19973)</f>
        <v>3750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7" fitToHeight="0" orientation="portrait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3CD3-A729-49F5-996F-86EDEFDFF46B}">
  <sheetPr>
    <tabColor rgb="FFFFFF00"/>
    <pageSetUpPr fitToPage="1"/>
  </sheetPr>
  <dimension ref="A1:R7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E22" sqref="E21:E22"/>
    </sheetView>
  </sheetViews>
  <sheetFormatPr defaultColWidth="9.140625" defaultRowHeight="15" x14ac:dyDescent="0.25"/>
  <cols>
    <col min="1" max="1" width="6.42578125" style="5" bestFit="1" customWidth="1"/>
    <col min="2" max="2" width="92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92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17.57031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83</v>
      </c>
      <c r="B1" s="175"/>
      <c r="C1" s="175"/>
      <c r="D1" s="175"/>
      <c r="E1" s="176" t="s">
        <v>0</v>
      </c>
      <c r="F1" s="177"/>
      <c r="H1" s="174" t="s">
        <v>83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45100</v>
      </c>
      <c r="H2" s="17"/>
      <c r="I2" s="18"/>
      <c r="J2" s="18"/>
      <c r="K2" s="19"/>
      <c r="L2" s="18"/>
      <c r="M2" s="46">
        <v>45100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3"/>
      <c r="O4" s="4"/>
    </row>
    <row r="5" spans="1:18" s="10" customFormat="1" ht="23.25" x14ac:dyDescent="0.3">
      <c r="A5" s="26">
        <v>1</v>
      </c>
      <c r="B5" s="70" t="s">
        <v>118</v>
      </c>
      <c r="C5" s="32" t="s">
        <v>20</v>
      </c>
      <c r="D5" s="88">
        <f>34-1</f>
        <v>33</v>
      </c>
      <c r="E5" s="57">
        <v>150</v>
      </c>
      <c r="F5" s="30">
        <f t="shared" ref="F5" si="0">D5*E5</f>
        <v>4950</v>
      </c>
      <c r="H5" s="26">
        <v>1</v>
      </c>
      <c r="I5" s="70" t="s">
        <v>118</v>
      </c>
      <c r="J5" s="32" t="s">
        <v>20</v>
      </c>
      <c r="K5" s="88">
        <f>34-1</f>
        <v>33</v>
      </c>
      <c r="L5" s="57">
        <v>150</v>
      </c>
      <c r="M5" s="30">
        <f t="shared" ref="M5" si="1">K5*L5</f>
        <v>4950</v>
      </c>
      <c r="N5" s="87">
        <f>F6</f>
        <v>4950</v>
      </c>
      <c r="O5" s="11"/>
    </row>
    <row r="6" spans="1:18" ht="24" thickBot="1" x14ac:dyDescent="0.3">
      <c r="A6" s="38"/>
      <c r="B6" s="39"/>
      <c r="C6" s="39"/>
      <c r="D6" s="39"/>
      <c r="E6" s="40" t="s">
        <v>16</v>
      </c>
      <c r="F6" s="35">
        <f>SUM(F5:F5)</f>
        <v>4950</v>
      </c>
      <c r="H6" s="38"/>
      <c r="I6" s="39"/>
      <c r="J6" s="39"/>
      <c r="K6" s="39"/>
      <c r="L6" s="40" t="s">
        <v>16</v>
      </c>
      <c r="M6" s="35">
        <f>SUM(M5:M5)</f>
        <v>4950</v>
      </c>
    </row>
    <row r="7" spans="1:18" ht="26.25" thickBot="1" x14ac:dyDescent="0.3">
      <c r="A7" s="76"/>
      <c r="B7" s="77"/>
      <c r="C7" s="77"/>
      <c r="D7" s="77"/>
      <c r="E7" s="78" t="s">
        <v>21</v>
      </c>
      <c r="F7" s="12">
        <f>SUMIF(E1:E19973,"CƏMİ",F1:F19973)</f>
        <v>4950</v>
      </c>
      <c r="H7" s="76"/>
      <c r="I7" s="77"/>
      <c r="J7" s="77"/>
      <c r="K7" s="77"/>
      <c r="L7" s="78" t="s">
        <v>21</v>
      </c>
      <c r="M7" s="12">
        <f>SUMIF(L1:L19973,"CƏMİ",M1:M19973)</f>
        <v>4950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7" fitToHeight="0" orientation="portrait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9057B-94E8-4298-BC65-FAB245C167E0}">
  <sheetPr>
    <tabColor rgb="FFFFFF00"/>
    <pageSetUpPr fitToPage="1"/>
  </sheetPr>
  <dimension ref="A1:R11"/>
  <sheetViews>
    <sheetView view="pageBreakPreview" zoomScale="55" zoomScaleNormal="55" zoomScaleSheetLayoutView="55" workbookViewId="0">
      <pane ySplit="3" topLeftCell="A4" activePane="bottomLeft" state="frozen"/>
      <selection activeCell="D9" sqref="D9"/>
      <selection pane="bottomLeft" activeCell="K9" sqref="K9"/>
    </sheetView>
  </sheetViews>
  <sheetFormatPr defaultColWidth="9.140625" defaultRowHeight="15" x14ac:dyDescent="0.25"/>
  <cols>
    <col min="1" max="1" width="6.42578125" style="5" bestFit="1" customWidth="1"/>
    <col min="2" max="2" width="109.8554687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09.8554687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362</v>
      </c>
      <c r="B1" s="175"/>
      <c r="C1" s="175"/>
      <c r="D1" s="175"/>
      <c r="E1" s="176" t="s">
        <v>0</v>
      </c>
      <c r="F1" s="177"/>
      <c r="H1" s="174" t="s">
        <v>362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F10</f>
        <v>4961.3999999999996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48</v>
      </c>
      <c r="E5" s="57">
        <v>30</v>
      </c>
      <c r="F5" s="30">
        <f>D5*E5</f>
        <v>1440</v>
      </c>
      <c r="H5" s="26">
        <v>1</v>
      </c>
      <c r="I5" s="70" t="s">
        <v>559</v>
      </c>
      <c r="J5" s="32" t="s">
        <v>20</v>
      </c>
      <c r="K5" s="88">
        <v>48</v>
      </c>
      <c r="L5" s="57">
        <v>30</v>
      </c>
      <c r="M5" s="30">
        <f>K5*L5</f>
        <v>1440</v>
      </c>
      <c r="N5" s="85"/>
      <c r="O5" s="11"/>
    </row>
    <row r="6" spans="1:18" s="10" customFormat="1" ht="23.25" x14ac:dyDescent="0.3">
      <c r="A6" s="26">
        <v>2</v>
      </c>
      <c r="B6" s="70" t="s">
        <v>555</v>
      </c>
      <c r="C6" s="32" t="s">
        <v>19</v>
      </c>
      <c r="D6" s="32">
        <v>15.2</v>
      </c>
      <c r="E6" s="57">
        <v>50</v>
      </c>
      <c r="F6" s="30">
        <f t="shared" ref="F6:F9" si="0">D6*E6</f>
        <v>760</v>
      </c>
      <c r="H6" s="26">
        <v>2</v>
      </c>
      <c r="I6" s="70" t="s">
        <v>555</v>
      </c>
      <c r="J6" s="32" t="s">
        <v>19</v>
      </c>
      <c r="K6" s="32">
        <v>15.2</v>
      </c>
      <c r="L6" s="57">
        <v>50</v>
      </c>
      <c r="M6" s="30">
        <f t="shared" ref="M6:M9" si="1">K6*L6</f>
        <v>760</v>
      </c>
      <c r="N6" s="85"/>
      <c r="O6" s="11"/>
    </row>
    <row r="7" spans="1:18" s="10" customFormat="1" ht="23.25" x14ac:dyDescent="0.3">
      <c r="A7" s="26">
        <v>3</v>
      </c>
      <c r="B7" s="65" t="s">
        <v>346</v>
      </c>
      <c r="C7" s="32" t="s">
        <v>20</v>
      </c>
      <c r="D7" s="32">
        <v>46</v>
      </c>
      <c r="E7" s="57">
        <v>30</v>
      </c>
      <c r="F7" s="30">
        <f t="shared" si="0"/>
        <v>1380</v>
      </c>
      <c r="H7" s="26">
        <v>3</v>
      </c>
      <c r="I7" s="65" t="s">
        <v>346</v>
      </c>
      <c r="J7" s="32" t="s">
        <v>20</v>
      </c>
      <c r="K7" s="32">
        <v>46</v>
      </c>
      <c r="L7" s="118">
        <v>25</v>
      </c>
      <c r="M7" s="30">
        <f t="shared" si="1"/>
        <v>1150</v>
      </c>
      <c r="N7" s="85"/>
      <c r="O7" s="11"/>
    </row>
    <row r="8" spans="1:18" s="10" customFormat="1" ht="23.25" x14ac:dyDescent="0.3">
      <c r="A8" s="26">
        <v>4</v>
      </c>
      <c r="B8" s="65" t="s">
        <v>347</v>
      </c>
      <c r="C8" s="32" t="s">
        <v>19</v>
      </c>
      <c r="D8" s="32">
        <v>24.5</v>
      </c>
      <c r="E8" s="57">
        <v>50</v>
      </c>
      <c r="F8" s="30">
        <f t="shared" si="0"/>
        <v>1225</v>
      </c>
      <c r="H8" s="26">
        <v>4</v>
      </c>
      <c r="I8" s="65" t="s">
        <v>347</v>
      </c>
      <c r="J8" s="32" t="s">
        <v>19</v>
      </c>
      <c r="K8" s="115">
        <v>0</v>
      </c>
      <c r="L8" s="57">
        <v>50</v>
      </c>
      <c r="M8" s="30">
        <f t="shared" si="1"/>
        <v>0</v>
      </c>
      <c r="N8" s="85"/>
      <c r="O8" s="11"/>
    </row>
    <row r="9" spans="1:18" s="10" customFormat="1" ht="23.25" x14ac:dyDescent="0.3">
      <c r="A9" s="26">
        <v>5</v>
      </c>
      <c r="B9" s="65" t="s">
        <v>122</v>
      </c>
      <c r="C9" s="32" t="s">
        <v>119</v>
      </c>
      <c r="D9" s="32">
        <v>0.34</v>
      </c>
      <c r="E9" s="57">
        <v>460</v>
      </c>
      <c r="F9" s="30">
        <f t="shared" si="0"/>
        <v>156.4</v>
      </c>
      <c r="H9" s="26">
        <v>5</v>
      </c>
      <c r="I9" s="65" t="s">
        <v>122</v>
      </c>
      <c r="J9" s="32" t="s">
        <v>119</v>
      </c>
      <c r="K9" s="32">
        <v>0.34</v>
      </c>
      <c r="L9" s="57">
        <v>460</v>
      </c>
      <c r="M9" s="30">
        <f t="shared" si="1"/>
        <v>156.4</v>
      </c>
      <c r="N9" s="85"/>
      <c r="O9" s="11"/>
    </row>
    <row r="10" spans="1:18" ht="24" thickBot="1" x14ac:dyDescent="0.3">
      <c r="A10" s="38"/>
      <c r="B10" s="39"/>
      <c r="C10" s="39"/>
      <c r="D10" s="39"/>
      <c r="E10" s="40" t="s">
        <v>16</v>
      </c>
      <c r="F10" s="35">
        <f>SUM(F5:F9)</f>
        <v>4961.3999999999996</v>
      </c>
      <c r="H10" s="38"/>
      <c r="I10" s="39"/>
      <c r="J10" s="39"/>
      <c r="K10" s="39"/>
      <c r="L10" s="40" t="s">
        <v>16</v>
      </c>
      <c r="M10" s="35">
        <f>SUM(M5:M9)</f>
        <v>3506.4</v>
      </c>
    </row>
    <row r="11" spans="1:18" ht="26.25" thickBot="1" x14ac:dyDescent="0.3">
      <c r="A11" s="71"/>
      <c r="B11" s="72"/>
      <c r="C11" s="72"/>
      <c r="D11" s="72"/>
      <c r="E11" s="73" t="s">
        <v>21</v>
      </c>
      <c r="F11" s="12">
        <f>SUMIF(E1:E19977,"CƏMİ",F1:F19977)</f>
        <v>4961.3999999999996</v>
      </c>
      <c r="H11" s="71"/>
      <c r="I11" s="72"/>
      <c r="J11" s="72"/>
      <c r="K11" s="72"/>
      <c r="L11" s="73" t="s">
        <v>21</v>
      </c>
      <c r="M11" s="12">
        <f>SUMIF(L1:L19977,"CƏMİ",M1:M19977)</f>
        <v>3506.4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02FA-0DBD-4C5E-BCAA-660C28465E9F}">
  <sheetPr>
    <tabColor rgb="FFFFFF00"/>
    <pageSetUpPr fitToPage="1"/>
  </sheetPr>
  <dimension ref="A1:R20"/>
  <sheetViews>
    <sheetView view="pageBreakPreview" zoomScale="55" zoomScaleNormal="55" zoomScaleSheetLayoutView="55" workbookViewId="0">
      <pane ySplit="3" topLeftCell="A4" activePane="bottomLeft" state="frozen"/>
      <selection activeCell="D9" sqref="D9"/>
      <selection pane="bottomLeft" activeCell="K11" sqref="K11"/>
    </sheetView>
  </sheetViews>
  <sheetFormatPr defaultColWidth="9.140625" defaultRowHeight="15" x14ac:dyDescent="0.25"/>
  <cols>
    <col min="1" max="1" width="6.42578125" style="5" bestFit="1" customWidth="1"/>
    <col min="2" max="2" width="109.8554687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09.8554687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326</v>
      </c>
      <c r="B1" s="175"/>
      <c r="C1" s="175"/>
      <c r="D1" s="175"/>
      <c r="E1" s="176" t="s">
        <v>0</v>
      </c>
      <c r="F1" s="177"/>
      <c r="H1" s="174" t="s">
        <v>326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F19</f>
        <v>12816.2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73</v>
      </c>
      <c r="E5" s="57">
        <v>30</v>
      </c>
      <c r="F5" s="30">
        <f>D5*E5</f>
        <v>2190</v>
      </c>
      <c r="H5" s="26">
        <v>1</v>
      </c>
      <c r="I5" s="70" t="s">
        <v>559</v>
      </c>
      <c r="J5" s="32" t="s">
        <v>20</v>
      </c>
      <c r="K5" s="88">
        <v>73</v>
      </c>
      <c r="L5" s="57">
        <v>30</v>
      </c>
      <c r="M5" s="30">
        <f>K5*L5</f>
        <v>2190</v>
      </c>
      <c r="N5" s="85"/>
      <c r="O5" s="11"/>
    </row>
    <row r="6" spans="1:18" s="10" customFormat="1" ht="23.25" x14ac:dyDescent="0.3">
      <c r="A6" s="26">
        <v>2</v>
      </c>
      <c r="B6" s="70" t="s">
        <v>555</v>
      </c>
      <c r="C6" s="32" t="s">
        <v>19</v>
      </c>
      <c r="D6" s="32">
        <v>23.9</v>
      </c>
      <c r="E6" s="57">
        <v>50</v>
      </c>
      <c r="F6" s="30">
        <f t="shared" ref="F6" si="0">D6*E6</f>
        <v>1195</v>
      </c>
      <c r="H6" s="26">
        <v>2</v>
      </c>
      <c r="I6" s="70" t="s">
        <v>555</v>
      </c>
      <c r="J6" s="32" t="s">
        <v>19</v>
      </c>
      <c r="K6" s="32">
        <v>23.9</v>
      </c>
      <c r="L6" s="57">
        <v>50</v>
      </c>
      <c r="M6" s="30">
        <f t="shared" ref="M6" si="1">K6*L6</f>
        <v>1195</v>
      </c>
      <c r="N6" s="85"/>
      <c r="O6" s="11"/>
    </row>
    <row r="7" spans="1:18" s="10" customFormat="1" ht="23.25" x14ac:dyDescent="0.3">
      <c r="A7" s="26">
        <v>3</v>
      </c>
      <c r="B7" s="65" t="s">
        <v>327</v>
      </c>
      <c r="C7" s="32" t="s">
        <v>20</v>
      </c>
      <c r="D7" s="32">
        <v>7.5</v>
      </c>
      <c r="E7" s="57">
        <v>30</v>
      </c>
      <c r="F7" s="30">
        <f>D7*E7</f>
        <v>225</v>
      </c>
      <c r="H7" s="26">
        <v>3</v>
      </c>
      <c r="I7" s="65" t="s">
        <v>327</v>
      </c>
      <c r="J7" s="32" t="s">
        <v>20</v>
      </c>
      <c r="K7" s="32">
        <v>7.5</v>
      </c>
      <c r="L7" s="57">
        <v>30</v>
      </c>
      <c r="M7" s="30">
        <f>K7*L7</f>
        <v>225</v>
      </c>
      <c r="N7" s="85"/>
      <c r="O7" s="11"/>
    </row>
    <row r="8" spans="1:18" s="10" customFormat="1" ht="23.25" x14ac:dyDescent="0.3">
      <c r="A8" s="26">
        <v>4</v>
      </c>
      <c r="B8" s="65" t="s">
        <v>328</v>
      </c>
      <c r="C8" s="32" t="s">
        <v>19</v>
      </c>
      <c r="D8" s="32">
        <v>3</v>
      </c>
      <c r="E8" s="57">
        <v>50</v>
      </c>
      <c r="F8" s="30">
        <f t="shared" ref="F8:F18" si="2">D8*E8</f>
        <v>150</v>
      </c>
      <c r="H8" s="26">
        <v>4</v>
      </c>
      <c r="I8" s="65" t="s">
        <v>328</v>
      </c>
      <c r="J8" s="32" t="s">
        <v>19</v>
      </c>
      <c r="K8" s="32">
        <v>3</v>
      </c>
      <c r="L8" s="57">
        <v>50</v>
      </c>
      <c r="M8" s="30">
        <f t="shared" ref="M8:M18" si="3">K8*L8</f>
        <v>150</v>
      </c>
      <c r="N8" s="85"/>
      <c r="O8" s="11"/>
    </row>
    <row r="9" spans="1:18" s="10" customFormat="1" ht="23.25" x14ac:dyDescent="0.3">
      <c r="A9" s="26">
        <v>5</v>
      </c>
      <c r="B9" s="65" t="s">
        <v>581</v>
      </c>
      <c r="C9" s="32" t="s">
        <v>19</v>
      </c>
      <c r="D9" s="32">
        <v>23.6</v>
      </c>
      <c r="E9" s="57">
        <v>80</v>
      </c>
      <c r="F9" s="30">
        <f t="shared" ref="F9" si="4">D9*E9</f>
        <v>1888</v>
      </c>
      <c r="H9" s="26">
        <v>5</v>
      </c>
      <c r="I9" s="65" t="s">
        <v>581</v>
      </c>
      <c r="J9" s="32" t="s">
        <v>19</v>
      </c>
      <c r="K9" s="32">
        <v>23.6</v>
      </c>
      <c r="L9" s="57">
        <v>80</v>
      </c>
      <c r="M9" s="30">
        <f t="shared" si="3"/>
        <v>1888</v>
      </c>
      <c r="N9" s="85"/>
      <c r="O9" s="11"/>
    </row>
    <row r="10" spans="1:18" s="10" customFormat="1" ht="23.25" x14ac:dyDescent="0.3">
      <c r="A10" s="26">
        <v>6</v>
      </c>
      <c r="B10" s="65" t="s">
        <v>583</v>
      </c>
      <c r="C10" s="32" t="s">
        <v>19</v>
      </c>
      <c r="D10" s="32">
        <v>20.100000000000001</v>
      </c>
      <c r="E10" s="57">
        <v>80</v>
      </c>
      <c r="F10" s="30">
        <f t="shared" si="2"/>
        <v>1608</v>
      </c>
      <c r="H10" s="26">
        <v>6</v>
      </c>
      <c r="I10" s="65" t="s">
        <v>583</v>
      </c>
      <c r="J10" s="32" t="s">
        <v>19</v>
      </c>
      <c r="K10" s="32">
        <v>20.100000000000001</v>
      </c>
      <c r="L10" s="118">
        <v>25</v>
      </c>
      <c r="M10" s="30">
        <f t="shared" si="3"/>
        <v>502.50000000000006</v>
      </c>
      <c r="N10" s="85"/>
      <c r="O10" s="11"/>
    </row>
    <row r="11" spans="1:18" s="10" customFormat="1" ht="23.25" x14ac:dyDescent="0.3">
      <c r="A11" s="26">
        <v>7</v>
      </c>
      <c r="B11" s="70" t="s">
        <v>329</v>
      </c>
      <c r="C11" s="32" t="s">
        <v>20</v>
      </c>
      <c r="D11" s="32">
        <v>33.4</v>
      </c>
      <c r="E11" s="57">
        <v>30</v>
      </c>
      <c r="F11" s="30">
        <f t="shared" si="2"/>
        <v>1002</v>
      </c>
      <c r="H11" s="26">
        <v>7</v>
      </c>
      <c r="I11" s="70" t="s">
        <v>329</v>
      </c>
      <c r="J11" s="32" t="s">
        <v>20</v>
      </c>
      <c r="K11" s="115">
        <v>16.7</v>
      </c>
      <c r="L11" s="57">
        <v>30</v>
      </c>
      <c r="M11" s="30">
        <f t="shared" si="3"/>
        <v>501</v>
      </c>
      <c r="N11" s="85"/>
      <c r="O11" s="11"/>
    </row>
    <row r="12" spans="1:18" s="10" customFormat="1" ht="23.25" x14ac:dyDescent="0.3">
      <c r="A12" s="26">
        <v>8</v>
      </c>
      <c r="B12" s="70" t="s">
        <v>330</v>
      </c>
      <c r="C12" s="32" t="s">
        <v>19</v>
      </c>
      <c r="D12" s="32">
        <v>14</v>
      </c>
      <c r="E12" s="57">
        <v>50</v>
      </c>
      <c r="F12" s="30">
        <f t="shared" ref="F12" si="5">D12*E12</f>
        <v>700</v>
      </c>
      <c r="H12" s="26">
        <v>8</v>
      </c>
      <c r="I12" s="70" t="s">
        <v>330</v>
      </c>
      <c r="J12" s="32" t="s">
        <v>19</v>
      </c>
      <c r="K12" s="115">
        <v>4.5</v>
      </c>
      <c r="L12" s="57">
        <v>50</v>
      </c>
      <c r="M12" s="30">
        <f t="shared" si="3"/>
        <v>225</v>
      </c>
      <c r="N12" s="85"/>
      <c r="O12" s="11"/>
    </row>
    <row r="13" spans="1:18" s="10" customFormat="1" ht="23.25" x14ac:dyDescent="0.3">
      <c r="A13" s="26">
        <v>9</v>
      </c>
      <c r="B13" s="70" t="s">
        <v>584</v>
      </c>
      <c r="C13" s="32" t="s">
        <v>19</v>
      </c>
      <c r="D13" s="88">
        <v>19.2</v>
      </c>
      <c r="E13" s="57">
        <v>80</v>
      </c>
      <c r="F13" s="30">
        <f t="shared" si="2"/>
        <v>1536</v>
      </c>
      <c r="H13" s="26">
        <v>9</v>
      </c>
      <c r="I13" s="70" t="s">
        <v>584</v>
      </c>
      <c r="J13" s="32" t="s">
        <v>19</v>
      </c>
      <c r="K13" s="88">
        <v>19.2</v>
      </c>
      <c r="L13" s="57">
        <v>80</v>
      </c>
      <c r="M13" s="30">
        <f t="shared" si="3"/>
        <v>1536</v>
      </c>
      <c r="N13" s="85"/>
      <c r="O13" s="11"/>
    </row>
    <row r="14" spans="1:18" s="10" customFormat="1" ht="23.25" x14ac:dyDescent="0.3">
      <c r="A14" s="26">
        <v>10</v>
      </c>
      <c r="B14" s="70" t="s">
        <v>331</v>
      </c>
      <c r="C14" s="32" t="s">
        <v>20</v>
      </c>
      <c r="D14" s="88">
        <v>14.6</v>
      </c>
      <c r="E14" s="57">
        <v>30</v>
      </c>
      <c r="F14" s="30">
        <f t="shared" ref="F14" si="6">D14*E14</f>
        <v>438</v>
      </c>
      <c r="H14" s="26">
        <v>10</v>
      </c>
      <c r="I14" s="70" t="s">
        <v>331</v>
      </c>
      <c r="J14" s="32" t="s">
        <v>20</v>
      </c>
      <c r="K14" s="115">
        <v>0</v>
      </c>
      <c r="L14" s="57">
        <v>30</v>
      </c>
      <c r="M14" s="30">
        <f t="shared" si="3"/>
        <v>0</v>
      </c>
      <c r="N14" s="85"/>
      <c r="O14" s="11"/>
    </row>
    <row r="15" spans="1:18" s="10" customFormat="1" ht="23.25" x14ac:dyDescent="0.3">
      <c r="A15" s="26">
        <v>11</v>
      </c>
      <c r="B15" s="70" t="s">
        <v>332</v>
      </c>
      <c r="C15" s="32" t="s">
        <v>19</v>
      </c>
      <c r="D15" s="88">
        <v>9</v>
      </c>
      <c r="E15" s="57">
        <v>50</v>
      </c>
      <c r="F15" s="30">
        <f t="shared" ref="F15" si="7">D15*E15</f>
        <v>450</v>
      </c>
      <c r="H15" s="26">
        <v>11</v>
      </c>
      <c r="I15" s="70" t="s">
        <v>332</v>
      </c>
      <c r="J15" s="32" t="s">
        <v>19</v>
      </c>
      <c r="K15" s="115">
        <v>0</v>
      </c>
      <c r="L15" s="57">
        <v>50</v>
      </c>
      <c r="M15" s="30">
        <f t="shared" si="3"/>
        <v>0</v>
      </c>
      <c r="N15" s="85"/>
      <c r="O15" s="11"/>
    </row>
    <row r="16" spans="1:18" s="10" customFormat="1" ht="23.25" x14ac:dyDescent="0.3">
      <c r="A16" s="26">
        <v>12</v>
      </c>
      <c r="B16" s="65" t="s">
        <v>333</v>
      </c>
      <c r="C16" s="32" t="s">
        <v>20</v>
      </c>
      <c r="D16" s="32">
        <v>32.4</v>
      </c>
      <c r="E16" s="57">
        <v>30</v>
      </c>
      <c r="F16" s="30">
        <f t="shared" si="2"/>
        <v>972</v>
      </c>
      <c r="H16" s="26">
        <v>12</v>
      </c>
      <c r="I16" s="65" t="s">
        <v>333</v>
      </c>
      <c r="J16" s="32" t="s">
        <v>20</v>
      </c>
      <c r="K16" s="32">
        <v>32.4</v>
      </c>
      <c r="L16" s="57">
        <v>30</v>
      </c>
      <c r="M16" s="30">
        <f t="shared" si="3"/>
        <v>972</v>
      </c>
      <c r="N16" s="85"/>
      <c r="O16" s="11"/>
    </row>
    <row r="17" spans="1:15" s="10" customFormat="1" ht="23.25" x14ac:dyDescent="0.3">
      <c r="A17" s="26">
        <v>13</v>
      </c>
      <c r="B17" s="65" t="s">
        <v>334</v>
      </c>
      <c r="C17" s="32" t="s">
        <v>19</v>
      </c>
      <c r="D17" s="32">
        <v>4</v>
      </c>
      <c r="E17" s="57">
        <v>50</v>
      </c>
      <c r="F17" s="30">
        <f t="shared" si="2"/>
        <v>200</v>
      </c>
      <c r="H17" s="26">
        <v>13</v>
      </c>
      <c r="I17" s="65" t="s">
        <v>334</v>
      </c>
      <c r="J17" s="32" t="s">
        <v>19</v>
      </c>
      <c r="K17" s="32">
        <v>4</v>
      </c>
      <c r="L17" s="57">
        <v>50</v>
      </c>
      <c r="M17" s="30">
        <f t="shared" si="3"/>
        <v>200</v>
      </c>
      <c r="N17" s="85"/>
      <c r="O17" s="11"/>
    </row>
    <row r="18" spans="1:15" s="10" customFormat="1" ht="23.25" x14ac:dyDescent="0.3">
      <c r="A18" s="26">
        <v>14</v>
      </c>
      <c r="B18" s="65" t="s">
        <v>122</v>
      </c>
      <c r="C18" s="32" t="s">
        <v>119</v>
      </c>
      <c r="D18" s="32">
        <v>0.56999999999999995</v>
      </c>
      <c r="E18" s="57">
        <v>460</v>
      </c>
      <c r="F18" s="30">
        <f t="shared" si="2"/>
        <v>262.2</v>
      </c>
      <c r="H18" s="26">
        <v>14</v>
      </c>
      <c r="I18" s="65" t="s">
        <v>122</v>
      </c>
      <c r="J18" s="32" t="s">
        <v>119</v>
      </c>
      <c r="K18" s="32">
        <v>0.56999999999999995</v>
      </c>
      <c r="L18" s="57">
        <v>460</v>
      </c>
      <c r="M18" s="30">
        <f t="shared" si="3"/>
        <v>262.2</v>
      </c>
      <c r="N18" s="85"/>
      <c r="O18" s="11"/>
    </row>
    <row r="19" spans="1:15" ht="24" thickBot="1" x14ac:dyDescent="0.3">
      <c r="A19" s="38"/>
      <c r="B19" s="39"/>
      <c r="C19" s="39"/>
      <c r="D19" s="39"/>
      <c r="E19" s="40" t="s">
        <v>16</v>
      </c>
      <c r="F19" s="35">
        <f>SUM(F5:F18)</f>
        <v>12816.2</v>
      </c>
      <c r="H19" s="38"/>
      <c r="I19" s="39"/>
      <c r="J19" s="39"/>
      <c r="K19" s="39"/>
      <c r="L19" s="40" t="s">
        <v>16</v>
      </c>
      <c r="M19" s="35">
        <f>SUM(M5:M18)</f>
        <v>9846.7000000000007</v>
      </c>
    </row>
    <row r="20" spans="1:15" ht="26.25" thickBot="1" x14ac:dyDescent="0.3">
      <c r="A20" s="71"/>
      <c r="B20" s="72"/>
      <c r="C20" s="72"/>
      <c r="D20" s="72"/>
      <c r="E20" s="73" t="s">
        <v>21</v>
      </c>
      <c r="F20" s="12">
        <f>SUMIF(E1:E19986,"CƏMİ",F1:F19986)</f>
        <v>12816.2</v>
      </c>
      <c r="H20" s="71"/>
      <c r="I20" s="72"/>
      <c r="J20" s="72"/>
      <c r="K20" s="72"/>
      <c r="L20" s="73" t="s">
        <v>21</v>
      </c>
      <c r="M20" s="12">
        <f>SUMIF(L1:L19986,"CƏMİ",M1:M19986)</f>
        <v>9846.7000000000007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53D2-3F20-44C4-B724-81EB909607F0}">
  <sheetPr>
    <tabColor rgb="FFFFFF00"/>
    <pageSetUpPr fitToPage="1"/>
  </sheetPr>
  <dimension ref="A1:R11"/>
  <sheetViews>
    <sheetView view="pageBreakPreview" zoomScale="55" zoomScaleNormal="55" zoomScaleSheetLayoutView="55" workbookViewId="0">
      <pane ySplit="3" topLeftCell="A4" activePane="bottomLeft" state="frozen"/>
      <selection activeCell="D9" sqref="D9"/>
      <selection pane="bottomLeft" activeCell="L9" sqref="L9"/>
    </sheetView>
  </sheetViews>
  <sheetFormatPr defaultColWidth="9.140625" defaultRowHeight="15" x14ac:dyDescent="0.25"/>
  <cols>
    <col min="1" max="1" width="6.42578125" style="5" bestFit="1" customWidth="1"/>
    <col min="2" max="2" width="109.8554687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09.8554687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616</v>
      </c>
      <c r="B1" s="175"/>
      <c r="C1" s="175"/>
      <c r="D1" s="175"/>
      <c r="E1" s="176" t="s">
        <v>0</v>
      </c>
      <c r="F1" s="177"/>
      <c r="H1" s="174" t="s">
        <v>616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F10</f>
        <v>8338</v>
      </c>
      <c r="O4" s="4"/>
    </row>
    <row r="5" spans="1:18" s="10" customFormat="1" ht="23.25" x14ac:dyDescent="0.3">
      <c r="A5" s="26">
        <v>1</v>
      </c>
      <c r="B5" s="65" t="s">
        <v>346</v>
      </c>
      <c r="C5" s="32" t="s">
        <v>20</v>
      </c>
      <c r="D5" s="32">
        <v>46.4</v>
      </c>
      <c r="E5" s="57">
        <v>30</v>
      </c>
      <c r="F5" s="30">
        <f>D5*E5</f>
        <v>1392</v>
      </c>
      <c r="H5" s="26">
        <v>1</v>
      </c>
      <c r="I5" s="65" t="s">
        <v>346</v>
      </c>
      <c r="J5" s="32" t="s">
        <v>20</v>
      </c>
      <c r="K5" s="115">
        <v>0</v>
      </c>
      <c r="L5" s="57">
        <v>30</v>
      </c>
      <c r="M5" s="30">
        <f>K5*L5</f>
        <v>0</v>
      </c>
      <c r="N5" s="85"/>
      <c r="O5" s="11"/>
    </row>
    <row r="6" spans="1:18" s="10" customFormat="1" ht="23.25" x14ac:dyDescent="0.3">
      <c r="A6" s="26">
        <v>2</v>
      </c>
      <c r="B6" s="65" t="s">
        <v>347</v>
      </c>
      <c r="C6" s="32" t="s">
        <v>19</v>
      </c>
      <c r="D6" s="32">
        <v>27.6</v>
      </c>
      <c r="E6" s="57">
        <v>50</v>
      </c>
      <c r="F6" s="30">
        <f t="shared" ref="F6" si="0">D6*E6</f>
        <v>1380</v>
      </c>
      <c r="H6" s="26">
        <v>2</v>
      </c>
      <c r="I6" s="65" t="s">
        <v>347</v>
      </c>
      <c r="J6" s="32" t="s">
        <v>19</v>
      </c>
      <c r="K6" s="115">
        <v>0</v>
      </c>
      <c r="L6" s="57">
        <v>50</v>
      </c>
      <c r="M6" s="30">
        <f t="shared" ref="M6" si="1">K6*L6</f>
        <v>0</v>
      </c>
      <c r="N6" s="85"/>
      <c r="O6" s="11"/>
    </row>
    <row r="7" spans="1:18" s="10" customFormat="1" ht="23.25" x14ac:dyDescent="0.3">
      <c r="A7" s="26">
        <v>3</v>
      </c>
      <c r="B7" s="65" t="s">
        <v>580</v>
      </c>
      <c r="C7" s="32" t="s">
        <v>19</v>
      </c>
      <c r="D7" s="32">
        <v>65</v>
      </c>
      <c r="E7" s="57">
        <v>80</v>
      </c>
      <c r="F7" s="30">
        <f>D7*E7</f>
        <v>5200</v>
      </c>
      <c r="H7" s="26">
        <v>3</v>
      </c>
      <c r="I7" s="65" t="s">
        <v>580</v>
      </c>
      <c r="J7" s="32" t="s">
        <v>19</v>
      </c>
      <c r="K7" s="115">
        <v>0</v>
      </c>
      <c r="L7" s="57">
        <v>80</v>
      </c>
      <c r="M7" s="30">
        <f>K7*L7</f>
        <v>0</v>
      </c>
      <c r="N7" s="85"/>
      <c r="O7" s="11"/>
    </row>
    <row r="8" spans="1:18" s="10" customFormat="1" ht="23.25" x14ac:dyDescent="0.3">
      <c r="A8" s="26">
        <v>4</v>
      </c>
      <c r="B8" s="70" t="s">
        <v>571</v>
      </c>
      <c r="C8" s="32" t="s">
        <v>19</v>
      </c>
      <c r="D8" s="32">
        <v>4</v>
      </c>
      <c r="E8" s="57">
        <v>80</v>
      </c>
      <c r="F8" s="30">
        <f t="shared" ref="F8:F9" si="2">D8*E8</f>
        <v>320</v>
      </c>
      <c r="H8" s="26">
        <v>4</v>
      </c>
      <c r="I8" s="70" t="s">
        <v>571</v>
      </c>
      <c r="J8" s="32" t="s">
        <v>19</v>
      </c>
      <c r="K8" s="32">
        <v>4</v>
      </c>
      <c r="L8" s="118">
        <v>25</v>
      </c>
      <c r="M8" s="30">
        <f t="shared" ref="M8:M9" si="3">K8*L8</f>
        <v>100</v>
      </c>
      <c r="N8" s="85"/>
      <c r="O8" s="11"/>
    </row>
    <row r="9" spans="1:18" s="10" customFormat="1" ht="23.25" x14ac:dyDescent="0.3">
      <c r="A9" s="26">
        <v>5</v>
      </c>
      <c r="B9" s="65" t="s">
        <v>122</v>
      </c>
      <c r="C9" s="32" t="s">
        <v>119</v>
      </c>
      <c r="D9" s="32">
        <v>0.1</v>
      </c>
      <c r="E9" s="57">
        <v>460</v>
      </c>
      <c r="F9" s="30">
        <f t="shared" si="2"/>
        <v>46</v>
      </c>
      <c r="H9" s="26">
        <v>5</v>
      </c>
      <c r="I9" s="65" t="s">
        <v>122</v>
      </c>
      <c r="J9" s="32" t="s">
        <v>119</v>
      </c>
      <c r="K9" s="32">
        <v>0.1</v>
      </c>
      <c r="L9" s="57">
        <v>460</v>
      </c>
      <c r="M9" s="30">
        <f t="shared" si="3"/>
        <v>46</v>
      </c>
      <c r="N9" s="85"/>
      <c r="O9" s="11"/>
    </row>
    <row r="10" spans="1:18" ht="24" thickBot="1" x14ac:dyDescent="0.3">
      <c r="A10" s="38"/>
      <c r="B10" s="39"/>
      <c r="C10" s="39"/>
      <c r="D10" s="39"/>
      <c r="E10" s="40" t="s">
        <v>16</v>
      </c>
      <c r="F10" s="35">
        <f>SUM(F5:F9)</f>
        <v>8338</v>
      </c>
      <c r="H10" s="38"/>
      <c r="I10" s="39"/>
      <c r="J10" s="39"/>
      <c r="K10" s="39"/>
      <c r="L10" s="40" t="s">
        <v>16</v>
      </c>
      <c r="M10" s="35">
        <f>SUM(M5:M9)</f>
        <v>146</v>
      </c>
    </row>
    <row r="11" spans="1:18" ht="26.25" thickBot="1" x14ac:dyDescent="0.3">
      <c r="A11" s="71"/>
      <c r="B11" s="72"/>
      <c r="C11" s="72"/>
      <c r="D11" s="72"/>
      <c r="E11" s="73" t="s">
        <v>21</v>
      </c>
      <c r="F11" s="12">
        <f>SUMIF(E1:E19977,"CƏMİ",F1:F19977)</f>
        <v>8338</v>
      </c>
      <c r="H11" s="71"/>
      <c r="I11" s="72"/>
      <c r="J11" s="72"/>
      <c r="K11" s="72"/>
      <c r="L11" s="73" t="s">
        <v>21</v>
      </c>
      <c r="M11" s="12">
        <f>SUMIF(L1:L19977,"CƏMİ",M1:M19977)</f>
        <v>146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6CB0-DD4F-4E5B-A14A-15E47EF381F6}">
  <sheetPr>
    <tabColor rgb="FFFFFF00"/>
    <pageSetUpPr fitToPage="1"/>
  </sheetPr>
  <dimension ref="A1:R11"/>
  <sheetViews>
    <sheetView view="pageBreakPreview" zoomScale="55" zoomScaleNormal="55" zoomScaleSheetLayoutView="55" workbookViewId="0">
      <pane ySplit="3" topLeftCell="A4" activePane="bottomLeft" state="frozen"/>
      <selection activeCell="D9" sqref="D9"/>
      <selection pane="bottomLeft" activeCell="K8" sqref="K8"/>
    </sheetView>
  </sheetViews>
  <sheetFormatPr defaultColWidth="9.140625" defaultRowHeight="15" x14ac:dyDescent="0.25"/>
  <cols>
    <col min="1" max="1" width="6.42578125" style="5" bestFit="1" customWidth="1"/>
    <col min="2" max="2" width="109.8554687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09.8554687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446</v>
      </c>
      <c r="B1" s="175"/>
      <c r="C1" s="175"/>
      <c r="D1" s="175"/>
      <c r="E1" s="176" t="s">
        <v>0</v>
      </c>
      <c r="F1" s="177"/>
      <c r="H1" s="174" t="s">
        <v>446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F10</f>
        <v>4236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44.3</v>
      </c>
      <c r="E5" s="57">
        <v>30</v>
      </c>
      <c r="F5" s="30">
        <f>D5*E5</f>
        <v>1329</v>
      </c>
      <c r="H5" s="26">
        <v>1</v>
      </c>
      <c r="I5" s="70" t="s">
        <v>559</v>
      </c>
      <c r="J5" s="32" t="s">
        <v>20</v>
      </c>
      <c r="K5" s="88">
        <v>44.3</v>
      </c>
      <c r="L5" s="57">
        <v>30</v>
      </c>
      <c r="M5" s="30">
        <f>K5*L5</f>
        <v>1329</v>
      </c>
      <c r="N5" s="85"/>
      <c r="O5" s="11"/>
    </row>
    <row r="6" spans="1:18" s="10" customFormat="1" ht="23.25" x14ac:dyDescent="0.3">
      <c r="A6" s="26">
        <v>2</v>
      </c>
      <c r="B6" s="70" t="s">
        <v>555</v>
      </c>
      <c r="C6" s="32" t="s">
        <v>19</v>
      </c>
      <c r="D6" s="32">
        <v>13.3</v>
      </c>
      <c r="E6" s="57">
        <v>50</v>
      </c>
      <c r="F6" s="30">
        <f t="shared" ref="F6:F9" si="0">D6*E6</f>
        <v>665</v>
      </c>
      <c r="H6" s="26">
        <v>2</v>
      </c>
      <c r="I6" s="70" t="s">
        <v>555</v>
      </c>
      <c r="J6" s="32" t="s">
        <v>19</v>
      </c>
      <c r="K6" s="32">
        <v>13.3</v>
      </c>
      <c r="L6" s="57">
        <v>50</v>
      </c>
      <c r="M6" s="30">
        <f t="shared" ref="M6:M9" si="1">K6*L6</f>
        <v>665</v>
      </c>
      <c r="N6" s="85"/>
      <c r="O6" s="11"/>
    </row>
    <row r="7" spans="1:18" s="10" customFormat="1" ht="23.25" x14ac:dyDescent="0.3">
      <c r="A7" s="26">
        <v>3</v>
      </c>
      <c r="B7" s="65" t="s">
        <v>297</v>
      </c>
      <c r="C7" s="32" t="s">
        <v>20</v>
      </c>
      <c r="D7" s="32">
        <v>38.4</v>
      </c>
      <c r="E7" s="57">
        <v>30</v>
      </c>
      <c r="F7" s="30">
        <f t="shared" si="0"/>
        <v>1152</v>
      </c>
      <c r="H7" s="26">
        <v>3</v>
      </c>
      <c r="I7" s="65" t="s">
        <v>297</v>
      </c>
      <c r="J7" s="32" t="s">
        <v>20</v>
      </c>
      <c r="K7" s="115">
        <v>19.2</v>
      </c>
      <c r="L7" s="57">
        <v>30</v>
      </c>
      <c r="M7" s="30">
        <f t="shared" si="1"/>
        <v>576</v>
      </c>
      <c r="N7" s="85"/>
      <c r="O7" s="11"/>
    </row>
    <row r="8" spans="1:18" s="10" customFormat="1" ht="23.25" x14ac:dyDescent="0.3">
      <c r="A8" s="26">
        <v>4</v>
      </c>
      <c r="B8" s="65" t="s">
        <v>348</v>
      </c>
      <c r="C8" s="32" t="s">
        <v>19</v>
      </c>
      <c r="D8" s="32">
        <v>12.6</v>
      </c>
      <c r="E8" s="57">
        <v>50</v>
      </c>
      <c r="F8" s="30">
        <f t="shared" si="0"/>
        <v>630</v>
      </c>
      <c r="H8" s="26">
        <v>4</v>
      </c>
      <c r="I8" s="65" t="s">
        <v>348</v>
      </c>
      <c r="J8" s="32" t="s">
        <v>19</v>
      </c>
      <c r="K8" s="32">
        <v>12.6</v>
      </c>
      <c r="L8" s="57">
        <v>50</v>
      </c>
      <c r="M8" s="30">
        <f t="shared" si="1"/>
        <v>630</v>
      </c>
      <c r="N8" s="85"/>
      <c r="O8" s="11"/>
    </row>
    <row r="9" spans="1:18" s="10" customFormat="1" ht="23.25" x14ac:dyDescent="0.3">
      <c r="A9" s="26">
        <v>5</v>
      </c>
      <c r="B9" s="65" t="s">
        <v>122</v>
      </c>
      <c r="C9" s="32" t="s">
        <v>119</v>
      </c>
      <c r="D9" s="32">
        <v>1</v>
      </c>
      <c r="E9" s="57">
        <v>460</v>
      </c>
      <c r="F9" s="30">
        <f t="shared" si="0"/>
        <v>460</v>
      </c>
      <c r="H9" s="26">
        <v>5</v>
      </c>
      <c r="I9" s="65" t="s">
        <v>122</v>
      </c>
      <c r="J9" s="32" t="s">
        <v>119</v>
      </c>
      <c r="K9" s="32">
        <v>1</v>
      </c>
      <c r="L9" s="57">
        <v>460</v>
      </c>
      <c r="M9" s="30">
        <f t="shared" si="1"/>
        <v>460</v>
      </c>
      <c r="N9" s="85"/>
      <c r="O9" s="11"/>
    </row>
    <row r="10" spans="1:18" ht="24" thickBot="1" x14ac:dyDescent="0.3">
      <c r="A10" s="38"/>
      <c r="B10" s="39"/>
      <c r="C10" s="39"/>
      <c r="D10" s="39"/>
      <c r="E10" s="40" t="s">
        <v>16</v>
      </c>
      <c r="F10" s="35">
        <f>SUM(F5:F9)</f>
        <v>4236</v>
      </c>
      <c r="H10" s="38"/>
      <c r="I10" s="39"/>
      <c r="J10" s="39"/>
      <c r="K10" s="39"/>
      <c r="L10" s="40" t="s">
        <v>16</v>
      </c>
      <c r="M10" s="35">
        <f>SUM(M5:M9)</f>
        <v>3660</v>
      </c>
    </row>
    <row r="11" spans="1:18" ht="26.25" thickBot="1" x14ac:dyDescent="0.3">
      <c r="A11" s="71"/>
      <c r="B11" s="72"/>
      <c r="C11" s="72"/>
      <c r="D11" s="72"/>
      <c r="E11" s="73" t="s">
        <v>21</v>
      </c>
      <c r="F11" s="12">
        <f>SUMIF(E1:E19977,"CƏMİ",F1:F19977)</f>
        <v>4236</v>
      </c>
      <c r="H11" s="71"/>
      <c r="I11" s="72"/>
      <c r="J11" s="72"/>
      <c r="K11" s="72"/>
      <c r="L11" s="73" t="s">
        <v>21</v>
      </c>
      <c r="M11" s="12">
        <f>SUMIF(L1:L19977,"CƏMİ",M1:M19977)</f>
        <v>3660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47EC-6B2C-4115-B33C-D9EEA8323830}">
  <sheetPr>
    <tabColor rgb="FFFFFF00"/>
    <pageSetUpPr fitToPage="1"/>
  </sheetPr>
  <dimension ref="A1:R20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J17" sqref="J17"/>
    </sheetView>
  </sheetViews>
  <sheetFormatPr defaultColWidth="9.140625" defaultRowHeight="15" x14ac:dyDescent="0.25"/>
  <cols>
    <col min="1" max="1" width="6.42578125" style="5" bestFit="1" customWidth="1"/>
    <col min="2" max="2" width="124.8554687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24.8554687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35</v>
      </c>
      <c r="B1" s="175"/>
      <c r="C1" s="175"/>
      <c r="D1" s="175"/>
      <c r="E1" s="176" t="s">
        <v>0</v>
      </c>
      <c r="F1" s="177"/>
      <c r="H1" s="174" t="s">
        <v>35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F19</f>
        <v>24261</v>
      </c>
      <c r="O4" s="4"/>
    </row>
    <row r="5" spans="1:18" s="10" customFormat="1" ht="23.25" x14ac:dyDescent="0.3">
      <c r="A5" s="26">
        <v>1</v>
      </c>
      <c r="B5" s="65" t="s">
        <v>708</v>
      </c>
      <c r="C5" s="32" t="s">
        <v>19</v>
      </c>
      <c r="D5" s="32">
        <v>37.200000000000003</v>
      </c>
      <c r="E5" s="29">
        <v>50</v>
      </c>
      <c r="F5" s="30">
        <f>D5*E5</f>
        <v>1860.0000000000002</v>
      </c>
      <c r="H5" s="26">
        <v>1</v>
      </c>
      <c r="I5" s="65" t="s">
        <v>708</v>
      </c>
      <c r="J5" s="32" t="s">
        <v>19</v>
      </c>
      <c r="K5" s="115">
        <v>0</v>
      </c>
      <c r="L5" s="29">
        <v>50</v>
      </c>
      <c r="M5" s="30">
        <f>K5*L5</f>
        <v>0</v>
      </c>
      <c r="N5" s="85"/>
      <c r="O5" s="11"/>
    </row>
    <row r="6" spans="1:18" s="10" customFormat="1" ht="23.25" x14ac:dyDescent="0.3">
      <c r="A6" s="26">
        <v>2</v>
      </c>
      <c r="B6" s="65" t="s">
        <v>46</v>
      </c>
      <c r="C6" s="32" t="s">
        <v>19</v>
      </c>
      <c r="D6" s="32">
        <v>110.6</v>
      </c>
      <c r="E6" s="29">
        <v>50</v>
      </c>
      <c r="F6" s="30">
        <f t="shared" ref="F6:F18" si="0">D6*E6</f>
        <v>5530</v>
      </c>
      <c r="H6" s="26">
        <v>2</v>
      </c>
      <c r="I6" s="65" t="s">
        <v>46</v>
      </c>
      <c r="J6" s="32" t="s">
        <v>19</v>
      </c>
      <c r="K6" s="32">
        <v>110.6</v>
      </c>
      <c r="L6" s="29">
        <v>50</v>
      </c>
      <c r="M6" s="30">
        <f t="shared" ref="M6:M12" si="1">K6*L6</f>
        <v>5530</v>
      </c>
      <c r="N6" s="85"/>
      <c r="O6" s="11"/>
    </row>
    <row r="7" spans="1:18" s="10" customFormat="1" ht="23.25" x14ac:dyDescent="0.3">
      <c r="A7" s="26">
        <v>3</v>
      </c>
      <c r="B7" s="65" t="s">
        <v>715</v>
      </c>
      <c r="C7" s="32" t="s">
        <v>20</v>
      </c>
      <c r="D7" s="32">
        <v>158</v>
      </c>
      <c r="E7" s="29">
        <v>30</v>
      </c>
      <c r="F7" s="30">
        <f t="shared" si="0"/>
        <v>4740</v>
      </c>
      <c r="H7" s="26">
        <v>3</v>
      </c>
      <c r="I7" s="65" t="s">
        <v>715</v>
      </c>
      <c r="J7" s="32" t="s">
        <v>20</v>
      </c>
      <c r="K7" s="32">
        <v>158</v>
      </c>
      <c r="L7" s="29">
        <v>30</v>
      </c>
      <c r="M7" s="30">
        <f t="shared" si="1"/>
        <v>4740</v>
      </c>
      <c r="N7" s="85"/>
      <c r="O7" s="11"/>
    </row>
    <row r="8" spans="1:18" s="10" customFormat="1" ht="23.25" x14ac:dyDescent="0.3">
      <c r="A8" s="26">
        <v>4</v>
      </c>
      <c r="B8" s="70" t="s">
        <v>136</v>
      </c>
      <c r="C8" s="32" t="s">
        <v>19</v>
      </c>
      <c r="D8" s="32">
        <v>21</v>
      </c>
      <c r="E8" s="57">
        <v>50</v>
      </c>
      <c r="F8" s="30">
        <f t="shared" si="0"/>
        <v>1050</v>
      </c>
      <c r="H8" s="26">
        <v>4</v>
      </c>
      <c r="I8" s="70" t="s">
        <v>136</v>
      </c>
      <c r="J8" s="32" t="s">
        <v>19</v>
      </c>
      <c r="K8" s="32">
        <v>21</v>
      </c>
      <c r="L8" s="57">
        <v>50</v>
      </c>
      <c r="M8" s="30">
        <f t="shared" si="1"/>
        <v>1050</v>
      </c>
      <c r="N8" s="85"/>
      <c r="O8" s="11"/>
    </row>
    <row r="9" spans="1:18" s="10" customFormat="1" ht="23.25" x14ac:dyDescent="0.3">
      <c r="A9" s="26">
        <v>5</v>
      </c>
      <c r="B9" s="70" t="s">
        <v>750</v>
      </c>
      <c r="C9" s="32" t="s">
        <v>20</v>
      </c>
      <c r="D9" s="88">
        <f>78-20.2</f>
        <v>57.8</v>
      </c>
      <c r="E9" s="57">
        <v>30</v>
      </c>
      <c r="F9" s="30">
        <f t="shared" si="0"/>
        <v>1734</v>
      </c>
      <c r="H9" s="26">
        <v>5</v>
      </c>
      <c r="I9" s="70" t="s">
        <v>750</v>
      </c>
      <c r="J9" s="32" t="s">
        <v>20</v>
      </c>
      <c r="K9" s="88">
        <f>78-20.2</f>
        <v>57.8</v>
      </c>
      <c r="L9" s="57">
        <v>30</v>
      </c>
      <c r="M9" s="30">
        <f t="shared" si="1"/>
        <v>1734</v>
      </c>
      <c r="N9" s="85"/>
      <c r="O9" s="11"/>
    </row>
    <row r="10" spans="1:18" s="10" customFormat="1" ht="23.25" x14ac:dyDescent="0.3">
      <c r="A10" s="26">
        <v>6</v>
      </c>
      <c r="B10" s="65" t="s">
        <v>124</v>
      </c>
      <c r="C10" s="32" t="s">
        <v>20</v>
      </c>
      <c r="D10" s="32">
        <v>200</v>
      </c>
      <c r="E10" s="57">
        <v>6</v>
      </c>
      <c r="F10" s="30">
        <f t="shared" si="0"/>
        <v>1200</v>
      </c>
      <c r="H10" s="26">
        <v>6</v>
      </c>
      <c r="I10" s="65" t="s">
        <v>124</v>
      </c>
      <c r="J10" s="32" t="s">
        <v>20</v>
      </c>
      <c r="K10" s="32">
        <v>200</v>
      </c>
      <c r="L10" s="57">
        <v>6</v>
      </c>
      <c r="M10" s="30">
        <f t="shared" si="1"/>
        <v>1200</v>
      </c>
      <c r="N10" s="85"/>
      <c r="O10" s="11"/>
    </row>
    <row r="11" spans="1:18" s="10" customFormat="1" ht="23.25" x14ac:dyDescent="0.3">
      <c r="A11" s="26">
        <v>7</v>
      </c>
      <c r="B11" s="65" t="s">
        <v>735</v>
      </c>
      <c r="C11" s="32" t="s">
        <v>19</v>
      </c>
      <c r="D11" s="32">
        <v>18</v>
      </c>
      <c r="E11" s="29">
        <v>50</v>
      </c>
      <c r="F11" s="30">
        <f t="shared" si="0"/>
        <v>900</v>
      </c>
      <c r="H11" s="26">
        <v>7</v>
      </c>
      <c r="I11" s="65" t="s">
        <v>735</v>
      </c>
      <c r="J11" s="32" t="s">
        <v>19</v>
      </c>
      <c r="K11" s="115">
        <v>9.6</v>
      </c>
      <c r="L11" s="29">
        <v>50</v>
      </c>
      <c r="M11" s="30">
        <f t="shared" si="1"/>
        <v>480</v>
      </c>
      <c r="N11" s="85"/>
      <c r="O11" s="11"/>
    </row>
    <row r="12" spans="1:18" s="10" customFormat="1" ht="23.25" x14ac:dyDescent="0.3">
      <c r="A12" s="26">
        <v>8</v>
      </c>
      <c r="B12" s="65" t="s">
        <v>736</v>
      </c>
      <c r="C12" s="32" t="s">
        <v>20</v>
      </c>
      <c r="D12" s="32">
        <v>22</v>
      </c>
      <c r="E12" s="29">
        <v>30</v>
      </c>
      <c r="F12" s="30">
        <f t="shared" si="0"/>
        <v>660</v>
      </c>
      <c r="H12" s="26">
        <v>8</v>
      </c>
      <c r="I12" s="65" t="s">
        <v>736</v>
      </c>
      <c r="J12" s="32" t="s">
        <v>20</v>
      </c>
      <c r="K12" s="115">
        <v>15</v>
      </c>
      <c r="L12" s="29">
        <v>30</v>
      </c>
      <c r="M12" s="30">
        <f t="shared" si="1"/>
        <v>450</v>
      </c>
      <c r="N12" s="85"/>
      <c r="O12" s="11"/>
    </row>
    <row r="13" spans="1:18" s="10" customFormat="1" ht="23.25" x14ac:dyDescent="0.3">
      <c r="A13" s="26">
        <v>9</v>
      </c>
      <c r="B13" s="65" t="s">
        <v>737</v>
      </c>
      <c r="C13" s="32" t="s">
        <v>19</v>
      </c>
      <c r="D13" s="32">
        <v>6</v>
      </c>
      <c r="E13" s="57">
        <v>50</v>
      </c>
      <c r="F13" s="30">
        <f>D13*E13</f>
        <v>300</v>
      </c>
      <c r="H13" s="26">
        <v>9</v>
      </c>
      <c r="I13" s="65" t="s">
        <v>737</v>
      </c>
      <c r="J13" s="32" t="s">
        <v>19</v>
      </c>
      <c r="K13" s="32">
        <v>6</v>
      </c>
      <c r="L13" s="57">
        <v>50</v>
      </c>
      <c r="M13" s="30">
        <f>K13*L13</f>
        <v>300</v>
      </c>
      <c r="N13" s="85"/>
      <c r="O13" s="11"/>
    </row>
    <row r="14" spans="1:18" s="10" customFormat="1" ht="23.25" x14ac:dyDescent="0.3">
      <c r="A14" s="26">
        <v>10</v>
      </c>
      <c r="B14" s="65" t="s">
        <v>738</v>
      </c>
      <c r="C14" s="32" t="s">
        <v>20</v>
      </c>
      <c r="D14" s="32">
        <v>3.5</v>
      </c>
      <c r="E14" s="57">
        <v>30</v>
      </c>
      <c r="F14" s="30">
        <f t="shared" ref="F14:F17" si="2">D14*E14</f>
        <v>105</v>
      </c>
      <c r="H14" s="26">
        <v>10</v>
      </c>
      <c r="I14" s="65" t="s">
        <v>738</v>
      </c>
      <c r="J14" s="32" t="s">
        <v>20</v>
      </c>
      <c r="K14" s="32">
        <v>3.5</v>
      </c>
      <c r="L14" s="57">
        <v>30</v>
      </c>
      <c r="M14" s="30">
        <f t="shared" ref="M14:M18" si="3">K14*L14</f>
        <v>105</v>
      </c>
      <c r="N14" s="85"/>
      <c r="O14" s="11"/>
    </row>
    <row r="15" spans="1:18" s="10" customFormat="1" ht="23.25" x14ac:dyDescent="0.3">
      <c r="A15" s="26">
        <v>11</v>
      </c>
      <c r="B15" s="65" t="s">
        <v>739</v>
      </c>
      <c r="C15" s="32" t="s">
        <v>20</v>
      </c>
      <c r="D15" s="32">
        <v>160</v>
      </c>
      <c r="E15" s="57">
        <v>30</v>
      </c>
      <c r="F15" s="30">
        <f t="shared" si="2"/>
        <v>4800</v>
      </c>
      <c r="H15" s="26">
        <v>11</v>
      </c>
      <c r="I15" s="65" t="s">
        <v>739</v>
      </c>
      <c r="J15" s="32" t="s">
        <v>20</v>
      </c>
      <c r="K15" s="115">
        <v>0</v>
      </c>
      <c r="L15" s="57">
        <v>30</v>
      </c>
      <c r="M15" s="30">
        <f t="shared" si="3"/>
        <v>0</v>
      </c>
      <c r="N15" s="85"/>
      <c r="O15" s="11"/>
    </row>
    <row r="16" spans="1:18" s="10" customFormat="1" ht="23.25" x14ac:dyDescent="0.3">
      <c r="A16" s="26">
        <v>12</v>
      </c>
      <c r="B16" s="70" t="s">
        <v>741</v>
      </c>
      <c r="C16" s="32" t="s">
        <v>119</v>
      </c>
      <c r="D16" s="32">
        <v>16.3</v>
      </c>
      <c r="E16" s="57">
        <v>50</v>
      </c>
      <c r="F16" s="30">
        <f t="shared" si="2"/>
        <v>815</v>
      </c>
      <c r="H16" s="26">
        <v>12</v>
      </c>
      <c r="I16" s="70" t="s">
        <v>741</v>
      </c>
      <c r="J16" s="32" t="s">
        <v>19</v>
      </c>
      <c r="K16" s="32">
        <v>16.3</v>
      </c>
      <c r="L16" s="57">
        <v>50</v>
      </c>
      <c r="M16" s="30">
        <f t="shared" si="3"/>
        <v>815</v>
      </c>
      <c r="N16" s="85"/>
      <c r="O16" s="11"/>
    </row>
    <row r="17" spans="1:15" s="10" customFormat="1" ht="23.25" x14ac:dyDescent="0.3">
      <c r="A17" s="26">
        <v>13</v>
      </c>
      <c r="B17" s="70" t="s">
        <v>740</v>
      </c>
      <c r="C17" s="32" t="s">
        <v>20</v>
      </c>
      <c r="D17" s="88">
        <v>7.4</v>
      </c>
      <c r="E17" s="57">
        <v>30</v>
      </c>
      <c r="F17" s="30">
        <f t="shared" si="2"/>
        <v>222</v>
      </c>
      <c r="H17" s="26">
        <v>13</v>
      </c>
      <c r="I17" s="70" t="s">
        <v>740</v>
      </c>
      <c r="J17" s="32" t="s">
        <v>20</v>
      </c>
      <c r="K17" s="88">
        <v>7.4</v>
      </c>
      <c r="L17" s="57">
        <v>30</v>
      </c>
      <c r="M17" s="30">
        <f t="shared" si="3"/>
        <v>222</v>
      </c>
      <c r="N17" s="85"/>
      <c r="O17" s="11"/>
    </row>
    <row r="18" spans="1:15" s="10" customFormat="1" ht="23.25" x14ac:dyDescent="0.3">
      <c r="A18" s="26">
        <v>14</v>
      </c>
      <c r="B18" s="65" t="s">
        <v>122</v>
      </c>
      <c r="C18" s="32" t="s">
        <v>119</v>
      </c>
      <c r="D18" s="32">
        <v>0.75</v>
      </c>
      <c r="E18" s="57">
        <v>460</v>
      </c>
      <c r="F18" s="30">
        <f t="shared" si="0"/>
        <v>345</v>
      </c>
      <c r="H18" s="26">
        <v>14</v>
      </c>
      <c r="I18" s="65" t="s">
        <v>122</v>
      </c>
      <c r="J18" s="32" t="s">
        <v>119</v>
      </c>
      <c r="K18" s="32">
        <v>0.75</v>
      </c>
      <c r="L18" s="57">
        <v>460</v>
      </c>
      <c r="M18" s="30">
        <f t="shared" si="3"/>
        <v>345</v>
      </c>
      <c r="N18" s="85"/>
      <c r="O18" s="11"/>
    </row>
    <row r="19" spans="1:15" ht="24" thickBot="1" x14ac:dyDescent="0.3">
      <c r="A19" s="38"/>
      <c r="B19" s="39"/>
      <c r="C19" s="39"/>
      <c r="D19" s="39"/>
      <c r="E19" s="40" t="s">
        <v>16</v>
      </c>
      <c r="F19" s="35">
        <f>SUM(F5:F18)</f>
        <v>24261</v>
      </c>
      <c r="H19" s="38"/>
      <c r="I19" s="39"/>
      <c r="J19" s="39"/>
      <c r="K19" s="39"/>
      <c r="L19" s="40" t="s">
        <v>16</v>
      </c>
      <c r="M19" s="35">
        <f>SUM(M5:M18)</f>
        <v>16971</v>
      </c>
    </row>
    <row r="20" spans="1:15" ht="26.25" thickBot="1" x14ac:dyDescent="0.3">
      <c r="A20" s="71"/>
      <c r="B20" s="72"/>
      <c r="C20" s="72"/>
      <c r="D20" s="72"/>
      <c r="E20" s="73" t="s">
        <v>21</v>
      </c>
      <c r="F20" s="12">
        <f>SUMIF(E1:E19986,"CƏMİ",F1:F19986)</f>
        <v>24261</v>
      </c>
      <c r="H20" s="71"/>
      <c r="I20" s="72"/>
      <c r="J20" s="72"/>
      <c r="K20" s="72"/>
      <c r="L20" s="73" t="s">
        <v>21</v>
      </c>
      <c r="M20" s="12">
        <f>SUMIF(L1:L19986,"CƏMİ",M1:M19986)</f>
        <v>16971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3" fitToHeight="0" orientation="portrait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1D7A-1AA2-4370-8806-1629C0E9124E}">
  <sheetPr>
    <tabColor rgb="FFFFFF00"/>
    <pageSetUpPr fitToPage="1"/>
  </sheetPr>
  <dimension ref="A1:R10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K6" sqref="K6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460</v>
      </c>
      <c r="B1" s="175"/>
      <c r="C1" s="175"/>
      <c r="D1" s="175"/>
      <c r="E1" s="176" t="s">
        <v>0</v>
      </c>
      <c r="F1" s="177"/>
      <c r="H1" s="174" t="s">
        <v>460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F9</f>
        <v>1441.4</v>
      </c>
      <c r="O4" s="4"/>
    </row>
    <row r="5" spans="1:18" s="10" customFormat="1" ht="23.25" x14ac:dyDescent="0.3">
      <c r="A5" s="26">
        <v>1</v>
      </c>
      <c r="B5" s="65" t="s">
        <v>355</v>
      </c>
      <c r="C5" s="32" t="s">
        <v>20</v>
      </c>
      <c r="D5" s="32">
        <v>8</v>
      </c>
      <c r="E5" s="57">
        <v>30</v>
      </c>
      <c r="F5" s="30">
        <f>D5*E5</f>
        <v>240</v>
      </c>
      <c r="H5" s="26">
        <v>1</v>
      </c>
      <c r="I5" s="65" t="s">
        <v>355</v>
      </c>
      <c r="J5" s="32" t="s">
        <v>20</v>
      </c>
      <c r="K5" s="115">
        <v>4</v>
      </c>
      <c r="L5" s="57">
        <v>30</v>
      </c>
      <c r="M5" s="30">
        <f>K5*L5</f>
        <v>120</v>
      </c>
      <c r="N5" s="85"/>
      <c r="O5" s="11"/>
    </row>
    <row r="6" spans="1:18" s="10" customFormat="1" ht="23.25" x14ac:dyDescent="0.3">
      <c r="A6" s="26">
        <v>2</v>
      </c>
      <c r="B6" s="65" t="s">
        <v>354</v>
      </c>
      <c r="C6" s="32" t="s">
        <v>19</v>
      </c>
      <c r="D6" s="88">
        <v>4</v>
      </c>
      <c r="E6" s="57">
        <v>50</v>
      </c>
      <c r="F6" s="30">
        <f t="shared" ref="F6:F8" si="0">D6*E6</f>
        <v>200</v>
      </c>
      <c r="H6" s="26">
        <v>2</v>
      </c>
      <c r="I6" s="65" t="s">
        <v>354</v>
      </c>
      <c r="J6" s="32" t="s">
        <v>19</v>
      </c>
      <c r="K6" s="88">
        <v>4</v>
      </c>
      <c r="L6" s="57">
        <v>50</v>
      </c>
      <c r="M6" s="30">
        <f t="shared" ref="M6:M8" si="1">K6*L6</f>
        <v>200</v>
      </c>
      <c r="N6" s="85"/>
      <c r="O6" s="11"/>
    </row>
    <row r="7" spans="1:18" s="10" customFormat="1" ht="23.25" x14ac:dyDescent="0.3">
      <c r="A7" s="26">
        <v>3</v>
      </c>
      <c r="B7" s="65" t="s">
        <v>576</v>
      </c>
      <c r="C7" s="32" t="s">
        <v>19</v>
      </c>
      <c r="D7" s="88">
        <v>12</v>
      </c>
      <c r="E7" s="57">
        <v>80</v>
      </c>
      <c r="F7" s="30">
        <f t="shared" si="0"/>
        <v>960</v>
      </c>
      <c r="H7" s="26">
        <v>3</v>
      </c>
      <c r="I7" s="65" t="s">
        <v>576</v>
      </c>
      <c r="J7" s="32" t="s">
        <v>19</v>
      </c>
      <c r="K7" s="88">
        <v>12</v>
      </c>
      <c r="L7" s="57">
        <v>80</v>
      </c>
      <c r="M7" s="30">
        <f t="shared" si="1"/>
        <v>960</v>
      </c>
      <c r="N7" s="85"/>
      <c r="O7" s="11"/>
    </row>
    <row r="8" spans="1:18" s="10" customFormat="1" ht="23.25" x14ac:dyDescent="0.3">
      <c r="A8" s="26">
        <v>4</v>
      </c>
      <c r="B8" s="65" t="s">
        <v>122</v>
      </c>
      <c r="C8" s="32" t="s">
        <v>119</v>
      </c>
      <c r="D8" s="32">
        <v>0.09</v>
      </c>
      <c r="E8" s="57">
        <v>460</v>
      </c>
      <c r="F8" s="30">
        <f t="shared" si="0"/>
        <v>41.4</v>
      </c>
      <c r="H8" s="26">
        <v>4</v>
      </c>
      <c r="I8" s="65" t="s">
        <v>122</v>
      </c>
      <c r="J8" s="32" t="s">
        <v>119</v>
      </c>
      <c r="K8" s="32">
        <v>0.09</v>
      </c>
      <c r="L8" s="57">
        <v>460</v>
      </c>
      <c r="M8" s="30">
        <f t="shared" si="1"/>
        <v>41.4</v>
      </c>
      <c r="N8" s="85"/>
      <c r="O8" s="11"/>
    </row>
    <row r="9" spans="1:18" ht="24" thickBot="1" x14ac:dyDescent="0.3">
      <c r="A9" s="38"/>
      <c r="B9" s="39"/>
      <c r="C9" s="39"/>
      <c r="D9" s="39"/>
      <c r="E9" s="40" t="s">
        <v>16</v>
      </c>
      <c r="F9" s="35">
        <f>SUM(F5:F8)</f>
        <v>1441.4</v>
      </c>
      <c r="H9" s="38"/>
      <c r="I9" s="39"/>
      <c r="J9" s="39"/>
      <c r="K9" s="39"/>
      <c r="L9" s="40" t="s">
        <v>16</v>
      </c>
      <c r="M9" s="35">
        <f>SUM(M5:M8)</f>
        <v>1321.4</v>
      </c>
    </row>
    <row r="10" spans="1:18" ht="26.25" thickBot="1" x14ac:dyDescent="0.3">
      <c r="A10" s="76"/>
      <c r="B10" s="77"/>
      <c r="C10" s="77"/>
      <c r="D10" s="77"/>
      <c r="E10" s="78" t="s">
        <v>21</v>
      </c>
      <c r="F10" s="12">
        <f>SUMIF(E1:E19976,"CƏMİ",F1:F19976)</f>
        <v>1441.4</v>
      </c>
      <c r="H10" s="76"/>
      <c r="I10" s="77"/>
      <c r="J10" s="77"/>
      <c r="K10" s="77"/>
      <c r="L10" s="78" t="s">
        <v>21</v>
      </c>
      <c r="M10" s="12">
        <f>SUMIF(L1:L19976,"CƏMİ",M1:M19976)</f>
        <v>1321.4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F0FC-A208-4C30-B2F7-E53E6FFD93A7}">
  <sheetPr>
    <tabColor rgb="FFFFFF00"/>
    <pageSetUpPr fitToPage="1"/>
  </sheetPr>
  <dimension ref="A1:R13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L11" sqref="L11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87</v>
      </c>
      <c r="B1" s="175"/>
      <c r="C1" s="175"/>
      <c r="D1" s="175"/>
      <c r="E1" s="176" t="s">
        <v>0</v>
      </c>
      <c r="F1" s="177"/>
      <c r="H1" s="174" t="s">
        <v>87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45100</v>
      </c>
      <c r="H2" s="17"/>
      <c r="I2" s="18"/>
      <c r="J2" s="18"/>
      <c r="K2" s="19"/>
      <c r="L2" s="18"/>
      <c r="M2" s="46">
        <v>45100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F12</f>
        <v>10483.6</v>
      </c>
      <c r="O4" s="4"/>
    </row>
    <row r="5" spans="1:18" s="10" customFormat="1" ht="23.25" x14ac:dyDescent="0.3">
      <c r="A5" s="26">
        <v>1</v>
      </c>
      <c r="B5" s="70" t="s">
        <v>69</v>
      </c>
      <c r="C5" s="32" t="s">
        <v>19</v>
      </c>
      <c r="D5" s="88">
        <f>50-9</f>
        <v>41</v>
      </c>
      <c r="E5" s="57">
        <v>50</v>
      </c>
      <c r="F5" s="30">
        <f t="shared" ref="F5:F10" si="0">D5*E5</f>
        <v>2050</v>
      </c>
      <c r="H5" s="26">
        <v>1</v>
      </c>
      <c r="I5" s="70" t="s">
        <v>69</v>
      </c>
      <c r="J5" s="32" t="s">
        <v>19</v>
      </c>
      <c r="K5" s="88">
        <f>50-9</f>
        <v>41</v>
      </c>
      <c r="L5" s="57">
        <v>50</v>
      </c>
      <c r="M5" s="30">
        <f t="shared" ref="M5:M11" si="1">K5*L5</f>
        <v>2050</v>
      </c>
      <c r="N5" s="85"/>
      <c r="O5" s="11"/>
    </row>
    <row r="6" spans="1:18" s="10" customFormat="1" ht="23.25" x14ac:dyDescent="0.3">
      <c r="A6" s="26">
        <v>2</v>
      </c>
      <c r="B6" s="70" t="s">
        <v>750</v>
      </c>
      <c r="C6" s="32" t="s">
        <v>20</v>
      </c>
      <c r="D6" s="88">
        <f>124-19</f>
        <v>105</v>
      </c>
      <c r="E6" s="57">
        <v>30</v>
      </c>
      <c r="F6" s="30">
        <f t="shared" si="0"/>
        <v>3150</v>
      </c>
      <c r="H6" s="26">
        <v>2</v>
      </c>
      <c r="I6" s="70" t="s">
        <v>750</v>
      </c>
      <c r="J6" s="32" t="s">
        <v>20</v>
      </c>
      <c r="K6" s="88">
        <f>124-19</f>
        <v>105</v>
      </c>
      <c r="L6" s="57">
        <v>30</v>
      </c>
      <c r="M6" s="30">
        <f t="shared" si="1"/>
        <v>3150</v>
      </c>
      <c r="N6" s="85"/>
      <c r="O6" s="11"/>
    </row>
    <row r="7" spans="1:18" s="10" customFormat="1" ht="23.25" x14ac:dyDescent="0.3">
      <c r="A7" s="26">
        <v>3</v>
      </c>
      <c r="B7" s="65" t="s">
        <v>564</v>
      </c>
      <c r="C7" s="32" t="s">
        <v>19</v>
      </c>
      <c r="D7" s="32">
        <v>15</v>
      </c>
      <c r="E7" s="57">
        <v>50</v>
      </c>
      <c r="F7" s="30">
        <f t="shared" si="0"/>
        <v>750</v>
      </c>
      <c r="H7" s="26">
        <v>3</v>
      </c>
      <c r="I7" s="65" t="s">
        <v>564</v>
      </c>
      <c r="J7" s="32" t="s">
        <v>19</v>
      </c>
      <c r="K7" s="32">
        <v>15</v>
      </c>
      <c r="L7" s="57">
        <v>50</v>
      </c>
      <c r="M7" s="30">
        <f t="shared" si="1"/>
        <v>750</v>
      </c>
      <c r="N7" s="85"/>
      <c r="O7" s="11"/>
    </row>
    <row r="8" spans="1:18" s="10" customFormat="1" ht="23.25" x14ac:dyDescent="0.3">
      <c r="A8" s="26">
        <v>4</v>
      </c>
      <c r="B8" s="65" t="s">
        <v>772</v>
      </c>
      <c r="C8" s="32" t="s">
        <v>20</v>
      </c>
      <c r="D8" s="88">
        <f>18+18</f>
        <v>36</v>
      </c>
      <c r="E8" s="57">
        <v>30</v>
      </c>
      <c r="F8" s="30">
        <f t="shared" si="0"/>
        <v>1080</v>
      </c>
      <c r="H8" s="26">
        <v>4</v>
      </c>
      <c r="I8" s="65" t="s">
        <v>772</v>
      </c>
      <c r="J8" s="32" t="s">
        <v>20</v>
      </c>
      <c r="K8" s="115">
        <v>18</v>
      </c>
      <c r="L8" s="57">
        <v>30</v>
      </c>
      <c r="M8" s="30">
        <f t="shared" si="1"/>
        <v>540</v>
      </c>
      <c r="N8" s="85"/>
      <c r="O8" s="11"/>
    </row>
    <row r="9" spans="1:18" s="10" customFormat="1" ht="23.25" x14ac:dyDescent="0.3">
      <c r="A9" s="26">
        <v>5</v>
      </c>
      <c r="B9" s="65" t="s">
        <v>71</v>
      </c>
      <c r="C9" s="32" t="s">
        <v>19</v>
      </c>
      <c r="D9" s="32">
        <v>33</v>
      </c>
      <c r="E9" s="57">
        <v>50</v>
      </c>
      <c r="F9" s="30">
        <f t="shared" si="0"/>
        <v>1650</v>
      </c>
      <c r="H9" s="26">
        <v>5</v>
      </c>
      <c r="I9" s="65" t="s">
        <v>71</v>
      </c>
      <c r="J9" s="32" t="s">
        <v>19</v>
      </c>
      <c r="K9" s="115">
        <v>0</v>
      </c>
      <c r="L9" s="57">
        <v>50</v>
      </c>
      <c r="M9" s="30">
        <f t="shared" si="1"/>
        <v>0</v>
      </c>
      <c r="N9" s="85"/>
      <c r="O9" s="11"/>
    </row>
    <row r="10" spans="1:18" s="10" customFormat="1" ht="23.25" x14ac:dyDescent="0.3">
      <c r="A10" s="26">
        <v>6</v>
      </c>
      <c r="B10" s="65" t="s">
        <v>172</v>
      </c>
      <c r="C10" s="32" t="s">
        <v>20</v>
      </c>
      <c r="D10" s="32">
        <v>50</v>
      </c>
      <c r="E10" s="57">
        <v>30</v>
      </c>
      <c r="F10" s="30">
        <f t="shared" si="0"/>
        <v>1500</v>
      </c>
      <c r="H10" s="26">
        <v>6</v>
      </c>
      <c r="I10" s="65" t="s">
        <v>172</v>
      </c>
      <c r="J10" s="32" t="s">
        <v>20</v>
      </c>
      <c r="K10" s="32">
        <v>50</v>
      </c>
      <c r="L10" s="118">
        <v>25</v>
      </c>
      <c r="M10" s="30">
        <f t="shared" si="1"/>
        <v>1250</v>
      </c>
      <c r="N10" s="85"/>
      <c r="O10" s="11"/>
    </row>
    <row r="11" spans="1:18" s="10" customFormat="1" ht="23.25" x14ac:dyDescent="0.3">
      <c r="A11" s="26">
        <v>7</v>
      </c>
      <c r="B11" s="65" t="s">
        <v>122</v>
      </c>
      <c r="C11" s="32" t="s">
        <v>119</v>
      </c>
      <c r="D11" s="32">
        <v>0.66</v>
      </c>
      <c r="E11" s="57">
        <v>460</v>
      </c>
      <c r="F11" s="30">
        <f t="shared" ref="F11" si="2">D11*E11</f>
        <v>303.60000000000002</v>
      </c>
      <c r="H11" s="26">
        <v>7</v>
      </c>
      <c r="I11" s="65" t="s">
        <v>122</v>
      </c>
      <c r="J11" s="32" t="s">
        <v>119</v>
      </c>
      <c r="K11" s="32">
        <v>0.66</v>
      </c>
      <c r="L11" s="57">
        <v>460</v>
      </c>
      <c r="M11" s="30">
        <f t="shared" si="1"/>
        <v>303.60000000000002</v>
      </c>
      <c r="N11" s="85"/>
      <c r="O11" s="11"/>
    </row>
    <row r="12" spans="1:18" ht="24" thickBot="1" x14ac:dyDescent="0.3">
      <c r="A12" s="38"/>
      <c r="B12" s="39"/>
      <c r="C12" s="39"/>
      <c r="D12" s="39"/>
      <c r="E12" s="40" t="s">
        <v>16</v>
      </c>
      <c r="F12" s="35">
        <f>SUM(F5:F11)</f>
        <v>10483.6</v>
      </c>
      <c r="H12" s="38"/>
      <c r="I12" s="39"/>
      <c r="J12" s="39"/>
      <c r="K12" s="39"/>
      <c r="L12" s="40" t="s">
        <v>16</v>
      </c>
      <c r="M12" s="35">
        <f>SUM(M5:M11)</f>
        <v>8043.6</v>
      </c>
    </row>
    <row r="13" spans="1:18" ht="26.25" thickBot="1" x14ac:dyDescent="0.3">
      <c r="A13" s="76"/>
      <c r="B13" s="77"/>
      <c r="C13" s="77"/>
      <c r="D13" s="77"/>
      <c r="E13" s="78" t="s">
        <v>21</v>
      </c>
      <c r="F13" s="12">
        <f>SUMIF(E1:E19979,"CƏMİ",F1:F19979)</f>
        <v>10483.6</v>
      </c>
      <c r="H13" s="76"/>
      <c r="I13" s="77"/>
      <c r="J13" s="77"/>
      <c r="K13" s="77"/>
      <c r="L13" s="78" t="s">
        <v>21</v>
      </c>
      <c r="M13" s="12">
        <f>SUMIF(L1:L19979,"CƏMİ",M1:M19979)</f>
        <v>8043.6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076C-A3F0-4049-AA5F-28768672F98E}">
  <sheetPr>
    <tabColor rgb="FFFFFF00"/>
    <pageSetUpPr fitToPage="1"/>
  </sheetPr>
  <dimension ref="A1:R8"/>
  <sheetViews>
    <sheetView view="pageBreakPreview" zoomScale="55" zoomScaleNormal="55" zoomScaleSheetLayoutView="55" workbookViewId="0">
      <pane ySplit="3" topLeftCell="A4" activePane="bottomLeft" state="frozen"/>
      <selection activeCell="D13" sqref="D13"/>
      <selection pane="bottomLeft" activeCell="E20" sqref="E20"/>
    </sheetView>
  </sheetViews>
  <sheetFormatPr defaultColWidth="9.140625" defaultRowHeight="15" x14ac:dyDescent="0.25"/>
  <cols>
    <col min="1" max="1" width="6.42578125" style="5" bestFit="1" customWidth="1"/>
    <col min="2" max="2" width="109.8554687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09.8554687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375</v>
      </c>
      <c r="B1" s="175"/>
      <c r="C1" s="175"/>
      <c r="D1" s="175"/>
      <c r="E1" s="176" t="s">
        <v>0</v>
      </c>
      <c r="F1" s="177"/>
      <c r="H1" s="174" t="s">
        <v>375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F7</f>
        <v>1030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21</v>
      </c>
      <c r="E5" s="57">
        <v>30</v>
      </c>
      <c r="F5" s="30">
        <f>D5*E5</f>
        <v>630</v>
      </c>
      <c r="H5" s="26">
        <v>1</v>
      </c>
      <c r="I5" s="70" t="s">
        <v>559</v>
      </c>
      <c r="J5" s="32" t="s">
        <v>20</v>
      </c>
      <c r="K5" s="88">
        <v>21</v>
      </c>
      <c r="L5" s="57">
        <v>30</v>
      </c>
      <c r="M5" s="30">
        <f>K5*L5</f>
        <v>630</v>
      </c>
      <c r="N5" s="85"/>
      <c r="O5" s="11"/>
    </row>
    <row r="6" spans="1:18" s="10" customFormat="1" ht="23.25" x14ac:dyDescent="0.3">
      <c r="A6" s="26">
        <v>2</v>
      </c>
      <c r="B6" s="70" t="s">
        <v>555</v>
      </c>
      <c r="C6" s="32" t="s">
        <v>19</v>
      </c>
      <c r="D6" s="32">
        <v>8</v>
      </c>
      <c r="E6" s="57">
        <v>50</v>
      </c>
      <c r="F6" s="30">
        <f t="shared" ref="F6" si="0">D6*E6</f>
        <v>400</v>
      </c>
      <c r="H6" s="26">
        <v>2</v>
      </c>
      <c r="I6" s="70" t="s">
        <v>555</v>
      </c>
      <c r="J6" s="32" t="s">
        <v>19</v>
      </c>
      <c r="K6" s="32">
        <v>8</v>
      </c>
      <c r="L6" s="57">
        <v>50</v>
      </c>
      <c r="M6" s="30">
        <f t="shared" ref="M6" si="1">K6*L6</f>
        <v>400</v>
      </c>
      <c r="N6" s="85"/>
      <c r="O6" s="11"/>
    </row>
    <row r="7" spans="1:18" ht="24" thickBot="1" x14ac:dyDescent="0.3">
      <c r="A7" s="38"/>
      <c r="B7" s="39"/>
      <c r="C7" s="39"/>
      <c r="D7" s="39"/>
      <c r="E7" s="40" t="s">
        <v>16</v>
      </c>
      <c r="F7" s="35">
        <f>SUM(F5:F6)</f>
        <v>1030</v>
      </c>
      <c r="H7" s="38"/>
      <c r="I7" s="39"/>
      <c r="J7" s="39"/>
      <c r="K7" s="39"/>
      <c r="L7" s="40" t="s">
        <v>16</v>
      </c>
      <c r="M7" s="35">
        <f>SUM(M5:M6)</f>
        <v>1030</v>
      </c>
    </row>
    <row r="8" spans="1:18" ht="26.25" thickBot="1" x14ac:dyDescent="0.3">
      <c r="A8" s="76"/>
      <c r="B8" s="77"/>
      <c r="C8" s="77"/>
      <c r="D8" s="77"/>
      <c r="E8" s="78" t="s">
        <v>21</v>
      </c>
      <c r="F8" s="12">
        <f>SUMIF(E1:E19974,"CƏMİ",F1:F19974)</f>
        <v>1030</v>
      </c>
      <c r="H8" s="76"/>
      <c r="I8" s="77"/>
      <c r="J8" s="77"/>
      <c r="K8" s="77"/>
      <c r="L8" s="78" t="s">
        <v>21</v>
      </c>
      <c r="M8" s="12">
        <f>SUMIF(L1:L19974,"CƏMİ",M1:M19974)</f>
        <v>1030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78CB-AAAE-4396-8366-901389A4820F}">
  <sheetPr>
    <tabColor rgb="FFFFFF00"/>
    <pageSetUpPr fitToPage="1"/>
  </sheetPr>
  <dimension ref="A1:R8"/>
  <sheetViews>
    <sheetView view="pageBreakPreview" zoomScale="55" zoomScaleNormal="55" zoomScaleSheetLayoutView="55" workbookViewId="0">
      <pane ySplit="3" topLeftCell="A4" activePane="bottomLeft" state="frozen"/>
      <selection activeCell="D13" sqref="D13"/>
      <selection pane="bottomLeft" activeCell="E21" sqref="E21"/>
    </sheetView>
  </sheetViews>
  <sheetFormatPr defaultColWidth="9.140625" defaultRowHeight="15" x14ac:dyDescent="0.25"/>
  <cols>
    <col min="1" max="1" width="6.42578125" style="5" bestFit="1" customWidth="1"/>
    <col min="2" max="2" width="109.8554687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09.8554687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378</v>
      </c>
      <c r="B1" s="175"/>
      <c r="C1" s="175"/>
      <c r="D1" s="175"/>
      <c r="E1" s="176" t="s">
        <v>0</v>
      </c>
      <c r="F1" s="177"/>
      <c r="H1" s="174" t="s">
        <v>378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F7</f>
        <v>2470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54</v>
      </c>
      <c r="E5" s="57">
        <v>30</v>
      </c>
      <c r="F5" s="30">
        <f>D5*E5</f>
        <v>1620</v>
      </c>
      <c r="H5" s="26">
        <v>1</v>
      </c>
      <c r="I5" s="70" t="s">
        <v>559</v>
      </c>
      <c r="J5" s="32" t="s">
        <v>20</v>
      </c>
      <c r="K5" s="88">
        <v>54</v>
      </c>
      <c r="L5" s="57">
        <v>30</v>
      </c>
      <c r="M5" s="30">
        <f>K5*L5</f>
        <v>1620</v>
      </c>
      <c r="N5" s="85"/>
      <c r="O5" s="11"/>
    </row>
    <row r="6" spans="1:18" s="10" customFormat="1" ht="23.25" x14ac:dyDescent="0.3">
      <c r="A6" s="26">
        <v>2</v>
      </c>
      <c r="B6" s="70" t="s">
        <v>555</v>
      </c>
      <c r="C6" s="32" t="s">
        <v>19</v>
      </c>
      <c r="D6" s="32">
        <v>17</v>
      </c>
      <c r="E6" s="57">
        <v>50</v>
      </c>
      <c r="F6" s="30">
        <f t="shared" ref="F6" si="0">D6*E6</f>
        <v>850</v>
      </c>
      <c r="H6" s="26">
        <v>2</v>
      </c>
      <c r="I6" s="70" t="s">
        <v>555</v>
      </c>
      <c r="J6" s="32" t="s">
        <v>19</v>
      </c>
      <c r="K6" s="32">
        <v>17</v>
      </c>
      <c r="L6" s="57">
        <v>50</v>
      </c>
      <c r="M6" s="30">
        <f t="shared" ref="M6" si="1">K6*L6</f>
        <v>850</v>
      </c>
      <c r="N6" s="85"/>
      <c r="O6" s="11"/>
    </row>
    <row r="7" spans="1:18" ht="24" thickBot="1" x14ac:dyDescent="0.3">
      <c r="A7" s="38"/>
      <c r="B7" s="39"/>
      <c r="C7" s="39"/>
      <c r="D7" s="39"/>
      <c r="E7" s="40" t="s">
        <v>16</v>
      </c>
      <c r="F7" s="35">
        <f>SUM(F5:F6)</f>
        <v>2470</v>
      </c>
      <c r="H7" s="38"/>
      <c r="I7" s="39"/>
      <c r="J7" s="39"/>
      <c r="K7" s="39"/>
      <c r="L7" s="40" t="s">
        <v>16</v>
      </c>
      <c r="M7" s="35">
        <f>SUM(M5:M6)</f>
        <v>2470</v>
      </c>
    </row>
    <row r="8" spans="1:18" ht="26.25" thickBot="1" x14ac:dyDescent="0.3">
      <c r="A8" s="76"/>
      <c r="B8" s="77"/>
      <c r="C8" s="77"/>
      <c r="D8" s="77"/>
      <c r="E8" s="78" t="s">
        <v>21</v>
      </c>
      <c r="F8" s="12">
        <f>SUMIF(E1:E19974,"CƏMİ",F1:F19974)</f>
        <v>2470</v>
      </c>
      <c r="H8" s="76"/>
      <c r="I8" s="77"/>
      <c r="J8" s="77"/>
      <c r="K8" s="77"/>
      <c r="L8" s="78" t="s">
        <v>21</v>
      </c>
      <c r="M8" s="12">
        <f>SUMIF(L1:L19974,"CƏMİ",M1:M19974)</f>
        <v>2470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F018-CCBA-4064-BBE6-D204EBA5AB3A}">
  <sheetPr>
    <tabColor rgb="FFFFFF00"/>
    <pageSetUpPr fitToPage="1"/>
  </sheetPr>
  <dimension ref="A1:R8"/>
  <sheetViews>
    <sheetView view="pageBreakPreview" zoomScale="55" zoomScaleNormal="55" zoomScaleSheetLayoutView="55" workbookViewId="0">
      <pane ySplit="3" topLeftCell="A4" activePane="bottomLeft" state="frozen"/>
      <selection activeCell="D13" sqref="D13"/>
      <selection pane="bottomLeft" activeCell="O3" sqref="O3"/>
    </sheetView>
  </sheetViews>
  <sheetFormatPr defaultColWidth="9.140625" defaultRowHeight="15" x14ac:dyDescent="0.25"/>
  <cols>
    <col min="1" max="1" width="6.42578125" style="5" bestFit="1" customWidth="1"/>
    <col min="2" max="2" width="109.8554687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09.8554687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381</v>
      </c>
      <c r="B1" s="175"/>
      <c r="C1" s="175"/>
      <c r="D1" s="175"/>
      <c r="E1" s="176" t="s">
        <v>0</v>
      </c>
      <c r="F1" s="177"/>
      <c r="H1" s="174" t="s">
        <v>381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F7</f>
        <v>2580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56</v>
      </c>
      <c r="E5" s="57">
        <v>30</v>
      </c>
      <c r="F5" s="30">
        <f>D5*E5</f>
        <v>1680</v>
      </c>
      <c r="H5" s="26">
        <v>1</v>
      </c>
      <c r="I5" s="70" t="s">
        <v>559</v>
      </c>
      <c r="J5" s="32" t="s">
        <v>20</v>
      </c>
      <c r="K5" s="88">
        <v>56</v>
      </c>
      <c r="L5" s="57">
        <v>30</v>
      </c>
      <c r="M5" s="30">
        <f>K5*L5</f>
        <v>1680</v>
      </c>
      <c r="N5" s="85"/>
      <c r="O5" s="11"/>
    </row>
    <row r="6" spans="1:18" s="10" customFormat="1" ht="23.25" x14ac:dyDescent="0.3">
      <c r="A6" s="26">
        <v>2</v>
      </c>
      <c r="B6" s="70" t="s">
        <v>555</v>
      </c>
      <c r="C6" s="32" t="s">
        <v>19</v>
      </c>
      <c r="D6" s="32">
        <v>18</v>
      </c>
      <c r="E6" s="57">
        <v>50</v>
      </c>
      <c r="F6" s="30">
        <f t="shared" ref="F6" si="0">D6*E6</f>
        <v>900</v>
      </c>
      <c r="H6" s="26">
        <v>2</v>
      </c>
      <c r="I6" s="70" t="s">
        <v>555</v>
      </c>
      <c r="J6" s="32" t="s">
        <v>19</v>
      </c>
      <c r="K6" s="32">
        <v>18</v>
      </c>
      <c r="L6" s="57">
        <v>50</v>
      </c>
      <c r="M6" s="30">
        <f t="shared" ref="M6" si="1">K6*L6</f>
        <v>900</v>
      </c>
      <c r="N6" s="85"/>
      <c r="O6" s="11"/>
    </row>
    <row r="7" spans="1:18" ht="24" thickBot="1" x14ac:dyDescent="0.3">
      <c r="A7" s="38"/>
      <c r="B7" s="39"/>
      <c r="C7" s="39"/>
      <c r="D7" s="39"/>
      <c r="E7" s="40" t="s">
        <v>16</v>
      </c>
      <c r="F7" s="35">
        <f>SUM(F5:F6)</f>
        <v>2580</v>
      </c>
      <c r="H7" s="38"/>
      <c r="I7" s="39"/>
      <c r="J7" s="39"/>
      <c r="K7" s="39"/>
      <c r="L7" s="40" t="s">
        <v>16</v>
      </c>
      <c r="M7" s="35">
        <f>SUM(M5:M6)</f>
        <v>2580</v>
      </c>
    </row>
    <row r="8" spans="1:18" ht="26.25" thickBot="1" x14ac:dyDescent="0.3">
      <c r="A8" s="76"/>
      <c r="B8" s="77"/>
      <c r="C8" s="77"/>
      <c r="D8" s="77"/>
      <c r="E8" s="78" t="s">
        <v>21</v>
      </c>
      <c r="F8" s="12">
        <f>SUMIF(E1:E19974,"CƏMİ",F1:F19974)</f>
        <v>2580</v>
      </c>
      <c r="H8" s="76"/>
      <c r="I8" s="77"/>
      <c r="J8" s="77"/>
      <c r="K8" s="77"/>
      <c r="L8" s="78" t="s">
        <v>21</v>
      </c>
      <c r="M8" s="12">
        <f>SUMIF(L1:L19974,"CƏMİ",M1:M19974)</f>
        <v>2580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EDD01-DF99-4339-83A4-B760FDEC379A}">
  <sheetPr>
    <tabColor rgb="FFFFFF00"/>
    <pageSetUpPr fitToPage="1"/>
  </sheetPr>
  <dimension ref="A1:R14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L12" sqref="L12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173</v>
      </c>
      <c r="B1" s="175"/>
      <c r="C1" s="175"/>
      <c r="D1" s="175"/>
      <c r="E1" s="176" t="s">
        <v>0</v>
      </c>
      <c r="F1" s="177"/>
      <c r="H1" s="174" t="s">
        <v>173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45128</v>
      </c>
      <c r="H2" s="17"/>
      <c r="I2" s="18"/>
      <c r="J2" s="18"/>
      <c r="K2" s="19"/>
      <c r="L2" s="18"/>
      <c r="M2" s="46">
        <v>45128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F13</f>
        <v>9850.7999999999993</v>
      </c>
      <c r="O4" s="4"/>
    </row>
    <row r="5" spans="1:18" s="10" customFormat="1" ht="23.25" x14ac:dyDescent="0.3">
      <c r="A5" s="26">
        <v>1</v>
      </c>
      <c r="B5" s="70" t="s">
        <v>69</v>
      </c>
      <c r="C5" s="32" t="s">
        <v>19</v>
      </c>
      <c r="D5" s="88">
        <v>10.8</v>
      </c>
      <c r="E5" s="57">
        <v>50</v>
      </c>
      <c r="F5" s="30">
        <f t="shared" ref="F5:F12" si="0">D5*E5</f>
        <v>540</v>
      </c>
      <c r="H5" s="26">
        <v>1</v>
      </c>
      <c r="I5" s="70" t="s">
        <v>69</v>
      </c>
      <c r="J5" s="32" t="s">
        <v>19</v>
      </c>
      <c r="K5" s="88">
        <v>10.8</v>
      </c>
      <c r="L5" s="57">
        <v>50</v>
      </c>
      <c r="M5" s="30">
        <f t="shared" ref="M5:M12" si="1">K5*L5</f>
        <v>540</v>
      </c>
      <c r="N5" s="85"/>
      <c r="O5" s="11"/>
    </row>
    <row r="6" spans="1:18" s="10" customFormat="1" ht="23.25" x14ac:dyDescent="0.3">
      <c r="A6" s="26">
        <v>2</v>
      </c>
      <c r="B6" s="70" t="s">
        <v>750</v>
      </c>
      <c r="C6" s="32" t="s">
        <v>20</v>
      </c>
      <c r="D6" s="88">
        <v>35.9</v>
      </c>
      <c r="E6" s="57">
        <v>30</v>
      </c>
      <c r="F6" s="30">
        <f t="shared" si="0"/>
        <v>1077</v>
      </c>
      <c r="H6" s="26">
        <v>2</v>
      </c>
      <c r="I6" s="70" t="s">
        <v>750</v>
      </c>
      <c r="J6" s="32" t="s">
        <v>20</v>
      </c>
      <c r="K6" s="88">
        <v>35.9</v>
      </c>
      <c r="L6" s="57">
        <v>30</v>
      </c>
      <c r="M6" s="30">
        <f t="shared" si="1"/>
        <v>1077</v>
      </c>
      <c r="N6" s="85"/>
      <c r="O6" s="11"/>
    </row>
    <row r="7" spans="1:18" s="10" customFormat="1" ht="23.25" x14ac:dyDescent="0.3">
      <c r="A7" s="26">
        <v>3</v>
      </c>
      <c r="B7" s="65" t="s">
        <v>564</v>
      </c>
      <c r="C7" s="32" t="s">
        <v>19</v>
      </c>
      <c r="D7" s="32">
        <v>10.4</v>
      </c>
      <c r="E7" s="57">
        <v>50</v>
      </c>
      <c r="F7" s="30">
        <f t="shared" si="0"/>
        <v>520</v>
      </c>
      <c r="H7" s="26">
        <v>3</v>
      </c>
      <c r="I7" s="65" t="s">
        <v>564</v>
      </c>
      <c r="J7" s="32" t="s">
        <v>19</v>
      </c>
      <c r="K7" s="32">
        <v>10.4</v>
      </c>
      <c r="L7" s="57">
        <v>50</v>
      </c>
      <c r="M7" s="30">
        <f t="shared" si="1"/>
        <v>520</v>
      </c>
      <c r="N7" s="85"/>
      <c r="O7" s="11"/>
    </row>
    <row r="8" spans="1:18" s="10" customFormat="1" ht="23.25" x14ac:dyDescent="0.3">
      <c r="A8" s="26">
        <v>4</v>
      </c>
      <c r="B8" s="65" t="s">
        <v>772</v>
      </c>
      <c r="C8" s="32" t="s">
        <v>20</v>
      </c>
      <c r="D8" s="88">
        <v>34.799999999999997</v>
      </c>
      <c r="E8" s="57">
        <v>30</v>
      </c>
      <c r="F8" s="30">
        <f t="shared" si="0"/>
        <v>1044</v>
      </c>
      <c r="H8" s="26">
        <v>4</v>
      </c>
      <c r="I8" s="65" t="s">
        <v>772</v>
      </c>
      <c r="J8" s="32" t="s">
        <v>20</v>
      </c>
      <c r="K8" s="115">
        <v>17.399999999999999</v>
      </c>
      <c r="L8" s="57">
        <v>30</v>
      </c>
      <c r="M8" s="30">
        <f t="shared" si="1"/>
        <v>522</v>
      </c>
      <c r="N8" s="85"/>
      <c r="O8" s="11"/>
    </row>
    <row r="9" spans="1:18" s="10" customFormat="1" ht="23.25" x14ac:dyDescent="0.3">
      <c r="A9" s="26">
        <v>5</v>
      </c>
      <c r="B9" s="65" t="s">
        <v>742</v>
      </c>
      <c r="C9" s="32" t="s">
        <v>19</v>
      </c>
      <c r="D9" s="32">
        <v>39.4</v>
      </c>
      <c r="E9" s="57">
        <v>80</v>
      </c>
      <c r="F9" s="30">
        <f t="shared" ref="F9" si="2">D9*E9</f>
        <v>3152</v>
      </c>
      <c r="H9" s="26">
        <v>5</v>
      </c>
      <c r="I9" s="65" t="s">
        <v>742</v>
      </c>
      <c r="J9" s="32" t="s">
        <v>19</v>
      </c>
      <c r="K9" s="32">
        <v>39.4</v>
      </c>
      <c r="L9" s="57">
        <v>80</v>
      </c>
      <c r="M9" s="30">
        <f t="shared" si="1"/>
        <v>3152</v>
      </c>
      <c r="N9" s="85"/>
      <c r="O9" s="11"/>
    </row>
    <row r="10" spans="1:18" s="10" customFormat="1" ht="23.25" x14ac:dyDescent="0.3">
      <c r="A10" s="26">
        <v>5</v>
      </c>
      <c r="B10" s="65" t="s">
        <v>71</v>
      </c>
      <c r="C10" s="32" t="s">
        <v>19</v>
      </c>
      <c r="D10" s="32">
        <v>33.799999999999997</v>
      </c>
      <c r="E10" s="57">
        <v>50</v>
      </c>
      <c r="F10" s="30">
        <f t="shared" si="0"/>
        <v>1689.9999999999998</v>
      </c>
      <c r="H10" s="26">
        <v>5</v>
      </c>
      <c r="I10" s="65" t="s">
        <v>71</v>
      </c>
      <c r="J10" s="32" t="s">
        <v>19</v>
      </c>
      <c r="K10" s="115">
        <v>0</v>
      </c>
      <c r="L10" s="57">
        <v>50</v>
      </c>
      <c r="M10" s="30">
        <f t="shared" si="1"/>
        <v>0</v>
      </c>
      <c r="N10" s="85"/>
      <c r="O10" s="11"/>
    </row>
    <row r="11" spans="1:18" s="10" customFormat="1" ht="23.25" x14ac:dyDescent="0.3">
      <c r="A11" s="26">
        <v>6</v>
      </c>
      <c r="B11" s="65" t="s">
        <v>172</v>
      </c>
      <c r="C11" s="32" t="s">
        <v>20</v>
      </c>
      <c r="D11" s="32">
        <v>55.1</v>
      </c>
      <c r="E11" s="57">
        <v>30</v>
      </c>
      <c r="F11" s="30">
        <f t="shared" si="0"/>
        <v>1653</v>
      </c>
      <c r="H11" s="26">
        <v>6</v>
      </c>
      <c r="I11" s="65" t="s">
        <v>172</v>
      </c>
      <c r="J11" s="32" t="s">
        <v>20</v>
      </c>
      <c r="K11" s="32">
        <v>55.1</v>
      </c>
      <c r="L11" s="118">
        <v>25</v>
      </c>
      <c r="M11" s="30">
        <f t="shared" si="1"/>
        <v>1377.5</v>
      </c>
      <c r="N11" s="85"/>
      <c r="O11" s="11"/>
    </row>
    <row r="12" spans="1:18" s="10" customFormat="1" ht="23.25" x14ac:dyDescent="0.3">
      <c r="A12" s="26">
        <v>7</v>
      </c>
      <c r="B12" s="65" t="s">
        <v>122</v>
      </c>
      <c r="C12" s="32" t="s">
        <v>119</v>
      </c>
      <c r="D12" s="32">
        <v>0.38</v>
      </c>
      <c r="E12" s="57">
        <v>460</v>
      </c>
      <c r="F12" s="30">
        <f t="shared" si="0"/>
        <v>174.8</v>
      </c>
      <c r="H12" s="26">
        <v>7</v>
      </c>
      <c r="I12" s="65" t="s">
        <v>122</v>
      </c>
      <c r="J12" s="32" t="s">
        <v>119</v>
      </c>
      <c r="K12" s="32">
        <v>0.38</v>
      </c>
      <c r="L12" s="57">
        <v>460</v>
      </c>
      <c r="M12" s="30">
        <f t="shared" si="1"/>
        <v>174.8</v>
      </c>
      <c r="N12" s="85"/>
      <c r="O12" s="11"/>
    </row>
    <row r="13" spans="1:18" ht="24" thickBot="1" x14ac:dyDescent="0.3">
      <c r="A13" s="38"/>
      <c r="B13" s="39"/>
      <c r="C13" s="39"/>
      <c r="D13" s="39"/>
      <c r="E13" s="40" t="s">
        <v>16</v>
      </c>
      <c r="F13" s="35">
        <f>SUM(F5:F12)</f>
        <v>9850.7999999999993</v>
      </c>
      <c r="H13" s="38"/>
      <c r="I13" s="39"/>
      <c r="J13" s="39"/>
      <c r="K13" s="39"/>
      <c r="L13" s="40" t="s">
        <v>16</v>
      </c>
      <c r="M13" s="35">
        <f>SUM(M5:M12)</f>
        <v>7363.3</v>
      </c>
    </row>
    <row r="14" spans="1:18" ht="26.25" thickBot="1" x14ac:dyDescent="0.3">
      <c r="A14" s="76"/>
      <c r="B14" s="77"/>
      <c r="C14" s="77"/>
      <c r="D14" s="77"/>
      <c r="E14" s="78" t="s">
        <v>21</v>
      </c>
      <c r="F14" s="12">
        <f>SUMIF(E1:E19980,"CƏMİ",F1:F19980)</f>
        <v>9850.7999999999993</v>
      </c>
      <c r="H14" s="76"/>
      <c r="I14" s="77"/>
      <c r="J14" s="77"/>
      <c r="K14" s="77"/>
      <c r="L14" s="78" t="s">
        <v>21</v>
      </c>
      <c r="M14" s="12">
        <f>SUMIF(L1:L19980,"CƏMİ",M1:M19980)</f>
        <v>7363.3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B9DD-C724-4224-8F02-9270F36A5B84}">
  <sheetPr>
    <tabColor rgb="FFFFFF00"/>
    <pageSetUpPr fitToPage="1"/>
  </sheetPr>
  <dimension ref="A1:R13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K11" sqref="K11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234</v>
      </c>
      <c r="B1" s="175"/>
      <c r="C1" s="175"/>
      <c r="D1" s="175"/>
      <c r="E1" s="176" t="s">
        <v>0</v>
      </c>
      <c r="F1" s="177"/>
      <c r="H1" s="174" t="s">
        <v>234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45219</v>
      </c>
      <c r="H2" s="17"/>
      <c r="I2" s="18"/>
      <c r="J2" s="18"/>
      <c r="K2" s="19"/>
      <c r="L2" s="18"/>
      <c r="M2" s="46">
        <v>45219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F12</f>
        <v>6057.2</v>
      </c>
      <c r="O4" s="4"/>
    </row>
    <row r="5" spans="1:18" s="10" customFormat="1" ht="23.25" x14ac:dyDescent="0.3">
      <c r="A5" s="26">
        <v>1</v>
      </c>
      <c r="B5" s="70" t="s">
        <v>750</v>
      </c>
      <c r="C5" s="32" t="s">
        <v>20</v>
      </c>
      <c r="D5" s="88">
        <v>40.4</v>
      </c>
      <c r="E5" s="57">
        <v>30</v>
      </c>
      <c r="F5" s="30">
        <f t="shared" ref="F5:F10" si="0">D5*E5</f>
        <v>1212</v>
      </c>
      <c r="H5" s="26">
        <v>1</v>
      </c>
      <c r="I5" s="70" t="s">
        <v>750</v>
      </c>
      <c r="J5" s="32" t="s">
        <v>20</v>
      </c>
      <c r="K5" s="88">
        <v>40.4</v>
      </c>
      <c r="L5" s="57">
        <v>30</v>
      </c>
      <c r="M5" s="30">
        <f t="shared" ref="M5:M11" si="1">K5*L5</f>
        <v>1212</v>
      </c>
      <c r="N5" s="85"/>
      <c r="O5" s="11"/>
    </row>
    <row r="6" spans="1:18" s="10" customFormat="1" ht="23.25" x14ac:dyDescent="0.3">
      <c r="A6" s="26">
        <v>2</v>
      </c>
      <c r="B6" s="65" t="s">
        <v>44</v>
      </c>
      <c r="C6" s="32" t="s">
        <v>19</v>
      </c>
      <c r="D6" s="32">
        <v>13.2</v>
      </c>
      <c r="E6" s="57">
        <v>50</v>
      </c>
      <c r="F6" s="30">
        <f t="shared" si="0"/>
        <v>660</v>
      </c>
      <c r="H6" s="26">
        <v>2</v>
      </c>
      <c r="I6" s="65" t="s">
        <v>44</v>
      </c>
      <c r="J6" s="32" t="s">
        <v>19</v>
      </c>
      <c r="K6" s="32">
        <v>13.2</v>
      </c>
      <c r="L6" s="57">
        <v>50</v>
      </c>
      <c r="M6" s="30">
        <f t="shared" si="1"/>
        <v>660</v>
      </c>
      <c r="N6" s="85"/>
      <c r="O6" s="11"/>
    </row>
    <row r="7" spans="1:18" s="10" customFormat="1" ht="23.25" x14ac:dyDescent="0.3">
      <c r="A7" s="26">
        <v>3</v>
      </c>
      <c r="B7" s="65" t="s">
        <v>227</v>
      </c>
      <c r="C7" s="32" t="s">
        <v>20</v>
      </c>
      <c r="D7" s="32">
        <v>26</v>
      </c>
      <c r="E7" s="57">
        <v>30</v>
      </c>
      <c r="F7" s="30">
        <f t="shared" si="0"/>
        <v>780</v>
      </c>
      <c r="H7" s="26">
        <v>3</v>
      </c>
      <c r="I7" s="65" t="s">
        <v>227</v>
      </c>
      <c r="J7" s="32" t="s">
        <v>20</v>
      </c>
      <c r="K7" s="115">
        <v>13</v>
      </c>
      <c r="L7" s="57">
        <v>30</v>
      </c>
      <c r="M7" s="30">
        <f t="shared" si="1"/>
        <v>390</v>
      </c>
      <c r="N7" s="85"/>
      <c r="O7" s="11"/>
    </row>
    <row r="8" spans="1:18" s="10" customFormat="1" ht="23.25" x14ac:dyDescent="0.3">
      <c r="A8" s="26">
        <v>4</v>
      </c>
      <c r="B8" s="65" t="s">
        <v>231</v>
      </c>
      <c r="C8" s="32" t="s">
        <v>19</v>
      </c>
      <c r="D8" s="88">
        <v>10</v>
      </c>
      <c r="E8" s="57">
        <v>50</v>
      </c>
      <c r="F8" s="30">
        <f t="shared" si="0"/>
        <v>500</v>
      </c>
      <c r="H8" s="26">
        <v>4</v>
      </c>
      <c r="I8" s="65" t="s">
        <v>231</v>
      </c>
      <c r="J8" s="32" t="s">
        <v>19</v>
      </c>
      <c r="K8" s="88">
        <v>10</v>
      </c>
      <c r="L8" s="57">
        <v>50</v>
      </c>
      <c r="M8" s="30">
        <f t="shared" si="1"/>
        <v>500</v>
      </c>
      <c r="N8" s="85"/>
      <c r="O8" s="11"/>
    </row>
    <row r="9" spans="1:18" s="10" customFormat="1" ht="23.25" x14ac:dyDescent="0.3">
      <c r="A9" s="26">
        <v>5</v>
      </c>
      <c r="B9" s="65" t="s">
        <v>172</v>
      </c>
      <c r="C9" s="32" t="s">
        <v>20</v>
      </c>
      <c r="D9" s="32">
        <v>44.2</v>
      </c>
      <c r="E9" s="57">
        <v>30</v>
      </c>
      <c r="F9" s="30">
        <f t="shared" si="0"/>
        <v>1326</v>
      </c>
      <c r="H9" s="26">
        <v>5</v>
      </c>
      <c r="I9" s="65" t="s">
        <v>172</v>
      </c>
      <c r="J9" s="32" t="s">
        <v>20</v>
      </c>
      <c r="K9" s="32">
        <v>44.2</v>
      </c>
      <c r="L9" s="118">
        <v>25</v>
      </c>
      <c r="M9" s="30">
        <f t="shared" si="1"/>
        <v>1105</v>
      </c>
      <c r="N9" s="85"/>
      <c r="O9" s="11"/>
    </row>
    <row r="10" spans="1:18" s="10" customFormat="1" ht="46.5" x14ac:dyDescent="0.3">
      <c r="A10" s="26">
        <v>6</v>
      </c>
      <c r="B10" s="31" t="s">
        <v>744</v>
      </c>
      <c r="C10" s="32" t="s">
        <v>19</v>
      </c>
      <c r="D10" s="32">
        <v>29.1</v>
      </c>
      <c r="E10" s="57">
        <v>50</v>
      </c>
      <c r="F10" s="30">
        <f t="shared" si="0"/>
        <v>1455</v>
      </c>
      <c r="H10" s="26">
        <v>6</v>
      </c>
      <c r="I10" s="31" t="s">
        <v>744</v>
      </c>
      <c r="J10" s="32" t="s">
        <v>19</v>
      </c>
      <c r="K10" s="115">
        <v>0</v>
      </c>
      <c r="L10" s="57">
        <v>50</v>
      </c>
      <c r="M10" s="30">
        <f t="shared" si="1"/>
        <v>0</v>
      </c>
      <c r="N10" s="85"/>
      <c r="O10" s="11"/>
    </row>
    <row r="11" spans="1:18" s="10" customFormat="1" ht="23.25" x14ac:dyDescent="0.3">
      <c r="A11" s="26">
        <v>7</v>
      </c>
      <c r="B11" s="65" t="s">
        <v>122</v>
      </c>
      <c r="C11" s="32" t="s">
        <v>119</v>
      </c>
      <c r="D11" s="32">
        <v>0.27</v>
      </c>
      <c r="E11" s="57">
        <v>460</v>
      </c>
      <c r="F11" s="30">
        <f t="shared" ref="F11" si="2">D11*E11</f>
        <v>124.2</v>
      </c>
      <c r="H11" s="26">
        <v>7</v>
      </c>
      <c r="I11" s="65" t="s">
        <v>122</v>
      </c>
      <c r="J11" s="32" t="s">
        <v>119</v>
      </c>
      <c r="K11" s="32">
        <v>0.27</v>
      </c>
      <c r="L11" s="57">
        <v>460</v>
      </c>
      <c r="M11" s="30">
        <f t="shared" si="1"/>
        <v>124.2</v>
      </c>
      <c r="N11" s="85"/>
      <c r="O11" s="11"/>
    </row>
    <row r="12" spans="1:18" ht="24" thickBot="1" x14ac:dyDescent="0.3">
      <c r="A12" s="38"/>
      <c r="B12" s="39"/>
      <c r="C12" s="39"/>
      <c r="D12" s="39"/>
      <c r="E12" s="40" t="s">
        <v>16</v>
      </c>
      <c r="F12" s="35">
        <f>SUM(F5:F11)</f>
        <v>6057.2</v>
      </c>
      <c r="H12" s="38"/>
      <c r="I12" s="39"/>
      <c r="J12" s="39"/>
      <c r="K12" s="39"/>
      <c r="L12" s="40" t="s">
        <v>16</v>
      </c>
      <c r="M12" s="35">
        <f>SUM(M5:M11)</f>
        <v>3991.2</v>
      </c>
    </row>
    <row r="13" spans="1:18" ht="26.25" thickBot="1" x14ac:dyDescent="0.3">
      <c r="A13" s="76"/>
      <c r="B13" s="77"/>
      <c r="C13" s="77"/>
      <c r="D13" s="77"/>
      <c r="E13" s="78" t="s">
        <v>21</v>
      </c>
      <c r="F13" s="12">
        <f>SUMIF(E1:E19979,"CƏMİ",F1:F19979)</f>
        <v>6057.2</v>
      </c>
      <c r="H13" s="76"/>
      <c r="I13" s="77"/>
      <c r="J13" s="77"/>
      <c r="K13" s="77"/>
      <c r="L13" s="78" t="s">
        <v>21</v>
      </c>
      <c r="M13" s="12">
        <f>SUMIF(L1:L19979,"CƏMİ",M1:M19979)</f>
        <v>3991.2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68E2-D44F-4A83-9AAE-CFF9F6ECEB23}">
  <sheetPr>
    <tabColor rgb="FFFFFF00"/>
    <pageSetUpPr fitToPage="1"/>
  </sheetPr>
  <dimension ref="A1:R18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E33" sqref="E33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248</v>
      </c>
      <c r="B1" s="175"/>
      <c r="C1" s="175"/>
      <c r="D1" s="175"/>
      <c r="E1" s="176" t="s">
        <v>0</v>
      </c>
      <c r="F1" s="177"/>
      <c r="H1" s="174" t="s">
        <v>248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45219</v>
      </c>
      <c r="H2" s="17"/>
      <c r="I2" s="18"/>
      <c r="J2" s="18"/>
      <c r="K2" s="19"/>
      <c r="L2" s="18"/>
      <c r="M2" s="46">
        <v>45219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F17</f>
        <v>11606.4</v>
      </c>
      <c r="O4" s="4"/>
    </row>
    <row r="5" spans="1:18" s="10" customFormat="1" ht="23.25" x14ac:dyDescent="0.3">
      <c r="A5" s="26">
        <v>1</v>
      </c>
      <c r="B5" s="70" t="s">
        <v>750</v>
      </c>
      <c r="C5" s="32" t="s">
        <v>20</v>
      </c>
      <c r="D5" s="88">
        <v>81.2</v>
      </c>
      <c r="E5" s="57">
        <v>30</v>
      </c>
      <c r="F5" s="30">
        <f t="shared" ref="F5:F15" si="0">D5*E5</f>
        <v>2436</v>
      </c>
      <c r="H5" s="26">
        <v>1</v>
      </c>
      <c r="I5" s="70" t="s">
        <v>750</v>
      </c>
      <c r="J5" s="32" t="s">
        <v>20</v>
      </c>
      <c r="K5" s="88">
        <v>81.2</v>
      </c>
      <c r="L5" s="57">
        <v>30</v>
      </c>
      <c r="M5" s="30">
        <f t="shared" ref="M5:M16" si="1">K5*L5</f>
        <v>2436</v>
      </c>
      <c r="N5" s="85"/>
      <c r="O5" s="11"/>
    </row>
    <row r="6" spans="1:18" s="10" customFormat="1" ht="23.25" x14ac:dyDescent="0.3">
      <c r="A6" s="26">
        <v>2</v>
      </c>
      <c r="B6" s="65" t="s">
        <v>44</v>
      </c>
      <c r="C6" s="32" t="s">
        <v>19</v>
      </c>
      <c r="D6" s="32">
        <v>26.8</v>
      </c>
      <c r="E6" s="57">
        <v>50</v>
      </c>
      <c r="F6" s="30">
        <f t="shared" si="0"/>
        <v>1340</v>
      </c>
      <c r="H6" s="26">
        <v>2</v>
      </c>
      <c r="I6" s="65" t="s">
        <v>44</v>
      </c>
      <c r="J6" s="32" t="s">
        <v>19</v>
      </c>
      <c r="K6" s="32">
        <v>26.8</v>
      </c>
      <c r="L6" s="57">
        <v>50</v>
      </c>
      <c r="M6" s="30">
        <f t="shared" si="1"/>
        <v>1340</v>
      </c>
      <c r="N6" s="85"/>
      <c r="O6" s="11"/>
    </row>
    <row r="7" spans="1:18" s="10" customFormat="1" ht="23.25" x14ac:dyDescent="0.3">
      <c r="A7" s="26">
        <v>3</v>
      </c>
      <c r="B7" s="65" t="s">
        <v>172</v>
      </c>
      <c r="C7" s="32" t="s">
        <v>20</v>
      </c>
      <c r="D7" s="32">
        <v>49.8</v>
      </c>
      <c r="E7" s="57">
        <v>30</v>
      </c>
      <c r="F7" s="30">
        <f t="shared" si="0"/>
        <v>1494</v>
      </c>
      <c r="H7" s="26">
        <v>3</v>
      </c>
      <c r="I7" s="65" t="s">
        <v>172</v>
      </c>
      <c r="J7" s="32" t="s">
        <v>20</v>
      </c>
      <c r="K7" s="32">
        <v>49.8</v>
      </c>
      <c r="L7" s="118">
        <v>25</v>
      </c>
      <c r="M7" s="30">
        <f t="shared" si="1"/>
        <v>1245</v>
      </c>
      <c r="N7" s="85"/>
      <c r="O7" s="11"/>
    </row>
    <row r="8" spans="1:18" s="10" customFormat="1" ht="46.5" x14ac:dyDescent="0.3">
      <c r="A8" s="26">
        <v>4</v>
      </c>
      <c r="B8" s="31" t="s">
        <v>744</v>
      </c>
      <c r="C8" s="32" t="s">
        <v>19</v>
      </c>
      <c r="D8" s="32">
        <v>32.700000000000003</v>
      </c>
      <c r="E8" s="57">
        <v>50</v>
      </c>
      <c r="F8" s="30">
        <f t="shared" si="0"/>
        <v>1635.0000000000002</v>
      </c>
      <c r="H8" s="26">
        <v>4</v>
      </c>
      <c r="I8" s="31" t="s">
        <v>744</v>
      </c>
      <c r="J8" s="32" t="s">
        <v>19</v>
      </c>
      <c r="K8" s="115">
        <v>0</v>
      </c>
      <c r="L8" s="57">
        <v>50</v>
      </c>
      <c r="M8" s="30">
        <f t="shared" si="1"/>
        <v>0</v>
      </c>
      <c r="N8" s="85"/>
      <c r="O8" s="11"/>
    </row>
    <row r="9" spans="1:18" s="10" customFormat="1" ht="23.25" x14ac:dyDescent="0.3">
      <c r="A9" s="26">
        <v>5</v>
      </c>
      <c r="B9" s="65" t="s">
        <v>227</v>
      </c>
      <c r="C9" s="32" t="s">
        <v>20</v>
      </c>
      <c r="D9" s="32">
        <v>37</v>
      </c>
      <c r="E9" s="57">
        <v>30</v>
      </c>
      <c r="F9" s="30">
        <f t="shared" si="0"/>
        <v>1110</v>
      </c>
      <c r="H9" s="26">
        <v>5</v>
      </c>
      <c r="I9" s="65" t="s">
        <v>227</v>
      </c>
      <c r="J9" s="32" t="s">
        <v>20</v>
      </c>
      <c r="K9" s="115">
        <v>18.5</v>
      </c>
      <c r="L9" s="57">
        <v>30</v>
      </c>
      <c r="M9" s="30">
        <f t="shared" si="1"/>
        <v>555</v>
      </c>
      <c r="N9" s="85"/>
      <c r="O9" s="11"/>
    </row>
    <row r="10" spans="1:18" s="10" customFormat="1" ht="23.25" x14ac:dyDescent="0.3">
      <c r="A10" s="26">
        <v>6</v>
      </c>
      <c r="B10" s="65" t="s">
        <v>231</v>
      </c>
      <c r="C10" s="32" t="s">
        <v>19</v>
      </c>
      <c r="D10" s="88">
        <v>18</v>
      </c>
      <c r="E10" s="57">
        <v>50</v>
      </c>
      <c r="F10" s="30">
        <f t="shared" si="0"/>
        <v>900</v>
      </c>
      <c r="H10" s="26">
        <v>6</v>
      </c>
      <c r="I10" s="65" t="s">
        <v>231</v>
      </c>
      <c r="J10" s="32" t="s">
        <v>19</v>
      </c>
      <c r="K10" s="88">
        <v>18</v>
      </c>
      <c r="L10" s="57">
        <v>50</v>
      </c>
      <c r="M10" s="30">
        <f t="shared" si="1"/>
        <v>900</v>
      </c>
      <c r="N10" s="85"/>
      <c r="O10" s="11"/>
    </row>
    <row r="11" spans="1:18" s="10" customFormat="1" ht="23.25" x14ac:dyDescent="0.3">
      <c r="A11" s="26">
        <v>7</v>
      </c>
      <c r="B11" s="70" t="s">
        <v>773</v>
      </c>
      <c r="C11" s="32" t="s">
        <v>20</v>
      </c>
      <c r="D11" s="88">
        <v>11.2</v>
      </c>
      <c r="E11" s="57">
        <v>30</v>
      </c>
      <c r="F11" s="30">
        <f t="shared" si="0"/>
        <v>336</v>
      </c>
      <c r="H11" s="26">
        <v>7</v>
      </c>
      <c r="I11" s="70" t="s">
        <v>773</v>
      </c>
      <c r="J11" s="32" t="s">
        <v>20</v>
      </c>
      <c r="K11" s="88">
        <v>11.2</v>
      </c>
      <c r="L11" s="57">
        <v>30</v>
      </c>
      <c r="M11" s="30">
        <f t="shared" si="1"/>
        <v>336</v>
      </c>
      <c r="N11" s="85"/>
      <c r="O11" s="11"/>
    </row>
    <row r="12" spans="1:18" s="10" customFormat="1" ht="23.25" x14ac:dyDescent="0.3">
      <c r="A12" s="26">
        <v>8</v>
      </c>
      <c r="B12" s="65" t="s">
        <v>250</v>
      </c>
      <c r="C12" s="32" t="s">
        <v>19</v>
      </c>
      <c r="D12" s="32">
        <v>5</v>
      </c>
      <c r="E12" s="57">
        <v>50</v>
      </c>
      <c r="F12" s="30">
        <f t="shared" si="0"/>
        <v>250</v>
      </c>
      <c r="H12" s="26">
        <v>8</v>
      </c>
      <c r="I12" s="65" t="s">
        <v>250</v>
      </c>
      <c r="J12" s="32" t="s">
        <v>19</v>
      </c>
      <c r="K12" s="32">
        <v>5</v>
      </c>
      <c r="L12" s="57">
        <v>50</v>
      </c>
      <c r="M12" s="30">
        <f t="shared" si="1"/>
        <v>250</v>
      </c>
      <c r="N12" s="85"/>
      <c r="O12" s="11"/>
    </row>
    <row r="13" spans="1:18" s="10" customFormat="1" ht="23.25" x14ac:dyDescent="0.3">
      <c r="A13" s="26">
        <v>9</v>
      </c>
      <c r="B13" s="70" t="s">
        <v>774</v>
      </c>
      <c r="C13" s="32" t="s">
        <v>19</v>
      </c>
      <c r="D13" s="88">
        <v>13.6</v>
      </c>
      <c r="E13" s="57">
        <v>80</v>
      </c>
      <c r="F13" s="30">
        <f t="shared" si="0"/>
        <v>1088</v>
      </c>
      <c r="H13" s="26">
        <v>9</v>
      </c>
      <c r="I13" s="70" t="s">
        <v>774</v>
      </c>
      <c r="J13" s="32" t="s">
        <v>19</v>
      </c>
      <c r="K13" s="88">
        <v>13.6</v>
      </c>
      <c r="L13" s="118">
        <v>25</v>
      </c>
      <c r="M13" s="30">
        <f t="shared" si="1"/>
        <v>340</v>
      </c>
      <c r="N13" s="85"/>
      <c r="O13" s="11"/>
    </row>
    <row r="14" spans="1:18" s="10" customFormat="1" ht="23.25" x14ac:dyDescent="0.3">
      <c r="A14" s="26">
        <v>10</v>
      </c>
      <c r="B14" s="70" t="s">
        <v>775</v>
      </c>
      <c r="C14" s="32" t="s">
        <v>20</v>
      </c>
      <c r="D14" s="88">
        <v>17.2</v>
      </c>
      <c r="E14" s="57">
        <v>30</v>
      </c>
      <c r="F14" s="30">
        <f t="shared" si="0"/>
        <v>516</v>
      </c>
      <c r="H14" s="26">
        <v>10</v>
      </c>
      <c r="I14" s="70" t="s">
        <v>775</v>
      </c>
      <c r="J14" s="32" t="s">
        <v>20</v>
      </c>
      <c r="K14" s="115">
        <v>8.6</v>
      </c>
      <c r="L14" s="57">
        <v>30</v>
      </c>
      <c r="M14" s="30">
        <f t="shared" si="1"/>
        <v>258</v>
      </c>
      <c r="N14" s="85"/>
      <c r="O14" s="11"/>
    </row>
    <row r="15" spans="1:18" s="10" customFormat="1" ht="23.25" x14ac:dyDescent="0.3">
      <c r="A15" s="26">
        <v>11</v>
      </c>
      <c r="B15" s="65" t="s">
        <v>251</v>
      </c>
      <c r="C15" s="32" t="s">
        <v>19</v>
      </c>
      <c r="D15" s="32">
        <v>6.9</v>
      </c>
      <c r="E15" s="57">
        <v>50</v>
      </c>
      <c r="F15" s="30">
        <f t="shared" si="0"/>
        <v>345</v>
      </c>
      <c r="H15" s="26">
        <v>11</v>
      </c>
      <c r="I15" s="65" t="s">
        <v>251</v>
      </c>
      <c r="J15" s="32" t="s">
        <v>19</v>
      </c>
      <c r="K15" s="32">
        <v>6.9</v>
      </c>
      <c r="L15" s="57">
        <v>50</v>
      </c>
      <c r="M15" s="30">
        <f t="shared" si="1"/>
        <v>345</v>
      </c>
      <c r="N15" s="85"/>
      <c r="O15" s="11"/>
    </row>
    <row r="16" spans="1:18" s="10" customFormat="1" ht="23.25" x14ac:dyDescent="0.3">
      <c r="A16" s="26">
        <v>12</v>
      </c>
      <c r="B16" s="65" t="s">
        <v>122</v>
      </c>
      <c r="C16" s="32" t="s">
        <v>119</v>
      </c>
      <c r="D16" s="32">
        <v>0.34</v>
      </c>
      <c r="E16" s="57">
        <v>460</v>
      </c>
      <c r="F16" s="30">
        <f t="shared" ref="F16" si="2">D16*E16</f>
        <v>156.4</v>
      </c>
      <c r="H16" s="26">
        <v>12</v>
      </c>
      <c r="I16" s="65" t="s">
        <v>122</v>
      </c>
      <c r="J16" s="32" t="s">
        <v>119</v>
      </c>
      <c r="K16" s="32">
        <v>0.34</v>
      </c>
      <c r="L16" s="57">
        <v>460</v>
      </c>
      <c r="M16" s="30">
        <f t="shared" si="1"/>
        <v>156.4</v>
      </c>
      <c r="N16" s="85"/>
      <c r="O16" s="11"/>
    </row>
    <row r="17" spans="1:13" ht="24" thickBot="1" x14ac:dyDescent="0.3">
      <c r="A17" s="38"/>
      <c r="B17" s="39"/>
      <c r="C17" s="39"/>
      <c r="D17" s="39"/>
      <c r="E17" s="40" t="s">
        <v>16</v>
      </c>
      <c r="F17" s="35">
        <f>SUM(F5:F16)</f>
        <v>11606.4</v>
      </c>
      <c r="H17" s="38"/>
      <c r="I17" s="39"/>
      <c r="J17" s="39"/>
      <c r="K17" s="39"/>
      <c r="L17" s="40" t="s">
        <v>16</v>
      </c>
      <c r="M17" s="35">
        <f>SUM(M5:M16)</f>
        <v>8161.4</v>
      </c>
    </row>
    <row r="18" spans="1:13" ht="26.25" thickBot="1" x14ac:dyDescent="0.3">
      <c r="A18" s="76"/>
      <c r="B18" s="77"/>
      <c r="C18" s="77"/>
      <c r="D18" s="77"/>
      <c r="E18" s="78" t="s">
        <v>21</v>
      </c>
      <c r="F18" s="12">
        <f>SUMIF(E1:E19984,"CƏMİ",F1:F19984)</f>
        <v>11606.4</v>
      </c>
      <c r="H18" s="76"/>
      <c r="I18" s="77"/>
      <c r="J18" s="77"/>
      <c r="K18" s="77"/>
      <c r="L18" s="78" t="s">
        <v>21</v>
      </c>
      <c r="M18" s="12">
        <f>SUMIF(L1:L19984,"CƏMİ",M1:M19984)</f>
        <v>8161.4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E66B-5F89-43C0-9E62-C6F4329F56FE}">
  <sheetPr>
    <tabColor rgb="FFFFFF00"/>
    <pageSetUpPr fitToPage="1"/>
  </sheetPr>
  <dimension ref="A1:R14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K9" sqref="K9"/>
    </sheetView>
  </sheetViews>
  <sheetFormatPr defaultColWidth="9.140625" defaultRowHeight="15" x14ac:dyDescent="0.25"/>
  <cols>
    <col min="1" max="1" width="6.42578125" style="5" bestFit="1" customWidth="1"/>
    <col min="2" max="2" width="118.14062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8.14062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225</v>
      </c>
      <c r="B1" s="175"/>
      <c r="C1" s="175"/>
      <c r="D1" s="175"/>
      <c r="E1" s="176" t="s">
        <v>0</v>
      </c>
      <c r="F1" s="177"/>
      <c r="H1" s="174" t="s">
        <v>225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45219</v>
      </c>
      <c r="H2" s="17"/>
      <c r="I2" s="18"/>
      <c r="J2" s="18"/>
      <c r="K2" s="19"/>
      <c r="L2" s="18"/>
      <c r="M2" s="46">
        <v>45219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F13</f>
        <v>11348.2</v>
      </c>
      <c r="O4" s="4"/>
    </row>
    <row r="5" spans="1:18" s="10" customFormat="1" ht="23.25" x14ac:dyDescent="0.3">
      <c r="A5" s="26">
        <v>1</v>
      </c>
      <c r="B5" s="70" t="s">
        <v>750</v>
      </c>
      <c r="C5" s="32" t="s">
        <v>20</v>
      </c>
      <c r="D5" s="88">
        <v>62.2</v>
      </c>
      <c r="E5" s="57">
        <v>30</v>
      </c>
      <c r="F5" s="30">
        <f t="shared" ref="F5:F11" si="0">D5*E5</f>
        <v>1866</v>
      </c>
      <c r="H5" s="26">
        <v>1</v>
      </c>
      <c r="I5" s="70" t="s">
        <v>750</v>
      </c>
      <c r="J5" s="32" t="s">
        <v>20</v>
      </c>
      <c r="K5" s="88">
        <v>62.2</v>
      </c>
      <c r="L5" s="57">
        <v>30</v>
      </c>
      <c r="M5" s="30">
        <f t="shared" ref="M5:M12" si="1">K5*L5</f>
        <v>1866</v>
      </c>
      <c r="N5" s="85"/>
      <c r="O5" s="11"/>
    </row>
    <row r="6" spans="1:18" s="10" customFormat="1" ht="23.25" x14ac:dyDescent="0.3">
      <c r="A6" s="26">
        <v>2</v>
      </c>
      <c r="B6" s="65" t="s">
        <v>44</v>
      </c>
      <c r="C6" s="32" t="s">
        <v>19</v>
      </c>
      <c r="D6" s="32">
        <v>20.399999999999999</v>
      </c>
      <c r="E6" s="29">
        <v>50</v>
      </c>
      <c r="F6" s="30">
        <f t="shared" si="0"/>
        <v>1019.9999999999999</v>
      </c>
      <c r="H6" s="26">
        <v>2</v>
      </c>
      <c r="I6" s="65" t="s">
        <v>44</v>
      </c>
      <c r="J6" s="32" t="s">
        <v>19</v>
      </c>
      <c r="K6" s="32">
        <v>20.399999999999999</v>
      </c>
      <c r="L6" s="29">
        <v>50</v>
      </c>
      <c r="M6" s="30">
        <f t="shared" si="1"/>
        <v>1019.9999999999999</v>
      </c>
      <c r="N6" s="85"/>
      <c r="O6" s="11"/>
    </row>
    <row r="7" spans="1:18" s="10" customFormat="1" ht="23.25" x14ac:dyDescent="0.3">
      <c r="A7" s="26">
        <v>3</v>
      </c>
      <c r="B7" s="65" t="s">
        <v>172</v>
      </c>
      <c r="C7" s="32" t="s">
        <v>20</v>
      </c>
      <c r="D7" s="32">
        <v>58</v>
      </c>
      <c r="E7" s="57">
        <v>30</v>
      </c>
      <c r="F7" s="30">
        <f t="shared" si="0"/>
        <v>1740</v>
      </c>
      <c r="H7" s="26">
        <v>3</v>
      </c>
      <c r="I7" s="65" t="s">
        <v>172</v>
      </c>
      <c r="J7" s="32" t="s">
        <v>20</v>
      </c>
      <c r="K7" s="32">
        <v>58</v>
      </c>
      <c r="L7" s="118">
        <v>25</v>
      </c>
      <c r="M7" s="30">
        <f t="shared" si="1"/>
        <v>1450</v>
      </c>
      <c r="N7" s="85"/>
      <c r="O7" s="11"/>
    </row>
    <row r="8" spans="1:18" s="10" customFormat="1" ht="23.25" x14ac:dyDescent="0.3">
      <c r="A8" s="26">
        <v>4</v>
      </c>
      <c r="B8" s="65" t="s">
        <v>744</v>
      </c>
      <c r="C8" s="32" t="s">
        <v>19</v>
      </c>
      <c r="D8" s="32">
        <v>37.799999999999997</v>
      </c>
      <c r="E8" s="57">
        <v>50</v>
      </c>
      <c r="F8" s="30">
        <f t="shared" si="0"/>
        <v>1889.9999999999998</v>
      </c>
      <c r="H8" s="26">
        <v>4</v>
      </c>
      <c r="I8" s="65" t="s">
        <v>744</v>
      </c>
      <c r="J8" s="32" t="s">
        <v>19</v>
      </c>
      <c r="K8" s="115">
        <v>0</v>
      </c>
      <c r="L8" s="57">
        <v>50</v>
      </c>
      <c r="M8" s="30">
        <f t="shared" si="1"/>
        <v>0</v>
      </c>
      <c r="N8" s="85"/>
      <c r="O8" s="11"/>
    </row>
    <row r="9" spans="1:18" s="10" customFormat="1" ht="23.25" x14ac:dyDescent="0.3">
      <c r="A9" s="26">
        <v>5</v>
      </c>
      <c r="B9" s="65" t="s">
        <v>227</v>
      </c>
      <c r="C9" s="32" t="s">
        <v>20</v>
      </c>
      <c r="D9" s="32">
        <v>28</v>
      </c>
      <c r="E9" s="57">
        <v>30</v>
      </c>
      <c r="F9" s="30">
        <f t="shared" si="0"/>
        <v>840</v>
      </c>
      <c r="H9" s="26">
        <v>5</v>
      </c>
      <c r="I9" s="65" t="s">
        <v>227</v>
      </c>
      <c r="J9" s="32" t="s">
        <v>20</v>
      </c>
      <c r="K9" s="115">
        <v>14</v>
      </c>
      <c r="L9" s="57">
        <v>30</v>
      </c>
      <c r="M9" s="30">
        <f t="shared" si="1"/>
        <v>420</v>
      </c>
      <c r="N9" s="85"/>
      <c r="O9" s="11"/>
    </row>
    <row r="10" spans="1:18" s="10" customFormat="1" ht="23.25" x14ac:dyDescent="0.3">
      <c r="A10" s="26">
        <v>6</v>
      </c>
      <c r="B10" s="65" t="s">
        <v>231</v>
      </c>
      <c r="C10" s="32" t="s">
        <v>19</v>
      </c>
      <c r="D10" s="88">
        <v>12.2</v>
      </c>
      <c r="E10" s="57">
        <v>50</v>
      </c>
      <c r="F10" s="30">
        <f t="shared" si="0"/>
        <v>610</v>
      </c>
      <c r="H10" s="26">
        <v>6</v>
      </c>
      <c r="I10" s="65" t="s">
        <v>231</v>
      </c>
      <c r="J10" s="32" t="s">
        <v>19</v>
      </c>
      <c r="K10" s="88">
        <v>12.2</v>
      </c>
      <c r="L10" s="57">
        <v>50</v>
      </c>
      <c r="M10" s="30">
        <f t="shared" si="1"/>
        <v>610</v>
      </c>
      <c r="N10" s="85"/>
      <c r="O10" s="11"/>
    </row>
    <row r="11" spans="1:18" s="10" customFormat="1" ht="23.25" x14ac:dyDescent="0.3">
      <c r="A11" s="26">
        <v>7</v>
      </c>
      <c r="B11" s="65" t="s">
        <v>228</v>
      </c>
      <c r="C11" s="32" t="s">
        <v>19</v>
      </c>
      <c r="D11" s="32">
        <v>39</v>
      </c>
      <c r="E11" s="57">
        <v>80</v>
      </c>
      <c r="F11" s="30">
        <f t="shared" si="0"/>
        <v>3120</v>
      </c>
      <c r="H11" s="26">
        <v>7</v>
      </c>
      <c r="I11" s="65" t="s">
        <v>228</v>
      </c>
      <c r="J11" s="32" t="s">
        <v>19</v>
      </c>
      <c r="K11" s="32">
        <v>39</v>
      </c>
      <c r="L11" s="57">
        <v>80</v>
      </c>
      <c r="M11" s="30">
        <f t="shared" si="1"/>
        <v>3120</v>
      </c>
      <c r="N11" s="85"/>
      <c r="O11" s="11"/>
    </row>
    <row r="12" spans="1:18" s="10" customFormat="1" ht="23.25" x14ac:dyDescent="0.3">
      <c r="A12" s="26">
        <v>8</v>
      </c>
      <c r="B12" s="65" t="s">
        <v>122</v>
      </c>
      <c r="C12" s="32" t="s">
        <v>119</v>
      </c>
      <c r="D12" s="32">
        <v>0.56999999999999995</v>
      </c>
      <c r="E12" s="57">
        <v>460</v>
      </c>
      <c r="F12" s="30">
        <f t="shared" ref="F12" si="2">D12*E12</f>
        <v>262.2</v>
      </c>
      <c r="H12" s="26">
        <v>8</v>
      </c>
      <c r="I12" s="65" t="s">
        <v>122</v>
      </c>
      <c r="J12" s="32" t="s">
        <v>119</v>
      </c>
      <c r="K12" s="32">
        <v>0.56999999999999995</v>
      </c>
      <c r="L12" s="57">
        <v>460</v>
      </c>
      <c r="M12" s="30">
        <f t="shared" si="1"/>
        <v>262.2</v>
      </c>
      <c r="N12" s="85"/>
      <c r="O12" s="11"/>
    </row>
    <row r="13" spans="1:18" ht="24" thickBot="1" x14ac:dyDescent="0.3">
      <c r="A13" s="38"/>
      <c r="B13" s="39"/>
      <c r="C13" s="39"/>
      <c r="D13" s="39"/>
      <c r="E13" s="40" t="s">
        <v>16</v>
      </c>
      <c r="F13" s="35">
        <f>SUM(F5:F12)</f>
        <v>11348.2</v>
      </c>
      <c r="H13" s="38"/>
      <c r="I13" s="39"/>
      <c r="J13" s="39"/>
      <c r="K13" s="39"/>
      <c r="L13" s="40" t="s">
        <v>16</v>
      </c>
      <c r="M13" s="35">
        <f>SUM(M5:M12)</f>
        <v>8748.2000000000007</v>
      </c>
    </row>
    <row r="14" spans="1:18" ht="26.25" thickBot="1" x14ac:dyDescent="0.3">
      <c r="A14" s="76"/>
      <c r="B14" s="77"/>
      <c r="C14" s="77"/>
      <c r="D14" s="77"/>
      <c r="E14" s="78" t="s">
        <v>21</v>
      </c>
      <c r="F14" s="12">
        <f>SUMIF(E1:E19980,"CƏMİ",F1:F19980)</f>
        <v>11348.2</v>
      </c>
      <c r="H14" s="76"/>
      <c r="I14" s="77"/>
      <c r="J14" s="77"/>
      <c r="K14" s="77"/>
      <c r="L14" s="78" t="s">
        <v>21</v>
      </c>
      <c r="M14" s="12">
        <f>SUMIF(L1:L19980,"CƏMİ",M1:M19980)</f>
        <v>8748.2000000000007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4" fitToHeight="0" orientation="portrait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E7F6-D6EC-46ED-B72F-8E51BF4C52B1}">
  <sheetPr>
    <tabColor rgb="FFFFFF00"/>
    <pageSetUpPr fitToPage="1"/>
  </sheetPr>
  <dimension ref="A1:R14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K9" sqref="K9"/>
    </sheetView>
  </sheetViews>
  <sheetFormatPr defaultColWidth="9.140625" defaultRowHeight="15" x14ac:dyDescent="0.25"/>
  <cols>
    <col min="1" max="1" width="6.42578125" style="5" bestFit="1" customWidth="1"/>
    <col min="2" max="2" width="120.8554687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20.8554687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229</v>
      </c>
      <c r="B1" s="175"/>
      <c r="C1" s="175"/>
      <c r="D1" s="175"/>
      <c r="E1" s="176" t="s">
        <v>0</v>
      </c>
      <c r="F1" s="177"/>
      <c r="H1" s="174" t="s">
        <v>229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45219</v>
      </c>
      <c r="H2" s="17"/>
      <c r="I2" s="18"/>
      <c r="J2" s="18"/>
      <c r="K2" s="19"/>
      <c r="L2" s="18"/>
      <c r="M2" s="46">
        <v>45219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F13</f>
        <v>12786</v>
      </c>
      <c r="O4" s="4"/>
    </row>
    <row r="5" spans="1:18" s="10" customFormat="1" ht="23.25" x14ac:dyDescent="0.3">
      <c r="A5" s="26">
        <v>1</v>
      </c>
      <c r="B5" s="70" t="s">
        <v>750</v>
      </c>
      <c r="C5" s="32" t="s">
        <v>20</v>
      </c>
      <c r="D5" s="88">
        <v>93.5</v>
      </c>
      <c r="E5" s="57">
        <v>30</v>
      </c>
      <c r="F5" s="30">
        <f t="shared" ref="F5:F11" si="0">D5*E5</f>
        <v>2805</v>
      </c>
      <c r="H5" s="26">
        <v>1</v>
      </c>
      <c r="I5" s="70" t="s">
        <v>750</v>
      </c>
      <c r="J5" s="32" t="s">
        <v>20</v>
      </c>
      <c r="K5" s="88">
        <v>93.5</v>
      </c>
      <c r="L5" s="57">
        <v>30</v>
      </c>
      <c r="M5" s="30">
        <f t="shared" ref="M5:M12" si="1">K5*L5</f>
        <v>2805</v>
      </c>
      <c r="N5" s="85"/>
      <c r="O5" s="11"/>
    </row>
    <row r="6" spans="1:18" s="10" customFormat="1" ht="23.25" x14ac:dyDescent="0.3">
      <c r="A6" s="26">
        <v>2</v>
      </c>
      <c r="B6" s="65" t="s">
        <v>776</v>
      </c>
      <c r="C6" s="32" t="s">
        <v>19</v>
      </c>
      <c r="D6" s="32">
        <v>30</v>
      </c>
      <c r="E6" s="57">
        <v>50</v>
      </c>
      <c r="F6" s="30">
        <f t="shared" si="0"/>
        <v>1500</v>
      </c>
      <c r="H6" s="26">
        <v>2</v>
      </c>
      <c r="I6" s="65" t="s">
        <v>776</v>
      </c>
      <c r="J6" s="32" t="s">
        <v>19</v>
      </c>
      <c r="K6" s="32">
        <v>30</v>
      </c>
      <c r="L6" s="57">
        <v>50</v>
      </c>
      <c r="M6" s="30">
        <f t="shared" si="1"/>
        <v>1500</v>
      </c>
      <c r="N6" s="85"/>
      <c r="O6" s="11"/>
    </row>
    <row r="7" spans="1:18" s="10" customFormat="1" ht="23.25" x14ac:dyDescent="0.3">
      <c r="A7" s="26">
        <v>3</v>
      </c>
      <c r="B7" s="65" t="s">
        <v>172</v>
      </c>
      <c r="C7" s="32" t="s">
        <v>20</v>
      </c>
      <c r="D7" s="32">
        <v>58</v>
      </c>
      <c r="E7" s="57">
        <v>30</v>
      </c>
      <c r="F7" s="30">
        <f t="shared" si="0"/>
        <v>1740</v>
      </c>
      <c r="H7" s="26">
        <v>3</v>
      </c>
      <c r="I7" s="65" t="s">
        <v>172</v>
      </c>
      <c r="J7" s="32" t="s">
        <v>20</v>
      </c>
      <c r="K7" s="32">
        <v>58</v>
      </c>
      <c r="L7" s="118">
        <v>25</v>
      </c>
      <c r="M7" s="30">
        <f t="shared" si="1"/>
        <v>1450</v>
      </c>
      <c r="N7" s="85"/>
      <c r="O7" s="11"/>
    </row>
    <row r="8" spans="1:18" s="10" customFormat="1" ht="23.25" x14ac:dyDescent="0.3">
      <c r="A8" s="26">
        <v>4</v>
      </c>
      <c r="B8" s="65" t="s">
        <v>744</v>
      </c>
      <c r="C8" s="32" t="s">
        <v>19</v>
      </c>
      <c r="D8" s="32">
        <v>37.799999999999997</v>
      </c>
      <c r="E8" s="57">
        <v>50</v>
      </c>
      <c r="F8" s="30">
        <f t="shared" si="0"/>
        <v>1889.9999999999998</v>
      </c>
      <c r="H8" s="26">
        <v>4</v>
      </c>
      <c r="I8" s="65" t="s">
        <v>744</v>
      </c>
      <c r="J8" s="32" t="s">
        <v>19</v>
      </c>
      <c r="K8" s="115">
        <v>0</v>
      </c>
      <c r="L8" s="57">
        <v>50</v>
      </c>
      <c r="M8" s="30">
        <f t="shared" si="1"/>
        <v>0</v>
      </c>
      <c r="N8" s="85"/>
      <c r="O8" s="11"/>
    </row>
    <row r="9" spans="1:18" s="10" customFormat="1" ht="23.25" x14ac:dyDescent="0.3">
      <c r="A9" s="26">
        <v>5</v>
      </c>
      <c r="B9" s="65" t="s">
        <v>227</v>
      </c>
      <c r="C9" s="32" t="s">
        <v>20</v>
      </c>
      <c r="D9" s="32">
        <v>34</v>
      </c>
      <c r="E9" s="57">
        <v>30</v>
      </c>
      <c r="F9" s="30">
        <f t="shared" si="0"/>
        <v>1020</v>
      </c>
      <c r="H9" s="26">
        <v>5</v>
      </c>
      <c r="I9" s="65" t="s">
        <v>227</v>
      </c>
      <c r="J9" s="32" t="s">
        <v>20</v>
      </c>
      <c r="K9" s="115">
        <v>17</v>
      </c>
      <c r="L9" s="57">
        <v>30</v>
      </c>
      <c r="M9" s="30">
        <f t="shared" si="1"/>
        <v>510</v>
      </c>
      <c r="N9" s="85"/>
      <c r="O9" s="11"/>
    </row>
    <row r="10" spans="1:18" s="10" customFormat="1" ht="23.25" x14ac:dyDescent="0.3">
      <c r="A10" s="26">
        <v>6</v>
      </c>
      <c r="B10" s="65" t="s">
        <v>231</v>
      </c>
      <c r="C10" s="32" t="s">
        <v>19</v>
      </c>
      <c r="D10" s="88">
        <v>10.3</v>
      </c>
      <c r="E10" s="57">
        <v>50</v>
      </c>
      <c r="F10" s="30">
        <f t="shared" si="0"/>
        <v>515</v>
      </c>
      <c r="H10" s="26">
        <v>6</v>
      </c>
      <c r="I10" s="65" t="s">
        <v>231</v>
      </c>
      <c r="J10" s="32" t="s">
        <v>19</v>
      </c>
      <c r="K10" s="88">
        <v>10.3</v>
      </c>
      <c r="L10" s="57">
        <v>50</v>
      </c>
      <c r="M10" s="30">
        <f t="shared" si="1"/>
        <v>515</v>
      </c>
      <c r="N10" s="85"/>
      <c r="O10" s="11"/>
    </row>
    <row r="11" spans="1:18" s="10" customFormat="1" ht="23.25" x14ac:dyDescent="0.3">
      <c r="A11" s="26">
        <v>7</v>
      </c>
      <c r="B11" s="65" t="s">
        <v>743</v>
      </c>
      <c r="C11" s="32" t="s">
        <v>19</v>
      </c>
      <c r="D11" s="32">
        <v>38</v>
      </c>
      <c r="E11" s="57">
        <v>80</v>
      </c>
      <c r="F11" s="30">
        <f t="shared" si="0"/>
        <v>3040</v>
      </c>
      <c r="H11" s="26">
        <v>7</v>
      </c>
      <c r="I11" s="65" t="s">
        <v>743</v>
      </c>
      <c r="J11" s="32" t="s">
        <v>19</v>
      </c>
      <c r="K11" s="32">
        <v>38</v>
      </c>
      <c r="L11" s="57">
        <v>80</v>
      </c>
      <c r="M11" s="30">
        <f t="shared" si="1"/>
        <v>3040</v>
      </c>
      <c r="N11" s="85"/>
      <c r="O11" s="11"/>
    </row>
    <row r="12" spans="1:18" s="10" customFormat="1" ht="23.25" x14ac:dyDescent="0.3">
      <c r="A12" s="26">
        <v>8</v>
      </c>
      <c r="B12" s="65" t="s">
        <v>122</v>
      </c>
      <c r="C12" s="32" t="s">
        <v>119</v>
      </c>
      <c r="D12" s="32">
        <v>0.6</v>
      </c>
      <c r="E12" s="57">
        <v>460</v>
      </c>
      <c r="F12" s="30">
        <f t="shared" ref="F12" si="2">D12*E12</f>
        <v>276</v>
      </c>
      <c r="H12" s="26">
        <v>8</v>
      </c>
      <c r="I12" s="65" t="s">
        <v>122</v>
      </c>
      <c r="J12" s="32" t="s">
        <v>119</v>
      </c>
      <c r="K12" s="32">
        <v>0.6</v>
      </c>
      <c r="L12" s="57">
        <v>460</v>
      </c>
      <c r="M12" s="30">
        <f t="shared" si="1"/>
        <v>276</v>
      </c>
      <c r="N12" s="85"/>
      <c r="O12" s="11"/>
    </row>
    <row r="13" spans="1:18" ht="24" thickBot="1" x14ac:dyDescent="0.3">
      <c r="A13" s="38"/>
      <c r="B13" s="39"/>
      <c r="C13" s="39"/>
      <c r="D13" s="39"/>
      <c r="E13" s="40" t="s">
        <v>16</v>
      </c>
      <c r="F13" s="35">
        <f>SUM(F5:F12)</f>
        <v>12786</v>
      </c>
      <c r="H13" s="38"/>
      <c r="I13" s="39"/>
      <c r="J13" s="39"/>
      <c r="K13" s="39"/>
      <c r="L13" s="40" t="s">
        <v>16</v>
      </c>
      <c r="M13" s="35">
        <f>SUM(M5:M12)</f>
        <v>10096</v>
      </c>
    </row>
    <row r="14" spans="1:18" ht="26.25" thickBot="1" x14ac:dyDescent="0.3">
      <c r="A14" s="76"/>
      <c r="B14" s="77"/>
      <c r="C14" s="77"/>
      <c r="D14" s="77"/>
      <c r="E14" s="78" t="s">
        <v>21</v>
      </c>
      <c r="F14" s="12">
        <f>SUMIF(E1:E19980,"CƏMİ",F1:F19980)</f>
        <v>12786</v>
      </c>
      <c r="H14" s="76"/>
      <c r="I14" s="77"/>
      <c r="J14" s="77"/>
      <c r="K14" s="77"/>
      <c r="L14" s="78" t="s">
        <v>21</v>
      </c>
      <c r="M14" s="12">
        <f>SUMIF(L1:L19980,"CƏMİ",M1:M19980)</f>
        <v>10096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4" fitToHeight="0" orientation="portrait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A128-01EA-4D6D-ABF5-52A780D93F6E}">
  <sheetPr>
    <tabColor rgb="FFFFFF00"/>
    <pageSetUpPr fitToPage="1"/>
  </sheetPr>
  <dimension ref="A1:R13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K11" sqref="K11"/>
    </sheetView>
  </sheetViews>
  <sheetFormatPr defaultColWidth="9.140625" defaultRowHeight="15" x14ac:dyDescent="0.25"/>
  <cols>
    <col min="1" max="1" width="6.42578125" style="5" bestFit="1" customWidth="1"/>
    <col min="2" max="2" width="120.4257812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20.4257812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236</v>
      </c>
      <c r="B1" s="175"/>
      <c r="C1" s="175"/>
      <c r="D1" s="175"/>
      <c r="E1" s="176" t="s">
        <v>0</v>
      </c>
      <c r="F1" s="177"/>
      <c r="H1" s="174" t="s">
        <v>236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45219</v>
      </c>
      <c r="H2" s="17"/>
      <c r="I2" s="18"/>
      <c r="J2" s="18"/>
      <c r="K2" s="19"/>
      <c r="L2" s="18"/>
      <c r="M2" s="46">
        <v>45219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F12</f>
        <v>5273</v>
      </c>
      <c r="O4" s="4"/>
    </row>
    <row r="5" spans="1:18" s="10" customFormat="1" ht="23.25" x14ac:dyDescent="0.3">
      <c r="A5" s="26">
        <v>1</v>
      </c>
      <c r="B5" s="70" t="s">
        <v>750</v>
      </c>
      <c r="C5" s="32" t="s">
        <v>20</v>
      </c>
      <c r="D5" s="88">
        <v>17.600000000000001</v>
      </c>
      <c r="E5" s="57">
        <v>30</v>
      </c>
      <c r="F5" s="30">
        <f t="shared" ref="F5:F9" si="0">D5*E5</f>
        <v>528</v>
      </c>
      <c r="H5" s="26">
        <v>1</v>
      </c>
      <c r="I5" s="70" t="s">
        <v>750</v>
      </c>
      <c r="J5" s="32" t="s">
        <v>20</v>
      </c>
      <c r="K5" s="88">
        <v>17.600000000000001</v>
      </c>
      <c r="L5" s="57">
        <v>30</v>
      </c>
      <c r="M5" s="30">
        <f t="shared" ref="M5:M9" si="1">K5*L5</f>
        <v>528</v>
      </c>
      <c r="N5" s="85"/>
      <c r="O5" s="11"/>
    </row>
    <row r="6" spans="1:18" s="10" customFormat="1" ht="23.25" x14ac:dyDescent="0.3">
      <c r="A6" s="26">
        <v>2</v>
      </c>
      <c r="B6" s="65" t="s">
        <v>44</v>
      </c>
      <c r="C6" s="32" t="s">
        <v>19</v>
      </c>
      <c r="D6" s="32">
        <v>5.8</v>
      </c>
      <c r="E6" s="57">
        <v>50</v>
      </c>
      <c r="F6" s="30">
        <f t="shared" si="0"/>
        <v>290</v>
      </c>
      <c r="H6" s="26">
        <v>2</v>
      </c>
      <c r="I6" s="65" t="s">
        <v>44</v>
      </c>
      <c r="J6" s="32" t="s">
        <v>19</v>
      </c>
      <c r="K6" s="32">
        <v>5.8</v>
      </c>
      <c r="L6" s="57">
        <v>50</v>
      </c>
      <c r="M6" s="30">
        <f t="shared" si="1"/>
        <v>290</v>
      </c>
      <c r="N6" s="85"/>
      <c r="O6" s="11"/>
    </row>
    <row r="7" spans="1:18" s="10" customFormat="1" ht="23.25" x14ac:dyDescent="0.3">
      <c r="A7" s="26">
        <v>3</v>
      </c>
      <c r="B7" s="65" t="s">
        <v>227</v>
      </c>
      <c r="C7" s="32" t="s">
        <v>20</v>
      </c>
      <c r="D7" s="32">
        <v>28</v>
      </c>
      <c r="E7" s="57">
        <v>30</v>
      </c>
      <c r="F7" s="30">
        <f t="shared" si="0"/>
        <v>840</v>
      </c>
      <c r="H7" s="26">
        <v>3</v>
      </c>
      <c r="I7" s="65" t="s">
        <v>227</v>
      </c>
      <c r="J7" s="32" t="s">
        <v>20</v>
      </c>
      <c r="K7" s="115">
        <v>14</v>
      </c>
      <c r="L7" s="57">
        <v>30</v>
      </c>
      <c r="M7" s="30">
        <f t="shared" si="1"/>
        <v>420</v>
      </c>
      <c r="N7" s="85"/>
      <c r="O7" s="11"/>
    </row>
    <row r="8" spans="1:18" s="10" customFormat="1" ht="23.25" x14ac:dyDescent="0.3">
      <c r="A8" s="26">
        <v>4</v>
      </c>
      <c r="B8" s="65" t="s">
        <v>231</v>
      </c>
      <c r="C8" s="32" t="s">
        <v>19</v>
      </c>
      <c r="D8" s="88">
        <v>10.8</v>
      </c>
      <c r="E8" s="57">
        <v>50</v>
      </c>
      <c r="F8" s="30">
        <f t="shared" si="0"/>
        <v>540</v>
      </c>
      <c r="H8" s="26">
        <v>4</v>
      </c>
      <c r="I8" s="65" t="s">
        <v>231</v>
      </c>
      <c r="J8" s="32" t="s">
        <v>19</v>
      </c>
      <c r="K8" s="88">
        <v>10.8</v>
      </c>
      <c r="L8" s="57">
        <v>50</v>
      </c>
      <c r="M8" s="30">
        <f t="shared" si="1"/>
        <v>540</v>
      </c>
      <c r="N8" s="85"/>
      <c r="O8" s="11"/>
    </row>
    <row r="9" spans="1:18" s="10" customFormat="1" ht="23.25" x14ac:dyDescent="0.3">
      <c r="A9" s="26">
        <v>5</v>
      </c>
      <c r="B9" s="65" t="s">
        <v>172</v>
      </c>
      <c r="C9" s="32" t="s">
        <v>20</v>
      </c>
      <c r="D9" s="32">
        <v>47</v>
      </c>
      <c r="E9" s="57">
        <v>30</v>
      </c>
      <c r="F9" s="30">
        <f t="shared" si="0"/>
        <v>1410</v>
      </c>
      <c r="H9" s="26">
        <v>5</v>
      </c>
      <c r="I9" s="65" t="s">
        <v>172</v>
      </c>
      <c r="J9" s="32" t="s">
        <v>20</v>
      </c>
      <c r="K9" s="32">
        <v>47</v>
      </c>
      <c r="L9" s="118">
        <v>25</v>
      </c>
      <c r="M9" s="30">
        <f t="shared" si="1"/>
        <v>1175</v>
      </c>
      <c r="N9" s="85"/>
      <c r="O9" s="11"/>
    </row>
    <row r="10" spans="1:18" s="10" customFormat="1" ht="23.25" x14ac:dyDescent="0.3">
      <c r="A10" s="26">
        <v>6</v>
      </c>
      <c r="B10" s="65" t="s">
        <v>744</v>
      </c>
      <c r="C10" s="32" t="s">
        <v>19</v>
      </c>
      <c r="D10" s="32">
        <v>31</v>
      </c>
      <c r="E10" s="57">
        <v>50</v>
      </c>
      <c r="F10" s="30">
        <f>D10*E10</f>
        <v>1550</v>
      </c>
      <c r="H10" s="26">
        <v>6</v>
      </c>
      <c r="I10" s="65" t="s">
        <v>744</v>
      </c>
      <c r="J10" s="32" t="s">
        <v>19</v>
      </c>
      <c r="K10" s="115">
        <v>0</v>
      </c>
      <c r="L10" s="57">
        <v>50</v>
      </c>
      <c r="M10" s="30">
        <f>K10*L10</f>
        <v>0</v>
      </c>
      <c r="N10" s="85"/>
      <c r="O10" s="11"/>
    </row>
    <row r="11" spans="1:18" s="10" customFormat="1" ht="23.25" x14ac:dyDescent="0.3">
      <c r="A11" s="26">
        <v>7</v>
      </c>
      <c r="B11" s="65" t="s">
        <v>122</v>
      </c>
      <c r="C11" s="32" t="s">
        <v>119</v>
      </c>
      <c r="D11" s="32">
        <v>0.25</v>
      </c>
      <c r="E11" s="57">
        <v>460</v>
      </c>
      <c r="F11" s="30">
        <f>D11*E11</f>
        <v>115</v>
      </c>
      <c r="H11" s="26">
        <v>7</v>
      </c>
      <c r="I11" s="65" t="s">
        <v>122</v>
      </c>
      <c r="J11" s="32" t="s">
        <v>119</v>
      </c>
      <c r="K11" s="32">
        <v>0.25</v>
      </c>
      <c r="L11" s="57">
        <v>460</v>
      </c>
      <c r="M11" s="30">
        <f>K11*L11</f>
        <v>115</v>
      </c>
      <c r="N11" s="85"/>
      <c r="O11" s="11"/>
    </row>
    <row r="12" spans="1:18" ht="24" thickBot="1" x14ac:dyDescent="0.3">
      <c r="A12" s="38"/>
      <c r="B12" s="39"/>
      <c r="C12" s="39"/>
      <c r="D12" s="39"/>
      <c r="E12" s="40" t="s">
        <v>16</v>
      </c>
      <c r="F12" s="35">
        <f>SUM(F5:F11)</f>
        <v>5273</v>
      </c>
      <c r="H12" s="38"/>
      <c r="I12" s="39"/>
      <c r="J12" s="39"/>
      <c r="K12" s="39"/>
      <c r="L12" s="40" t="s">
        <v>16</v>
      </c>
      <c r="M12" s="35">
        <f>SUM(M5:M11)</f>
        <v>3068</v>
      </c>
    </row>
    <row r="13" spans="1:18" ht="26.25" thickBot="1" x14ac:dyDescent="0.3">
      <c r="A13" s="76"/>
      <c r="B13" s="77"/>
      <c r="C13" s="77"/>
      <c r="D13" s="77"/>
      <c r="E13" s="78" t="s">
        <v>21</v>
      </c>
      <c r="F13" s="12">
        <f>SUMIF(E1:E19979,"CƏMİ",F1:F19979)</f>
        <v>5273</v>
      </c>
      <c r="H13" s="76"/>
      <c r="I13" s="77"/>
      <c r="J13" s="77"/>
      <c r="K13" s="77"/>
      <c r="L13" s="78" t="s">
        <v>21</v>
      </c>
      <c r="M13" s="12">
        <f>SUMIF(L1:L19979,"CƏMİ",M1:M19979)</f>
        <v>3068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4" fitToHeight="0" orientation="portrait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9CB6-F32C-4010-B7B4-8C9E70CCEA2E}">
  <sheetPr>
    <tabColor rgb="FFFFFF00"/>
    <pageSetUpPr fitToPage="1"/>
  </sheetPr>
  <dimension ref="A1:R13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K11" sqref="K11"/>
    </sheetView>
  </sheetViews>
  <sheetFormatPr defaultColWidth="9.140625" defaultRowHeight="15" x14ac:dyDescent="0.25"/>
  <cols>
    <col min="1" max="1" width="6.42578125" style="5" bestFit="1" customWidth="1"/>
    <col min="2" max="2" width="121.8554687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21.8554687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238</v>
      </c>
      <c r="B1" s="175"/>
      <c r="C1" s="175"/>
      <c r="D1" s="175"/>
      <c r="E1" s="176" t="s">
        <v>0</v>
      </c>
      <c r="F1" s="177"/>
      <c r="H1" s="174" t="s">
        <v>238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45219</v>
      </c>
      <c r="H2" s="17"/>
      <c r="I2" s="18"/>
      <c r="J2" s="18"/>
      <c r="K2" s="19"/>
      <c r="L2" s="18"/>
      <c r="M2" s="46">
        <v>45219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F12</f>
        <v>5672</v>
      </c>
      <c r="O4" s="4"/>
    </row>
    <row r="5" spans="1:18" s="10" customFormat="1" ht="23.25" x14ac:dyDescent="0.3">
      <c r="A5" s="26">
        <v>1</v>
      </c>
      <c r="B5" s="70" t="s">
        <v>750</v>
      </c>
      <c r="C5" s="32" t="s">
        <v>20</v>
      </c>
      <c r="D5" s="88">
        <v>33.200000000000003</v>
      </c>
      <c r="E5" s="57">
        <v>30</v>
      </c>
      <c r="F5" s="30">
        <f t="shared" ref="F5:F10" si="0">D5*E5</f>
        <v>996.00000000000011</v>
      </c>
      <c r="H5" s="26">
        <v>1</v>
      </c>
      <c r="I5" s="70" t="s">
        <v>750</v>
      </c>
      <c r="J5" s="32" t="s">
        <v>20</v>
      </c>
      <c r="K5" s="88">
        <v>33.200000000000003</v>
      </c>
      <c r="L5" s="57">
        <v>30</v>
      </c>
      <c r="M5" s="30">
        <f t="shared" ref="M5:M11" si="1">K5*L5</f>
        <v>996.00000000000011</v>
      </c>
      <c r="N5" s="85"/>
      <c r="O5" s="11"/>
    </row>
    <row r="6" spans="1:18" s="10" customFormat="1" ht="23.25" x14ac:dyDescent="0.3">
      <c r="A6" s="26">
        <v>2</v>
      </c>
      <c r="B6" s="65" t="s">
        <v>44</v>
      </c>
      <c r="C6" s="32" t="s">
        <v>19</v>
      </c>
      <c r="D6" s="32">
        <v>10.9</v>
      </c>
      <c r="E6" s="57">
        <v>50</v>
      </c>
      <c r="F6" s="30">
        <f t="shared" si="0"/>
        <v>545</v>
      </c>
      <c r="H6" s="26">
        <v>2</v>
      </c>
      <c r="I6" s="65" t="s">
        <v>44</v>
      </c>
      <c r="J6" s="32" t="s">
        <v>19</v>
      </c>
      <c r="K6" s="32">
        <v>10.9</v>
      </c>
      <c r="L6" s="57">
        <v>50</v>
      </c>
      <c r="M6" s="30">
        <f t="shared" si="1"/>
        <v>545</v>
      </c>
      <c r="N6" s="85"/>
      <c r="O6" s="11"/>
    </row>
    <row r="7" spans="1:18" s="10" customFormat="1" ht="23.25" x14ac:dyDescent="0.3">
      <c r="A7" s="26">
        <v>3</v>
      </c>
      <c r="B7" s="65" t="s">
        <v>227</v>
      </c>
      <c r="C7" s="32" t="s">
        <v>20</v>
      </c>
      <c r="D7" s="32">
        <v>29.2</v>
      </c>
      <c r="E7" s="57">
        <v>30</v>
      </c>
      <c r="F7" s="30">
        <f t="shared" si="0"/>
        <v>876</v>
      </c>
      <c r="H7" s="26">
        <v>3</v>
      </c>
      <c r="I7" s="65" t="s">
        <v>227</v>
      </c>
      <c r="J7" s="32" t="s">
        <v>20</v>
      </c>
      <c r="K7" s="115">
        <v>14.6</v>
      </c>
      <c r="L7" s="57">
        <v>30</v>
      </c>
      <c r="M7" s="30">
        <f t="shared" si="1"/>
        <v>438</v>
      </c>
      <c r="N7" s="85"/>
      <c r="O7" s="11"/>
    </row>
    <row r="8" spans="1:18" s="10" customFormat="1" ht="23.25" x14ac:dyDescent="0.3">
      <c r="A8" s="26">
        <v>4</v>
      </c>
      <c r="B8" s="65" t="s">
        <v>231</v>
      </c>
      <c r="C8" s="32" t="s">
        <v>19</v>
      </c>
      <c r="D8" s="88">
        <v>11.2</v>
      </c>
      <c r="E8" s="57">
        <v>50</v>
      </c>
      <c r="F8" s="30">
        <f t="shared" si="0"/>
        <v>560</v>
      </c>
      <c r="H8" s="26">
        <v>4</v>
      </c>
      <c r="I8" s="65" t="s">
        <v>231</v>
      </c>
      <c r="J8" s="32" t="s">
        <v>19</v>
      </c>
      <c r="K8" s="88">
        <v>11.2</v>
      </c>
      <c r="L8" s="57">
        <v>50</v>
      </c>
      <c r="M8" s="30">
        <f t="shared" si="1"/>
        <v>560</v>
      </c>
      <c r="N8" s="85"/>
      <c r="O8" s="11"/>
    </row>
    <row r="9" spans="1:18" s="10" customFormat="1" ht="23.25" x14ac:dyDescent="0.3">
      <c r="A9" s="26">
        <v>5</v>
      </c>
      <c r="B9" s="65" t="s">
        <v>172</v>
      </c>
      <c r="C9" s="32" t="s">
        <v>20</v>
      </c>
      <c r="D9" s="32">
        <v>41</v>
      </c>
      <c r="E9" s="57">
        <v>30</v>
      </c>
      <c r="F9" s="30">
        <f t="shared" si="0"/>
        <v>1230</v>
      </c>
      <c r="H9" s="26">
        <v>5</v>
      </c>
      <c r="I9" s="65" t="s">
        <v>172</v>
      </c>
      <c r="J9" s="32" t="s">
        <v>20</v>
      </c>
      <c r="K9" s="32">
        <v>41</v>
      </c>
      <c r="L9" s="118">
        <v>25</v>
      </c>
      <c r="M9" s="30">
        <f t="shared" si="1"/>
        <v>1025</v>
      </c>
      <c r="N9" s="85"/>
      <c r="O9" s="11"/>
    </row>
    <row r="10" spans="1:18" s="10" customFormat="1" ht="23.25" x14ac:dyDescent="0.3">
      <c r="A10" s="26">
        <v>6</v>
      </c>
      <c r="B10" s="65" t="s">
        <v>744</v>
      </c>
      <c r="C10" s="32" t="s">
        <v>19</v>
      </c>
      <c r="D10" s="32">
        <v>27</v>
      </c>
      <c r="E10" s="57">
        <v>50</v>
      </c>
      <c r="F10" s="30">
        <f t="shared" si="0"/>
        <v>1350</v>
      </c>
      <c r="H10" s="26">
        <v>6</v>
      </c>
      <c r="I10" s="65" t="s">
        <v>744</v>
      </c>
      <c r="J10" s="32" t="s">
        <v>19</v>
      </c>
      <c r="K10" s="115">
        <v>0</v>
      </c>
      <c r="L10" s="57">
        <v>50</v>
      </c>
      <c r="M10" s="30">
        <f t="shared" si="1"/>
        <v>0</v>
      </c>
      <c r="N10" s="85"/>
      <c r="O10" s="11"/>
    </row>
    <row r="11" spans="1:18" s="10" customFormat="1" ht="23.25" x14ac:dyDescent="0.3">
      <c r="A11" s="26">
        <v>7</v>
      </c>
      <c r="B11" s="65" t="s">
        <v>122</v>
      </c>
      <c r="C11" s="32" t="s">
        <v>119</v>
      </c>
      <c r="D11" s="32">
        <v>0.25</v>
      </c>
      <c r="E11" s="57">
        <v>460</v>
      </c>
      <c r="F11" s="30">
        <f t="shared" ref="F11" si="2">D11*E11</f>
        <v>115</v>
      </c>
      <c r="H11" s="26">
        <v>7</v>
      </c>
      <c r="I11" s="65" t="s">
        <v>122</v>
      </c>
      <c r="J11" s="32" t="s">
        <v>119</v>
      </c>
      <c r="K11" s="32">
        <v>0.25</v>
      </c>
      <c r="L11" s="57">
        <v>460</v>
      </c>
      <c r="M11" s="30">
        <f t="shared" si="1"/>
        <v>115</v>
      </c>
      <c r="N11" s="85"/>
      <c r="O11" s="11"/>
    </row>
    <row r="12" spans="1:18" ht="24" thickBot="1" x14ac:dyDescent="0.3">
      <c r="A12" s="38"/>
      <c r="B12" s="39"/>
      <c r="C12" s="39"/>
      <c r="D12" s="39"/>
      <c r="E12" s="40" t="s">
        <v>16</v>
      </c>
      <c r="F12" s="35">
        <f>SUM(F5:F11)</f>
        <v>5672</v>
      </c>
      <c r="H12" s="38"/>
      <c r="I12" s="39"/>
      <c r="J12" s="39"/>
      <c r="K12" s="39"/>
      <c r="L12" s="40" t="s">
        <v>16</v>
      </c>
      <c r="M12" s="35">
        <f>SUM(M5:M11)</f>
        <v>3679</v>
      </c>
    </row>
    <row r="13" spans="1:18" ht="26.25" thickBot="1" x14ac:dyDescent="0.3">
      <c r="A13" s="76"/>
      <c r="B13" s="77"/>
      <c r="C13" s="77"/>
      <c r="D13" s="77"/>
      <c r="E13" s="78" t="s">
        <v>21</v>
      </c>
      <c r="F13" s="12">
        <f>SUMIF(E1:E19979,"CƏMİ",F1:F19979)</f>
        <v>5672</v>
      </c>
      <c r="H13" s="76"/>
      <c r="I13" s="77"/>
      <c r="J13" s="77"/>
      <c r="K13" s="77"/>
      <c r="L13" s="78" t="s">
        <v>21</v>
      </c>
      <c r="M13" s="12">
        <f>SUMIF(L1:L19979,"CƏMİ",M1:M19979)</f>
        <v>3679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3" fitToHeight="0" orientation="portrait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3A6F-E95D-407E-9BE7-500553F6635F}">
  <sheetPr>
    <tabColor rgb="FFFFFF00"/>
    <pageSetUpPr fitToPage="1"/>
  </sheetPr>
  <dimension ref="A1:R8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D23" sqref="D21:D23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240</v>
      </c>
      <c r="B1" s="175"/>
      <c r="C1" s="175"/>
      <c r="D1" s="175"/>
      <c r="E1" s="176" t="s">
        <v>0</v>
      </c>
      <c r="F1" s="177"/>
      <c r="H1" s="174" t="s">
        <v>240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45219</v>
      </c>
      <c r="H2" s="17"/>
      <c r="I2" s="18"/>
      <c r="J2" s="18"/>
      <c r="K2" s="19"/>
      <c r="L2" s="18"/>
      <c r="M2" s="46">
        <v>45219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F7</f>
        <v>1785</v>
      </c>
      <c r="O4" s="4"/>
    </row>
    <row r="5" spans="1:18" s="10" customFormat="1" ht="23.25" x14ac:dyDescent="0.3">
      <c r="A5" s="26">
        <v>1</v>
      </c>
      <c r="B5" s="70" t="s">
        <v>750</v>
      </c>
      <c r="C5" s="32" t="s">
        <v>20</v>
      </c>
      <c r="D5" s="88">
        <v>38.5</v>
      </c>
      <c r="E5" s="57">
        <v>30</v>
      </c>
      <c r="F5" s="30">
        <f>D5*E5</f>
        <v>1155</v>
      </c>
      <c r="H5" s="26">
        <v>1</v>
      </c>
      <c r="I5" s="70" t="s">
        <v>750</v>
      </c>
      <c r="J5" s="32" t="s">
        <v>20</v>
      </c>
      <c r="K5" s="88">
        <v>38.5</v>
      </c>
      <c r="L5" s="57">
        <v>30</v>
      </c>
      <c r="M5" s="30">
        <f>K5*L5</f>
        <v>1155</v>
      </c>
      <c r="N5" s="85"/>
      <c r="O5" s="11"/>
    </row>
    <row r="6" spans="1:18" s="10" customFormat="1" ht="23.25" x14ac:dyDescent="0.3">
      <c r="A6" s="26">
        <v>2</v>
      </c>
      <c r="B6" s="65" t="s">
        <v>44</v>
      </c>
      <c r="C6" s="32" t="s">
        <v>19</v>
      </c>
      <c r="D6" s="32">
        <v>12.6</v>
      </c>
      <c r="E6" s="57">
        <v>50</v>
      </c>
      <c r="F6" s="30">
        <f>D6*E6</f>
        <v>630</v>
      </c>
      <c r="H6" s="26">
        <v>2</v>
      </c>
      <c r="I6" s="65" t="s">
        <v>44</v>
      </c>
      <c r="J6" s="32" t="s">
        <v>19</v>
      </c>
      <c r="K6" s="32">
        <v>12.6</v>
      </c>
      <c r="L6" s="57">
        <v>50</v>
      </c>
      <c r="M6" s="30">
        <f>K6*L6</f>
        <v>630</v>
      </c>
      <c r="N6" s="85"/>
      <c r="O6" s="11"/>
    </row>
    <row r="7" spans="1:18" ht="24" thickBot="1" x14ac:dyDescent="0.3">
      <c r="A7" s="38"/>
      <c r="B7" s="39"/>
      <c r="C7" s="39"/>
      <c r="D7" s="39"/>
      <c r="E7" s="40" t="s">
        <v>16</v>
      </c>
      <c r="F7" s="35">
        <f>SUM(F5:F6)</f>
        <v>1785</v>
      </c>
      <c r="H7" s="38"/>
      <c r="I7" s="39"/>
      <c r="J7" s="39"/>
      <c r="K7" s="39"/>
      <c r="L7" s="40" t="s">
        <v>16</v>
      </c>
      <c r="M7" s="35">
        <f>SUM(M5:M6)</f>
        <v>1785</v>
      </c>
    </row>
    <row r="8" spans="1:18" ht="26.25" thickBot="1" x14ac:dyDescent="0.3">
      <c r="A8" s="76"/>
      <c r="B8" s="77"/>
      <c r="C8" s="77"/>
      <c r="D8" s="77"/>
      <c r="E8" s="78" t="s">
        <v>21</v>
      </c>
      <c r="F8" s="12">
        <f>SUMIF(E1:E19974,"CƏMİ",F1:F19974)</f>
        <v>1785</v>
      </c>
      <c r="H8" s="76"/>
      <c r="I8" s="77"/>
      <c r="J8" s="77"/>
      <c r="K8" s="77"/>
      <c r="L8" s="78" t="s">
        <v>21</v>
      </c>
      <c r="M8" s="12">
        <f>SUMIF(L1:L19974,"CƏMİ",M1:M19974)</f>
        <v>1785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2031-4027-4D09-B50D-990BDA3F65D7}">
  <sheetPr>
    <tabColor rgb="FFFFFF00"/>
    <pageSetUpPr fitToPage="1"/>
  </sheetPr>
  <dimension ref="A1:R8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B22" sqref="B21:B22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242</v>
      </c>
      <c r="B1" s="175"/>
      <c r="C1" s="175"/>
      <c r="D1" s="175"/>
      <c r="E1" s="176" t="s">
        <v>0</v>
      </c>
      <c r="F1" s="177"/>
      <c r="H1" s="174" t="s">
        <v>242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45219</v>
      </c>
      <c r="H2" s="17"/>
      <c r="I2" s="18"/>
      <c r="J2" s="18"/>
      <c r="K2" s="19"/>
      <c r="L2" s="18"/>
      <c r="M2" s="46">
        <v>45219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F7</f>
        <v>2051</v>
      </c>
      <c r="O4" s="4"/>
    </row>
    <row r="5" spans="1:18" s="10" customFormat="1" ht="23.25" x14ac:dyDescent="0.3">
      <c r="A5" s="26">
        <v>1</v>
      </c>
      <c r="B5" s="70" t="s">
        <v>750</v>
      </c>
      <c r="C5" s="32" t="s">
        <v>20</v>
      </c>
      <c r="D5" s="88">
        <v>44.2</v>
      </c>
      <c r="E5" s="57">
        <v>30</v>
      </c>
      <c r="F5" s="30">
        <f>D5*E5</f>
        <v>1326</v>
      </c>
      <c r="H5" s="26">
        <v>1</v>
      </c>
      <c r="I5" s="70" t="s">
        <v>750</v>
      </c>
      <c r="J5" s="32" t="s">
        <v>20</v>
      </c>
      <c r="K5" s="88">
        <v>44.2</v>
      </c>
      <c r="L5" s="57">
        <v>30</v>
      </c>
      <c r="M5" s="30">
        <f>K5*L5</f>
        <v>1326</v>
      </c>
      <c r="N5" s="85"/>
      <c r="O5" s="11"/>
    </row>
    <row r="6" spans="1:18" s="10" customFormat="1" ht="23.25" x14ac:dyDescent="0.3">
      <c r="A6" s="26">
        <v>2</v>
      </c>
      <c r="B6" s="65" t="s">
        <v>44</v>
      </c>
      <c r="C6" s="32" t="s">
        <v>19</v>
      </c>
      <c r="D6" s="32">
        <v>14.5</v>
      </c>
      <c r="E6" s="57">
        <v>50</v>
      </c>
      <c r="F6" s="30">
        <f>D6*E6</f>
        <v>725</v>
      </c>
      <c r="H6" s="26">
        <v>2</v>
      </c>
      <c r="I6" s="65" t="s">
        <v>44</v>
      </c>
      <c r="J6" s="32" t="s">
        <v>19</v>
      </c>
      <c r="K6" s="32">
        <v>14.5</v>
      </c>
      <c r="L6" s="57">
        <v>50</v>
      </c>
      <c r="M6" s="30">
        <f>K6*L6</f>
        <v>725</v>
      </c>
      <c r="N6" s="85"/>
      <c r="O6" s="11"/>
    </row>
    <row r="7" spans="1:18" ht="24" thickBot="1" x14ac:dyDescent="0.3">
      <c r="A7" s="38"/>
      <c r="B7" s="39"/>
      <c r="C7" s="39"/>
      <c r="D7" s="39"/>
      <c r="E7" s="40" t="s">
        <v>16</v>
      </c>
      <c r="F7" s="35">
        <f>SUM(F5:F6)</f>
        <v>2051</v>
      </c>
      <c r="H7" s="38"/>
      <c r="I7" s="39"/>
      <c r="J7" s="39"/>
      <c r="K7" s="39"/>
      <c r="L7" s="40" t="s">
        <v>16</v>
      </c>
      <c r="M7" s="35">
        <f>SUM(M5:M6)</f>
        <v>2051</v>
      </c>
    </row>
    <row r="8" spans="1:18" ht="26.25" thickBot="1" x14ac:dyDescent="0.3">
      <c r="A8" s="76"/>
      <c r="B8" s="77"/>
      <c r="C8" s="77"/>
      <c r="D8" s="77"/>
      <c r="E8" s="78" t="s">
        <v>21</v>
      </c>
      <c r="F8" s="12">
        <f>SUMIF(E1:E19974,"CƏMİ",F1:F19974)</f>
        <v>2051</v>
      </c>
      <c r="H8" s="76"/>
      <c r="I8" s="77"/>
      <c r="J8" s="77"/>
      <c r="K8" s="77"/>
      <c r="L8" s="78" t="s">
        <v>21</v>
      </c>
      <c r="M8" s="12">
        <f>SUMIF(L1:L19974,"CƏMİ",M1:M19974)</f>
        <v>2051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C3AB-3777-496D-8F46-48F4DB56D6BF}">
  <sheetPr>
    <tabColor rgb="FFFFFF00"/>
    <pageSetUpPr fitToPage="1"/>
  </sheetPr>
  <dimension ref="A1:R8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F22" sqref="F22"/>
    </sheetView>
  </sheetViews>
  <sheetFormatPr defaultColWidth="9.140625" defaultRowHeight="15" x14ac:dyDescent="0.25"/>
  <cols>
    <col min="1" max="1" width="6.42578125" style="5" bestFit="1" customWidth="1"/>
    <col min="2" max="2" width="109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09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170</v>
      </c>
      <c r="B1" s="175"/>
      <c r="C1" s="175"/>
      <c r="D1" s="175"/>
      <c r="E1" s="176" t="s">
        <v>0</v>
      </c>
      <c r="F1" s="177"/>
      <c r="H1" s="174" t="s">
        <v>170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45128</v>
      </c>
      <c r="H2" s="17"/>
      <c r="I2" s="18"/>
      <c r="J2" s="18"/>
      <c r="K2" s="19"/>
      <c r="L2" s="18"/>
      <c r="M2" s="46">
        <v>45128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F7</f>
        <v>2303</v>
      </c>
      <c r="O4" s="4"/>
    </row>
    <row r="5" spans="1:18" s="10" customFormat="1" ht="23.25" x14ac:dyDescent="0.3">
      <c r="A5" s="26">
        <v>1</v>
      </c>
      <c r="B5" s="70" t="s">
        <v>69</v>
      </c>
      <c r="C5" s="32" t="s">
        <v>19</v>
      </c>
      <c r="D5" s="88">
        <v>16.3</v>
      </c>
      <c r="E5" s="57">
        <v>50</v>
      </c>
      <c r="F5" s="30">
        <f t="shared" ref="F5:F6" si="0">D5*E5</f>
        <v>815</v>
      </c>
      <c r="H5" s="26">
        <v>1</v>
      </c>
      <c r="I5" s="70" t="s">
        <v>69</v>
      </c>
      <c r="J5" s="32" t="s">
        <v>19</v>
      </c>
      <c r="K5" s="88">
        <v>16.3</v>
      </c>
      <c r="L5" s="57">
        <v>50</v>
      </c>
      <c r="M5" s="30">
        <f t="shared" ref="M5:M6" si="1">K5*L5</f>
        <v>815</v>
      </c>
      <c r="N5" s="85"/>
      <c r="O5" s="11"/>
    </row>
    <row r="6" spans="1:18" s="10" customFormat="1" ht="23.25" x14ac:dyDescent="0.3">
      <c r="A6" s="26">
        <v>2</v>
      </c>
      <c r="B6" s="70" t="s">
        <v>750</v>
      </c>
      <c r="C6" s="32" t="s">
        <v>20</v>
      </c>
      <c r="D6" s="88">
        <v>49.6</v>
      </c>
      <c r="E6" s="57">
        <v>30</v>
      </c>
      <c r="F6" s="30">
        <f t="shared" si="0"/>
        <v>1488</v>
      </c>
      <c r="H6" s="26">
        <v>2</v>
      </c>
      <c r="I6" s="70" t="s">
        <v>750</v>
      </c>
      <c r="J6" s="32" t="s">
        <v>20</v>
      </c>
      <c r="K6" s="88">
        <v>49.6</v>
      </c>
      <c r="L6" s="57">
        <v>30</v>
      </c>
      <c r="M6" s="30">
        <f t="shared" si="1"/>
        <v>1488</v>
      </c>
      <c r="N6" s="85"/>
      <c r="O6" s="11"/>
    </row>
    <row r="7" spans="1:18" ht="24" thickBot="1" x14ac:dyDescent="0.3">
      <c r="A7" s="38"/>
      <c r="B7" s="39"/>
      <c r="C7" s="39"/>
      <c r="D7" s="39"/>
      <c r="E7" s="40" t="s">
        <v>16</v>
      </c>
      <c r="F7" s="35">
        <f>SUM(F5:F6)</f>
        <v>2303</v>
      </c>
      <c r="H7" s="38"/>
      <c r="I7" s="39"/>
      <c r="J7" s="39"/>
      <c r="K7" s="39"/>
      <c r="L7" s="40" t="s">
        <v>16</v>
      </c>
      <c r="M7" s="35">
        <f>SUM(M5:M6)</f>
        <v>2303</v>
      </c>
    </row>
    <row r="8" spans="1:18" ht="26.25" thickBot="1" x14ac:dyDescent="0.3">
      <c r="A8" s="76"/>
      <c r="B8" s="77"/>
      <c r="C8" s="77"/>
      <c r="D8" s="77"/>
      <c r="E8" s="78" t="s">
        <v>21</v>
      </c>
      <c r="F8" s="12">
        <f>SUMIF(E1:E19974,"CƏMİ",F1:F19974)</f>
        <v>2303</v>
      </c>
      <c r="H8" s="76"/>
      <c r="I8" s="77"/>
      <c r="J8" s="77"/>
      <c r="K8" s="77"/>
      <c r="L8" s="78" t="s">
        <v>21</v>
      </c>
      <c r="M8" s="12">
        <f>SUMIF(L1:L19974,"CƏMİ",M1:M19974)</f>
        <v>2303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02D7-DB53-4348-9410-5BC1650388F0}">
  <sheetPr>
    <tabColor rgb="FFFFFF00"/>
    <pageSetUpPr fitToPage="1"/>
  </sheetPr>
  <dimension ref="A1:R16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K10" sqref="K10"/>
    </sheetView>
  </sheetViews>
  <sheetFormatPr defaultColWidth="9.140625" defaultRowHeight="15" x14ac:dyDescent="0.25"/>
  <cols>
    <col min="1" max="1" width="6.42578125" style="5" bestFit="1" customWidth="1"/>
    <col min="2" max="2" width="123.710937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23.710937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256</v>
      </c>
      <c r="B1" s="175"/>
      <c r="C1" s="175"/>
      <c r="D1" s="175"/>
      <c r="E1" s="176" t="s">
        <v>0</v>
      </c>
      <c r="F1" s="177"/>
      <c r="H1" s="174" t="s">
        <v>256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45219</v>
      </c>
      <c r="H2" s="17"/>
      <c r="I2" s="18"/>
      <c r="J2" s="18"/>
      <c r="K2" s="19"/>
      <c r="L2" s="18"/>
      <c r="M2" s="46">
        <v>45219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F15</f>
        <v>14610</v>
      </c>
      <c r="O4" s="4"/>
    </row>
    <row r="5" spans="1:18" s="10" customFormat="1" ht="23.25" x14ac:dyDescent="0.3">
      <c r="A5" s="26">
        <v>1</v>
      </c>
      <c r="B5" s="70" t="s">
        <v>750</v>
      </c>
      <c r="C5" s="32" t="s">
        <v>20</v>
      </c>
      <c r="D5" s="88">
        <v>62.9</v>
      </c>
      <c r="E5" s="57">
        <v>30</v>
      </c>
      <c r="F5" s="30">
        <f t="shared" ref="F5:F14" si="0">D5*E5</f>
        <v>1887</v>
      </c>
      <c r="H5" s="26">
        <v>1</v>
      </c>
      <c r="I5" s="70" t="s">
        <v>750</v>
      </c>
      <c r="J5" s="32" t="s">
        <v>20</v>
      </c>
      <c r="K5" s="88">
        <v>62.9</v>
      </c>
      <c r="L5" s="57">
        <v>30</v>
      </c>
      <c r="M5" s="30">
        <f t="shared" ref="M5:M6" si="1">K5*L5</f>
        <v>1887</v>
      </c>
      <c r="N5" s="85"/>
      <c r="O5" s="11"/>
    </row>
    <row r="6" spans="1:18" s="10" customFormat="1" ht="23.25" x14ac:dyDescent="0.3">
      <c r="A6" s="26">
        <v>1</v>
      </c>
      <c r="B6" s="65" t="s">
        <v>44</v>
      </c>
      <c r="C6" s="32" t="s">
        <v>19</v>
      </c>
      <c r="D6" s="32">
        <v>20.6</v>
      </c>
      <c r="E6" s="57">
        <v>50</v>
      </c>
      <c r="F6" s="30">
        <f t="shared" si="0"/>
        <v>1030</v>
      </c>
      <c r="H6" s="26">
        <v>1</v>
      </c>
      <c r="I6" s="65" t="s">
        <v>44</v>
      </c>
      <c r="J6" s="32" t="s">
        <v>19</v>
      </c>
      <c r="K6" s="32">
        <v>20.6</v>
      </c>
      <c r="L6" s="57">
        <v>50</v>
      </c>
      <c r="M6" s="30">
        <f t="shared" si="1"/>
        <v>1030</v>
      </c>
      <c r="N6" s="85"/>
      <c r="O6" s="11"/>
    </row>
    <row r="7" spans="1:18" s="10" customFormat="1" ht="23.25" x14ac:dyDescent="0.3">
      <c r="A7" s="26">
        <v>1</v>
      </c>
      <c r="B7" s="65" t="s">
        <v>172</v>
      </c>
      <c r="C7" s="32" t="s">
        <v>20</v>
      </c>
      <c r="D7" s="32">
        <v>49</v>
      </c>
      <c r="E7" s="57">
        <v>30</v>
      </c>
      <c r="F7" s="30">
        <f>D7*E7</f>
        <v>1470</v>
      </c>
      <c r="H7" s="26">
        <v>1</v>
      </c>
      <c r="I7" s="65" t="s">
        <v>172</v>
      </c>
      <c r="J7" s="32" t="s">
        <v>20</v>
      </c>
      <c r="K7" s="32">
        <v>49</v>
      </c>
      <c r="L7" s="118">
        <v>25</v>
      </c>
      <c r="M7" s="30">
        <f>K7*L7</f>
        <v>1225</v>
      </c>
      <c r="N7" s="85"/>
      <c r="O7" s="11"/>
    </row>
    <row r="8" spans="1:18" s="10" customFormat="1" ht="23.25" x14ac:dyDescent="0.3">
      <c r="A8" s="26">
        <v>1</v>
      </c>
      <c r="B8" s="65" t="s">
        <v>744</v>
      </c>
      <c r="C8" s="32" t="s">
        <v>19</v>
      </c>
      <c r="D8" s="32">
        <v>32.299999999999997</v>
      </c>
      <c r="E8" s="57">
        <v>50</v>
      </c>
      <c r="F8" s="30">
        <f>D8*E8</f>
        <v>1614.9999999999998</v>
      </c>
      <c r="H8" s="26">
        <v>1</v>
      </c>
      <c r="I8" s="65" t="s">
        <v>744</v>
      </c>
      <c r="J8" s="32" t="s">
        <v>19</v>
      </c>
      <c r="K8" s="115">
        <v>0</v>
      </c>
      <c r="L8" s="57">
        <v>50</v>
      </c>
      <c r="M8" s="30">
        <f>K8*L8</f>
        <v>0</v>
      </c>
      <c r="N8" s="85"/>
      <c r="O8" s="11"/>
    </row>
    <row r="9" spans="1:18" s="10" customFormat="1" ht="23.25" x14ac:dyDescent="0.3">
      <c r="A9" s="26">
        <v>1</v>
      </c>
      <c r="B9" s="65" t="s">
        <v>227</v>
      </c>
      <c r="C9" s="32" t="s">
        <v>20</v>
      </c>
      <c r="D9" s="32">
        <v>19.399999999999999</v>
      </c>
      <c r="E9" s="57">
        <v>30</v>
      </c>
      <c r="F9" s="30">
        <f t="shared" si="0"/>
        <v>582</v>
      </c>
      <c r="H9" s="26">
        <v>1</v>
      </c>
      <c r="I9" s="65" t="s">
        <v>227</v>
      </c>
      <c r="J9" s="32" t="s">
        <v>20</v>
      </c>
      <c r="K9" s="115">
        <v>10</v>
      </c>
      <c r="L9" s="57">
        <v>30</v>
      </c>
      <c r="M9" s="30">
        <f t="shared" ref="M9:M14" si="2">K9*L9</f>
        <v>300</v>
      </c>
      <c r="N9" s="85"/>
      <c r="O9" s="11"/>
    </row>
    <row r="10" spans="1:18" s="10" customFormat="1" ht="23.25" x14ac:dyDescent="0.3">
      <c r="A10" s="26">
        <v>1</v>
      </c>
      <c r="B10" s="65" t="s">
        <v>231</v>
      </c>
      <c r="C10" s="32" t="s">
        <v>19</v>
      </c>
      <c r="D10" s="88">
        <v>6</v>
      </c>
      <c r="E10" s="57">
        <v>50</v>
      </c>
      <c r="F10" s="30">
        <f t="shared" si="0"/>
        <v>300</v>
      </c>
      <c r="H10" s="26">
        <v>1</v>
      </c>
      <c r="I10" s="65" t="s">
        <v>231</v>
      </c>
      <c r="J10" s="32" t="s">
        <v>19</v>
      </c>
      <c r="K10" s="88">
        <v>6</v>
      </c>
      <c r="L10" s="57">
        <v>50</v>
      </c>
      <c r="M10" s="30">
        <f t="shared" si="2"/>
        <v>300</v>
      </c>
      <c r="N10" s="85"/>
      <c r="O10" s="11"/>
    </row>
    <row r="11" spans="1:18" s="10" customFormat="1" ht="23.25" x14ac:dyDescent="0.3">
      <c r="A11" s="26">
        <v>1</v>
      </c>
      <c r="B11" s="65" t="s">
        <v>777</v>
      </c>
      <c r="C11" s="32" t="s">
        <v>19</v>
      </c>
      <c r="D11" s="32">
        <v>26.7</v>
      </c>
      <c r="E11" s="57">
        <v>80</v>
      </c>
      <c r="F11" s="30">
        <f t="shared" ref="F11" si="3">D11*E11</f>
        <v>2136</v>
      </c>
      <c r="H11" s="26">
        <v>1</v>
      </c>
      <c r="I11" s="65" t="s">
        <v>777</v>
      </c>
      <c r="J11" s="32" t="s">
        <v>19</v>
      </c>
      <c r="K11" s="32">
        <v>26.7</v>
      </c>
      <c r="L11" s="57">
        <v>80</v>
      </c>
      <c r="M11" s="30">
        <f t="shared" si="2"/>
        <v>2136</v>
      </c>
      <c r="N11" s="85"/>
      <c r="O11" s="11"/>
    </row>
    <row r="12" spans="1:18" s="10" customFormat="1" ht="23.25" x14ac:dyDescent="0.3">
      <c r="A12" s="26">
        <v>1</v>
      </c>
      <c r="B12" s="65" t="s">
        <v>258</v>
      </c>
      <c r="C12" s="32" t="s">
        <v>20</v>
      </c>
      <c r="D12" s="32">
        <v>26.6</v>
      </c>
      <c r="E12" s="75">
        <v>150</v>
      </c>
      <c r="F12" s="30">
        <f t="shared" ref="F12" si="4">D12*E12</f>
        <v>3990</v>
      </c>
      <c r="H12" s="26">
        <v>1</v>
      </c>
      <c r="I12" s="65" t="s">
        <v>258</v>
      </c>
      <c r="J12" s="32" t="s">
        <v>20</v>
      </c>
      <c r="K12" s="32">
        <v>26.6</v>
      </c>
      <c r="L12" s="75">
        <v>150</v>
      </c>
      <c r="M12" s="30">
        <f t="shared" si="2"/>
        <v>3990</v>
      </c>
      <c r="N12" s="85"/>
      <c r="O12" s="11"/>
    </row>
    <row r="13" spans="1:18" s="10" customFormat="1" ht="23.25" x14ac:dyDescent="0.3">
      <c r="A13" s="26">
        <v>1</v>
      </c>
      <c r="B13" s="65" t="s">
        <v>746</v>
      </c>
      <c r="C13" s="32" t="s">
        <v>20</v>
      </c>
      <c r="D13" s="32">
        <v>32</v>
      </c>
      <c r="E13" s="57">
        <v>30</v>
      </c>
      <c r="F13" s="30">
        <f t="shared" ref="F13" si="5">D13*E13</f>
        <v>960</v>
      </c>
      <c r="H13" s="26">
        <v>1</v>
      </c>
      <c r="I13" s="65" t="s">
        <v>746</v>
      </c>
      <c r="J13" s="32" t="s">
        <v>20</v>
      </c>
      <c r="K13" s="115">
        <v>16</v>
      </c>
      <c r="L13" s="57">
        <v>30</v>
      </c>
      <c r="M13" s="30">
        <f t="shared" si="2"/>
        <v>480</v>
      </c>
      <c r="N13" s="85"/>
      <c r="O13" s="11"/>
    </row>
    <row r="14" spans="1:18" s="10" customFormat="1" ht="23.25" x14ac:dyDescent="0.3">
      <c r="A14" s="26">
        <v>1</v>
      </c>
      <c r="B14" s="65" t="s">
        <v>747</v>
      </c>
      <c r="C14" s="32" t="s">
        <v>19</v>
      </c>
      <c r="D14" s="32">
        <v>12.8</v>
      </c>
      <c r="E14" s="57">
        <v>50</v>
      </c>
      <c r="F14" s="30">
        <f t="shared" si="0"/>
        <v>640</v>
      </c>
      <c r="H14" s="26">
        <v>1</v>
      </c>
      <c r="I14" s="65" t="s">
        <v>747</v>
      </c>
      <c r="J14" s="32" t="s">
        <v>19</v>
      </c>
      <c r="K14" s="32">
        <v>12.8</v>
      </c>
      <c r="L14" s="57">
        <v>50</v>
      </c>
      <c r="M14" s="30">
        <f t="shared" si="2"/>
        <v>640</v>
      </c>
      <c r="N14" s="85"/>
      <c r="O14" s="11"/>
    </row>
    <row r="15" spans="1:18" ht="24" thickBot="1" x14ac:dyDescent="0.3">
      <c r="A15" s="38"/>
      <c r="B15" s="39"/>
      <c r="C15" s="39"/>
      <c r="D15" s="39"/>
      <c r="E15" s="40" t="s">
        <v>16</v>
      </c>
      <c r="F15" s="35">
        <f>SUM(F5:F14)</f>
        <v>14610</v>
      </c>
      <c r="H15" s="38"/>
      <c r="I15" s="39"/>
      <c r="J15" s="39"/>
      <c r="K15" s="39"/>
      <c r="L15" s="40" t="s">
        <v>16</v>
      </c>
      <c r="M15" s="35">
        <f>SUM(M5:M14)</f>
        <v>11988</v>
      </c>
    </row>
    <row r="16" spans="1:18" ht="26.25" thickBot="1" x14ac:dyDescent="0.3">
      <c r="A16" s="76"/>
      <c r="B16" s="77"/>
      <c r="C16" s="77"/>
      <c r="D16" s="77"/>
      <c r="E16" s="78" t="s">
        <v>21</v>
      </c>
      <c r="F16" s="12">
        <f>SUMIF(E1:E19982,"CƏMİ",F1:F19982)</f>
        <v>14610</v>
      </c>
      <c r="H16" s="76"/>
      <c r="I16" s="77"/>
      <c r="J16" s="77"/>
      <c r="K16" s="77"/>
      <c r="L16" s="78" t="s">
        <v>21</v>
      </c>
      <c r="M16" s="12">
        <f>SUMIF(L1:L19982,"CƏMİ",M1:M19982)</f>
        <v>11988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3" fitToHeight="0" orientation="portrait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DAF5-0F72-4075-9D49-2C7DFAC60FD1}">
  <sheetPr>
    <tabColor rgb="FFFFFF00"/>
    <pageSetUpPr fitToPage="1"/>
  </sheetPr>
  <dimension ref="A1:R8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F3" sqref="F3"/>
    </sheetView>
  </sheetViews>
  <sheetFormatPr defaultColWidth="9.140625" defaultRowHeight="15" x14ac:dyDescent="0.25"/>
  <cols>
    <col min="1" max="1" width="6.42578125" style="5" bestFit="1" customWidth="1"/>
    <col min="2" max="2" width="109.8554687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09.8554687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376</v>
      </c>
      <c r="B1" s="175"/>
      <c r="C1" s="175"/>
      <c r="D1" s="175"/>
      <c r="E1" s="176" t="s">
        <v>0</v>
      </c>
      <c r="F1" s="177"/>
      <c r="H1" s="174" t="s">
        <v>376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F7</f>
        <v>2130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46</v>
      </c>
      <c r="E5" s="57">
        <v>30</v>
      </c>
      <c r="F5" s="30">
        <f>D5*E5</f>
        <v>1380</v>
      </c>
      <c r="H5" s="26">
        <v>1</v>
      </c>
      <c r="I5" s="70" t="s">
        <v>559</v>
      </c>
      <c r="J5" s="32" t="s">
        <v>20</v>
      </c>
      <c r="K5" s="88">
        <v>46</v>
      </c>
      <c r="L5" s="57">
        <v>30</v>
      </c>
      <c r="M5" s="30">
        <f>K5*L5</f>
        <v>1380</v>
      </c>
      <c r="N5" s="85"/>
      <c r="O5" s="11"/>
    </row>
    <row r="6" spans="1:18" s="10" customFormat="1" ht="23.25" x14ac:dyDescent="0.3">
      <c r="A6" s="26">
        <v>2</v>
      </c>
      <c r="B6" s="70" t="s">
        <v>555</v>
      </c>
      <c r="C6" s="32" t="s">
        <v>19</v>
      </c>
      <c r="D6" s="32">
        <v>15</v>
      </c>
      <c r="E6" s="57">
        <v>50</v>
      </c>
      <c r="F6" s="30">
        <f t="shared" ref="F6" si="0">D6*E6</f>
        <v>750</v>
      </c>
      <c r="H6" s="26">
        <v>2</v>
      </c>
      <c r="I6" s="70" t="s">
        <v>555</v>
      </c>
      <c r="J6" s="32" t="s">
        <v>19</v>
      </c>
      <c r="K6" s="32">
        <v>15</v>
      </c>
      <c r="L6" s="57">
        <v>50</v>
      </c>
      <c r="M6" s="30">
        <f t="shared" ref="M6" si="1">K6*L6</f>
        <v>750</v>
      </c>
      <c r="N6" s="85"/>
      <c r="O6" s="11"/>
    </row>
    <row r="7" spans="1:18" ht="24" thickBot="1" x14ac:dyDescent="0.3">
      <c r="A7" s="38"/>
      <c r="B7" s="39"/>
      <c r="C7" s="39"/>
      <c r="D7" s="39"/>
      <c r="E7" s="40" t="s">
        <v>16</v>
      </c>
      <c r="F7" s="35">
        <f>SUM(F5:F6)</f>
        <v>2130</v>
      </c>
      <c r="H7" s="38"/>
      <c r="I7" s="39"/>
      <c r="J7" s="39"/>
      <c r="K7" s="39"/>
      <c r="L7" s="40" t="s">
        <v>16</v>
      </c>
      <c r="M7" s="35">
        <f>SUM(M5:M6)</f>
        <v>2130</v>
      </c>
    </row>
    <row r="8" spans="1:18" ht="26.25" thickBot="1" x14ac:dyDescent="0.3">
      <c r="A8" s="76"/>
      <c r="B8" s="77"/>
      <c r="C8" s="77"/>
      <c r="D8" s="77"/>
      <c r="E8" s="78" t="s">
        <v>21</v>
      </c>
      <c r="F8" s="12">
        <f>SUMIF(E1:E19974,"CƏMİ",F1:F19974)</f>
        <v>2130</v>
      </c>
      <c r="H8" s="76"/>
      <c r="I8" s="77"/>
      <c r="J8" s="77"/>
      <c r="K8" s="77"/>
      <c r="L8" s="78" t="s">
        <v>21</v>
      </c>
      <c r="M8" s="12">
        <f>SUMIF(L1:L19974,"CƏMİ",M1:M19974)</f>
        <v>2130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7493D-C88A-4AE2-BB0B-ACE74B87F01A}">
  <sheetPr>
    <pageSetUpPr fitToPage="1"/>
  </sheetPr>
  <dimension ref="A1:R8"/>
  <sheetViews>
    <sheetView view="pageBreakPreview" zoomScale="55" zoomScaleNormal="55" zoomScaleSheetLayoutView="55" workbookViewId="0">
      <pane ySplit="3" topLeftCell="A4" activePane="bottomLeft" state="frozen"/>
      <selection activeCell="G5" sqref="G5"/>
      <selection pane="bottomLeft" activeCell="F17" sqref="F17"/>
    </sheetView>
  </sheetViews>
  <sheetFormatPr defaultColWidth="9.140625" defaultRowHeight="15" x14ac:dyDescent="0.25"/>
  <cols>
    <col min="1" max="1" width="6.42578125" style="5" bestFit="1" customWidth="1"/>
    <col min="2" max="2" width="105.710937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05.710937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18.57031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50</v>
      </c>
      <c r="B1" s="175"/>
      <c r="C1" s="175"/>
      <c r="D1" s="175"/>
      <c r="E1" s="176" t="s">
        <v>0</v>
      </c>
      <c r="F1" s="177"/>
      <c r="H1" s="174" t="s">
        <v>50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45058</v>
      </c>
      <c r="H2" s="17"/>
      <c r="I2" s="18"/>
      <c r="J2" s="18"/>
      <c r="K2" s="19"/>
      <c r="L2" s="18"/>
      <c r="M2" s="46">
        <v>45058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F7</f>
        <v>1173</v>
      </c>
      <c r="O4" s="4"/>
    </row>
    <row r="5" spans="1:18" s="10" customFormat="1" ht="23.25" x14ac:dyDescent="0.3">
      <c r="A5" s="26">
        <v>1</v>
      </c>
      <c r="B5" s="65" t="s">
        <v>44</v>
      </c>
      <c r="C5" s="32" t="s">
        <v>19</v>
      </c>
      <c r="D5" s="32">
        <v>6.9</v>
      </c>
      <c r="E5" s="29">
        <v>50</v>
      </c>
      <c r="F5" s="30">
        <f>D5*E5</f>
        <v>345</v>
      </c>
      <c r="H5" s="26">
        <v>1</v>
      </c>
      <c r="I5" s="65" t="s">
        <v>44</v>
      </c>
      <c r="J5" s="32" t="s">
        <v>19</v>
      </c>
      <c r="K5" s="32">
        <v>6.9</v>
      </c>
      <c r="L5" s="29">
        <v>50</v>
      </c>
      <c r="M5" s="30">
        <f>K5*L5</f>
        <v>345</v>
      </c>
      <c r="N5" s="85"/>
      <c r="O5" s="11"/>
    </row>
    <row r="6" spans="1:18" s="10" customFormat="1" ht="23.25" x14ac:dyDescent="0.3">
      <c r="A6" s="26">
        <v>2</v>
      </c>
      <c r="B6" s="65" t="s">
        <v>716</v>
      </c>
      <c r="C6" s="32" t="s">
        <v>20</v>
      </c>
      <c r="D6" s="32">
        <v>27.6</v>
      </c>
      <c r="E6" s="29">
        <v>30</v>
      </c>
      <c r="F6" s="30">
        <f>D6*E6</f>
        <v>828</v>
      </c>
      <c r="H6" s="26">
        <v>2</v>
      </c>
      <c r="I6" s="65" t="s">
        <v>716</v>
      </c>
      <c r="J6" s="32" t="s">
        <v>20</v>
      </c>
      <c r="K6" s="32">
        <v>27.6</v>
      </c>
      <c r="L6" s="29">
        <v>30</v>
      </c>
      <c r="M6" s="30">
        <f>K6*L6</f>
        <v>828</v>
      </c>
      <c r="N6" s="85"/>
      <c r="O6" s="11"/>
    </row>
    <row r="7" spans="1:18" ht="24" thickBot="1" x14ac:dyDescent="0.3">
      <c r="A7" s="38"/>
      <c r="B7" s="39"/>
      <c r="C7" s="39"/>
      <c r="D7" s="39"/>
      <c r="E7" s="40" t="s">
        <v>16</v>
      </c>
      <c r="F7" s="35">
        <f>SUM(F5:F6)</f>
        <v>1173</v>
      </c>
      <c r="H7" s="38"/>
      <c r="I7" s="39"/>
      <c r="J7" s="39"/>
      <c r="K7" s="39"/>
      <c r="L7" s="40" t="s">
        <v>16</v>
      </c>
      <c r="M7" s="35">
        <f>SUM(M5:M6)</f>
        <v>1173</v>
      </c>
    </row>
    <row r="8" spans="1:18" ht="26.25" thickBot="1" x14ac:dyDescent="0.3">
      <c r="A8" s="71"/>
      <c r="B8" s="72"/>
      <c r="C8" s="72"/>
      <c r="D8" s="72"/>
      <c r="E8" s="73" t="s">
        <v>21</v>
      </c>
      <c r="F8" s="12">
        <f>SUMIF(E1:E19974,"CƏMİ",F1:F19974)</f>
        <v>1173</v>
      </c>
      <c r="H8" s="71"/>
      <c r="I8" s="72"/>
      <c r="J8" s="72"/>
      <c r="K8" s="72"/>
      <c r="L8" s="73" t="s">
        <v>21</v>
      </c>
      <c r="M8" s="12">
        <f>SUMIF(L1:L19974,"CƏMİ",M1:M19974)</f>
        <v>1173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E868C-8803-4DD0-8CBB-53891A21FA07}">
  <sheetPr>
    <tabColor rgb="FFFFFF00"/>
    <pageSetUpPr fitToPage="1"/>
  </sheetPr>
  <dimension ref="A1:R19"/>
  <sheetViews>
    <sheetView view="pageBreakPreview" zoomScale="55" zoomScaleNormal="55" zoomScaleSheetLayoutView="55" workbookViewId="0">
      <pane ySplit="3" topLeftCell="A4" activePane="bottomLeft" state="frozen"/>
      <selection activeCell="D13" sqref="D13"/>
      <selection pane="bottomLeft" activeCell="L15" sqref="L15"/>
    </sheetView>
  </sheetViews>
  <sheetFormatPr defaultColWidth="9.140625" defaultRowHeight="15" x14ac:dyDescent="0.25"/>
  <cols>
    <col min="1" max="1" width="6.42578125" style="5" bestFit="1" customWidth="1"/>
    <col min="2" max="2" width="109.8554687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09.8554687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338</v>
      </c>
      <c r="B1" s="175"/>
      <c r="C1" s="175"/>
      <c r="D1" s="175"/>
      <c r="E1" s="176" t="s">
        <v>0</v>
      </c>
      <c r="F1" s="177"/>
      <c r="H1" s="174" t="s">
        <v>338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F18</f>
        <v>24981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38.4</v>
      </c>
      <c r="E5" s="57">
        <v>30</v>
      </c>
      <c r="F5" s="30">
        <f>D5*E5</f>
        <v>1152</v>
      </c>
      <c r="H5" s="26">
        <v>1</v>
      </c>
      <c r="I5" s="70" t="s">
        <v>559</v>
      </c>
      <c r="J5" s="32" t="s">
        <v>20</v>
      </c>
      <c r="K5" s="88">
        <v>38.4</v>
      </c>
      <c r="L5" s="57">
        <v>30</v>
      </c>
      <c r="M5" s="30">
        <f>K5*L5</f>
        <v>1152</v>
      </c>
      <c r="N5" s="85"/>
      <c r="O5" s="11"/>
    </row>
    <row r="6" spans="1:18" s="10" customFormat="1" ht="23.25" x14ac:dyDescent="0.3">
      <c r="A6" s="26">
        <v>2</v>
      </c>
      <c r="B6" s="70" t="s">
        <v>555</v>
      </c>
      <c r="C6" s="32" t="s">
        <v>19</v>
      </c>
      <c r="D6" s="32">
        <v>12.5</v>
      </c>
      <c r="E6" s="57">
        <v>50</v>
      </c>
      <c r="F6" s="30">
        <f t="shared" ref="F6:F17" si="0">D6*E6</f>
        <v>625</v>
      </c>
      <c r="H6" s="26">
        <v>2</v>
      </c>
      <c r="I6" s="70" t="s">
        <v>555</v>
      </c>
      <c r="J6" s="32" t="s">
        <v>19</v>
      </c>
      <c r="K6" s="32">
        <v>12.5</v>
      </c>
      <c r="L6" s="57">
        <v>50</v>
      </c>
      <c r="M6" s="30">
        <f t="shared" ref="M6:M17" si="1">K6*L6</f>
        <v>625</v>
      </c>
      <c r="N6" s="85"/>
      <c r="O6" s="11"/>
    </row>
    <row r="7" spans="1:18" s="10" customFormat="1" ht="23.25" x14ac:dyDescent="0.3">
      <c r="A7" s="26">
        <v>3</v>
      </c>
      <c r="B7" s="65" t="s">
        <v>585</v>
      </c>
      <c r="C7" s="32" t="s">
        <v>19</v>
      </c>
      <c r="D7" s="32">
        <v>55</v>
      </c>
      <c r="E7" s="57">
        <v>80</v>
      </c>
      <c r="F7" s="30">
        <f t="shared" si="0"/>
        <v>4400</v>
      </c>
      <c r="H7" s="26">
        <v>3</v>
      </c>
      <c r="I7" s="65" t="s">
        <v>585</v>
      </c>
      <c r="J7" s="32" t="s">
        <v>19</v>
      </c>
      <c r="K7" s="32">
        <v>55</v>
      </c>
      <c r="L7" s="57">
        <v>80</v>
      </c>
      <c r="M7" s="30">
        <f t="shared" si="1"/>
        <v>4400</v>
      </c>
      <c r="N7" s="85"/>
      <c r="O7" s="11"/>
    </row>
    <row r="8" spans="1:18" s="10" customFormat="1" ht="23.25" x14ac:dyDescent="0.3">
      <c r="A8" s="26">
        <v>4</v>
      </c>
      <c r="B8" s="65" t="s">
        <v>340</v>
      </c>
      <c r="C8" s="32" t="s">
        <v>20</v>
      </c>
      <c r="D8" s="32">
        <v>34</v>
      </c>
      <c r="E8" s="57">
        <v>30</v>
      </c>
      <c r="F8" s="30">
        <f t="shared" si="0"/>
        <v>1020</v>
      </c>
      <c r="H8" s="26">
        <v>4</v>
      </c>
      <c r="I8" s="65" t="s">
        <v>340</v>
      </c>
      <c r="J8" s="32" t="s">
        <v>20</v>
      </c>
      <c r="K8" s="115">
        <v>17</v>
      </c>
      <c r="L8" s="57">
        <v>30</v>
      </c>
      <c r="M8" s="30">
        <f t="shared" si="1"/>
        <v>510</v>
      </c>
      <c r="N8" s="85"/>
      <c r="O8" s="11"/>
    </row>
    <row r="9" spans="1:18" s="10" customFormat="1" ht="23.25" x14ac:dyDescent="0.3">
      <c r="A9" s="26">
        <v>5</v>
      </c>
      <c r="B9" s="65" t="s">
        <v>339</v>
      </c>
      <c r="C9" s="32" t="s">
        <v>19</v>
      </c>
      <c r="D9" s="32">
        <v>15.3</v>
      </c>
      <c r="E9" s="57">
        <v>50</v>
      </c>
      <c r="F9" s="30">
        <f t="shared" si="0"/>
        <v>765</v>
      </c>
      <c r="H9" s="26">
        <v>5</v>
      </c>
      <c r="I9" s="65" t="s">
        <v>339</v>
      </c>
      <c r="J9" s="32" t="s">
        <v>19</v>
      </c>
      <c r="K9" s="32">
        <v>15.3</v>
      </c>
      <c r="L9" s="57">
        <v>50</v>
      </c>
      <c r="M9" s="30">
        <f t="shared" si="1"/>
        <v>765</v>
      </c>
      <c r="N9" s="85"/>
      <c r="O9" s="11"/>
    </row>
    <row r="10" spans="1:18" s="10" customFormat="1" ht="23.25" x14ac:dyDescent="0.3">
      <c r="A10" s="26">
        <v>6</v>
      </c>
      <c r="B10" s="65" t="s">
        <v>586</v>
      </c>
      <c r="C10" s="32" t="s">
        <v>19</v>
      </c>
      <c r="D10" s="32">
        <v>73</v>
      </c>
      <c r="E10" s="57">
        <v>80</v>
      </c>
      <c r="F10" s="30">
        <f t="shared" si="0"/>
        <v>5840</v>
      </c>
      <c r="H10" s="26">
        <v>6</v>
      </c>
      <c r="I10" s="65" t="s">
        <v>586</v>
      </c>
      <c r="J10" s="32" t="s">
        <v>19</v>
      </c>
      <c r="K10" s="32">
        <v>73</v>
      </c>
      <c r="L10" s="118">
        <v>25</v>
      </c>
      <c r="M10" s="30">
        <f t="shared" si="1"/>
        <v>1825</v>
      </c>
      <c r="N10" s="85"/>
      <c r="O10" s="11"/>
    </row>
    <row r="11" spans="1:18" s="10" customFormat="1" ht="23.25" x14ac:dyDescent="0.3">
      <c r="A11" s="26">
        <v>7</v>
      </c>
      <c r="B11" s="65" t="s">
        <v>581</v>
      </c>
      <c r="C11" s="32" t="s">
        <v>19</v>
      </c>
      <c r="D11" s="32">
        <v>16</v>
      </c>
      <c r="E11" s="57">
        <v>80</v>
      </c>
      <c r="F11" s="30">
        <f t="shared" si="0"/>
        <v>1280</v>
      </c>
      <c r="H11" s="26">
        <v>7</v>
      </c>
      <c r="I11" s="65" t="s">
        <v>581</v>
      </c>
      <c r="J11" s="32" t="s">
        <v>19</v>
      </c>
      <c r="K11" s="32">
        <v>16</v>
      </c>
      <c r="L11" s="57">
        <v>80</v>
      </c>
      <c r="M11" s="30">
        <f t="shared" si="1"/>
        <v>1280</v>
      </c>
      <c r="N11" s="85"/>
      <c r="O11" s="11"/>
    </row>
    <row r="12" spans="1:18" s="10" customFormat="1" ht="23.25" x14ac:dyDescent="0.3">
      <c r="A12" s="26">
        <v>8</v>
      </c>
      <c r="B12" s="70" t="s">
        <v>341</v>
      </c>
      <c r="C12" s="32" t="s">
        <v>20</v>
      </c>
      <c r="D12" s="32">
        <v>32</v>
      </c>
      <c r="E12" s="57">
        <v>30</v>
      </c>
      <c r="F12" s="30">
        <f t="shared" si="0"/>
        <v>960</v>
      </c>
      <c r="H12" s="26">
        <v>8</v>
      </c>
      <c r="I12" s="70" t="s">
        <v>341</v>
      </c>
      <c r="J12" s="32" t="s">
        <v>20</v>
      </c>
      <c r="K12" s="115">
        <v>16</v>
      </c>
      <c r="L12" s="57">
        <v>30</v>
      </c>
      <c r="M12" s="30">
        <f t="shared" si="1"/>
        <v>480</v>
      </c>
      <c r="N12" s="85"/>
      <c r="O12" s="11"/>
    </row>
    <row r="13" spans="1:18" s="10" customFormat="1" ht="23.25" x14ac:dyDescent="0.3">
      <c r="A13" s="26">
        <v>9</v>
      </c>
      <c r="B13" s="70" t="s">
        <v>748</v>
      </c>
      <c r="C13" s="32" t="s">
        <v>19</v>
      </c>
      <c r="D13" s="32">
        <v>12</v>
      </c>
      <c r="E13" s="57">
        <v>50</v>
      </c>
      <c r="F13" s="30">
        <f t="shared" si="0"/>
        <v>600</v>
      </c>
      <c r="H13" s="26">
        <v>9</v>
      </c>
      <c r="I13" s="70" t="s">
        <v>748</v>
      </c>
      <c r="J13" s="32" t="s">
        <v>19</v>
      </c>
      <c r="K13" s="32">
        <v>12</v>
      </c>
      <c r="L13" s="57">
        <v>50</v>
      </c>
      <c r="M13" s="30">
        <f t="shared" si="1"/>
        <v>600</v>
      </c>
      <c r="N13" s="85"/>
      <c r="O13" s="11"/>
    </row>
    <row r="14" spans="1:18" s="10" customFormat="1" ht="23.25" x14ac:dyDescent="0.3">
      <c r="A14" s="26">
        <v>10</v>
      </c>
      <c r="B14" s="70" t="s">
        <v>587</v>
      </c>
      <c r="C14" s="32" t="s">
        <v>19</v>
      </c>
      <c r="D14" s="88">
        <v>66</v>
      </c>
      <c r="E14" s="57">
        <v>80</v>
      </c>
      <c r="F14" s="30">
        <f t="shared" si="0"/>
        <v>5280</v>
      </c>
      <c r="H14" s="26">
        <v>10</v>
      </c>
      <c r="I14" s="70" t="s">
        <v>587</v>
      </c>
      <c r="J14" s="32" t="s">
        <v>19</v>
      </c>
      <c r="K14" s="88">
        <v>66</v>
      </c>
      <c r="L14" s="118">
        <v>25</v>
      </c>
      <c r="M14" s="30">
        <f t="shared" si="1"/>
        <v>1650</v>
      </c>
      <c r="N14" s="85"/>
      <c r="O14" s="11"/>
    </row>
    <row r="15" spans="1:18" s="10" customFormat="1" ht="23.25" x14ac:dyDescent="0.3">
      <c r="A15" s="26">
        <v>11</v>
      </c>
      <c r="B15" s="70" t="s">
        <v>342</v>
      </c>
      <c r="C15" s="32" t="s">
        <v>20</v>
      </c>
      <c r="D15" s="88">
        <v>43</v>
      </c>
      <c r="E15" s="57">
        <v>30</v>
      </c>
      <c r="F15" s="30">
        <f t="shared" si="0"/>
        <v>1290</v>
      </c>
      <c r="H15" s="26">
        <v>11</v>
      </c>
      <c r="I15" s="70" t="s">
        <v>342</v>
      </c>
      <c r="J15" s="32" t="s">
        <v>20</v>
      </c>
      <c r="K15" s="88">
        <v>43</v>
      </c>
      <c r="L15" s="57">
        <v>30</v>
      </c>
      <c r="M15" s="30">
        <f t="shared" si="1"/>
        <v>1290</v>
      </c>
      <c r="N15" s="85"/>
      <c r="O15" s="11"/>
    </row>
    <row r="16" spans="1:18" s="10" customFormat="1" ht="23.25" x14ac:dyDescent="0.3">
      <c r="A16" s="26">
        <v>12</v>
      </c>
      <c r="B16" s="70" t="s">
        <v>343</v>
      </c>
      <c r="C16" s="32" t="s">
        <v>19</v>
      </c>
      <c r="D16" s="88">
        <v>22.5</v>
      </c>
      <c r="E16" s="57">
        <v>50</v>
      </c>
      <c r="F16" s="30">
        <f t="shared" si="0"/>
        <v>1125</v>
      </c>
      <c r="H16" s="26">
        <v>12</v>
      </c>
      <c r="I16" s="70" t="s">
        <v>343</v>
      </c>
      <c r="J16" s="32" t="s">
        <v>19</v>
      </c>
      <c r="K16" s="88">
        <v>22.5</v>
      </c>
      <c r="L16" s="57">
        <v>50</v>
      </c>
      <c r="M16" s="30">
        <f t="shared" si="1"/>
        <v>1125</v>
      </c>
      <c r="N16" s="85"/>
      <c r="O16" s="11"/>
    </row>
    <row r="17" spans="1:15" s="10" customFormat="1" ht="23.25" x14ac:dyDescent="0.3">
      <c r="A17" s="26">
        <v>13</v>
      </c>
      <c r="B17" s="65" t="s">
        <v>122</v>
      </c>
      <c r="C17" s="32" t="s">
        <v>119</v>
      </c>
      <c r="D17" s="32">
        <v>1.4</v>
      </c>
      <c r="E17" s="57">
        <v>460</v>
      </c>
      <c r="F17" s="30">
        <f t="shared" si="0"/>
        <v>644</v>
      </c>
      <c r="H17" s="26">
        <v>13</v>
      </c>
      <c r="I17" s="65" t="s">
        <v>122</v>
      </c>
      <c r="J17" s="32" t="s">
        <v>119</v>
      </c>
      <c r="K17" s="32">
        <v>1.4</v>
      </c>
      <c r="L17" s="57">
        <v>460</v>
      </c>
      <c r="M17" s="30">
        <f t="shared" si="1"/>
        <v>644</v>
      </c>
      <c r="N17" s="85"/>
      <c r="O17" s="11"/>
    </row>
    <row r="18" spans="1:15" ht="24" thickBot="1" x14ac:dyDescent="0.3">
      <c r="A18" s="38"/>
      <c r="B18" s="39"/>
      <c r="C18" s="39"/>
      <c r="D18" s="39"/>
      <c r="E18" s="40" t="s">
        <v>16</v>
      </c>
      <c r="F18" s="35">
        <f>SUM(F5:F17)</f>
        <v>24981</v>
      </c>
      <c r="H18" s="38"/>
      <c r="I18" s="39"/>
      <c r="J18" s="39"/>
      <c r="K18" s="39"/>
      <c r="L18" s="40" t="s">
        <v>16</v>
      </c>
      <c r="M18" s="35">
        <f>SUM(M5:M17)</f>
        <v>16346</v>
      </c>
    </row>
    <row r="19" spans="1:15" ht="26.25" thickBot="1" x14ac:dyDescent="0.3">
      <c r="A19" s="71"/>
      <c r="B19" s="72"/>
      <c r="C19" s="72"/>
      <c r="D19" s="72"/>
      <c r="E19" s="73" t="s">
        <v>21</v>
      </c>
      <c r="F19" s="12">
        <f>SUMIF(E1:E19985,"CƏMİ",F1:F19985)</f>
        <v>24981</v>
      </c>
      <c r="H19" s="71"/>
      <c r="I19" s="72"/>
      <c r="J19" s="72"/>
      <c r="K19" s="72"/>
      <c r="L19" s="73" t="s">
        <v>21</v>
      </c>
      <c r="M19" s="12">
        <f>SUMIF(L1:L19985,"CƏMİ",M1:M19985)</f>
        <v>16346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BFC8-4F77-444D-B318-B37A2C5EB8B9}">
  <sheetPr>
    <tabColor rgb="FFFFFF00"/>
    <pageSetUpPr fitToPage="1"/>
  </sheetPr>
  <dimension ref="A1:R8"/>
  <sheetViews>
    <sheetView view="pageBreakPreview" zoomScale="55" zoomScaleNormal="55" zoomScaleSheetLayoutView="55" workbookViewId="0">
      <pane ySplit="3" topLeftCell="A4" activePane="bottomLeft" state="frozen"/>
      <selection activeCell="D13" sqref="D13"/>
      <selection pane="bottomLeft" activeCell="L6" sqref="L6"/>
    </sheetView>
  </sheetViews>
  <sheetFormatPr defaultColWidth="9.140625" defaultRowHeight="15" x14ac:dyDescent="0.25"/>
  <cols>
    <col min="1" max="1" width="6.42578125" style="5" bestFit="1" customWidth="1"/>
    <col min="2" max="2" width="99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99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18.57031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629</v>
      </c>
      <c r="B1" s="175"/>
      <c r="C1" s="175"/>
      <c r="D1" s="175"/>
      <c r="E1" s="176" t="s">
        <v>0</v>
      </c>
      <c r="F1" s="177"/>
      <c r="H1" s="174" t="s">
        <v>629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F7</f>
        <v>3148</v>
      </c>
      <c r="O4" s="4"/>
    </row>
    <row r="5" spans="1:18" s="10" customFormat="1" ht="23.25" x14ac:dyDescent="0.3">
      <c r="A5" s="26">
        <v>1</v>
      </c>
      <c r="B5" s="65" t="s">
        <v>583</v>
      </c>
      <c r="C5" s="32" t="s">
        <v>19</v>
      </c>
      <c r="D5" s="32">
        <v>38.200000000000003</v>
      </c>
      <c r="E5" s="57">
        <v>80</v>
      </c>
      <c r="F5" s="30">
        <f>D5*E5</f>
        <v>3056</v>
      </c>
      <c r="H5" s="26">
        <v>1</v>
      </c>
      <c r="I5" s="65" t="s">
        <v>583</v>
      </c>
      <c r="J5" s="32" t="s">
        <v>19</v>
      </c>
      <c r="K5" s="115">
        <v>22</v>
      </c>
      <c r="L5" s="118">
        <v>25</v>
      </c>
      <c r="M5" s="30">
        <f>K5*L5</f>
        <v>550</v>
      </c>
      <c r="N5" s="85"/>
      <c r="O5" s="11"/>
    </row>
    <row r="6" spans="1:18" s="10" customFormat="1" ht="23.25" x14ac:dyDescent="0.3">
      <c r="A6" s="26">
        <v>2</v>
      </c>
      <c r="B6" s="65" t="s">
        <v>122</v>
      </c>
      <c r="C6" s="32" t="s">
        <v>119</v>
      </c>
      <c r="D6" s="32">
        <v>0.2</v>
      </c>
      <c r="E6" s="57">
        <v>460</v>
      </c>
      <c r="F6" s="30">
        <f>D6*E6</f>
        <v>92</v>
      </c>
      <c r="H6" s="26">
        <v>2</v>
      </c>
      <c r="I6" s="65" t="s">
        <v>122</v>
      </c>
      <c r="J6" s="32" t="s">
        <v>119</v>
      </c>
      <c r="K6" s="32">
        <v>0.2</v>
      </c>
      <c r="L6" s="57">
        <v>460</v>
      </c>
      <c r="M6" s="30">
        <f>K6*L6</f>
        <v>92</v>
      </c>
      <c r="N6" s="85"/>
      <c r="O6" s="11"/>
    </row>
    <row r="7" spans="1:18" ht="24" thickBot="1" x14ac:dyDescent="0.3">
      <c r="A7" s="38"/>
      <c r="B7" s="39"/>
      <c r="C7" s="39"/>
      <c r="D7" s="39"/>
      <c r="E7" s="40" t="s">
        <v>16</v>
      </c>
      <c r="F7" s="35">
        <f>SUM(F5:F6)</f>
        <v>3148</v>
      </c>
      <c r="H7" s="38"/>
      <c r="I7" s="39"/>
      <c r="J7" s="39"/>
      <c r="K7" s="39"/>
      <c r="L7" s="40" t="s">
        <v>16</v>
      </c>
      <c r="M7" s="35">
        <f>SUM(M5:M6)</f>
        <v>642</v>
      </c>
    </row>
    <row r="8" spans="1:18" ht="26.25" thickBot="1" x14ac:dyDescent="0.3">
      <c r="A8" s="76"/>
      <c r="B8" s="77"/>
      <c r="C8" s="77"/>
      <c r="D8" s="77"/>
      <c r="E8" s="78" t="s">
        <v>21</v>
      </c>
      <c r="F8" s="12">
        <f>SUMIF(E1:E19974,"CƏMİ",F1:F19974)</f>
        <v>3148</v>
      </c>
      <c r="H8" s="76"/>
      <c r="I8" s="77"/>
      <c r="J8" s="77"/>
      <c r="K8" s="77"/>
      <c r="L8" s="78" t="s">
        <v>21</v>
      </c>
      <c r="M8" s="12">
        <f>SUMIF(L1:L19974,"CƏMİ",M1:M19974)</f>
        <v>642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6" fitToHeight="0" orientation="portrait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D824-BCB0-43B1-AF62-0AA2C52996C0}">
  <sheetPr>
    <tabColor rgb="FFFFFF00"/>
    <pageSetUpPr fitToPage="1"/>
  </sheetPr>
  <dimension ref="A1:R8"/>
  <sheetViews>
    <sheetView view="pageBreakPreview" zoomScale="55" zoomScaleNormal="55" zoomScaleSheetLayoutView="55" workbookViewId="0">
      <pane ySplit="3" topLeftCell="A4" activePane="bottomLeft" state="frozen"/>
      <selection activeCell="D13" sqref="D13"/>
      <selection pane="bottomLeft" activeCell="B26" sqref="B26"/>
    </sheetView>
  </sheetViews>
  <sheetFormatPr defaultColWidth="9.140625" defaultRowHeight="15" x14ac:dyDescent="0.25"/>
  <cols>
    <col min="1" max="1" width="6.42578125" style="5" bestFit="1" customWidth="1"/>
    <col min="2" max="2" width="99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99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18.57031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453</v>
      </c>
      <c r="B1" s="175"/>
      <c r="C1" s="175"/>
      <c r="D1" s="175"/>
      <c r="E1" s="176" t="s">
        <v>0</v>
      </c>
      <c r="F1" s="177"/>
      <c r="H1" s="174" t="s">
        <v>453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F7</f>
        <v>1168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25.6</v>
      </c>
      <c r="E5" s="57">
        <v>30</v>
      </c>
      <c r="F5" s="30">
        <f>D5*E5</f>
        <v>768</v>
      </c>
      <c r="H5" s="26">
        <v>1</v>
      </c>
      <c r="I5" s="70" t="s">
        <v>559</v>
      </c>
      <c r="J5" s="32" t="s">
        <v>20</v>
      </c>
      <c r="K5" s="88">
        <v>25.6</v>
      </c>
      <c r="L5" s="57">
        <v>30</v>
      </c>
      <c r="M5" s="30">
        <f>K5*L5</f>
        <v>768</v>
      </c>
      <c r="N5" s="85"/>
      <c r="O5" s="11"/>
    </row>
    <row r="6" spans="1:18" s="10" customFormat="1" ht="23.25" x14ac:dyDescent="0.3">
      <c r="A6" s="26">
        <v>2</v>
      </c>
      <c r="B6" s="70" t="s">
        <v>555</v>
      </c>
      <c r="C6" s="32" t="s">
        <v>19</v>
      </c>
      <c r="D6" s="32">
        <v>8</v>
      </c>
      <c r="E6" s="57">
        <v>50</v>
      </c>
      <c r="F6" s="30">
        <f>D6*E6</f>
        <v>400</v>
      </c>
      <c r="H6" s="26">
        <v>2</v>
      </c>
      <c r="I6" s="70" t="s">
        <v>555</v>
      </c>
      <c r="J6" s="32" t="s">
        <v>19</v>
      </c>
      <c r="K6" s="32">
        <v>8</v>
      </c>
      <c r="L6" s="57">
        <v>50</v>
      </c>
      <c r="M6" s="30">
        <f>K6*L6</f>
        <v>400</v>
      </c>
      <c r="N6" s="85"/>
      <c r="O6" s="11"/>
    </row>
    <row r="7" spans="1:18" ht="24" thickBot="1" x14ac:dyDescent="0.3">
      <c r="A7" s="38"/>
      <c r="B7" s="39"/>
      <c r="C7" s="39"/>
      <c r="D7" s="39"/>
      <c r="E7" s="40" t="s">
        <v>16</v>
      </c>
      <c r="F7" s="35">
        <f>SUM(F5:F6)</f>
        <v>1168</v>
      </c>
      <c r="H7" s="38"/>
      <c r="I7" s="39"/>
      <c r="J7" s="39"/>
      <c r="K7" s="39"/>
      <c r="L7" s="40" t="s">
        <v>16</v>
      </c>
      <c r="M7" s="35">
        <f>SUM(M5:M6)</f>
        <v>1168</v>
      </c>
    </row>
    <row r="8" spans="1:18" ht="26.25" thickBot="1" x14ac:dyDescent="0.3">
      <c r="A8" s="76"/>
      <c r="B8" s="77"/>
      <c r="C8" s="77"/>
      <c r="D8" s="77"/>
      <c r="E8" s="78" t="s">
        <v>21</v>
      </c>
      <c r="F8" s="12">
        <f>SUMIF(E1:E19974,"CƏMİ",F1:F19974)</f>
        <v>1168</v>
      </c>
      <c r="H8" s="76"/>
      <c r="I8" s="77"/>
      <c r="J8" s="77"/>
      <c r="K8" s="77"/>
      <c r="L8" s="78" t="s">
        <v>21</v>
      </c>
      <c r="M8" s="12">
        <f>SUMIF(L1:L19974,"CƏMİ",M1:M19974)</f>
        <v>1168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6" fitToHeight="0" orientation="portrait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7270-16CF-4A36-947C-841EE156F2A6}">
  <sheetPr>
    <tabColor rgb="FFFFFF00"/>
    <pageSetUpPr fitToPage="1"/>
  </sheetPr>
  <dimension ref="A1:R13"/>
  <sheetViews>
    <sheetView view="pageBreakPreview" zoomScale="55" zoomScaleNormal="55" zoomScaleSheetLayoutView="55" workbookViewId="0">
      <pane ySplit="3" topLeftCell="A4" activePane="bottomLeft" state="frozen"/>
      <selection activeCell="D13" sqref="D13"/>
      <selection pane="bottomLeft" activeCell="K9" sqref="K9"/>
    </sheetView>
  </sheetViews>
  <sheetFormatPr defaultColWidth="9.140625" defaultRowHeight="15" x14ac:dyDescent="0.25"/>
  <cols>
    <col min="1" max="1" width="6.42578125" style="5" bestFit="1" customWidth="1"/>
    <col min="2" max="2" width="109.8554687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09.8554687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430</v>
      </c>
      <c r="B1" s="175"/>
      <c r="C1" s="175"/>
      <c r="D1" s="175"/>
      <c r="E1" s="176" t="s">
        <v>0</v>
      </c>
      <c r="F1" s="177"/>
      <c r="H1" s="174" t="s">
        <v>430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F12</f>
        <v>6336.2</v>
      </c>
      <c r="O4" s="4"/>
    </row>
    <row r="5" spans="1:18" s="10" customFormat="1" ht="23.25" x14ac:dyDescent="0.3">
      <c r="A5" s="26">
        <v>1</v>
      </c>
      <c r="B5" s="70" t="s">
        <v>431</v>
      </c>
      <c r="C5" s="32" t="s">
        <v>20</v>
      </c>
      <c r="D5" s="32">
        <v>25.4</v>
      </c>
      <c r="E5" s="57">
        <v>30</v>
      </c>
      <c r="F5" s="30">
        <f>D5*E5</f>
        <v>762</v>
      </c>
      <c r="H5" s="26">
        <v>1</v>
      </c>
      <c r="I5" s="70" t="s">
        <v>431</v>
      </c>
      <c r="J5" s="32" t="s">
        <v>20</v>
      </c>
      <c r="K5" s="115">
        <v>12.7</v>
      </c>
      <c r="L5" s="57">
        <v>30</v>
      </c>
      <c r="M5" s="30">
        <f>K5*L5</f>
        <v>381</v>
      </c>
      <c r="N5" s="85"/>
      <c r="O5" s="11"/>
    </row>
    <row r="6" spans="1:18" s="10" customFormat="1" ht="23.25" x14ac:dyDescent="0.3">
      <c r="A6" s="26">
        <v>2</v>
      </c>
      <c r="B6" s="70" t="s">
        <v>432</v>
      </c>
      <c r="C6" s="32" t="s">
        <v>19</v>
      </c>
      <c r="D6" s="32">
        <v>9.1</v>
      </c>
      <c r="E6" s="57">
        <v>50</v>
      </c>
      <c r="F6" s="30">
        <f t="shared" ref="F6:F11" si="0">D6*E6</f>
        <v>455</v>
      </c>
      <c r="H6" s="26">
        <v>2</v>
      </c>
      <c r="I6" s="70" t="s">
        <v>432</v>
      </c>
      <c r="J6" s="32" t="s">
        <v>19</v>
      </c>
      <c r="K6" s="32">
        <v>9.1</v>
      </c>
      <c r="L6" s="57">
        <v>50</v>
      </c>
      <c r="M6" s="30">
        <f t="shared" ref="M6:M11" si="1">K6*L6</f>
        <v>455</v>
      </c>
      <c r="N6" s="85"/>
      <c r="O6" s="11"/>
    </row>
    <row r="7" spans="1:18" s="10" customFormat="1" ht="23.25" x14ac:dyDescent="0.3">
      <c r="A7" s="26">
        <v>3</v>
      </c>
      <c r="B7" s="70" t="s">
        <v>346</v>
      </c>
      <c r="C7" s="32" t="s">
        <v>20</v>
      </c>
      <c r="D7" s="88">
        <v>45.9</v>
      </c>
      <c r="E7" s="57">
        <v>30</v>
      </c>
      <c r="F7" s="30">
        <f t="shared" si="0"/>
        <v>1377</v>
      </c>
      <c r="H7" s="26">
        <v>3</v>
      </c>
      <c r="I7" s="70" t="s">
        <v>346</v>
      </c>
      <c r="J7" s="32" t="s">
        <v>20</v>
      </c>
      <c r="K7" s="88">
        <v>45.9</v>
      </c>
      <c r="L7" s="118">
        <v>25</v>
      </c>
      <c r="M7" s="30">
        <f t="shared" si="1"/>
        <v>1147.5</v>
      </c>
      <c r="N7" s="85"/>
      <c r="O7" s="11"/>
    </row>
    <row r="8" spans="1:18" s="10" customFormat="1" ht="23.25" x14ac:dyDescent="0.3">
      <c r="A8" s="26">
        <v>4</v>
      </c>
      <c r="B8" s="70" t="s">
        <v>347</v>
      </c>
      <c r="C8" s="32" t="s">
        <v>19</v>
      </c>
      <c r="D8" s="88">
        <v>27.8</v>
      </c>
      <c r="E8" s="57">
        <v>50</v>
      </c>
      <c r="F8" s="30">
        <f t="shared" si="0"/>
        <v>1390</v>
      </c>
      <c r="H8" s="26">
        <v>4</v>
      </c>
      <c r="I8" s="70" t="s">
        <v>347</v>
      </c>
      <c r="J8" s="32" t="s">
        <v>19</v>
      </c>
      <c r="K8" s="115">
        <v>0</v>
      </c>
      <c r="L8" s="57">
        <v>50</v>
      </c>
      <c r="M8" s="30">
        <f t="shared" si="1"/>
        <v>0</v>
      </c>
      <c r="N8" s="85"/>
      <c r="O8" s="11"/>
    </row>
    <row r="9" spans="1:18" s="10" customFormat="1" ht="23.25" x14ac:dyDescent="0.3">
      <c r="A9" s="26">
        <v>5</v>
      </c>
      <c r="B9" s="70" t="s">
        <v>559</v>
      </c>
      <c r="C9" s="32" t="s">
        <v>20</v>
      </c>
      <c r="D9" s="88">
        <v>45</v>
      </c>
      <c r="E9" s="57">
        <v>30</v>
      </c>
      <c r="F9" s="30">
        <f t="shared" si="0"/>
        <v>1350</v>
      </c>
      <c r="H9" s="26">
        <v>5</v>
      </c>
      <c r="I9" s="70" t="s">
        <v>559</v>
      </c>
      <c r="J9" s="32" t="s">
        <v>20</v>
      </c>
      <c r="K9" s="88">
        <v>45</v>
      </c>
      <c r="L9" s="57">
        <v>30</v>
      </c>
      <c r="M9" s="30">
        <f t="shared" si="1"/>
        <v>1350</v>
      </c>
      <c r="N9" s="85"/>
      <c r="O9" s="11"/>
    </row>
    <row r="10" spans="1:18" s="10" customFormat="1" ht="23.25" x14ac:dyDescent="0.3">
      <c r="A10" s="26">
        <v>6</v>
      </c>
      <c r="B10" s="70" t="s">
        <v>555</v>
      </c>
      <c r="C10" s="32" t="s">
        <v>19</v>
      </c>
      <c r="D10" s="32">
        <v>12.5</v>
      </c>
      <c r="E10" s="57">
        <v>50</v>
      </c>
      <c r="F10" s="30">
        <f t="shared" si="0"/>
        <v>625</v>
      </c>
      <c r="H10" s="26">
        <v>6</v>
      </c>
      <c r="I10" s="70" t="s">
        <v>555</v>
      </c>
      <c r="J10" s="32" t="s">
        <v>19</v>
      </c>
      <c r="K10" s="32">
        <v>12.5</v>
      </c>
      <c r="L10" s="57">
        <v>50</v>
      </c>
      <c r="M10" s="30">
        <f t="shared" si="1"/>
        <v>625</v>
      </c>
      <c r="N10" s="85"/>
      <c r="O10" s="11"/>
    </row>
    <row r="11" spans="1:18" s="10" customFormat="1" ht="23.25" x14ac:dyDescent="0.3">
      <c r="A11" s="26">
        <v>7</v>
      </c>
      <c r="B11" s="65" t="s">
        <v>122</v>
      </c>
      <c r="C11" s="32" t="s">
        <v>119</v>
      </c>
      <c r="D11" s="32">
        <v>0.82</v>
      </c>
      <c r="E11" s="57">
        <v>460</v>
      </c>
      <c r="F11" s="30">
        <f t="shared" si="0"/>
        <v>377.2</v>
      </c>
      <c r="H11" s="26">
        <v>7</v>
      </c>
      <c r="I11" s="65" t="s">
        <v>122</v>
      </c>
      <c r="J11" s="32" t="s">
        <v>119</v>
      </c>
      <c r="K11" s="32">
        <v>0.82</v>
      </c>
      <c r="L11" s="57">
        <v>460</v>
      </c>
      <c r="M11" s="30">
        <f t="shared" si="1"/>
        <v>377.2</v>
      </c>
      <c r="N11" s="85"/>
      <c r="O11" s="11"/>
    </row>
    <row r="12" spans="1:18" ht="24" thickBot="1" x14ac:dyDescent="0.3">
      <c r="A12" s="38"/>
      <c r="B12" s="39"/>
      <c r="C12" s="39"/>
      <c r="D12" s="39"/>
      <c r="E12" s="40" t="s">
        <v>16</v>
      </c>
      <c r="F12" s="35">
        <f>SUM(F5:F11)</f>
        <v>6336.2</v>
      </c>
      <c r="H12" s="38"/>
      <c r="I12" s="39"/>
      <c r="J12" s="39"/>
      <c r="K12" s="39"/>
      <c r="L12" s="40" t="s">
        <v>16</v>
      </c>
      <c r="M12" s="35">
        <f>SUM(M5:M11)</f>
        <v>4335.7</v>
      </c>
    </row>
    <row r="13" spans="1:18" ht="26.25" thickBot="1" x14ac:dyDescent="0.3">
      <c r="A13" s="71"/>
      <c r="B13" s="72"/>
      <c r="C13" s="72"/>
      <c r="D13" s="72"/>
      <c r="E13" s="73" t="s">
        <v>21</v>
      </c>
      <c r="F13" s="12">
        <f>SUMIF(E1:E19979,"CƏMİ",F1:F19979)</f>
        <v>6336.2</v>
      </c>
      <c r="H13" s="71"/>
      <c r="I13" s="72"/>
      <c r="J13" s="72"/>
      <c r="K13" s="72"/>
      <c r="L13" s="73" t="s">
        <v>21</v>
      </c>
      <c r="M13" s="12">
        <f>SUMIF(L1:L19979,"CƏMİ",M1:M19979)</f>
        <v>4335.7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EDB3-6DDA-4B39-B781-CF72A7C21D5B}">
  <sheetPr>
    <tabColor rgb="FFFFFF00"/>
    <pageSetUpPr fitToPage="1"/>
  </sheetPr>
  <dimension ref="A1:R13"/>
  <sheetViews>
    <sheetView view="pageBreakPreview" zoomScale="55" zoomScaleNormal="55" zoomScaleSheetLayoutView="55" workbookViewId="0">
      <pane ySplit="3" topLeftCell="A4" activePane="bottomLeft" state="frozen"/>
      <selection activeCell="D13" sqref="D13"/>
      <selection pane="bottomLeft" activeCell="E33" sqref="E33"/>
    </sheetView>
  </sheetViews>
  <sheetFormatPr defaultColWidth="9.140625" defaultRowHeight="15" x14ac:dyDescent="0.25"/>
  <cols>
    <col min="1" max="1" width="6.42578125" style="5" bestFit="1" customWidth="1"/>
    <col min="2" max="2" width="109.8554687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09.8554687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435</v>
      </c>
      <c r="B1" s="175"/>
      <c r="C1" s="175"/>
      <c r="D1" s="175"/>
      <c r="E1" s="176" t="s">
        <v>0</v>
      </c>
      <c r="F1" s="177"/>
      <c r="H1" s="174" t="s">
        <v>435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F12</f>
        <v>13099.8</v>
      </c>
      <c r="O4" s="4"/>
    </row>
    <row r="5" spans="1:18" s="10" customFormat="1" ht="23.25" x14ac:dyDescent="0.3">
      <c r="A5" s="26">
        <v>1</v>
      </c>
      <c r="B5" s="70" t="s">
        <v>431</v>
      </c>
      <c r="C5" s="32" t="s">
        <v>20</v>
      </c>
      <c r="D5" s="32">
        <v>25.36</v>
      </c>
      <c r="E5" s="57">
        <v>30</v>
      </c>
      <c r="F5" s="30">
        <f>D5*E5</f>
        <v>760.8</v>
      </c>
      <c r="H5" s="26">
        <v>1</v>
      </c>
      <c r="I5" s="70" t="s">
        <v>431</v>
      </c>
      <c r="J5" s="32" t="s">
        <v>20</v>
      </c>
      <c r="K5" s="115">
        <v>19</v>
      </c>
      <c r="L5" s="57">
        <v>30</v>
      </c>
      <c r="M5" s="30">
        <f>K5*L5</f>
        <v>570</v>
      </c>
      <c r="N5" s="85"/>
      <c r="O5" s="11"/>
    </row>
    <row r="6" spans="1:18" s="10" customFormat="1" ht="23.25" x14ac:dyDescent="0.3">
      <c r="A6" s="26">
        <v>2</v>
      </c>
      <c r="B6" s="70" t="s">
        <v>432</v>
      </c>
      <c r="C6" s="32" t="s">
        <v>19</v>
      </c>
      <c r="D6" s="32">
        <v>8.3000000000000007</v>
      </c>
      <c r="E6" s="57">
        <v>50</v>
      </c>
      <c r="F6" s="30">
        <f t="shared" ref="F6:F11" si="0">D6*E6</f>
        <v>415.00000000000006</v>
      </c>
      <c r="H6" s="26">
        <v>2</v>
      </c>
      <c r="I6" s="70" t="s">
        <v>432</v>
      </c>
      <c r="J6" s="32" t="s">
        <v>19</v>
      </c>
      <c r="K6" s="32">
        <v>8.3000000000000007</v>
      </c>
      <c r="L6" s="57">
        <v>50</v>
      </c>
      <c r="M6" s="30">
        <f t="shared" ref="M6:M11" si="1">K6*L6</f>
        <v>415.00000000000006</v>
      </c>
      <c r="N6" s="85"/>
      <c r="O6" s="11"/>
    </row>
    <row r="7" spans="1:18" s="10" customFormat="1" ht="23.25" x14ac:dyDescent="0.3">
      <c r="A7" s="26">
        <v>3</v>
      </c>
      <c r="B7" s="70" t="s">
        <v>346</v>
      </c>
      <c r="C7" s="32" t="s">
        <v>20</v>
      </c>
      <c r="D7" s="88">
        <v>60.2</v>
      </c>
      <c r="E7" s="57">
        <v>30</v>
      </c>
      <c r="F7" s="30">
        <f t="shared" si="0"/>
        <v>1806</v>
      </c>
      <c r="H7" s="26">
        <v>3</v>
      </c>
      <c r="I7" s="70" t="s">
        <v>346</v>
      </c>
      <c r="J7" s="32" t="s">
        <v>20</v>
      </c>
      <c r="K7" s="88">
        <v>60.2</v>
      </c>
      <c r="L7" s="118">
        <v>25</v>
      </c>
      <c r="M7" s="30">
        <f t="shared" si="1"/>
        <v>1505</v>
      </c>
      <c r="N7" s="85"/>
      <c r="O7" s="11"/>
    </row>
    <row r="8" spans="1:18" s="10" customFormat="1" ht="23.25" x14ac:dyDescent="0.3">
      <c r="A8" s="26">
        <v>4</v>
      </c>
      <c r="B8" s="70" t="s">
        <v>347</v>
      </c>
      <c r="C8" s="32" t="s">
        <v>19</v>
      </c>
      <c r="D8" s="88">
        <v>39.1</v>
      </c>
      <c r="E8" s="57">
        <v>50</v>
      </c>
      <c r="F8" s="30">
        <f t="shared" si="0"/>
        <v>1955</v>
      </c>
      <c r="H8" s="26">
        <v>4</v>
      </c>
      <c r="I8" s="70" t="s">
        <v>347</v>
      </c>
      <c r="J8" s="32" t="s">
        <v>19</v>
      </c>
      <c r="K8" s="115">
        <v>0</v>
      </c>
      <c r="L8" s="57">
        <v>50</v>
      </c>
      <c r="M8" s="30">
        <f t="shared" si="1"/>
        <v>0</v>
      </c>
      <c r="N8" s="85"/>
      <c r="O8" s="11"/>
    </row>
    <row r="9" spans="1:18" s="10" customFormat="1" ht="23.25" x14ac:dyDescent="0.3">
      <c r="A9" s="26">
        <v>5</v>
      </c>
      <c r="B9" s="70" t="s">
        <v>559</v>
      </c>
      <c r="C9" s="32" t="s">
        <v>20</v>
      </c>
      <c r="D9" s="88">
        <v>170</v>
      </c>
      <c r="E9" s="57">
        <v>30</v>
      </c>
      <c r="F9" s="30">
        <f t="shared" si="0"/>
        <v>5100</v>
      </c>
      <c r="H9" s="26">
        <v>5</v>
      </c>
      <c r="I9" s="70" t="s">
        <v>559</v>
      </c>
      <c r="J9" s="32" t="s">
        <v>20</v>
      </c>
      <c r="K9" s="88">
        <v>170</v>
      </c>
      <c r="L9" s="57">
        <v>30</v>
      </c>
      <c r="M9" s="30">
        <f t="shared" si="1"/>
        <v>5100</v>
      </c>
      <c r="N9" s="85"/>
      <c r="O9" s="11"/>
    </row>
    <row r="10" spans="1:18" s="10" customFormat="1" ht="23.25" x14ac:dyDescent="0.3">
      <c r="A10" s="26">
        <v>6</v>
      </c>
      <c r="B10" s="70" t="s">
        <v>555</v>
      </c>
      <c r="C10" s="32" t="s">
        <v>19</v>
      </c>
      <c r="D10" s="32">
        <v>51.6</v>
      </c>
      <c r="E10" s="57">
        <v>50</v>
      </c>
      <c r="F10" s="30">
        <f t="shared" si="0"/>
        <v>2580</v>
      </c>
      <c r="H10" s="26">
        <v>6</v>
      </c>
      <c r="I10" s="70" t="s">
        <v>555</v>
      </c>
      <c r="J10" s="32" t="s">
        <v>19</v>
      </c>
      <c r="K10" s="32">
        <v>51.6</v>
      </c>
      <c r="L10" s="57">
        <v>50</v>
      </c>
      <c r="M10" s="30">
        <f t="shared" si="1"/>
        <v>2580</v>
      </c>
      <c r="N10" s="85"/>
      <c r="O10" s="11"/>
    </row>
    <row r="11" spans="1:18" s="10" customFormat="1" ht="23.25" x14ac:dyDescent="0.3">
      <c r="A11" s="26">
        <v>7</v>
      </c>
      <c r="B11" s="65" t="s">
        <v>122</v>
      </c>
      <c r="C11" s="32" t="s">
        <v>119</v>
      </c>
      <c r="D11" s="32">
        <v>1.05</v>
      </c>
      <c r="E11" s="57">
        <v>460</v>
      </c>
      <c r="F11" s="30">
        <f t="shared" si="0"/>
        <v>483</v>
      </c>
      <c r="H11" s="26">
        <v>7</v>
      </c>
      <c r="I11" s="65" t="s">
        <v>122</v>
      </c>
      <c r="J11" s="32" t="s">
        <v>119</v>
      </c>
      <c r="K11" s="32">
        <v>1.05</v>
      </c>
      <c r="L11" s="57">
        <v>460</v>
      </c>
      <c r="M11" s="30">
        <f t="shared" si="1"/>
        <v>483</v>
      </c>
      <c r="N11" s="85"/>
      <c r="O11" s="11"/>
    </row>
    <row r="12" spans="1:18" ht="24" thickBot="1" x14ac:dyDescent="0.3">
      <c r="A12" s="38"/>
      <c r="B12" s="39"/>
      <c r="C12" s="39"/>
      <c r="D12" s="39"/>
      <c r="E12" s="40" t="s">
        <v>16</v>
      </c>
      <c r="F12" s="35">
        <f>SUM(F5:F11)</f>
        <v>13099.8</v>
      </c>
      <c r="H12" s="38"/>
      <c r="I12" s="39"/>
      <c r="J12" s="39"/>
      <c r="K12" s="39"/>
      <c r="L12" s="40" t="s">
        <v>16</v>
      </c>
      <c r="M12" s="35">
        <f>SUM(M5:M11)</f>
        <v>10653</v>
      </c>
    </row>
    <row r="13" spans="1:18" ht="26.25" thickBot="1" x14ac:dyDescent="0.3">
      <c r="A13" s="71"/>
      <c r="B13" s="72"/>
      <c r="C13" s="72"/>
      <c r="D13" s="72"/>
      <c r="E13" s="73" t="s">
        <v>21</v>
      </c>
      <c r="F13" s="12">
        <f>SUMIF(E1:E19979,"CƏMİ",F1:F19979)</f>
        <v>13099.8</v>
      </c>
      <c r="H13" s="71"/>
      <c r="I13" s="72"/>
      <c r="J13" s="72"/>
      <c r="K13" s="72"/>
      <c r="L13" s="73" t="s">
        <v>21</v>
      </c>
      <c r="M13" s="12">
        <f>SUMIF(L1:L19979,"CƏMİ",M1:M19979)</f>
        <v>10653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624D-4BE9-45CE-9B0A-FE9035102380}">
  <sheetPr>
    <tabColor rgb="FFFFFF00"/>
    <pageSetUpPr fitToPage="1"/>
  </sheetPr>
  <dimension ref="A1:R8"/>
  <sheetViews>
    <sheetView view="pageBreakPreview" zoomScale="55" zoomScaleNormal="55" zoomScaleSheetLayoutView="55" workbookViewId="0">
      <pane ySplit="3" topLeftCell="A4" activePane="bottomLeft" state="frozen"/>
      <selection activeCell="D13" sqref="D13"/>
      <selection pane="bottomLeft" activeCell="F26" sqref="F26"/>
    </sheetView>
  </sheetViews>
  <sheetFormatPr defaultColWidth="9.140625" defaultRowHeight="15" x14ac:dyDescent="0.25"/>
  <cols>
    <col min="1" max="1" width="6.42578125" style="5" bestFit="1" customWidth="1"/>
    <col min="2" max="2" width="109.8554687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09.8554687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373</v>
      </c>
      <c r="B1" s="175"/>
      <c r="C1" s="175"/>
      <c r="D1" s="175"/>
      <c r="E1" s="176" t="s">
        <v>0</v>
      </c>
      <c r="F1" s="177"/>
      <c r="H1" s="174" t="s">
        <v>373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F7</f>
        <v>1380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36</v>
      </c>
      <c r="E5" s="57">
        <v>30</v>
      </c>
      <c r="F5" s="30">
        <f>D5*E5</f>
        <v>1080</v>
      </c>
      <c r="H5" s="26">
        <v>1</v>
      </c>
      <c r="I5" s="70" t="s">
        <v>559</v>
      </c>
      <c r="J5" s="32" t="s">
        <v>20</v>
      </c>
      <c r="K5" s="88">
        <v>36</v>
      </c>
      <c r="L5" s="57">
        <v>30</v>
      </c>
      <c r="M5" s="30">
        <f>K5*L5</f>
        <v>1080</v>
      </c>
      <c r="N5" s="85"/>
      <c r="O5" s="11"/>
    </row>
    <row r="6" spans="1:18" s="10" customFormat="1" ht="23.25" x14ac:dyDescent="0.3">
      <c r="A6" s="26">
        <v>2</v>
      </c>
      <c r="B6" s="70" t="s">
        <v>555</v>
      </c>
      <c r="C6" s="32" t="s">
        <v>19</v>
      </c>
      <c r="D6" s="32">
        <v>6</v>
      </c>
      <c r="E6" s="57">
        <v>50</v>
      </c>
      <c r="F6" s="30">
        <f>D6*E6</f>
        <v>300</v>
      </c>
      <c r="H6" s="26">
        <v>2</v>
      </c>
      <c r="I6" s="70" t="s">
        <v>555</v>
      </c>
      <c r="J6" s="32" t="s">
        <v>19</v>
      </c>
      <c r="K6" s="32">
        <v>6</v>
      </c>
      <c r="L6" s="57">
        <v>50</v>
      </c>
      <c r="M6" s="30">
        <f>K6*L6</f>
        <v>300</v>
      </c>
      <c r="N6" s="85"/>
      <c r="O6" s="11"/>
    </row>
    <row r="7" spans="1:18" ht="24" thickBot="1" x14ac:dyDescent="0.3">
      <c r="A7" s="38"/>
      <c r="B7" s="39"/>
      <c r="C7" s="39"/>
      <c r="D7" s="39"/>
      <c r="E7" s="40" t="s">
        <v>16</v>
      </c>
      <c r="F7" s="35">
        <f>SUM(F5:F6)</f>
        <v>1380</v>
      </c>
      <c r="H7" s="38"/>
      <c r="I7" s="39"/>
      <c r="J7" s="39"/>
      <c r="K7" s="39"/>
      <c r="L7" s="40" t="s">
        <v>16</v>
      </c>
      <c r="M7" s="35">
        <f>SUM(M5:M6)</f>
        <v>1380</v>
      </c>
    </row>
    <row r="8" spans="1:18" ht="26.25" thickBot="1" x14ac:dyDescent="0.3">
      <c r="A8" s="76"/>
      <c r="B8" s="77"/>
      <c r="C8" s="77"/>
      <c r="D8" s="77"/>
      <c r="E8" s="78" t="s">
        <v>21</v>
      </c>
      <c r="F8" s="12">
        <f>SUMIF(E1:E19974,"CƏMİ",F1:F19974)</f>
        <v>1380</v>
      </c>
      <c r="H8" s="76"/>
      <c r="I8" s="77"/>
      <c r="J8" s="77"/>
      <c r="K8" s="77"/>
      <c r="L8" s="78" t="s">
        <v>21</v>
      </c>
      <c r="M8" s="12">
        <f>SUMIF(L1:L19974,"CƏMİ",M1:M19974)</f>
        <v>1380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7A7A1-FE15-48D1-8946-FD5B4ED94A2C}">
  <sheetPr>
    <tabColor rgb="FFFFFF00"/>
    <pageSetUpPr fitToPage="1"/>
  </sheetPr>
  <dimension ref="A1:R10"/>
  <sheetViews>
    <sheetView view="pageBreakPreview" zoomScale="55" zoomScaleNormal="55" zoomScaleSheetLayoutView="55" workbookViewId="0">
      <pane ySplit="3" topLeftCell="A4" activePane="bottomLeft" state="frozen"/>
      <selection activeCell="D13" sqref="D13"/>
      <selection pane="bottomLeft" activeCell="J6" sqref="J6"/>
    </sheetView>
  </sheetViews>
  <sheetFormatPr defaultColWidth="9.140625" defaultRowHeight="15" x14ac:dyDescent="0.25"/>
  <cols>
    <col min="1" max="1" width="6.42578125" style="5" bestFit="1" customWidth="1"/>
    <col min="2" max="2" width="109.8554687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09.8554687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391</v>
      </c>
      <c r="B1" s="175"/>
      <c r="C1" s="175"/>
      <c r="D1" s="175"/>
      <c r="E1" s="176" t="s">
        <v>0</v>
      </c>
      <c r="F1" s="177"/>
      <c r="H1" s="174" t="s">
        <v>391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F7</f>
        <v>2840</v>
      </c>
      <c r="O4" s="4"/>
    </row>
    <row r="5" spans="1:18" s="10" customFormat="1" ht="23.25" x14ac:dyDescent="0.3">
      <c r="A5" s="26">
        <v>1</v>
      </c>
      <c r="B5" s="70" t="s">
        <v>582</v>
      </c>
      <c r="C5" s="32" t="s">
        <v>20</v>
      </c>
      <c r="D5" s="88">
        <v>87</v>
      </c>
      <c r="E5" s="57">
        <v>30</v>
      </c>
      <c r="F5" s="30">
        <f>D5*E5</f>
        <v>2610</v>
      </c>
      <c r="H5" s="26">
        <v>1</v>
      </c>
      <c r="I5" s="70" t="s">
        <v>582</v>
      </c>
      <c r="J5" s="115" t="s">
        <v>19</v>
      </c>
      <c r="K5" s="88">
        <v>87</v>
      </c>
      <c r="L5" s="118">
        <v>25</v>
      </c>
      <c r="M5" s="30">
        <f>K5*L5</f>
        <v>2175</v>
      </c>
      <c r="N5" s="85"/>
      <c r="O5" s="11"/>
    </row>
    <row r="6" spans="1:18" s="10" customFormat="1" ht="23.25" x14ac:dyDescent="0.3">
      <c r="A6" s="26">
        <v>13</v>
      </c>
      <c r="B6" s="65" t="s">
        <v>122</v>
      </c>
      <c r="C6" s="32" t="s">
        <v>119</v>
      </c>
      <c r="D6" s="32">
        <v>0.5</v>
      </c>
      <c r="E6" s="57">
        <v>460</v>
      </c>
      <c r="F6" s="30">
        <f t="shared" ref="F6" si="0">D6*E6</f>
        <v>230</v>
      </c>
      <c r="H6" s="26">
        <v>13</v>
      </c>
      <c r="I6" s="65" t="s">
        <v>122</v>
      </c>
      <c r="J6" s="32" t="s">
        <v>119</v>
      </c>
      <c r="K6" s="32">
        <v>0.5</v>
      </c>
      <c r="L6" s="57">
        <v>460</v>
      </c>
      <c r="M6" s="30">
        <f t="shared" ref="M6" si="1">K6*L6</f>
        <v>230</v>
      </c>
      <c r="N6" s="85"/>
      <c r="O6" s="11"/>
    </row>
    <row r="7" spans="1:18" ht="24" thickBot="1" x14ac:dyDescent="0.3">
      <c r="A7" s="38"/>
      <c r="B7" s="39"/>
      <c r="C7" s="39"/>
      <c r="D7" s="39"/>
      <c r="E7" s="40" t="s">
        <v>16</v>
      </c>
      <c r="F7" s="35">
        <f>SUM(F5:F6)</f>
        <v>2840</v>
      </c>
      <c r="H7" s="38"/>
      <c r="I7" s="39"/>
      <c r="J7" s="39"/>
      <c r="K7" s="39"/>
      <c r="L7" s="40" t="s">
        <v>16</v>
      </c>
      <c r="M7" s="35">
        <f>SUM(M5:M6)</f>
        <v>2405</v>
      </c>
    </row>
    <row r="8" spans="1:18" ht="26.25" thickBot="1" x14ac:dyDescent="0.3">
      <c r="A8" s="71"/>
      <c r="B8" s="72"/>
      <c r="C8" s="72"/>
      <c r="D8" s="72"/>
      <c r="E8" s="73" t="s">
        <v>21</v>
      </c>
      <c r="F8" s="12">
        <f>SUMIF(E1:E19974,"CƏMİ",F1:F19974)</f>
        <v>2840</v>
      </c>
      <c r="H8" s="71"/>
      <c r="I8" s="72"/>
      <c r="J8" s="72"/>
      <c r="K8" s="72"/>
      <c r="L8" s="73" t="s">
        <v>21</v>
      </c>
      <c r="M8" s="12">
        <f>SUMIF(L1:L19974,"CƏMİ",M1:M19974)</f>
        <v>2405</v>
      </c>
    </row>
    <row r="10" spans="1:18" ht="20.25" x14ac:dyDescent="0.3">
      <c r="I10" s="117" t="s">
        <v>843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B79C-3BA0-4884-B2AC-56AD6A5E74B0}">
  <sheetPr>
    <tabColor rgb="FFFFFF00"/>
    <pageSetUpPr fitToPage="1"/>
  </sheetPr>
  <dimension ref="A1:R8"/>
  <sheetViews>
    <sheetView view="pageBreakPreview" zoomScale="55" zoomScaleNormal="55" zoomScaleSheetLayoutView="55" workbookViewId="0">
      <pane ySplit="3" topLeftCell="A4" activePane="bottomLeft" state="frozen"/>
      <selection activeCell="D13" sqref="D13"/>
      <selection pane="bottomLeft" activeCell="R4" sqref="R4"/>
    </sheetView>
  </sheetViews>
  <sheetFormatPr defaultColWidth="9.140625" defaultRowHeight="15" x14ac:dyDescent="0.25"/>
  <cols>
    <col min="1" max="1" width="6.42578125" style="5" bestFit="1" customWidth="1"/>
    <col min="2" max="2" width="99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99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18.57031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449</v>
      </c>
      <c r="B1" s="175"/>
      <c r="C1" s="175"/>
      <c r="D1" s="175"/>
      <c r="E1" s="176" t="s">
        <v>0</v>
      </c>
      <c r="F1" s="177"/>
      <c r="H1" s="174" t="s">
        <v>449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F7</f>
        <v>1566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33.700000000000003</v>
      </c>
      <c r="E5" s="57">
        <v>30</v>
      </c>
      <c r="F5" s="30">
        <f>D5*E5</f>
        <v>1011.0000000000001</v>
      </c>
      <c r="H5" s="26">
        <v>1</v>
      </c>
      <c r="I5" s="70" t="s">
        <v>559</v>
      </c>
      <c r="J5" s="32" t="s">
        <v>20</v>
      </c>
      <c r="K5" s="88">
        <v>33.700000000000003</v>
      </c>
      <c r="L5" s="57">
        <v>30</v>
      </c>
      <c r="M5" s="30">
        <f>K5*L5</f>
        <v>1011.0000000000001</v>
      </c>
      <c r="N5" s="85"/>
      <c r="O5" s="11"/>
    </row>
    <row r="6" spans="1:18" s="10" customFormat="1" ht="23.25" x14ac:dyDescent="0.3">
      <c r="A6" s="26">
        <v>2</v>
      </c>
      <c r="B6" s="70" t="s">
        <v>555</v>
      </c>
      <c r="C6" s="32" t="s">
        <v>19</v>
      </c>
      <c r="D6" s="32">
        <v>11.1</v>
      </c>
      <c r="E6" s="57">
        <v>50</v>
      </c>
      <c r="F6" s="30">
        <f>D6*E6</f>
        <v>555</v>
      </c>
      <c r="H6" s="26">
        <v>2</v>
      </c>
      <c r="I6" s="70" t="s">
        <v>555</v>
      </c>
      <c r="J6" s="32" t="s">
        <v>19</v>
      </c>
      <c r="K6" s="32">
        <v>11.1</v>
      </c>
      <c r="L6" s="57">
        <v>50</v>
      </c>
      <c r="M6" s="30">
        <f>K6*L6</f>
        <v>555</v>
      </c>
      <c r="N6" s="85"/>
      <c r="O6" s="11"/>
    </row>
    <row r="7" spans="1:18" ht="24" thickBot="1" x14ac:dyDescent="0.3">
      <c r="A7" s="38"/>
      <c r="B7" s="39"/>
      <c r="C7" s="39"/>
      <c r="D7" s="39"/>
      <c r="E7" s="40" t="s">
        <v>16</v>
      </c>
      <c r="F7" s="35">
        <f>SUM(F5:F6)</f>
        <v>1566</v>
      </c>
      <c r="H7" s="38"/>
      <c r="I7" s="39"/>
      <c r="J7" s="39"/>
      <c r="K7" s="39"/>
      <c r="L7" s="40" t="s">
        <v>16</v>
      </c>
      <c r="M7" s="35">
        <f>SUM(M5:M6)</f>
        <v>1566</v>
      </c>
    </row>
    <row r="8" spans="1:18" ht="26.25" thickBot="1" x14ac:dyDescent="0.3">
      <c r="A8" s="76"/>
      <c r="B8" s="77"/>
      <c r="C8" s="77"/>
      <c r="D8" s="77"/>
      <c r="E8" s="78" t="s">
        <v>21</v>
      </c>
      <c r="F8" s="12">
        <f>SUMIF(E1:E19974,"CƏMİ",F1:F19974)</f>
        <v>1566</v>
      </c>
      <c r="H8" s="76"/>
      <c r="I8" s="77"/>
      <c r="J8" s="77"/>
      <c r="K8" s="77"/>
      <c r="L8" s="78" t="s">
        <v>21</v>
      </c>
      <c r="M8" s="12">
        <f>SUMIF(L1:L19974,"CƏMİ",M1:M19974)</f>
        <v>1566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6" fitToHeight="0" orientation="portrait" r:id="rId1"/>
  <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D13F-1932-4B0A-978B-3D03AB9E6B4F}">
  <sheetPr>
    <tabColor rgb="FFFFFF00"/>
    <pageSetUpPr fitToPage="1"/>
  </sheetPr>
  <dimension ref="A1:R8"/>
  <sheetViews>
    <sheetView view="pageBreakPreview" zoomScale="55" zoomScaleNormal="55" zoomScaleSheetLayoutView="55" workbookViewId="0">
      <pane ySplit="3" topLeftCell="A4" activePane="bottomLeft" state="frozen"/>
      <selection activeCell="A4" sqref="A4:XFD7"/>
      <selection pane="bottomLeft" activeCell="F28" sqref="F28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538</v>
      </c>
      <c r="B1" s="175"/>
      <c r="C1" s="175"/>
      <c r="D1" s="175"/>
      <c r="E1" s="176" t="s">
        <v>0</v>
      </c>
      <c r="F1" s="177"/>
      <c r="H1" s="174" t="s">
        <v>538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F7</f>
        <v>3293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72.099999999999994</v>
      </c>
      <c r="E5" s="57">
        <v>30</v>
      </c>
      <c r="F5" s="30">
        <f>D5*E5</f>
        <v>2163</v>
      </c>
      <c r="H5" s="26">
        <v>1</v>
      </c>
      <c r="I5" s="70" t="s">
        <v>559</v>
      </c>
      <c r="J5" s="32" t="s">
        <v>20</v>
      </c>
      <c r="K5" s="88">
        <v>72.099999999999994</v>
      </c>
      <c r="L5" s="57">
        <v>30</v>
      </c>
      <c r="M5" s="30">
        <f>K5*L5</f>
        <v>2163</v>
      </c>
      <c r="N5" s="85"/>
      <c r="O5" s="11"/>
    </row>
    <row r="6" spans="1:18" s="10" customFormat="1" ht="23.25" x14ac:dyDescent="0.3">
      <c r="A6" s="26">
        <v>2</v>
      </c>
      <c r="B6" s="65" t="s">
        <v>555</v>
      </c>
      <c r="C6" s="32" t="s">
        <v>19</v>
      </c>
      <c r="D6" s="32">
        <v>22.6</v>
      </c>
      <c r="E6" s="57">
        <v>50</v>
      </c>
      <c r="F6" s="30">
        <f>D6*E6</f>
        <v>1130</v>
      </c>
      <c r="H6" s="26">
        <v>2</v>
      </c>
      <c r="I6" s="65" t="s">
        <v>555</v>
      </c>
      <c r="J6" s="32" t="s">
        <v>19</v>
      </c>
      <c r="K6" s="32">
        <v>22.6</v>
      </c>
      <c r="L6" s="57">
        <v>50</v>
      </c>
      <c r="M6" s="30">
        <f>K6*L6</f>
        <v>1130</v>
      </c>
      <c r="N6" s="85"/>
      <c r="O6" s="11"/>
    </row>
    <row r="7" spans="1:18" ht="24" thickBot="1" x14ac:dyDescent="0.3">
      <c r="A7" s="38"/>
      <c r="B7" s="39"/>
      <c r="C7" s="39"/>
      <c r="D7" s="39"/>
      <c r="E7" s="40" t="s">
        <v>16</v>
      </c>
      <c r="F7" s="35">
        <f>SUM(F5:F6)</f>
        <v>3293</v>
      </c>
      <c r="H7" s="38"/>
      <c r="I7" s="39"/>
      <c r="J7" s="39"/>
      <c r="K7" s="39"/>
      <c r="L7" s="40" t="s">
        <v>16</v>
      </c>
      <c r="M7" s="35">
        <f>SUM(M5:M6)</f>
        <v>3293</v>
      </c>
    </row>
    <row r="8" spans="1:18" ht="26.25" thickBot="1" x14ac:dyDescent="0.3">
      <c r="A8" s="76"/>
      <c r="B8" s="77"/>
      <c r="C8" s="77"/>
      <c r="D8" s="77"/>
      <c r="E8" s="78" t="s">
        <v>21</v>
      </c>
      <c r="F8" s="12">
        <f>SUMIF(E1:E19977,"CƏMİ",F1:F19977)</f>
        <v>3293</v>
      </c>
      <c r="H8" s="76"/>
      <c r="I8" s="77"/>
      <c r="J8" s="77"/>
      <c r="K8" s="77"/>
      <c r="L8" s="78" t="s">
        <v>21</v>
      </c>
      <c r="M8" s="12">
        <f>SUMIF(L1:L19977,"CƏMİ",M1:M19977)</f>
        <v>3293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5CBE-28AC-4DF2-B18B-C6C90568301A}">
  <sheetPr>
    <tabColor rgb="FFFFFF00"/>
    <pageSetUpPr fitToPage="1"/>
  </sheetPr>
  <dimension ref="A1:R11"/>
  <sheetViews>
    <sheetView view="pageBreakPreview" zoomScale="55" zoomScaleNormal="55" zoomScaleSheetLayoutView="55" workbookViewId="0">
      <pane ySplit="3" topLeftCell="A4" activePane="bottomLeft" state="frozen"/>
      <selection activeCell="A4" sqref="A4:XFD7"/>
      <selection pane="bottomLeft" activeCell="K6" sqref="K6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7.5703125" style="86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844</v>
      </c>
      <c r="B1" s="175"/>
      <c r="C1" s="175"/>
      <c r="D1" s="175"/>
      <c r="E1" s="176" t="s">
        <v>0</v>
      </c>
      <c r="F1" s="177"/>
      <c r="H1" s="174" t="s">
        <v>844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F10</f>
        <v>3097.2</v>
      </c>
      <c r="O4" s="4"/>
    </row>
    <row r="5" spans="1:18" s="10" customFormat="1" ht="23.25" x14ac:dyDescent="0.3">
      <c r="A5" s="26">
        <v>1</v>
      </c>
      <c r="B5" s="65" t="s">
        <v>319</v>
      </c>
      <c r="C5" s="32" t="s">
        <v>20</v>
      </c>
      <c r="D5" s="32">
        <v>28.8</v>
      </c>
      <c r="E5" s="57">
        <v>30</v>
      </c>
      <c r="F5" s="30">
        <f>D5*E5</f>
        <v>864</v>
      </c>
      <c r="H5" s="26">
        <v>1</v>
      </c>
      <c r="I5" s="65" t="s">
        <v>319</v>
      </c>
      <c r="J5" s="32" t="s">
        <v>20</v>
      </c>
      <c r="K5" s="115">
        <v>14.4</v>
      </c>
      <c r="L5" s="57">
        <v>30</v>
      </c>
      <c r="M5" s="30">
        <f>K5*L5</f>
        <v>432</v>
      </c>
      <c r="N5" s="85"/>
      <c r="O5" s="11"/>
    </row>
    <row r="6" spans="1:18" s="10" customFormat="1" ht="23.25" x14ac:dyDescent="0.3">
      <c r="A6" s="26">
        <v>2</v>
      </c>
      <c r="B6" s="31" t="s">
        <v>320</v>
      </c>
      <c r="C6" s="32" t="s">
        <v>19</v>
      </c>
      <c r="D6" s="32">
        <v>11.8</v>
      </c>
      <c r="E6" s="57">
        <v>50</v>
      </c>
      <c r="F6" s="30">
        <f>D6*E6</f>
        <v>590</v>
      </c>
      <c r="H6" s="26">
        <v>2</v>
      </c>
      <c r="I6" s="31" t="s">
        <v>320</v>
      </c>
      <c r="J6" s="32" t="s">
        <v>19</v>
      </c>
      <c r="K6" s="32">
        <v>11.8</v>
      </c>
      <c r="L6" s="57">
        <v>50</v>
      </c>
      <c r="M6" s="30">
        <f>K6*L6</f>
        <v>590</v>
      </c>
      <c r="N6" s="85"/>
      <c r="O6" s="11"/>
    </row>
    <row r="7" spans="1:18" s="10" customFormat="1" ht="23.25" x14ac:dyDescent="0.3">
      <c r="A7" s="26">
        <v>3</v>
      </c>
      <c r="B7" s="70" t="s">
        <v>559</v>
      </c>
      <c r="C7" s="32" t="s">
        <v>20</v>
      </c>
      <c r="D7" s="88">
        <v>34.700000000000003</v>
      </c>
      <c r="E7" s="57">
        <v>30</v>
      </c>
      <c r="F7" s="30">
        <f t="shared" ref="F7:F8" si="0">D7*E7</f>
        <v>1041</v>
      </c>
      <c r="H7" s="26">
        <v>3</v>
      </c>
      <c r="I7" s="70" t="s">
        <v>559</v>
      </c>
      <c r="J7" s="32" t="s">
        <v>20</v>
      </c>
      <c r="K7" s="88">
        <v>34.700000000000003</v>
      </c>
      <c r="L7" s="57">
        <v>30</v>
      </c>
      <c r="M7" s="30">
        <f t="shared" ref="M7:M8" si="1">K7*L7</f>
        <v>1041</v>
      </c>
      <c r="N7" s="85"/>
      <c r="O7" s="11"/>
    </row>
    <row r="8" spans="1:18" s="10" customFormat="1" ht="23.25" x14ac:dyDescent="0.3">
      <c r="A8" s="26">
        <v>4</v>
      </c>
      <c r="B8" s="65" t="s">
        <v>556</v>
      </c>
      <c r="C8" s="32" t="s">
        <v>19</v>
      </c>
      <c r="D8" s="32">
        <v>11.4</v>
      </c>
      <c r="E8" s="57">
        <v>50</v>
      </c>
      <c r="F8" s="30">
        <f t="shared" si="0"/>
        <v>570</v>
      </c>
      <c r="H8" s="26">
        <v>4</v>
      </c>
      <c r="I8" s="65" t="s">
        <v>556</v>
      </c>
      <c r="J8" s="32" t="s">
        <v>19</v>
      </c>
      <c r="K8" s="32">
        <v>11.4</v>
      </c>
      <c r="L8" s="57">
        <v>50</v>
      </c>
      <c r="M8" s="30">
        <f t="shared" si="1"/>
        <v>570</v>
      </c>
      <c r="N8" s="85"/>
      <c r="O8" s="11"/>
    </row>
    <row r="9" spans="1:18" s="10" customFormat="1" ht="23.25" x14ac:dyDescent="0.3">
      <c r="A9" s="26">
        <v>5</v>
      </c>
      <c r="B9" s="65" t="s">
        <v>122</v>
      </c>
      <c r="C9" s="32" t="s">
        <v>119</v>
      </c>
      <c r="D9" s="32">
        <v>7.0000000000000007E-2</v>
      </c>
      <c r="E9" s="57">
        <v>460</v>
      </c>
      <c r="F9" s="30">
        <f>D9*E9</f>
        <v>32.200000000000003</v>
      </c>
      <c r="H9" s="26">
        <v>5</v>
      </c>
      <c r="I9" s="65" t="s">
        <v>122</v>
      </c>
      <c r="J9" s="32" t="s">
        <v>119</v>
      </c>
      <c r="K9" s="32">
        <v>7.0000000000000007E-2</v>
      </c>
      <c r="L9" s="57">
        <v>460</v>
      </c>
      <c r="M9" s="30">
        <f>K9*L9</f>
        <v>32.200000000000003</v>
      </c>
      <c r="N9" s="85"/>
      <c r="O9" s="11"/>
    </row>
    <row r="10" spans="1:18" ht="24" thickBot="1" x14ac:dyDescent="0.3">
      <c r="A10" s="38"/>
      <c r="B10" s="39"/>
      <c r="C10" s="39"/>
      <c r="D10" s="39"/>
      <c r="E10" s="40" t="s">
        <v>16</v>
      </c>
      <c r="F10" s="35">
        <f>SUM(F5:F9)</f>
        <v>3097.2</v>
      </c>
      <c r="H10" s="38"/>
      <c r="I10" s="39"/>
      <c r="J10" s="39"/>
      <c r="K10" s="39"/>
      <c r="L10" s="40" t="s">
        <v>16</v>
      </c>
      <c r="M10" s="35">
        <f>SUM(M5:M9)</f>
        <v>2665.2</v>
      </c>
    </row>
    <row r="11" spans="1:18" ht="26.25" thickBot="1" x14ac:dyDescent="0.3">
      <c r="A11" s="76"/>
      <c r="B11" s="77"/>
      <c r="C11" s="77"/>
      <c r="D11" s="77"/>
      <c r="E11" s="78" t="s">
        <v>21</v>
      </c>
      <c r="F11" s="12">
        <f>SUMIF(E1:E19977,"CƏMİ",F1:F19977)</f>
        <v>3097.2</v>
      </c>
      <c r="H11" s="76"/>
      <c r="I11" s="77"/>
      <c r="J11" s="77"/>
      <c r="K11" s="77"/>
      <c r="L11" s="78" t="s">
        <v>21</v>
      </c>
      <c r="M11" s="12">
        <f>SUMIF(L1:L19977,"CƏMİ",M1:M19977)</f>
        <v>2665.2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51AE-837A-4E9F-BF58-A365539F91CE}">
  <sheetPr>
    <tabColor rgb="FFFFFF00"/>
    <pageSetUpPr fitToPage="1"/>
  </sheetPr>
  <dimension ref="A1:R15"/>
  <sheetViews>
    <sheetView view="pageBreakPreview" zoomScale="55" zoomScaleNormal="55" zoomScaleSheetLayoutView="55" workbookViewId="0">
      <pane ySplit="3" topLeftCell="A4" activePane="bottomLeft" state="frozen"/>
      <selection activeCell="A4" sqref="A4:XFD7"/>
      <selection pane="bottomLeft" activeCell="K7" sqref="K7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411</v>
      </c>
      <c r="B1" s="175"/>
      <c r="C1" s="175"/>
      <c r="D1" s="175"/>
      <c r="E1" s="176" t="s">
        <v>0</v>
      </c>
      <c r="F1" s="177"/>
      <c r="H1" s="174" t="s">
        <v>411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F14</f>
        <v>9014.2999999999993</v>
      </c>
      <c r="O4" s="4"/>
    </row>
    <row r="5" spans="1:18" s="10" customFormat="1" ht="23.25" x14ac:dyDescent="0.3">
      <c r="A5" s="26">
        <v>1</v>
      </c>
      <c r="B5" s="65" t="s">
        <v>346</v>
      </c>
      <c r="C5" s="32" t="s">
        <v>20</v>
      </c>
      <c r="D5" s="32">
        <v>55</v>
      </c>
      <c r="E5" s="57">
        <v>30</v>
      </c>
      <c r="F5" s="30">
        <f>D5*E5</f>
        <v>1650</v>
      </c>
      <c r="H5" s="26">
        <v>1</v>
      </c>
      <c r="I5" s="65" t="s">
        <v>346</v>
      </c>
      <c r="J5" s="32" t="s">
        <v>20</v>
      </c>
      <c r="K5" s="32">
        <v>55</v>
      </c>
      <c r="L5" s="118">
        <v>25</v>
      </c>
      <c r="M5" s="30">
        <f>K5*L5</f>
        <v>1375</v>
      </c>
      <c r="N5" s="85"/>
      <c r="O5" s="11"/>
    </row>
    <row r="6" spans="1:18" s="10" customFormat="1" ht="23.25" x14ac:dyDescent="0.3">
      <c r="A6" s="26">
        <v>2</v>
      </c>
      <c r="B6" s="31" t="s">
        <v>412</v>
      </c>
      <c r="C6" s="32" t="s">
        <v>19</v>
      </c>
      <c r="D6" s="32">
        <v>36</v>
      </c>
      <c r="E6" s="57">
        <v>50</v>
      </c>
      <c r="F6" s="30">
        <f t="shared" ref="F6:F13" si="0">D6*E6</f>
        <v>1800</v>
      </c>
      <c r="H6" s="26">
        <v>2</v>
      </c>
      <c r="I6" s="31" t="s">
        <v>412</v>
      </c>
      <c r="J6" s="32" t="s">
        <v>19</v>
      </c>
      <c r="K6" s="115">
        <v>0</v>
      </c>
      <c r="L6" s="57">
        <v>50</v>
      </c>
      <c r="M6" s="30">
        <f t="shared" ref="M6:M13" si="1">K6*L6</f>
        <v>0</v>
      </c>
      <c r="N6" s="85"/>
      <c r="O6" s="11"/>
    </row>
    <row r="7" spans="1:18" s="10" customFormat="1" ht="23.25" x14ac:dyDescent="0.3">
      <c r="A7" s="26">
        <v>3</v>
      </c>
      <c r="B7" s="65" t="s">
        <v>413</v>
      </c>
      <c r="C7" s="32" t="s">
        <v>20</v>
      </c>
      <c r="D7" s="32">
        <v>25</v>
      </c>
      <c r="E7" s="57">
        <v>30</v>
      </c>
      <c r="F7" s="30">
        <f t="shared" si="0"/>
        <v>750</v>
      </c>
      <c r="H7" s="26">
        <v>3</v>
      </c>
      <c r="I7" s="65" t="s">
        <v>413</v>
      </c>
      <c r="J7" s="32" t="s">
        <v>20</v>
      </c>
      <c r="K7" s="32">
        <v>25</v>
      </c>
      <c r="L7" s="57">
        <v>30</v>
      </c>
      <c r="M7" s="30">
        <f t="shared" si="1"/>
        <v>750</v>
      </c>
      <c r="N7" s="85"/>
      <c r="O7" s="11"/>
    </row>
    <row r="8" spans="1:18" s="10" customFormat="1" ht="23.25" x14ac:dyDescent="0.3">
      <c r="A8" s="26">
        <v>4</v>
      </c>
      <c r="B8" s="31" t="s">
        <v>414</v>
      </c>
      <c r="C8" s="32" t="s">
        <v>19</v>
      </c>
      <c r="D8" s="32">
        <v>13.5</v>
      </c>
      <c r="E8" s="57">
        <v>50</v>
      </c>
      <c r="F8" s="30">
        <f t="shared" si="0"/>
        <v>675</v>
      </c>
      <c r="H8" s="26">
        <v>4</v>
      </c>
      <c r="I8" s="31" t="s">
        <v>414</v>
      </c>
      <c r="J8" s="32" t="s">
        <v>19</v>
      </c>
      <c r="K8" s="32">
        <v>13.5</v>
      </c>
      <c r="L8" s="57">
        <v>50</v>
      </c>
      <c r="M8" s="30">
        <f t="shared" si="1"/>
        <v>675</v>
      </c>
      <c r="N8" s="85"/>
      <c r="O8" s="11"/>
    </row>
    <row r="9" spans="1:18" s="10" customFormat="1" ht="23.25" x14ac:dyDescent="0.3">
      <c r="A9" s="26">
        <v>5</v>
      </c>
      <c r="B9" s="70" t="s">
        <v>559</v>
      </c>
      <c r="C9" s="32" t="s">
        <v>20</v>
      </c>
      <c r="D9" s="88">
        <v>57</v>
      </c>
      <c r="E9" s="57">
        <v>30</v>
      </c>
      <c r="F9" s="30">
        <f t="shared" si="0"/>
        <v>1710</v>
      </c>
      <c r="H9" s="26">
        <v>5</v>
      </c>
      <c r="I9" s="70" t="s">
        <v>559</v>
      </c>
      <c r="J9" s="32" t="s">
        <v>20</v>
      </c>
      <c r="K9" s="88">
        <v>57</v>
      </c>
      <c r="L9" s="57">
        <v>30</v>
      </c>
      <c r="M9" s="30">
        <f t="shared" si="1"/>
        <v>1710</v>
      </c>
      <c r="N9" s="85"/>
      <c r="O9" s="11"/>
    </row>
    <row r="10" spans="1:18" s="10" customFormat="1" ht="23.25" x14ac:dyDescent="0.3">
      <c r="A10" s="26">
        <v>6</v>
      </c>
      <c r="B10" s="65" t="s">
        <v>555</v>
      </c>
      <c r="C10" s="32" t="s">
        <v>19</v>
      </c>
      <c r="D10" s="32">
        <v>18.100000000000001</v>
      </c>
      <c r="E10" s="57">
        <v>50</v>
      </c>
      <c r="F10" s="30">
        <f t="shared" si="0"/>
        <v>905.00000000000011</v>
      </c>
      <c r="H10" s="26">
        <v>6</v>
      </c>
      <c r="I10" s="65" t="s">
        <v>555</v>
      </c>
      <c r="J10" s="32" t="s">
        <v>19</v>
      </c>
      <c r="K10" s="32">
        <v>18.100000000000001</v>
      </c>
      <c r="L10" s="57">
        <v>50</v>
      </c>
      <c r="M10" s="30">
        <f t="shared" si="1"/>
        <v>905.00000000000011</v>
      </c>
      <c r="N10" s="85"/>
      <c r="O10" s="11"/>
    </row>
    <row r="11" spans="1:18" s="10" customFormat="1" ht="23.25" x14ac:dyDescent="0.3">
      <c r="A11" s="26">
        <v>7</v>
      </c>
      <c r="B11" s="65" t="s">
        <v>297</v>
      </c>
      <c r="C11" s="32" t="s">
        <v>20</v>
      </c>
      <c r="D11" s="32">
        <v>24.5</v>
      </c>
      <c r="E11" s="57">
        <v>30</v>
      </c>
      <c r="F11" s="30">
        <f t="shared" si="0"/>
        <v>735</v>
      </c>
      <c r="H11" s="26">
        <v>7</v>
      </c>
      <c r="I11" s="65" t="s">
        <v>297</v>
      </c>
      <c r="J11" s="32" t="s">
        <v>20</v>
      </c>
      <c r="K11" s="115">
        <v>12.6</v>
      </c>
      <c r="L11" s="57">
        <v>30</v>
      </c>
      <c r="M11" s="30">
        <f t="shared" si="1"/>
        <v>378</v>
      </c>
      <c r="N11" s="85"/>
      <c r="O11" s="11"/>
    </row>
    <row r="12" spans="1:18" s="10" customFormat="1" ht="23.25" x14ac:dyDescent="0.3">
      <c r="A12" s="26">
        <v>8</v>
      </c>
      <c r="B12" s="31" t="s">
        <v>354</v>
      </c>
      <c r="C12" s="32" t="s">
        <v>19</v>
      </c>
      <c r="D12" s="32">
        <v>12.75</v>
      </c>
      <c r="E12" s="57">
        <v>50</v>
      </c>
      <c r="F12" s="30">
        <f t="shared" si="0"/>
        <v>637.5</v>
      </c>
      <c r="H12" s="26">
        <v>8</v>
      </c>
      <c r="I12" s="31" t="s">
        <v>354</v>
      </c>
      <c r="J12" s="32" t="s">
        <v>19</v>
      </c>
      <c r="K12" s="32">
        <v>12.75</v>
      </c>
      <c r="L12" s="57">
        <v>50</v>
      </c>
      <c r="M12" s="30">
        <f t="shared" si="1"/>
        <v>637.5</v>
      </c>
      <c r="N12" s="85"/>
      <c r="O12" s="11"/>
    </row>
    <row r="13" spans="1:18" s="10" customFormat="1" ht="23.25" x14ac:dyDescent="0.3">
      <c r="A13" s="26">
        <v>9</v>
      </c>
      <c r="B13" s="65" t="s">
        <v>122</v>
      </c>
      <c r="C13" s="32" t="s">
        <v>119</v>
      </c>
      <c r="D13" s="32">
        <v>0.33</v>
      </c>
      <c r="E13" s="57">
        <v>460</v>
      </c>
      <c r="F13" s="30">
        <f t="shared" si="0"/>
        <v>151.80000000000001</v>
      </c>
      <c r="H13" s="26">
        <v>9</v>
      </c>
      <c r="I13" s="65" t="s">
        <v>122</v>
      </c>
      <c r="J13" s="32" t="s">
        <v>119</v>
      </c>
      <c r="K13" s="32">
        <v>0.33</v>
      </c>
      <c r="L13" s="57">
        <v>460</v>
      </c>
      <c r="M13" s="30">
        <f t="shared" si="1"/>
        <v>151.80000000000001</v>
      </c>
      <c r="N13" s="85"/>
      <c r="O13" s="11"/>
    </row>
    <row r="14" spans="1:18" ht="24" thickBot="1" x14ac:dyDescent="0.3">
      <c r="A14" s="38"/>
      <c r="B14" s="39"/>
      <c r="C14" s="39"/>
      <c r="D14" s="39"/>
      <c r="E14" s="40" t="s">
        <v>16</v>
      </c>
      <c r="F14" s="35">
        <f>SUM(F5:F13)</f>
        <v>9014.2999999999993</v>
      </c>
      <c r="H14" s="38"/>
      <c r="I14" s="39"/>
      <c r="J14" s="39"/>
      <c r="K14" s="39"/>
      <c r="L14" s="40" t="s">
        <v>16</v>
      </c>
      <c r="M14" s="35">
        <f>SUM(M5:M13)</f>
        <v>6582.3</v>
      </c>
    </row>
    <row r="15" spans="1:18" ht="26.25" thickBot="1" x14ac:dyDescent="0.3">
      <c r="A15" s="76"/>
      <c r="B15" s="77"/>
      <c r="C15" s="77"/>
      <c r="D15" s="77"/>
      <c r="E15" s="78" t="s">
        <v>21</v>
      </c>
      <c r="F15" s="12">
        <f>SUMIF(E1:E19977,"CƏMİ",F1:F19977)</f>
        <v>9014.2999999999993</v>
      </c>
      <c r="H15" s="76"/>
      <c r="I15" s="77"/>
      <c r="J15" s="77"/>
      <c r="K15" s="77"/>
      <c r="L15" s="78" t="s">
        <v>21</v>
      </c>
      <c r="M15" s="12">
        <f>SUMIF(L1:L19977,"CƏMİ",M1:M19977)</f>
        <v>6582.3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C6F9-BB5E-4A50-B65A-C7F1C3E0D446}">
  <sheetPr>
    <tabColor rgb="FFFFFF00"/>
    <pageSetUpPr fitToPage="1"/>
  </sheetPr>
  <dimension ref="A1:R13"/>
  <sheetViews>
    <sheetView view="pageBreakPreview" zoomScale="55" zoomScaleNormal="55" zoomScaleSheetLayoutView="55" workbookViewId="0">
      <pane ySplit="3" topLeftCell="A4" activePane="bottomLeft" state="frozen"/>
      <selection activeCell="A4" sqref="A4:XFD7"/>
      <selection pane="bottomLeft" activeCell="F54" sqref="F54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416</v>
      </c>
      <c r="B1" s="175"/>
      <c r="C1" s="175"/>
      <c r="D1" s="175"/>
      <c r="E1" s="176" t="s">
        <v>0</v>
      </c>
      <c r="F1" s="177"/>
      <c r="H1" s="174" t="s">
        <v>416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F12</f>
        <v>7490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56.4</v>
      </c>
      <c r="E5" s="57">
        <v>30</v>
      </c>
      <c r="F5" s="30">
        <f>D5*E5</f>
        <v>1692</v>
      </c>
      <c r="H5" s="26">
        <v>1</v>
      </c>
      <c r="I5" s="70" t="s">
        <v>559</v>
      </c>
      <c r="J5" s="32" t="s">
        <v>20</v>
      </c>
      <c r="K5" s="88">
        <v>56.4</v>
      </c>
      <c r="L5" s="57">
        <v>30</v>
      </c>
      <c r="M5" s="30">
        <f>K5*L5</f>
        <v>1692</v>
      </c>
      <c r="N5" s="85"/>
      <c r="O5" s="11"/>
    </row>
    <row r="6" spans="1:18" s="10" customFormat="1" ht="23.25" x14ac:dyDescent="0.3">
      <c r="A6" s="26">
        <v>2</v>
      </c>
      <c r="B6" s="65" t="s">
        <v>555</v>
      </c>
      <c r="C6" s="32" t="s">
        <v>19</v>
      </c>
      <c r="D6" s="32">
        <v>18.5</v>
      </c>
      <c r="E6" s="57">
        <v>50</v>
      </c>
      <c r="F6" s="30">
        <f t="shared" ref="F6:F11" si="0">D6*E6</f>
        <v>925</v>
      </c>
      <c r="H6" s="26">
        <v>2</v>
      </c>
      <c r="I6" s="65" t="s">
        <v>555</v>
      </c>
      <c r="J6" s="32" t="s">
        <v>19</v>
      </c>
      <c r="K6" s="32">
        <v>18.5</v>
      </c>
      <c r="L6" s="57">
        <v>50</v>
      </c>
      <c r="M6" s="30">
        <f t="shared" ref="M6:M11" si="1">K6*L6</f>
        <v>925</v>
      </c>
      <c r="N6" s="85"/>
      <c r="O6" s="11"/>
    </row>
    <row r="7" spans="1:18" s="10" customFormat="1" ht="23.25" x14ac:dyDescent="0.3">
      <c r="A7" s="26">
        <v>3</v>
      </c>
      <c r="B7" s="65" t="s">
        <v>319</v>
      </c>
      <c r="C7" s="32" t="s">
        <v>20</v>
      </c>
      <c r="D7" s="32">
        <v>25</v>
      </c>
      <c r="E7" s="57">
        <v>30</v>
      </c>
      <c r="F7" s="30">
        <f t="shared" si="0"/>
        <v>750</v>
      </c>
      <c r="H7" s="26">
        <v>3</v>
      </c>
      <c r="I7" s="65" t="s">
        <v>319</v>
      </c>
      <c r="J7" s="32" t="s">
        <v>20</v>
      </c>
      <c r="K7" s="115">
        <v>12.5</v>
      </c>
      <c r="L7" s="57">
        <v>30</v>
      </c>
      <c r="M7" s="30">
        <f t="shared" si="1"/>
        <v>375</v>
      </c>
      <c r="N7" s="85"/>
      <c r="O7" s="11"/>
    </row>
    <row r="8" spans="1:18" s="10" customFormat="1" ht="23.25" x14ac:dyDescent="0.3">
      <c r="A8" s="26">
        <v>4</v>
      </c>
      <c r="B8" s="31" t="s">
        <v>320</v>
      </c>
      <c r="C8" s="32" t="s">
        <v>19</v>
      </c>
      <c r="D8" s="32">
        <v>8.4</v>
      </c>
      <c r="E8" s="57">
        <v>50</v>
      </c>
      <c r="F8" s="30">
        <f t="shared" si="0"/>
        <v>420</v>
      </c>
      <c r="H8" s="26">
        <v>4</v>
      </c>
      <c r="I8" s="31" t="s">
        <v>320</v>
      </c>
      <c r="J8" s="32" t="s">
        <v>19</v>
      </c>
      <c r="K8" s="32">
        <v>8.4</v>
      </c>
      <c r="L8" s="57">
        <v>50</v>
      </c>
      <c r="M8" s="30">
        <f t="shared" si="1"/>
        <v>420</v>
      </c>
      <c r="N8" s="85"/>
      <c r="O8" s="11"/>
    </row>
    <row r="9" spans="1:18" s="10" customFormat="1" ht="23.25" x14ac:dyDescent="0.3">
      <c r="A9" s="26">
        <v>5</v>
      </c>
      <c r="B9" s="65" t="s">
        <v>346</v>
      </c>
      <c r="C9" s="32" t="s">
        <v>20</v>
      </c>
      <c r="D9" s="32">
        <v>51.6</v>
      </c>
      <c r="E9" s="57">
        <v>30</v>
      </c>
      <c r="F9" s="30">
        <f t="shared" si="0"/>
        <v>1548</v>
      </c>
      <c r="H9" s="26">
        <v>5</v>
      </c>
      <c r="I9" s="65" t="s">
        <v>346</v>
      </c>
      <c r="J9" s="32" t="s">
        <v>20</v>
      </c>
      <c r="K9" s="32">
        <v>51.6</v>
      </c>
      <c r="L9" s="118">
        <v>25</v>
      </c>
      <c r="M9" s="30">
        <f t="shared" si="1"/>
        <v>1290</v>
      </c>
      <c r="N9" s="85"/>
      <c r="O9" s="11"/>
    </row>
    <row r="10" spans="1:18" s="10" customFormat="1" ht="23.25" x14ac:dyDescent="0.3">
      <c r="A10" s="26">
        <v>6</v>
      </c>
      <c r="B10" s="31" t="s">
        <v>412</v>
      </c>
      <c r="C10" s="32" t="s">
        <v>19</v>
      </c>
      <c r="D10" s="32">
        <v>33.9</v>
      </c>
      <c r="E10" s="57">
        <v>50</v>
      </c>
      <c r="F10" s="30">
        <f t="shared" si="0"/>
        <v>1695</v>
      </c>
      <c r="H10" s="26">
        <v>6</v>
      </c>
      <c r="I10" s="31" t="s">
        <v>412</v>
      </c>
      <c r="J10" s="32" t="s">
        <v>19</v>
      </c>
      <c r="K10" s="115">
        <v>0</v>
      </c>
      <c r="L10" s="57">
        <v>50</v>
      </c>
      <c r="M10" s="30">
        <f t="shared" si="1"/>
        <v>0</v>
      </c>
      <c r="N10" s="85"/>
      <c r="O10" s="11"/>
    </row>
    <row r="11" spans="1:18" s="10" customFormat="1" ht="23.25" x14ac:dyDescent="0.3">
      <c r="A11" s="26">
        <v>7</v>
      </c>
      <c r="B11" s="65" t="s">
        <v>122</v>
      </c>
      <c r="C11" s="32" t="s">
        <v>119</v>
      </c>
      <c r="D11" s="32">
        <v>1</v>
      </c>
      <c r="E11" s="57">
        <v>460</v>
      </c>
      <c r="F11" s="30">
        <f t="shared" si="0"/>
        <v>460</v>
      </c>
      <c r="H11" s="26">
        <v>7</v>
      </c>
      <c r="I11" s="65" t="s">
        <v>122</v>
      </c>
      <c r="J11" s="32" t="s">
        <v>119</v>
      </c>
      <c r="K11" s="32">
        <v>1</v>
      </c>
      <c r="L11" s="57">
        <v>460</v>
      </c>
      <c r="M11" s="30">
        <f t="shared" si="1"/>
        <v>460</v>
      </c>
      <c r="N11" s="85"/>
      <c r="O11" s="11"/>
    </row>
    <row r="12" spans="1:18" ht="24" thickBot="1" x14ac:dyDescent="0.3">
      <c r="A12" s="38"/>
      <c r="B12" s="39"/>
      <c r="C12" s="39"/>
      <c r="D12" s="39"/>
      <c r="E12" s="40" t="s">
        <v>16</v>
      </c>
      <c r="F12" s="35">
        <f>SUM(F5:F11)</f>
        <v>7490</v>
      </c>
      <c r="H12" s="38"/>
      <c r="I12" s="39"/>
      <c r="J12" s="39"/>
      <c r="K12" s="39"/>
      <c r="L12" s="40" t="s">
        <v>16</v>
      </c>
      <c r="M12" s="35">
        <f>SUM(M5:M11)</f>
        <v>5162</v>
      </c>
    </row>
    <row r="13" spans="1:18" ht="26.25" thickBot="1" x14ac:dyDescent="0.3">
      <c r="A13" s="76"/>
      <c r="B13" s="77"/>
      <c r="C13" s="77"/>
      <c r="D13" s="77"/>
      <c r="E13" s="78" t="s">
        <v>21</v>
      </c>
      <c r="F13" s="12">
        <f>SUMIF(E1:E19977,"CƏMİ",F1:F19977)</f>
        <v>7490</v>
      </c>
      <c r="H13" s="76"/>
      <c r="I13" s="77"/>
      <c r="J13" s="77"/>
      <c r="K13" s="77"/>
      <c r="L13" s="78" t="s">
        <v>21</v>
      </c>
      <c r="M13" s="12">
        <f>SUMIF(L1:L19977,"CƏMİ",M1:M19977)</f>
        <v>5162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94816-651A-4DA7-A97C-9A4742284648}">
  <sheetPr>
    <tabColor rgb="FFFFFF00"/>
    <pageSetUpPr fitToPage="1"/>
  </sheetPr>
  <dimension ref="A1:R13"/>
  <sheetViews>
    <sheetView view="pageBreakPreview" zoomScale="55" zoomScaleNormal="55" zoomScaleSheetLayoutView="55" workbookViewId="0">
      <pane ySplit="3" topLeftCell="A4" activePane="bottomLeft" state="frozen"/>
      <selection activeCell="A4" sqref="A4:XFD7"/>
      <selection pane="bottomLeft" activeCell="K9" sqref="K9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418</v>
      </c>
      <c r="B1" s="175"/>
      <c r="C1" s="175"/>
      <c r="D1" s="175"/>
      <c r="E1" s="176" t="s">
        <v>0</v>
      </c>
      <c r="F1" s="177"/>
      <c r="H1" s="174" t="s">
        <v>418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F12</f>
        <v>7070</v>
      </c>
      <c r="O4" s="4"/>
    </row>
    <row r="5" spans="1:18" s="10" customFormat="1" ht="23.25" x14ac:dyDescent="0.3">
      <c r="A5" s="26">
        <v>1</v>
      </c>
      <c r="B5" s="65" t="s">
        <v>319</v>
      </c>
      <c r="C5" s="32" t="s">
        <v>20</v>
      </c>
      <c r="D5" s="32">
        <v>31</v>
      </c>
      <c r="E5" s="57">
        <v>30</v>
      </c>
      <c r="F5" s="30">
        <f>D5*E5</f>
        <v>930</v>
      </c>
      <c r="H5" s="26">
        <v>1</v>
      </c>
      <c r="I5" s="65" t="s">
        <v>319</v>
      </c>
      <c r="J5" s="32" t="s">
        <v>20</v>
      </c>
      <c r="K5" s="115">
        <v>15.5</v>
      </c>
      <c r="L5" s="57">
        <v>30</v>
      </c>
      <c r="M5" s="30">
        <f>K5*L5</f>
        <v>465</v>
      </c>
      <c r="N5" s="85"/>
      <c r="O5" s="11"/>
    </row>
    <row r="6" spans="1:18" s="10" customFormat="1" ht="23.25" x14ac:dyDescent="0.3">
      <c r="A6" s="26">
        <v>2</v>
      </c>
      <c r="B6" s="31" t="s">
        <v>320</v>
      </c>
      <c r="C6" s="32" t="s">
        <v>19</v>
      </c>
      <c r="D6" s="32">
        <v>11.8</v>
      </c>
      <c r="E6" s="57">
        <v>50</v>
      </c>
      <c r="F6" s="30">
        <f t="shared" ref="F6:F11" si="0">D6*E6</f>
        <v>590</v>
      </c>
      <c r="H6" s="26">
        <v>2</v>
      </c>
      <c r="I6" s="31" t="s">
        <v>320</v>
      </c>
      <c r="J6" s="32" t="s">
        <v>19</v>
      </c>
      <c r="K6" s="32">
        <v>11.8</v>
      </c>
      <c r="L6" s="57">
        <v>50</v>
      </c>
      <c r="M6" s="30">
        <f t="shared" ref="M6:M11" si="1">K6*L6</f>
        <v>590</v>
      </c>
      <c r="N6" s="85"/>
      <c r="O6" s="11"/>
    </row>
    <row r="7" spans="1:18" s="10" customFormat="1" ht="23.25" x14ac:dyDescent="0.3">
      <c r="A7" s="26">
        <v>3</v>
      </c>
      <c r="B7" s="65" t="s">
        <v>346</v>
      </c>
      <c r="C7" s="32" t="s">
        <v>20</v>
      </c>
      <c r="D7" s="32">
        <v>49.6</v>
      </c>
      <c r="E7" s="57">
        <v>30</v>
      </c>
      <c r="F7" s="30">
        <f t="shared" si="0"/>
        <v>1488</v>
      </c>
      <c r="H7" s="26">
        <v>3</v>
      </c>
      <c r="I7" s="65" t="s">
        <v>346</v>
      </c>
      <c r="J7" s="32" t="s">
        <v>20</v>
      </c>
      <c r="K7" s="32">
        <v>49.6</v>
      </c>
      <c r="L7" s="118">
        <v>25</v>
      </c>
      <c r="M7" s="30">
        <f t="shared" si="1"/>
        <v>1240</v>
      </c>
      <c r="N7" s="85"/>
      <c r="O7" s="11"/>
    </row>
    <row r="8" spans="1:18" s="10" customFormat="1" ht="23.25" x14ac:dyDescent="0.3">
      <c r="A8" s="26">
        <v>4</v>
      </c>
      <c r="B8" s="31" t="s">
        <v>412</v>
      </c>
      <c r="C8" s="32" t="s">
        <v>19</v>
      </c>
      <c r="D8" s="32">
        <v>32.6</v>
      </c>
      <c r="E8" s="57">
        <v>50</v>
      </c>
      <c r="F8" s="30">
        <f t="shared" si="0"/>
        <v>1630</v>
      </c>
      <c r="H8" s="26">
        <v>4</v>
      </c>
      <c r="I8" s="31" t="s">
        <v>412</v>
      </c>
      <c r="J8" s="32" t="s">
        <v>19</v>
      </c>
      <c r="K8" s="115">
        <v>0</v>
      </c>
      <c r="L8" s="57">
        <v>50</v>
      </c>
      <c r="M8" s="30">
        <f t="shared" si="1"/>
        <v>0</v>
      </c>
      <c r="N8" s="85"/>
      <c r="O8" s="11"/>
    </row>
    <row r="9" spans="1:18" s="10" customFormat="1" ht="23.25" x14ac:dyDescent="0.3">
      <c r="A9" s="26">
        <v>5</v>
      </c>
      <c r="B9" s="70" t="s">
        <v>559</v>
      </c>
      <c r="C9" s="32" t="s">
        <v>20</v>
      </c>
      <c r="D9" s="88">
        <v>44.6</v>
      </c>
      <c r="E9" s="57">
        <v>30</v>
      </c>
      <c r="F9" s="30">
        <f t="shared" si="0"/>
        <v>1338</v>
      </c>
      <c r="H9" s="26">
        <v>5</v>
      </c>
      <c r="I9" s="70" t="s">
        <v>559</v>
      </c>
      <c r="J9" s="32" t="s">
        <v>20</v>
      </c>
      <c r="K9" s="88">
        <v>44.6</v>
      </c>
      <c r="L9" s="57">
        <v>30</v>
      </c>
      <c r="M9" s="30">
        <f t="shared" si="1"/>
        <v>1338</v>
      </c>
      <c r="N9" s="85"/>
      <c r="O9" s="11"/>
    </row>
    <row r="10" spans="1:18" s="10" customFormat="1" ht="23.25" x14ac:dyDescent="0.3">
      <c r="A10" s="26">
        <v>6</v>
      </c>
      <c r="B10" s="65" t="s">
        <v>555</v>
      </c>
      <c r="C10" s="32" t="s">
        <v>19</v>
      </c>
      <c r="D10" s="32">
        <v>13.6</v>
      </c>
      <c r="E10" s="57">
        <v>50</v>
      </c>
      <c r="F10" s="30">
        <f t="shared" si="0"/>
        <v>680</v>
      </c>
      <c r="H10" s="26">
        <v>6</v>
      </c>
      <c r="I10" s="65" t="s">
        <v>555</v>
      </c>
      <c r="J10" s="32" t="s">
        <v>19</v>
      </c>
      <c r="K10" s="32">
        <v>13.6</v>
      </c>
      <c r="L10" s="57">
        <v>50</v>
      </c>
      <c r="M10" s="30">
        <f t="shared" si="1"/>
        <v>680</v>
      </c>
      <c r="N10" s="85"/>
      <c r="O10" s="11"/>
    </row>
    <row r="11" spans="1:18" s="10" customFormat="1" ht="23.25" x14ac:dyDescent="0.3">
      <c r="A11" s="26">
        <v>7</v>
      </c>
      <c r="B11" s="65" t="s">
        <v>122</v>
      </c>
      <c r="C11" s="32" t="s">
        <v>119</v>
      </c>
      <c r="D11" s="32">
        <v>0.9</v>
      </c>
      <c r="E11" s="57">
        <v>460</v>
      </c>
      <c r="F11" s="30">
        <f t="shared" si="0"/>
        <v>414</v>
      </c>
      <c r="H11" s="26">
        <v>7</v>
      </c>
      <c r="I11" s="65" t="s">
        <v>122</v>
      </c>
      <c r="J11" s="32" t="s">
        <v>119</v>
      </c>
      <c r="K11" s="32">
        <v>0.9</v>
      </c>
      <c r="L11" s="57">
        <v>460</v>
      </c>
      <c r="M11" s="30">
        <f t="shared" si="1"/>
        <v>414</v>
      </c>
      <c r="N11" s="85"/>
      <c r="O11" s="11"/>
    </row>
    <row r="12" spans="1:18" ht="24" thickBot="1" x14ac:dyDescent="0.3">
      <c r="A12" s="38"/>
      <c r="B12" s="39"/>
      <c r="C12" s="39"/>
      <c r="D12" s="39"/>
      <c r="E12" s="40" t="s">
        <v>16</v>
      </c>
      <c r="F12" s="35">
        <f>SUM(F5:F11)</f>
        <v>7070</v>
      </c>
      <c r="H12" s="38"/>
      <c r="I12" s="39"/>
      <c r="J12" s="39"/>
      <c r="K12" s="39"/>
      <c r="L12" s="40" t="s">
        <v>16</v>
      </c>
      <c r="M12" s="35">
        <f>SUM(M5:M11)</f>
        <v>4727</v>
      </c>
    </row>
    <row r="13" spans="1:18" ht="26.25" thickBot="1" x14ac:dyDescent="0.3">
      <c r="A13" s="76"/>
      <c r="B13" s="77"/>
      <c r="C13" s="77"/>
      <c r="D13" s="77"/>
      <c r="E13" s="78" t="s">
        <v>21</v>
      </c>
      <c r="F13" s="12">
        <f>SUMIF(E1:E19977,"CƏMİ",F1:F19977)</f>
        <v>7070</v>
      </c>
      <c r="H13" s="76"/>
      <c r="I13" s="77"/>
      <c r="J13" s="77"/>
      <c r="K13" s="77"/>
      <c r="L13" s="78" t="s">
        <v>21</v>
      </c>
      <c r="M13" s="12">
        <f>SUMIF(L1:L19977,"CƏMİ",M1:M19977)</f>
        <v>4727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23652-D6A6-4B6B-8017-B710008A0500}">
  <sheetPr>
    <tabColor rgb="FFFFFF00"/>
    <pageSetUpPr fitToPage="1"/>
  </sheetPr>
  <dimension ref="A1:R17"/>
  <sheetViews>
    <sheetView view="pageBreakPreview" zoomScale="55" zoomScaleNormal="55" zoomScaleSheetLayoutView="55" workbookViewId="0">
      <pane ySplit="3" topLeftCell="A4" activePane="bottomLeft" state="frozen"/>
      <selection activeCell="A4" sqref="A4:XFD7"/>
      <selection pane="bottomLeft" activeCell="L8" sqref="L8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421</v>
      </c>
      <c r="B1" s="175"/>
      <c r="C1" s="175"/>
      <c r="D1" s="175"/>
      <c r="E1" s="176" t="s">
        <v>0</v>
      </c>
      <c r="F1" s="177"/>
      <c r="H1" s="174" t="s">
        <v>421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F16</f>
        <v>18868</v>
      </c>
      <c r="O4" s="4"/>
    </row>
    <row r="5" spans="1:18" s="10" customFormat="1" ht="23.25" x14ac:dyDescent="0.3">
      <c r="A5" s="26">
        <v>1</v>
      </c>
      <c r="B5" s="65" t="s">
        <v>319</v>
      </c>
      <c r="C5" s="32" t="s">
        <v>20</v>
      </c>
      <c r="D5" s="32">
        <v>19.899999999999999</v>
      </c>
      <c r="E5" s="57">
        <v>30</v>
      </c>
      <c r="F5" s="30">
        <f>D5*E5</f>
        <v>597</v>
      </c>
      <c r="H5" s="26">
        <v>1</v>
      </c>
      <c r="I5" s="65" t="s">
        <v>319</v>
      </c>
      <c r="J5" s="32" t="s">
        <v>20</v>
      </c>
      <c r="K5" s="115">
        <v>10</v>
      </c>
      <c r="L5" s="57">
        <v>30</v>
      </c>
      <c r="M5" s="30">
        <f>K5*L5</f>
        <v>300</v>
      </c>
      <c r="N5" s="85"/>
      <c r="O5" s="11"/>
    </row>
    <row r="6" spans="1:18" s="10" customFormat="1" ht="23.25" x14ac:dyDescent="0.3">
      <c r="A6" s="26">
        <v>2</v>
      </c>
      <c r="B6" s="31" t="s">
        <v>320</v>
      </c>
      <c r="C6" s="32" t="s">
        <v>19</v>
      </c>
      <c r="D6" s="32">
        <v>8.1</v>
      </c>
      <c r="E6" s="57">
        <v>50</v>
      </c>
      <c r="F6" s="30">
        <f t="shared" ref="F6:F15" si="0">D6*E6</f>
        <v>405</v>
      </c>
      <c r="H6" s="26">
        <v>2</v>
      </c>
      <c r="I6" s="31" t="s">
        <v>320</v>
      </c>
      <c r="J6" s="32" t="s">
        <v>19</v>
      </c>
      <c r="K6" s="32">
        <v>8.1</v>
      </c>
      <c r="L6" s="57">
        <v>50</v>
      </c>
      <c r="M6" s="30">
        <f t="shared" ref="M6:M15" si="1">K6*L6</f>
        <v>405</v>
      </c>
      <c r="N6" s="85"/>
      <c r="O6" s="11"/>
    </row>
    <row r="7" spans="1:18" s="10" customFormat="1" ht="23.25" x14ac:dyDescent="0.3">
      <c r="A7" s="26">
        <v>3</v>
      </c>
      <c r="B7" s="65" t="s">
        <v>346</v>
      </c>
      <c r="C7" s="32" t="s">
        <v>20</v>
      </c>
      <c r="D7" s="32">
        <v>49.2</v>
      </c>
      <c r="E7" s="57">
        <v>30</v>
      </c>
      <c r="F7" s="30">
        <f t="shared" si="0"/>
        <v>1476</v>
      </c>
      <c r="H7" s="26">
        <v>3</v>
      </c>
      <c r="I7" s="65" t="s">
        <v>346</v>
      </c>
      <c r="J7" s="32" t="s">
        <v>20</v>
      </c>
      <c r="K7" s="32">
        <v>49.2</v>
      </c>
      <c r="L7" s="118">
        <v>25</v>
      </c>
      <c r="M7" s="30">
        <f t="shared" si="1"/>
        <v>1230</v>
      </c>
      <c r="N7" s="85"/>
      <c r="O7" s="11"/>
    </row>
    <row r="8" spans="1:18" s="10" customFormat="1" ht="23.25" x14ac:dyDescent="0.3">
      <c r="A8" s="26">
        <v>4</v>
      </c>
      <c r="B8" s="31" t="s">
        <v>412</v>
      </c>
      <c r="C8" s="32" t="s">
        <v>19</v>
      </c>
      <c r="D8" s="32">
        <v>32.4</v>
      </c>
      <c r="E8" s="57">
        <v>50</v>
      </c>
      <c r="F8" s="30">
        <f t="shared" si="0"/>
        <v>1620</v>
      </c>
      <c r="H8" s="26">
        <v>4</v>
      </c>
      <c r="I8" s="31" t="s">
        <v>412</v>
      </c>
      <c r="J8" s="32" t="s">
        <v>19</v>
      </c>
      <c r="K8" s="32">
        <v>32.4</v>
      </c>
      <c r="L8" s="57">
        <v>50</v>
      </c>
      <c r="M8" s="30">
        <f t="shared" si="1"/>
        <v>1620</v>
      </c>
      <c r="N8" s="85"/>
      <c r="O8" s="11"/>
    </row>
    <row r="9" spans="1:18" s="10" customFormat="1" ht="23.25" x14ac:dyDescent="0.3">
      <c r="A9" s="26">
        <v>5</v>
      </c>
      <c r="B9" s="70" t="s">
        <v>559</v>
      </c>
      <c r="C9" s="32" t="s">
        <v>20</v>
      </c>
      <c r="D9" s="88">
        <v>41.2</v>
      </c>
      <c r="E9" s="57">
        <v>30</v>
      </c>
      <c r="F9" s="30">
        <f t="shared" si="0"/>
        <v>1236</v>
      </c>
      <c r="H9" s="26">
        <v>5</v>
      </c>
      <c r="I9" s="70" t="s">
        <v>559</v>
      </c>
      <c r="J9" s="32" t="s">
        <v>20</v>
      </c>
      <c r="K9" s="88">
        <v>41.2</v>
      </c>
      <c r="L9" s="57">
        <v>30</v>
      </c>
      <c r="M9" s="30">
        <f t="shared" si="1"/>
        <v>1236</v>
      </c>
      <c r="N9" s="85"/>
      <c r="O9" s="11"/>
    </row>
    <row r="10" spans="1:18" s="10" customFormat="1" ht="23.25" x14ac:dyDescent="0.3">
      <c r="A10" s="26">
        <v>6</v>
      </c>
      <c r="B10" s="65" t="s">
        <v>555</v>
      </c>
      <c r="C10" s="32" t="s">
        <v>19</v>
      </c>
      <c r="D10" s="32">
        <v>12.5</v>
      </c>
      <c r="E10" s="57">
        <v>50</v>
      </c>
      <c r="F10" s="30">
        <f t="shared" si="0"/>
        <v>625</v>
      </c>
      <c r="H10" s="26">
        <v>6</v>
      </c>
      <c r="I10" s="65" t="s">
        <v>555</v>
      </c>
      <c r="J10" s="32" t="s">
        <v>19</v>
      </c>
      <c r="K10" s="32">
        <v>12.5</v>
      </c>
      <c r="L10" s="57">
        <v>50</v>
      </c>
      <c r="M10" s="30">
        <f t="shared" si="1"/>
        <v>625</v>
      </c>
      <c r="N10" s="85"/>
      <c r="O10" s="11"/>
    </row>
    <row r="11" spans="1:18" s="10" customFormat="1" ht="23.25" x14ac:dyDescent="0.3">
      <c r="A11" s="26">
        <v>7</v>
      </c>
      <c r="B11" s="70" t="s">
        <v>571</v>
      </c>
      <c r="C11" s="32" t="s">
        <v>19</v>
      </c>
      <c r="D11" s="88">
        <v>59.8</v>
      </c>
      <c r="E11" s="57">
        <v>80</v>
      </c>
      <c r="F11" s="30">
        <f t="shared" ref="F11" si="2">D11*E11</f>
        <v>4784</v>
      </c>
      <c r="H11" s="26">
        <v>7</v>
      </c>
      <c r="I11" s="70" t="s">
        <v>571</v>
      </c>
      <c r="J11" s="32" t="s">
        <v>19</v>
      </c>
      <c r="K11" s="88">
        <v>59.8</v>
      </c>
      <c r="L11" s="57">
        <v>80</v>
      </c>
      <c r="M11" s="30">
        <f t="shared" si="1"/>
        <v>4784</v>
      </c>
      <c r="N11" s="85"/>
      <c r="O11" s="11"/>
    </row>
    <row r="12" spans="1:18" s="10" customFormat="1" ht="23.25" x14ac:dyDescent="0.3">
      <c r="A12" s="26">
        <v>8</v>
      </c>
      <c r="B12" s="70" t="s">
        <v>569</v>
      </c>
      <c r="C12" s="32" t="s">
        <v>20</v>
      </c>
      <c r="D12" s="88">
        <v>67.900000000000006</v>
      </c>
      <c r="E12" s="57">
        <v>30</v>
      </c>
      <c r="F12" s="30">
        <f t="shared" si="0"/>
        <v>2037.0000000000002</v>
      </c>
      <c r="H12" s="26">
        <v>8</v>
      </c>
      <c r="I12" s="70" t="s">
        <v>569</v>
      </c>
      <c r="J12" s="32" t="s">
        <v>20</v>
      </c>
      <c r="K12" s="115">
        <v>26.5</v>
      </c>
      <c r="L12" s="57">
        <v>30</v>
      </c>
      <c r="M12" s="30">
        <f t="shared" si="1"/>
        <v>795</v>
      </c>
      <c r="N12" s="85"/>
      <c r="O12" s="11"/>
    </row>
    <row r="13" spans="1:18" s="10" customFormat="1" ht="23.25" x14ac:dyDescent="0.3">
      <c r="A13" s="26">
        <v>9</v>
      </c>
      <c r="B13" s="65" t="s">
        <v>570</v>
      </c>
      <c r="C13" s="32" t="s">
        <v>19</v>
      </c>
      <c r="D13" s="32">
        <v>38.299999999999997</v>
      </c>
      <c r="E13" s="57">
        <v>50</v>
      </c>
      <c r="F13" s="30">
        <f t="shared" si="0"/>
        <v>1914.9999999999998</v>
      </c>
      <c r="H13" s="26">
        <v>9</v>
      </c>
      <c r="I13" s="65" t="s">
        <v>570</v>
      </c>
      <c r="J13" s="32" t="s">
        <v>19</v>
      </c>
      <c r="K13" s="115">
        <v>24</v>
      </c>
      <c r="L13" s="57">
        <v>50</v>
      </c>
      <c r="M13" s="30">
        <f t="shared" si="1"/>
        <v>1200</v>
      </c>
      <c r="N13" s="85"/>
      <c r="O13" s="11"/>
    </row>
    <row r="14" spans="1:18" s="10" customFormat="1" ht="23.25" x14ac:dyDescent="0.3">
      <c r="A14" s="26">
        <v>10</v>
      </c>
      <c r="B14" s="36" t="s">
        <v>365</v>
      </c>
      <c r="C14" s="32" t="s">
        <v>20</v>
      </c>
      <c r="D14" s="32">
        <v>22.3</v>
      </c>
      <c r="E14" s="57">
        <v>150</v>
      </c>
      <c r="F14" s="30">
        <f t="shared" si="0"/>
        <v>3345</v>
      </c>
      <c r="H14" s="26">
        <v>10</v>
      </c>
      <c r="I14" s="36" t="s">
        <v>365</v>
      </c>
      <c r="J14" s="32" t="s">
        <v>20</v>
      </c>
      <c r="K14" s="115">
        <v>0</v>
      </c>
      <c r="L14" s="57">
        <v>150</v>
      </c>
      <c r="M14" s="30">
        <f t="shared" si="1"/>
        <v>0</v>
      </c>
      <c r="N14" s="85"/>
      <c r="O14" s="11"/>
    </row>
    <row r="15" spans="1:18" s="10" customFormat="1" ht="23.25" x14ac:dyDescent="0.3">
      <c r="A15" s="26">
        <v>11</v>
      </c>
      <c r="B15" s="65" t="s">
        <v>122</v>
      </c>
      <c r="C15" s="32" t="s">
        <v>119</v>
      </c>
      <c r="D15" s="32">
        <v>1.8</v>
      </c>
      <c r="E15" s="57">
        <v>460</v>
      </c>
      <c r="F15" s="30">
        <f t="shared" si="0"/>
        <v>828</v>
      </c>
      <c r="H15" s="26">
        <v>11</v>
      </c>
      <c r="I15" s="65" t="s">
        <v>122</v>
      </c>
      <c r="J15" s="32" t="s">
        <v>119</v>
      </c>
      <c r="K15" s="32">
        <v>1.8</v>
      </c>
      <c r="L15" s="57">
        <v>460</v>
      </c>
      <c r="M15" s="30">
        <f t="shared" si="1"/>
        <v>828</v>
      </c>
      <c r="N15" s="85"/>
      <c r="O15" s="11"/>
    </row>
    <row r="16" spans="1:18" ht="24" thickBot="1" x14ac:dyDescent="0.3">
      <c r="A16" s="38"/>
      <c r="B16" s="39"/>
      <c r="C16" s="39"/>
      <c r="D16" s="39"/>
      <c r="E16" s="40" t="s">
        <v>16</v>
      </c>
      <c r="F16" s="35">
        <f>SUM(F5:F15)</f>
        <v>18868</v>
      </c>
      <c r="H16" s="38"/>
      <c r="I16" s="39"/>
      <c r="J16" s="39"/>
      <c r="K16" s="39"/>
      <c r="L16" s="40" t="s">
        <v>16</v>
      </c>
      <c r="M16" s="35">
        <f>SUM(M5:M15)</f>
        <v>13023</v>
      </c>
    </row>
    <row r="17" spans="1:13" ht="26.25" thickBot="1" x14ac:dyDescent="0.3">
      <c r="A17" s="76"/>
      <c r="B17" s="77"/>
      <c r="C17" s="77"/>
      <c r="D17" s="77"/>
      <c r="E17" s="78" t="s">
        <v>21</v>
      </c>
      <c r="F17" s="12">
        <f>SUMIF(E1:E19978,"CƏMİ",F1:F19978)</f>
        <v>18868</v>
      </c>
      <c r="H17" s="76"/>
      <c r="I17" s="77"/>
      <c r="J17" s="77"/>
      <c r="K17" s="77"/>
      <c r="L17" s="78" t="s">
        <v>21</v>
      </c>
      <c r="M17" s="12">
        <f>SUMIF(L1:L19978,"CƏMİ",M1:M19978)</f>
        <v>13023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4283A-E203-48D8-B492-79B9B1701CC0}">
  <sheetPr>
    <tabColor rgb="FFFFFF00"/>
    <pageSetUpPr fitToPage="1"/>
  </sheetPr>
  <dimension ref="A1:R15"/>
  <sheetViews>
    <sheetView view="pageBreakPreview" zoomScale="55" zoomScaleNormal="55" zoomScaleSheetLayoutView="55" workbookViewId="0">
      <pane ySplit="3" topLeftCell="A4" activePane="bottomLeft" state="frozen"/>
      <selection activeCell="A4" sqref="A4:XFD7"/>
      <selection pane="bottomLeft" activeCell="L6" sqref="L6"/>
    </sheetView>
  </sheetViews>
  <sheetFormatPr defaultColWidth="9.140625" defaultRowHeight="15" x14ac:dyDescent="0.25"/>
  <cols>
    <col min="1" max="1" width="6.42578125" style="5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528</v>
      </c>
      <c r="B1" s="175"/>
      <c r="C1" s="175"/>
      <c r="D1" s="175"/>
      <c r="E1" s="176" t="s">
        <v>0</v>
      </c>
      <c r="F1" s="177"/>
      <c r="H1" s="174" t="s">
        <v>528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F14</f>
        <v>9210</v>
      </c>
      <c r="O4" s="4"/>
    </row>
    <row r="5" spans="1:18" s="10" customFormat="1" ht="23.25" x14ac:dyDescent="0.3">
      <c r="A5" s="26">
        <v>1</v>
      </c>
      <c r="B5" s="65" t="s">
        <v>346</v>
      </c>
      <c r="C5" s="32" t="s">
        <v>20</v>
      </c>
      <c r="D5" s="32">
        <v>49.6</v>
      </c>
      <c r="E5" s="57">
        <v>30</v>
      </c>
      <c r="F5" s="30">
        <f>D5*E5</f>
        <v>1488</v>
      </c>
      <c r="H5" s="26">
        <v>1</v>
      </c>
      <c r="I5" s="65" t="s">
        <v>346</v>
      </c>
      <c r="J5" s="32" t="s">
        <v>20</v>
      </c>
      <c r="K5" s="32">
        <v>49.6</v>
      </c>
      <c r="L5" s="118">
        <v>25</v>
      </c>
      <c r="M5" s="30">
        <f>K5*L5</f>
        <v>1240</v>
      </c>
      <c r="N5" s="85"/>
      <c r="O5" s="11"/>
    </row>
    <row r="6" spans="1:18" s="10" customFormat="1" ht="23.25" x14ac:dyDescent="0.3">
      <c r="A6" s="26">
        <v>2</v>
      </c>
      <c r="B6" s="31" t="s">
        <v>412</v>
      </c>
      <c r="C6" s="32" t="s">
        <v>19</v>
      </c>
      <c r="D6" s="32">
        <v>31.7</v>
      </c>
      <c r="E6" s="57">
        <v>50</v>
      </c>
      <c r="F6" s="30">
        <f t="shared" ref="F6:F13" si="0">D6*E6</f>
        <v>1585</v>
      </c>
      <c r="H6" s="26">
        <v>2</v>
      </c>
      <c r="I6" s="31" t="s">
        <v>412</v>
      </c>
      <c r="J6" s="32" t="s">
        <v>19</v>
      </c>
      <c r="K6" s="115">
        <v>0</v>
      </c>
      <c r="L6" s="57">
        <v>50</v>
      </c>
      <c r="M6" s="30">
        <f t="shared" ref="M6:M13" si="1">K6*L6</f>
        <v>0</v>
      </c>
      <c r="N6" s="85"/>
      <c r="O6" s="11"/>
    </row>
    <row r="7" spans="1:18" s="10" customFormat="1" ht="23.25" x14ac:dyDescent="0.3">
      <c r="A7" s="26">
        <v>3</v>
      </c>
      <c r="B7" s="70" t="s">
        <v>559</v>
      </c>
      <c r="C7" s="32" t="s">
        <v>20</v>
      </c>
      <c r="D7" s="88">
        <v>48.8</v>
      </c>
      <c r="E7" s="57">
        <v>30</v>
      </c>
      <c r="F7" s="30">
        <f t="shared" si="0"/>
        <v>1464</v>
      </c>
      <c r="H7" s="26">
        <v>3</v>
      </c>
      <c r="I7" s="70" t="s">
        <v>559</v>
      </c>
      <c r="J7" s="32" t="s">
        <v>20</v>
      </c>
      <c r="K7" s="88">
        <v>48.8</v>
      </c>
      <c r="L7" s="57">
        <v>30</v>
      </c>
      <c r="M7" s="30">
        <f t="shared" si="1"/>
        <v>1464</v>
      </c>
      <c r="N7" s="85"/>
      <c r="O7" s="11"/>
    </row>
    <row r="8" spans="1:18" s="10" customFormat="1" ht="23.25" x14ac:dyDescent="0.3">
      <c r="A8" s="26">
        <v>4</v>
      </c>
      <c r="B8" s="65" t="s">
        <v>555</v>
      </c>
      <c r="C8" s="32" t="s">
        <v>19</v>
      </c>
      <c r="D8" s="32">
        <v>15</v>
      </c>
      <c r="E8" s="57">
        <v>50</v>
      </c>
      <c r="F8" s="30">
        <f t="shared" si="0"/>
        <v>750</v>
      </c>
      <c r="H8" s="26">
        <v>4</v>
      </c>
      <c r="I8" s="65" t="s">
        <v>555</v>
      </c>
      <c r="J8" s="32" t="s">
        <v>19</v>
      </c>
      <c r="K8" s="32">
        <v>15</v>
      </c>
      <c r="L8" s="57">
        <v>50</v>
      </c>
      <c r="M8" s="30">
        <f t="shared" si="1"/>
        <v>750</v>
      </c>
      <c r="N8" s="85"/>
      <c r="O8" s="11"/>
    </row>
    <row r="9" spans="1:18" s="10" customFormat="1" ht="23.25" x14ac:dyDescent="0.3">
      <c r="A9" s="26">
        <v>5</v>
      </c>
      <c r="B9" s="65" t="s">
        <v>319</v>
      </c>
      <c r="C9" s="32" t="s">
        <v>20</v>
      </c>
      <c r="D9" s="32">
        <v>47.2</v>
      </c>
      <c r="E9" s="57">
        <v>30</v>
      </c>
      <c r="F9" s="30">
        <f t="shared" si="0"/>
        <v>1416</v>
      </c>
      <c r="H9" s="26">
        <v>5</v>
      </c>
      <c r="I9" s="65" t="s">
        <v>319</v>
      </c>
      <c r="J9" s="32" t="s">
        <v>20</v>
      </c>
      <c r="K9" s="115">
        <v>13.6</v>
      </c>
      <c r="L9" s="57">
        <v>30</v>
      </c>
      <c r="M9" s="30">
        <f t="shared" si="1"/>
        <v>408</v>
      </c>
      <c r="N9" s="85"/>
      <c r="O9" s="11"/>
    </row>
    <row r="10" spans="1:18" s="10" customFormat="1" ht="23.25" x14ac:dyDescent="0.3">
      <c r="A10" s="26">
        <v>6</v>
      </c>
      <c r="B10" s="31" t="s">
        <v>320</v>
      </c>
      <c r="C10" s="32" t="s">
        <v>19</v>
      </c>
      <c r="D10" s="32">
        <v>14.8</v>
      </c>
      <c r="E10" s="57">
        <v>50</v>
      </c>
      <c r="F10" s="30">
        <f t="shared" si="0"/>
        <v>740</v>
      </c>
      <c r="H10" s="26">
        <v>6</v>
      </c>
      <c r="I10" s="31" t="s">
        <v>320</v>
      </c>
      <c r="J10" s="32" t="s">
        <v>19</v>
      </c>
      <c r="K10" s="115">
        <v>8.1999999999999993</v>
      </c>
      <c r="L10" s="57">
        <v>50</v>
      </c>
      <c r="M10" s="30">
        <f t="shared" si="1"/>
        <v>409.99999999999994</v>
      </c>
      <c r="N10" s="85"/>
      <c r="O10" s="11"/>
    </row>
    <row r="11" spans="1:18" s="10" customFormat="1" ht="23.25" x14ac:dyDescent="0.3">
      <c r="A11" s="26">
        <v>7</v>
      </c>
      <c r="B11" s="70" t="s">
        <v>297</v>
      </c>
      <c r="C11" s="32" t="s">
        <v>20</v>
      </c>
      <c r="D11" s="88">
        <v>25.2</v>
      </c>
      <c r="E11" s="57">
        <v>30</v>
      </c>
      <c r="F11" s="30">
        <f t="shared" si="0"/>
        <v>756</v>
      </c>
      <c r="H11" s="26">
        <v>7</v>
      </c>
      <c r="I11" s="70" t="s">
        <v>297</v>
      </c>
      <c r="J11" s="32" t="s">
        <v>20</v>
      </c>
      <c r="K11" s="115">
        <v>12.6</v>
      </c>
      <c r="L11" s="57">
        <v>30</v>
      </c>
      <c r="M11" s="30">
        <f t="shared" si="1"/>
        <v>378</v>
      </c>
      <c r="N11" s="85"/>
      <c r="O11" s="11"/>
    </row>
    <row r="12" spans="1:18" s="10" customFormat="1" ht="23.25" x14ac:dyDescent="0.3">
      <c r="A12" s="26">
        <v>8</v>
      </c>
      <c r="B12" s="65" t="s">
        <v>529</v>
      </c>
      <c r="C12" s="32" t="s">
        <v>19</v>
      </c>
      <c r="D12" s="32">
        <v>10.1</v>
      </c>
      <c r="E12" s="57">
        <v>50</v>
      </c>
      <c r="F12" s="30">
        <f t="shared" si="0"/>
        <v>505</v>
      </c>
      <c r="H12" s="26">
        <v>8</v>
      </c>
      <c r="I12" s="65" t="s">
        <v>529</v>
      </c>
      <c r="J12" s="32" t="s">
        <v>19</v>
      </c>
      <c r="K12" s="32">
        <v>10.1</v>
      </c>
      <c r="L12" s="57">
        <v>50</v>
      </c>
      <c r="M12" s="30">
        <f t="shared" si="1"/>
        <v>505</v>
      </c>
      <c r="N12" s="85"/>
      <c r="O12" s="11"/>
    </row>
    <row r="13" spans="1:18" s="10" customFormat="1" ht="23.25" x14ac:dyDescent="0.3">
      <c r="A13" s="26">
        <v>9</v>
      </c>
      <c r="B13" s="65" t="s">
        <v>122</v>
      </c>
      <c r="C13" s="32" t="s">
        <v>119</v>
      </c>
      <c r="D13" s="32">
        <v>1.1000000000000001</v>
      </c>
      <c r="E13" s="57">
        <v>460</v>
      </c>
      <c r="F13" s="30">
        <f t="shared" si="0"/>
        <v>506.00000000000006</v>
      </c>
      <c r="H13" s="26">
        <v>9</v>
      </c>
      <c r="I13" s="65" t="s">
        <v>122</v>
      </c>
      <c r="J13" s="32" t="s">
        <v>119</v>
      </c>
      <c r="K13" s="32">
        <v>1.1000000000000001</v>
      </c>
      <c r="L13" s="57">
        <v>460</v>
      </c>
      <c r="M13" s="30">
        <f t="shared" si="1"/>
        <v>506.00000000000006</v>
      </c>
      <c r="N13" s="85"/>
      <c r="O13" s="11"/>
    </row>
    <row r="14" spans="1:18" ht="24" thickBot="1" x14ac:dyDescent="0.3">
      <c r="A14" s="38"/>
      <c r="B14" s="39"/>
      <c r="C14" s="39"/>
      <c r="D14" s="39"/>
      <c r="E14" s="40" t="s">
        <v>16</v>
      </c>
      <c r="F14" s="35">
        <f>SUM(F5:F13)</f>
        <v>9210</v>
      </c>
      <c r="H14" s="38"/>
      <c r="I14" s="39"/>
      <c r="J14" s="39"/>
      <c r="K14" s="39"/>
      <c r="L14" s="40" t="s">
        <v>16</v>
      </c>
      <c r="M14" s="35">
        <f>SUM(M5:M13)</f>
        <v>5661</v>
      </c>
    </row>
    <row r="15" spans="1:18" ht="26.25" thickBot="1" x14ac:dyDescent="0.3">
      <c r="A15" s="76"/>
      <c r="B15" s="77"/>
      <c r="C15" s="77"/>
      <c r="D15" s="77"/>
      <c r="E15" s="78" t="s">
        <v>21</v>
      </c>
      <c r="F15" s="12">
        <f>SUMIF(E1:E19977,"CƏMİ",F1:F19977)</f>
        <v>9210</v>
      </c>
      <c r="H15" s="76"/>
      <c r="I15" s="77"/>
      <c r="J15" s="77"/>
      <c r="K15" s="77"/>
      <c r="L15" s="78" t="s">
        <v>21</v>
      </c>
      <c r="M15" s="12">
        <f>SUMIF(L1:L19977,"CƏMİ",M1:M19977)</f>
        <v>5661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7FB4-8028-43B6-9770-3C3B993F2542}">
  <sheetPr>
    <tabColor rgb="FFFFFF00"/>
    <pageSetUpPr fitToPage="1"/>
  </sheetPr>
  <dimension ref="A1:R14"/>
  <sheetViews>
    <sheetView view="pageBreakPreview" zoomScale="55" zoomScaleNormal="55" zoomScaleSheetLayoutView="55" workbookViewId="0">
      <pane ySplit="3" topLeftCell="A4" activePane="bottomLeft" state="frozen"/>
      <selection activeCell="A4" sqref="A4:XFD7"/>
      <selection pane="bottomLeft" activeCell="G33" sqref="G33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" style="86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530</v>
      </c>
      <c r="B1" s="175"/>
      <c r="C1" s="175"/>
      <c r="D1" s="175"/>
      <c r="E1" s="176" t="s">
        <v>0</v>
      </c>
      <c r="F1" s="177"/>
      <c r="H1" s="174" t="s">
        <v>530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F13</f>
        <v>6797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33.6</v>
      </c>
      <c r="E5" s="57">
        <v>30</v>
      </c>
      <c r="F5" s="30">
        <f>D5*E5</f>
        <v>1008</v>
      </c>
      <c r="H5" s="26">
        <v>1</v>
      </c>
      <c r="I5" s="70" t="s">
        <v>559</v>
      </c>
      <c r="J5" s="32" t="s">
        <v>20</v>
      </c>
      <c r="K5" s="88">
        <v>33.6</v>
      </c>
      <c r="L5" s="57">
        <v>30</v>
      </c>
      <c r="M5" s="30">
        <f>K5*L5</f>
        <v>1008</v>
      </c>
      <c r="N5" s="85"/>
      <c r="O5" s="11"/>
    </row>
    <row r="6" spans="1:18" s="10" customFormat="1" ht="23.25" x14ac:dyDescent="0.3">
      <c r="A6" s="26">
        <v>2</v>
      </c>
      <c r="B6" s="65" t="s">
        <v>555</v>
      </c>
      <c r="C6" s="32" t="s">
        <v>19</v>
      </c>
      <c r="D6" s="32">
        <v>10.3</v>
      </c>
      <c r="E6" s="57">
        <v>50</v>
      </c>
      <c r="F6" s="30">
        <f t="shared" ref="F6:F12" si="0">D6*E6</f>
        <v>515</v>
      </c>
      <c r="H6" s="26">
        <v>2</v>
      </c>
      <c r="I6" s="65" t="s">
        <v>555</v>
      </c>
      <c r="J6" s="32" t="s">
        <v>19</v>
      </c>
      <c r="K6" s="32">
        <v>10.3</v>
      </c>
      <c r="L6" s="57">
        <v>50</v>
      </c>
      <c r="M6" s="30">
        <f t="shared" ref="M6:M12" si="1">K6*L6</f>
        <v>515</v>
      </c>
      <c r="N6" s="85"/>
      <c r="O6" s="11"/>
    </row>
    <row r="7" spans="1:18" s="10" customFormat="1" ht="23.25" x14ac:dyDescent="0.3">
      <c r="A7" s="26">
        <v>3</v>
      </c>
      <c r="B7" s="65" t="s">
        <v>346</v>
      </c>
      <c r="C7" s="32" t="s">
        <v>20</v>
      </c>
      <c r="D7" s="32">
        <v>48.8</v>
      </c>
      <c r="E7" s="57">
        <v>30</v>
      </c>
      <c r="F7" s="30">
        <f t="shared" si="0"/>
        <v>1464</v>
      </c>
      <c r="H7" s="26">
        <v>3</v>
      </c>
      <c r="I7" s="65" t="s">
        <v>346</v>
      </c>
      <c r="J7" s="32" t="s">
        <v>20</v>
      </c>
      <c r="K7" s="32">
        <v>48.8</v>
      </c>
      <c r="L7" s="118">
        <v>25</v>
      </c>
      <c r="M7" s="30">
        <f t="shared" si="1"/>
        <v>1220</v>
      </c>
      <c r="N7" s="85"/>
      <c r="O7" s="11"/>
    </row>
    <row r="8" spans="1:18" s="10" customFormat="1" ht="23.25" x14ac:dyDescent="0.3">
      <c r="A8" s="26">
        <v>4</v>
      </c>
      <c r="B8" s="31" t="s">
        <v>412</v>
      </c>
      <c r="C8" s="32" t="s">
        <v>19</v>
      </c>
      <c r="D8" s="32">
        <v>32.18</v>
      </c>
      <c r="E8" s="57">
        <v>50</v>
      </c>
      <c r="F8" s="30">
        <f t="shared" si="0"/>
        <v>1609</v>
      </c>
      <c r="H8" s="26">
        <v>4</v>
      </c>
      <c r="I8" s="31" t="s">
        <v>412</v>
      </c>
      <c r="J8" s="32" t="s">
        <v>19</v>
      </c>
      <c r="K8" s="115">
        <v>0</v>
      </c>
      <c r="L8" s="57">
        <v>50</v>
      </c>
      <c r="M8" s="30">
        <f t="shared" si="1"/>
        <v>0</v>
      </c>
      <c r="N8" s="85"/>
      <c r="O8" s="11"/>
    </row>
    <row r="9" spans="1:18" s="10" customFormat="1" ht="23.25" x14ac:dyDescent="0.3">
      <c r="A9" s="26">
        <v>5</v>
      </c>
      <c r="B9" s="70" t="s">
        <v>297</v>
      </c>
      <c r="C9" s="32" t="s">
        <v>20</v>
      </c>
      <c r="D9" s="88">
        <v>16.8</v>
      </c>
      <c r="E9" s="57">
        <v>30</v>
      </c>
      <c r="F9" s="30">
        <f t="shared" si="0"/>
        <v>504</v>
      </c>
      <c r="H9" s="26">
        <v>5</v>
      </c>
      <c r="I9" s="70" t="s">
        <v>297</v>
      </c>
      <c r="J9" s="32" t="s">
        <v>20</v>
      </c>
      <c r="K9" s="115">
        <v>8.4</v>
      </c>
      <c r="L9" s="57">
        <v>30</v>
      </c>
      <c r="M9" s="30">
        <f t="shared" si="1"/>
        <v>252</v>
      </c>
      <c r="N9" s="85"/>
      <c r="O9" s="11"/>
    </row>
    <row r="10" spans="1:18" s="10" customFormat="1" ht="23.25" x14ac:dyDescent="0.3">
      <c r="A10" s="26">
        <v>6</v>
      </c>
      <c r="B10" s="65" t="s">
        <v>529</v>
      </c>
      <c r="C10" s="32" t="s">
        <v>19</v>
      </c>
      <c r="D10" s="32">
        <v>10.220000000000001</v>
      </c>
      <c r="E10" s="57">
        <v>50</v>
      </c>
      <c r="F10" s="30">
        <f t="shared" si="0"/>
        <v>511.00000000000006</v>
      </c>
      <c r="H10" s="26">
        <v>6</v>
      </c>
      <c r="I10" s="65" t="s">
        <v>529</v>
      </c>
      <c r="J10" s="32" t="s">
        <v>19</v>
      </c>
      <c r="K10" s="32">
        <v>10.220000000000001</v>
      </c>
      <c r="L10" s="57">
        <v>50</v>
      </c>
      <c r="M10" s="30">
        <f t="shared" si="1"/>
        <v>511.00000000000006</v>
      </c>
      <c r="N10" s="85"/>
      <c r="O10" s="11"/>
    </row>
    <row r="11" spans="1:18" s="10" customFormat="1" ht="23.25" x14ac:dyDescent="0.3">
      <c r="A11" s="26">
        <v>7</v>
      </c>
      <c r="B11" s="65" t="s">
        <v>588</v>
      </c>
      <c r="C11" s="32" t="s">
        <v>19</v>
      </c>
      <c r="D11" s="32">
        <v>8.5</v>
      </c>
      <c r="E11" s="57">
        <v>80</v>
      </c>
      <c r="F11" s="30">
        <f t="shared" si="0"/>
        <v>680</v>
      </c>
      <c r="H11" s="26">
        <v>7</v>
      </c>
      <c r="I11" s="65" t="s">
        <v>588</v>
      </c>
      <c r="J11" s="32" t="s">
        <v>19</v>
      </c>
      <c r="K11" s="32">
        <v>8.5</v>
      </c>
      <c r="L11" s="118">
        <v>25</v>
      </c>
      <c r="M11" s="30">
        <f t="shared" si="1"/>
        <v>212.5</v>
      </c>
      <c r="N11" s="85"/>
      <c r="O11" s="11"/>
    </row>
    <row r="12" spans="1:18" s="10" customFormat="1" ht="23.25" x14ac:dyDescent="0.3">
      <c r="A12" s="26">
        <v>8</v>
      </c>
      <c r="B12" s="65" t="s">
        <v>122</v>
      </c>
      <c r="C12" s="32" t="s">
        <v>119</v>
      </c>
      <c r="D12" s="32">
        <v>1.1000000000000001</v>
      </c>
      <c r="E12" s="57">
        <v>460</v>
      </c>
      <c r="F12" s="30">
        <f t="shared" si="0"/>
        <v>506.00000000000006</v>
      </c>
      <c r="H12" s="26">
        <v>8</v>
      </c>
      <c r="I12" s="65" t="s">
        <v>122</v>
      </c>
      <c r="J12" s="32" t="s">
        <v>119</v>
      </c>
      <c r="K12" s="32">
        <v>1.1000000000000001</v>
      </c>
      <c r="L12" s="57">
        <v>460</v>
      </c>
      <c r="M12" s="30">
        <f t="shared" si="1"/>
        <v>506.00000000000006</v>
      </c>
      <c r="N12" s="85"/>
      <c r="O12" s="11"/>
    </row>
    <row r="13" spans="1:18" ht="24" thickBot="1" x14ac:dyDescent="0.3">
      <c r="A13" s="38"/>
      <c r="B13" s="39"/>
      <c r="C13" s="39"/>
      <c r="D13" s="39"/>
      <c r="E13" s="40" t="s">
        <v>16</v>
      </c>
      <c r="F13" s="35">
        <f>SUM(F5:F12)</f>
        <v>6797</v>
      </c>
      <c r="H13" s="38"/>
      <c r="I13" s="39"/>
      <c r="J13" s="39"/>
      <c r="K13" s="39"/>
      <c r="L13" s="40" t="s">
        <v>16</v>
      </c>
      <c r="M13" s="35">
        <f>SUM(M5:M12)</f>
        <v>4224.5</v>
      </c>
    </row>
    <row r="14" spans="1:18" ht="26.25" thickBot="1" x14ac:dyDescent="0.3">
      <c r="A14" s="76"/>
      <c r="B14" s="77"/>
      <c r="C14" s="77"/>
      <c r="D14" s="77"/>
      <c r="E14" s="78" t="s">
        <v>21</v>
      </c>
      <c r="F14" s="12">
        <f>SUMIF(E1:E19977,"CƏMİ",F1:F19977)</f>
        <v>6797</v>
      </c>
      <c r="H14" s="76"/>
      <c r="I14" s="77"/>
      <c r="J14" s="77"/>
      <c r="K14" s="77"/>
      <c r="L14" s="78" t="s">
        <v>21</v>
      </c>
      <c r="M14" s="12">
        <f>SUMIF(L1:L19977,"CƏMİ",M1:M19977)</f>
        <v>4224.5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0C8D-EB4F-498C-AB06-0C5918C6C4F2}">
  <sheetPr>
    <tabColor rgb="FFFFFF00"/>
    <pageSetUpPr fitToPage="1"/>
  </sheetPr>
  <dimension ref="A1:R13"/>
  <sheetViews>
    <sheetView view="pageBreakPreview" zoomScale="55" zoomScaleNormal="55" zoomScaleSheetLayoutView="55" workbookViewId="0">
      <pane ySplit="3" topLeftCell="A4" activePane="bottomLeft" state="frozen"/>
      <selection activeCell="A4" sqref="A4:XFD7"/>
      <selection pane="bottomLeft" activeCell="K11" sqref="K11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518</v>
      </c>
      <c r="B1" s="175"/>
      <c r="C1" s="175"/>
      <c r="D1" s="175"/>
      <c r="E1" s="176" t="s">
        <v>0</v>
      </c>
      <c r="F1" s="177"/>
      <c r="H1" s="174" t="s">
        <v>518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F12</f>
        <v>6009.6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36.1</v>
      </c>
      <c r="E5" s="57">
        <v>30</v>
      </c>
      <c r="F5" s="30">
        <f>D5*E5</f>
        <v>1083</v>
      </c>
      <c r="H5" s="26">
        <v>1</v>
      </c>
      <c r="I5" s="70" t="s">
        <v>559</v>
      </c>
      <c r="J5" s="32" t="s">
        <v>20</v>
      </c>
      <c r="K5" s="88">
        <v>36.1</v>
      </c>
      <c r="L5" s="57">
        <v>30</v>
      </c>
      <c r="M5" s="30">
        <f>K5*L5</f>
        <v>1083</v>
      </c>
      <c r="N5" s="85"/>
      <c r="O5" s="11"/>
    </row>
    <row r="6" spans="1:18" s="10" customFormat="1" ht="23.25" x14ac:dyDescent="0.3">
      <c r="A6" s="26">
        <v>2</v>
      </c>
      <c r="B6" s="65" t="s">
        <v>555</v>
      </c>
      <c r="C6" s="32" t="s">
        <v>19</v>
      </c>
      <c r="D6" s="32">
        <v>11.1</v>
      </c>
      <c r="E6" s="57">
        <v>50</v>
      </c>
      <c r="F6" s="30">
        <f t="shared" ref="F6:F11" si="0">D6*E6</f>
        <v>555</v>
      </c>
      <c r="H6" s="26">
        <v>2</v>
      </c>
      <c r="I6" s="65" t="s">
        <v>555</v>
      </c>
      <c r="J6" s="32" t="s">
        <v>19</v>
      </c>
      <c r="K6" s="32">
        <v>11.1</v>
      </c>
      <c r="L6" s="57">
        <v>50</v>
      </c>
      <c r="M6" s="30">
        <f t="shared" ref="M6:M11" si="1">K6*L6</f>
        <v>555</v>
      </c>
      <c r="N6" s="85"/>
      <c r="O6" s="11"/>
    </row>
    <row r="7" spans="1:18" s="10" customFormat="1" ht="23.25" x14ac:dyDescent="0.3">
      <c r="A7" s="26">
        <v>3</v>
      </c>
      <c r="B7" s="65" t="s">
        <v>319</v>
      </c>
      <c r="C7" s="32" t="s">
        <v>20</v>
      </c>
      <c r="D7" s="32">
        <v>19.600000000000001</v>
      </c>
      <c r="E7" s="57">
        <v>30</v>
      </c>
      <c r="F7" s="30">
        <f t="shared" si="0"/>
        <v>588</v>
      </c>
      <c r="H7" s="26">
        <v>3</v>
      </c>
      <c r="I7" s="65" t="s">
        <v>319</v>
      </c>
      <c r="J7" s="32" t="s">
        <v>20</v>
      </c>
      <c r="K7" s="32">
        <v>19.600000000000001</v>
      </c>
      <c r="L7" s="57">
        <v>30</v>
      </c>
      <c r="M7" s="30">
        <f t="shared" si="1"/>
        <v>588</v>
      </c>
      <c r="N7" s="85"/>
      <c r="O7" s="11"/>
    </row>
    <row r="8" spans="1:18" s="10" customFormat="1" ht="23.25" x14ac:dyDescent="0.3">
      <c r="A8" s="26">
        <v>4</v>
      </c>
      <c r="B8" s="31" t="s">
        <v>320</v>
      </c>
      <c r="C8" s="32" t="s">
        <v>19</v>
      </c>
      <c r="D8" s="32">
        <v>7</v>
      </c>
      <c r="E8" s="57">
        <v>50</v>
      </c>
      <c r="F8" s="30">
        <f t="shared" si="0"/>
        <v>350</v>
      </c>
      <c r="H8" s="26">
        <v>4</v>
      </c>
      <c r="I8" s="31" t="s">
        <v>320</v>
      </c>
      <c r="J8" s="32" t="s">
        <v>19</v>
      </c>
      <c r="K8" s="32">
        <v>7</v>
      </c>
      <c r="L8" s="57">
        <v>50</v>
      </c>
      <c r="M8" s="30">
        <f t="shared" si="1"/>
        <v>350</v>
      </c>
      <c r="N8" s="85"/>
      <c r="O8" s="11"/>
    </row>
    <row r="9" spans="1:18" s="10" customFormat="1" ht="23.25" x14ac:dyDescent="0.3">
      <c r="A9" s="26">
        <v>5</v>
      </c>
      <c r="B9" s="65" t="s">
        <v>346</v>
      </c>
      <c r="C9" s="32" t="s">
        <v>20</v>
      </c>
      <c r="D9" s="32">
        <v>52.8</v>
      </c>
      <c r="E9" s="57">
        <v>30</v>
      </c>
      <c r="F9" s="30">
        <f t="shared" si="0"/>
        <v>1584</v>
      </c>
      <c r="H9" s="26">
        <v>5</v>
      </c>
      <c r="I9" s="65" t="s">
        <v>346</v>
      </c>
      <c r="J9" s="32" t="s">
        <v>20</v>
      </c>
      <c r="K9" s="32">
        <v>52.8</v>
      </c>
      <c r="L9" s="118">
        <v>25</v>
      </c>
      <c r="M9" s="30">
        <f t="shared" si="1"/>
        <v>1320</v>
      </c>
      <c r="N9" s="85"/>
      <c r="O9" s="11"/>
    </row>
    <row r="10" spans="1:18" s="10" customFormat="1" ht="23.25" x14ac:dyDescent="0.3">
      <c r="A10" s="26">
        <v>6</v>
      </c>
      <c r="B10" s="31" t="s">
        <v>412</v>
      </c>
      <c r="C10" s="32" t="s">
        <v>19</v>
      </c>
      <c r="D10" s="32">
        <v>34.6</v>
      </c>
      <c r="E10" s="57">
        <v>50</v>
      </c>
      <c r="F10" s="30">
        <f t="shared" si="0"/>
        <v>1730</v>
      </c>
      <c r="H10" s="26">
        <v>6</v>
      </c>
      <c r="I10" s="31" t="s">
        <v>412</v>
      </c>
      <c r="J10" s="32" t="s">
        <v>19</v>
      </c>
      <c r="K10" s="115">
        <v>0</v>
      </c>
      <c r="L10" s="57">
        <v>50</v>
      </c>
      <c r="M10" s="30">
        <f t="shared" si="1"/>
        <v>0</v>
      </c>
      <c r="N10" s="85"/>
      <c r="O10" s="11"/>
    </row>
    <row r="11" spans="1:18" s="10" customFormat="1" ht="23.25" x14ac:dyDescent="0.3">
      <c r="A11" s="26">
        <v>7</v>
      </c>
      <c r="B11" s="65" t="s">
        <v>122</v>
      </c>
      <c r="C11" s="32" t="s">
        <v>119</v>
      </c>
      <c r="D11" s="32">
        <v>0.26</v>
      </c>
      <c r="E11" s="57">
        <v>460</v>
      </c>
      <c r="F11" s="30">
        <f t="shared" si="0"/>
        <v>119.60000000000001</v>
      </c>
      <c r="H11" s="26">
        <v>7</v>
      </c>
      <c r="I11" s="65" t="s">
        <v>122</v>
      </c>
      <c r="J11" s="32" t="s">
        <v>119</v>
      </c>
      <c r="K11" s="32">
        <v>0.26</v>
      </c>
      <c r="L11" s="57">
        <v>460</v>
      </c>
      <c r="M11" s="30">
        <f t="shared" si="1"/>
        <v>119.60000000000001</v>
      </c>
      <c r="N11" s="85"/>
      <c r="O11" s="11"/>
    </row>
    <row r="12" spans="1:18" ht="24" thickBot="1" x14ac:dyDescent="0.3">
      <c r="A12" s="38"/>
      <c r="B12" s="39"/>
      <c r="C12" s="39"/>
      <c r="D12" s="39"/>
      <c r="E12" s="40" t="s">
        <v>16</v>
      </c>
      <c r="F12" s="35">
        <f>SUM(F5:F11)</f>
        <v>6009.6</v>
      </c>
      <c r="H12" s="38"/>
      <c r="I12" s="39"/>
      <c r="J12" s="39"/>
      <c r="K12" s="39"/>
      <c r="L12" s="40" t="s">
        <v>16</v>
      </c>
      <c r="M12" s="35">
        <f>SUM(M5:M11)</f>
        <v>4015.6</v>
      </c>
    </row>
    <row r="13" spans="1:18" ht="26.25" thickBot="1" x14ac:dyDescent="0.3">
      <c r="A13" s="76"/>
      <c r="B13" s="77"/>
      <c r="C13" s="77"/>
      <c r="D13" s="77"/>
      <c r="E13" s="78" t="s">
        <v>21</v>
      </c>
      <c r="F13" s="12">
        <f>SUMIF(E1:E19977,"CƏMİ",F1:F19977)</f>
        <v>6009.6</v>
      </c>
      <c r="H13" s="76"/>
      <c r="I13" s="77"/>
      <c r="J13" s="77"/>
      <c r="K13" s="77"/>
      <c r="L13" s="78" t="s">
        <v>21</v>
      </c>
      <c r="M13" s="12">
        <f>SUMIF(L1:L19977,"CƏMİ",M1:M19977)</f>
        <v>4015.6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1773-1250-429D-BD8E-539D5C633E83}">
  <sheetPr>
    <tabColor rgb="FFFFFF00"/>
    <pageSetUpPr fitToPage="1"/>
  </sheetPr>
  <dimension ref="A1:R13"/>
  <sheetViews>
    <sheetView view="pageBreakPreview" zoomScale="55" zoomScaleNormal="55" zoomScaleSheetLayoutView="55" workbookViewId="0">
      <pane ySplit="3" topLeftCell="A4" activePane="bottomLeft" state="frozen"/>
      <selection activeCell="A4" sqref="A4:XFD7"/>
      <selection pane="bottomLeft" activeCell="L10" sqref="L10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520</v>
      </c>
      <c r="B1" s="175"/>
      <c r="C1" s="175"/>
      <c r="D1" s="175"/>
      <c r="E1" s="176" t="s">
        <v>0</v>
      </c>
      <c r="F1" s="177"/>
      <c r="H1" s="174" t="s">
        <v>520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F12</f>
        <v>7068.3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42.5</v>
      </c>
      <c r="E5" s="57">
        <v>30</v>
      </c>
      <c r="F5" s="30">
        <f>D5*E5</f>
        <v>1275</v>
      </c>
      <c r="H5" s="26">
        <v>1</v>
      </c>
      <c r="I5" s="70" t="s">
        <v>559</v>
      </c>
      <c r="J5" s="32" t="s">
        <v>20</v>
      </c>
      <c r="K5" s="88">
        <v>42.5</v>
      </c>
      <c r="L5" s="57">
        <v>30</v>
      </c>
      <c r="M5" s="30">
        <f>K5*L5</f>
        <v>1275</v>
      </c>
      <c r="N5" s="85"/>
      <c r="O5" s="11"/>
    </row>
    <row r="6" spans="1:18" s="10" customFormat="1" ht="23.25" x14ac:dyDescent="0.3">
      <c r="A6" s="26">
        <v>2</v>
      </c>
      <c r="B6" s="65" t="s">
        <v>555</v>
      </c>
      <c r="C6" s="32" t="s">
        <v>19</v>
      </c>
      <c r="D6" s="32">
        <v>13.75</v>
      </c>
      <c r="E6" s="57">
        <v>50</v>
      </c>
      <c r="F6" s="30">
        <f t="shared" ref="F6:F11" si="0">D6*E6</f>
        <v>687.5</v>
      </c>
      <c r="H6" s="26">
        <v>2</v>
      </c>
      <c r="I6" s="65" t="s">
        <v>555</v>
      </c>
      <c r="J6" s="32" t="s">
        <v>19</v>
      </c>
      <c r="K6" s="32">
        <v>13.75</v>
      </c>
      <c r="L6" s="57">
        <v>50</v>
      </c>
      <c r="M6" s="30">
        <f t="shared" ref="M6:M11" si="1">K6*L6</f>
        <v>687.5</v>
      </c>
      <c r="N6" s="85"/>
      <c r="O6" s="11"/>
    </row>
    <row r="7" spans="1:18" s="10" customFormat="1" ht="23.25" x14ac:dyDescent="0.3">
      <c r="A7" s="26">
        <v>3</v>
      </c>
      <c r="B7" s="65" t="s">
        <v>319</v>
      </c>
      <c r="C7" s="32" t="s">
        <v>20</v>
      </c>
      <c r="D7" s="32">
        <v>36</v>
      </c>
      <c r="E7" s="57">
        <v>30</v>
      </c>
      <c r="F7" s="30">
        <f t="shared" si="0"/>
        <v>1080</v>
      </c>
      <c r="H7" s="26">
        <v>3</v>
      </c>
      <c r="I7" s="65" t="s">
        <v>319</v>
      </c>
      <c r="J7" s="32" t="s">
        <v>20</v>
      </c>
      <c r="K7" s="115">
        <v>18</v>
      </c>
      <c r="L7" s="57">
        <v>30</v>
      </c>
      <c r="M7" s="30">
        <f t="shared" si="1"/>
        <v>540</v>
      </c>
      <c r="N7" s="85"/>
      <c r="O7" s="11"/>
    </row>
    <row r="8" spans="1:18" s="10" customFormat="1" ht="23.25" x14ac:dyDescent="0.3">
      <c r="A8" s="26">
        <v>4</v>
      </c>
      <c r="B8" s="31" t="s">
        <v>320</v>
      </c>
      <c r="C8" s="32" t="s">
        <v>19</v>
      </c>
      <c r="D8" s="32">
        <v>14.5</v>
      </c>
      <c r="E8" s="57">
        <v>50</v>
      </c>
      <c r="F8" s="30">
        <f t="shared" si="0"/>
        <v>725</v>
      </c>
      <c r="H8" s="26">
        <v>4</v>
      </c>
      <c r="I8" s="31" t="s">
        <v>320</v>
      </c>
      <c r="J8" s="32" t="s">
        <v>19</v>
      </c>
      <c r="K8" s="32">
        <v>14.5</v>
      </c>
      <c r="L8" s="57">
        <v>50</v>
      </c>
      <c r="M8" s="30">
        <f t="shared" si="1"/>
        <v>725</v>
      </c>
      <c r="N8" s="85"/>
      <c r="O8" s="11"/>
    </row>
    <row r="9" spans="1:18" s="10" customFormat="1" ht="23.25" x14ac:dyDescent="0.3">
      <c r="A9" s="26">
        <v>5</v>
      </c>
      <c r="B9" s="65" t="s">
        <v>346</v>
      </c>
      <c r="C9" s="32" t="s">
        <v>20</v>
      </c>
      <c r="D9" s="32">
        <v>50.4</v>
      </c>
      <c r="E9" s="57">
        <v>30</v>
      </c>
      <c r="F9" s="30">
        <f t="shared" si="0"/>
        <v>1512</v>
      </c>
      <c r="H9" s="26">
        <v>5</v>
      </c>
      <c r="I9" s="65" t="s">
        <v>346</v>
      </c>
      <c r="J9" s="32" t="s">
        <v>20</v>
      </c>
      <c r="K9" s="32">
        <v>50.4</v>
      </c>
      <c r="L9" s="118">
        <v>25</v>
      </c>
      <c r="M9" s="30">
        <f t="shared" si="1"/>
        <v>1260</v>
      </c>
      <c r="N9" s="85"/>
      <c r="O9" s="11"/>
    </row>
    <row r="10" spans="1:18" s="10" customFormat="1" ht="23.25" x14ac:dyDescent="0.3">
      <c r="A10" s="26">
        <v>6</v>
      </c>
      <c r="B10" s="31" t="s">
        <v>412</v>
      </c>
      <c r="C10" s="32" t="s">
        <v>19</v>
      </c>
      <c r="D10" s="32">
        <v>33.200000000000003</v>
      </c>
      <c r="E10" s="57">
        <v>50</v>
      </c>
      <c r="F10" s="30">
        <f t="shared" si="0"/>
        <v>1660.0000000000002</v>
      </c>
      <c r="H10" s="26">
        <v>6</v>
      </c>
      <c r="I10" s="31" t="s">
        <v>412</v>
      </c>
      <c r="J10" s="32" t="s">
        <v>19</v>
      </c>
      <c r="K10" s="115">
        <v>0</v>
      </c>
      <c r="L10" s="57">
        <v>50</v>
      </c>
      <c r="M10" s="30">
        <f t="shared" si="1"/>
        <v>0</v>
      </c>
      <c r="N10" s="85"/>
      <c r="O10" s="11"/>
    </row>
    <row r="11" spans="1:18" s="10" customFormat="1" ht="23.25" x14ac:dyDescent="0.3">
      <c r="A11" s="26">
        <v>7</v>
      </c>
      <c r="B11" s="65" t="s">
        <v>122</v>
      </c>
      <c r="C11" s="32" t="s">
        <v>119</v>
      </c>
      <c r="D11" s="32">
        <v>0.28000000000000003</v>
      </c>
      <c r="E11" s="57">
        <v>460</v>
      </c>
      <c r="F11" s="30">
        <f t="shared" si="0"/>
        <v>128.80000000000001</v>
      </c>
      <c r="H11" s="26">
        <v>7</v>
      </c>
      <c r="I11" s="65" t="s">
        <v>122</v>
      </c>
      <c r="J11" s="32" t="s">
        <v>119</v>
      </c>
      <c r="K11" s="32">
        <v>0.28000000000000003</v>
      </c>
      <c r="L11" s="57">
        <v>460</v>
      </c>
      <c r="M11" s="30">
        <f t="shared" si="1"/>
        <v>128.80000000000001</v>
      </c>
      <c r="N11" s="85"/>
      <c r="O11" s="11"/>
    </row>
    <row r="12" spans="1:18" ht="24" thickBot="1" x14ac:dyDescent="0.3">
      <c r="A12" s="38"/>
      <c r="B12" s="39"/>
      <c r="C12" s="39"/>
      <c r="D12" s="39"/>
      <c r="E12" s="40" t="s">
        <v>16</v>
      </c>
      <c r="F12" s="35">
        <f>SUM(F5:F11)</f>
        <v>7068.3</v>
      </c>
      <c r="H12" s="38"/>
      <c r="I12" s="39"/>
      <c r="J12" s="39"/>
      <c r="K12" s="39"/>
      <c r="L12" s="40" t="s">
        <v>16</v>
      </c>
      <c r="M12" s="35">
        <f>SUM(M5:M11)</f>
        <v>4616.3</v>
      </c>
    </row>
    <row r="13" spans="1:18" ht="26.25" thickBot="1" x14ac:dyDescent="0.3">
      <c r="A13" s="76"/>
      <c r="B13" s="77"/>
      <c r="C13" s="77"/>
      <c r="D13" s="77"/>
      <c r="E13" s="78" t="s">
        <v>21</v>
      </c>
      <c r="F13" s="12">
        <f>SUMIF(E1:E19977,"CƏMİ",F1:F19977)</f>
        <v>7068.3</v>
      </c>
      <c r="H13" s="76"/>
      <c r="I13" s="77"/>
      <c r="J13" s="77"/>
      <c r="K13" s="77"/>
      <c r="L13" s="78" t="s">
        <v>21</v>
      </c>
      <c r="M13" s="12">
        <f>SUMIF(L1:L19977,"CƏMİ",M1:M19977)</f>
        <v>4616.3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EC7D-7C32-407A-B93D-F87BBDD7B62A}">
  <sheetPr>
    <tabColor rgb="FFFFFF00"/>
    <pageSetUpPr fitToPage="1"/>
  </sheetPr>
  <dimension ref="A1:R15"/>
  <sheetViews>
    <sheetView view="pageBreakPreview" zoomScale="55" zoomScaleNormal="55" zoomScaleSheetLayoutView="55" workbookViewId="0">
      <pane ySplit="3" topLeftCell="A4" activePane="bottomLeft" state="frozen"/>
      <selection activeCell="A4" sqref="A4:XFD7"/>
      <selection pane="bottomLeft" activeCell="K11" sqref="K11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531</v>
      </c>
      <c r="B1" s="175"/>
      <c r="C1" s="175"/>
      <c r="D1" s="175"/>
      <c r="E1" s="176" t="s">
        <v>0</v>
      </c>
      <c r="F1" s="177"/>
      <c r="H1" s="174" t="s">
        <v>531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F14</f>
        <v>10236</v>
      </c>
      <c r="O4" s="4"/>
    </row>
    <row r="5" spans="1:18" s="10" customFormat="1" ht="23.25" x14ac:dyDescent="0.3">
      <c r="A5" s="26">
        <v>1</v>
      </c>
      <c r="B5" s="65" t="s">
        <v>319</v>
      </c>
      <c r="C5" s="32" t="s">
        <v>20</v>
      </c>
      <c r="D5" s="32">
        <v>33.6</v>
      </c>
      <c r="E5" s="57">
        <v>30</v>
      </c>
      <c r="F5" s="30">
        <f>D5*E5</f>
        <v>1008</v>
      </c>
      <c r="H5" s="26">
        <v>1</v>
      </c>
      <c r="I5" s="65" t="s">
        <v>319</v>
      </c>
      <c r="J5" s="32" t="s">
        <v>20</v>
      </c>
      <c r="K5" s="115">
        <v>16.8</v>
      </c>
      <c r="L5" s="57">
        <v>30</v>
      </c>
      <c r="M5" s="30">
        <f>K5*L5</f>
        <v>504</v>
      </c>
      <c r="N5" s="85"/>
      <c r="O5" s="11"/>
    </row>
    <row r="6" spans="1:18" s="10" customFormat="1" ht="23.25" x14ac:dyDescent="0.3">
      <c r="A6" s="26">
        <v>2</v>
      </c>
      <c r="B6" s="31" t="s">
        <v>320</v>
      </c>
      <c r="C6" s="32" t="s">
        <v>19</v>
      </c>
      <c r="D6" s="32">
        <v>12.76</v>
      </c>
      <c r="E6" s="57">
        <v>50</v>
      </c>
      <c r="F6" s="30">
        <f t="shared" ref="F6:F13" si="0">D6*E6</f>
        <v>638</v>
      </c>
      <c r="H6" s="26">
        <v>2</v>
      </c>
      <c r="I6" s="31" t="s">
        <v>320</v>
      </c>
      <c r="J6" s="32" t="s">
        <v>19</v>
      </c>
      <c r="K6" s="32">
        <v>12.76</v>
      </c>
      <c r="L6" s="57">
        <v>50</v>
      </c>
      <c r="M6" s="30">
        <f t="shared" ref="M6:M13" si="1">K6*L6</f>
        <v>638</v>
      </c>
      <c r="N6" s="85"/>
      <c r="O6" s="11"/>
    </row>
    <row r="7" spans="1:18" s="10" customFormat="1" ht="23.25" x14ac:dyDescent="0.3">
      <c r="A7" s="26">
        <v>3</v>
      </c>
      <c r="B7" s="70" t="s">
        <v>559</v>
      </c>
      <c r="C7" s="32" t="s">
        <v>20</v>
      </c>
      <c r="D7" s="88">
        <v>50.4</v>
      </c>
      <c r="E7" s="57">
        <v>30</v>
      </c>
      <c r="F7" s="30">
        <f t="shared" si="0"/>
        <v>1512</v>
      </c>
      <c r="H7" s="26">
        <v>3</v>
      </c>
      <c r="I7" s="70" t="s">
        <v>559</v>
      </c>
      <c r="J7" s="32" t="s">
        <v>20</v>
      </c>
      <c r="K7" s="88">
        <v>50.4</v>
      </c>
      <c r="L7" s="57">
        <v>30</v>
      </c>
      <c r="M7" s="30">
        <f t="shared" si="1"/>
        <v>1512</v>
      </c>
      <c r="N7" s="85"/>
      <c r="O7" s="11"/>
    </row>
    <row r="8" spans="1:18" s="10" customFormat="1" ht="23.25" x14ac:dyDescent="0.3">
      <c r="A8" s="26">
        <v>4</v>
      </c>
      <c r="B8" s="65" t="s">
        <v>555</v>
      </c>
      <c r="C8" s="32" t="s">
        <v>19</v>
      </c>
      <c r="D8" s="32">
        <v>15.5</v>
      </c>
      <c r="E8" s="57">
        <v>50</v>
      </c>
      <c r="F8" s="30">
        <f t="shared" si="0"/>
        <v>775</v>
      </c>
      <c r="H8" s="26">
        <v>4</v>
      </c>
      <c r="I8" s="65" t="s">
        <v>555</v>
      </c>
      <c r="J8" s="32" t="s">
        <v>19</v>
      </c>
      <c r="K8" s="32">
        <v>15.5</v>
      </c>
      <c r="L8" s="57">
        <v>50</v>
      </c>
      <c r="M8" s="30">
        <f t="shared" si="1"/>
        <v>775</v>
      </c>
      <c r="N8" s="85"/>
      <c r="O8" s="11"/>
    </row>
    <row r="9" spans="1:18" s="10" customFormat="1" ht="23.25" x14ac:dyDescent="0.3">
      <c r="A9" s="26">
        <v>5</v>
      </c>
      <c r="B9" s="65" t="s">
        <v>346</v>
      </c>
      <c r="C9" s="32" t="s">
        <v>20</v>
      </c>
      <c r="D9" s="32">
        <v>62</v>
      </c>
      <c r="E9" s="57">
        <v>30</v>
      </c>
      <c r="F9" s="30">
        <f t="shared" si="0"/>
        <v>1860</v>
      </c>
      <c r="H9" s="26">
        <v>5</v>
      </c>
      <c r="I9" s="65" t="s">
        <v>346</v>
      </c>
      <c r="J9" s="32" t="s">
        <v>20</v>
      </c>
      <c r="K9" s="32">
        <v>62</v>
      </c>
      <c r="L9" s="118">
        <v>25</v>
      </c>
      <c r="M9" s="30">
        <f t="shared" si="1"/>
        <v>1550</v>
      </c>
      <c r="N9" s="85"/>
      <c r="O9" s="11"/>
    </row>
    <row r="10" spans="1:18" s="10" customFormat="1" ht="23.25" x14ac:dyDescent="0.3">
      <c r="A10" s="26">
        <v>6</v>
      </c>
      <c r="B10" s="31" t="s">
        <v>412</v>
      </c>
      <c r="C10" s="32" t="s">
        <v>19</v>
      </c>
      <c r="D10" s="32">
        <v>40.200000000000003</v>
      </c>
      <c r="E10" s="57">
        <v>50</v>
      </c>
      <c r="F10" s="30">
        <f t="shared" si="0"/>
        <v>2010.0000000000002</v>
      </c>
      <c r="H10" s="26">
        <v>6</v>
      </c>
      <c r="I10" s="31" t="s">
        <v>412</v>
      </c>
      <c r="J10" s="32" t="s">
        <v>19</v>
      </c>
      <c r="K10" s="115">
        <v>0</v>
      </c>
      <c r="L10" s="57">
        <v>50</v>
      </c>
      <c r="M10" s="30">
        <f t="shared" si="1"/>
        <v>0</v>
      </c>
      <c r="N10" s="85"/>
      <c r="O10" s="11"/>
    </row>
    <row r="11" spans="1:18" s="10" customFormat="1" ht="23.25" x14ac:dyDescent="0.3">
      <c r="A11" s="26">
        <v>7</v>
      </c>
      <c r="B11" s="70" t="s">
        <v>297</v>
      </c>
      <c r="C11" s="32" t="s">
        <v>20</v>
      </c>
      <c r="D11" s="88">
        <v>34.200000000000003</v>
      </c>
      <c r="E11" s="57">
        <v>30</v>
      </c>
      <c r="F11" s="30">
        <f t="shared" si="0"/>
        <v>1026</v>
      </c>
      <c r="H11" s="26">
        <v>7</v>
      </c>
      <c r="I11" s="70" t="s">
        <v>297</v>
      </c>
      <c r="J11" s="32" t="s">
        <v>20</v>
      </c>
      <c r="K11" s="115">
        <v>9.1999999999999993</v>
      </c>
      <c r="L11" s="57">
        <v>30</v>
      </c>
      <c r="M11" s="30">
        <f t="shared" si="1"/>
        <v>276</v>
      </c>
      <c r="N11" s="85"/>
      <c r="O11" s="11"/>
    </row>
    <row r="12" spans="1:18" s="10" customFormat="1" ht="23.25" x14ac:dyDescent="0.3">
      <c r="A12" s="26">
        <v>8</v>
      </c>
      <c r="B12" s="65" t="s">
        <v>529</v>
      </c>
      <c r="C12" s="32" t="s">
        <v>19</v>
      </c>
      <c r="D12" s="32">
        <v>17.100000000000001</v>
      </c>
      <c r="E12" s="57">
        <v>50</v>
      </c>
      <c r="F12" s="30">
        <f t="shared" si="0"/>
        <v>855.00000000000011</v>
      </c>
      <c r="H12" s="26">
        <v>8</v>
      </c>
      <c r="I12" s="65" t="s">
        <v>529</v>
      </c>
      <c r="J12" s="32" t="s">
        <v>19</v>
      </c>
      <c r="K12" s="115">
        <v>9.1999999999999993</v>
      </c>
      <c r="L12" s="57">
        <v>50</v>
      </c>
      <c r="M12" s="30">
        <f t="shared" si="1"/>
        <v>459.99999999999994</v>
      </c>
      <c r="N12" s="85"/>
      <c r="O12" s="11"/>
    </row>
    <row r="13" spans="1:18" s="10" customFormat="1" ht="23.25" x14ac:dyDescent="0.3">
      <c r="A13" s="26">
        <v>9</v>
      </c>
      <c r="B13" s="65" t="s">
        <v>122</v>
      </c>
      <c r="C13" s="32" t="s">
        <v>119</v>
      </c>
      <c r="D13" s="32">
        <v>1.2</v>
      </c>
      <c r="E13" s="57">
        <v>460</v>
      </c>
      <c r="F13" s="30">
        <f t="shared" si="0"/>
        <v>552</v>
      </c>
      <c r="H13" s="26">
        <v>9</v>
      </c>
      <c r="I13" s="65" t="s">
        <v>122</v>
      </c>
      <c r="J13" s="32" t="s">
        <v>119</v>
      </c>
      <c r="K13" s="32">
        <v>1.2</v>
      </c>
      <c r="L13" s="57">
        <v>460</v>
      </c>
      <c r="M13" s="30">
        <f t="shared" si="1"/>
        <v>552</v>
      </c>
      <c r="N13" s="85"/>
      <c r="O13" s="11"/>
    </row>
    <row r="14" spans="1:18" ht="24" thickBot="1" x14ac:dyDescent="0.3">
      <c r="A14" s="38"/>
      <c r="B14" s="39"/>
      <c r="C14" s="39"/>
      <c r="D14" s="39"/>
      <c r="E14" s="40" t="s">
        <v>16</v>
      </c>
      <c r="F14" s="35">
        <f>SUM(F5:F13)</f>
        <v>10236</v>
      </c>
      <c r="H14" s="38"/>
      <c r="I14" s="39"/>
      <c r="J14" s="39"/>
      <c r="K14" s="39"/>
      <c r="L14" s="40" t="s">
        <v>16</v>
      </c>
      <c r="M14" s="35">
        <f>SUM(M5:M13)</f>
        <v>6267</v>
      </c>
    </row>
    <row r="15" spans="1:18" ht="26.25" thickBot="1" x14ac:dyDescent="0.3">
      <c r="A15" s="76"/>
      <c r="B15" s="77"/>
      <c r="C15" s="77"/>
      <c r="D15" s="77"/>
      <c r="E15" s="78" t="s">
        <v>21</v>
      </c>
      <c r="F15" s="12">
        <f>SUMIF(E1:E19977,"CƏMİ",F1:F19977)</f>
        <v>10236</v>
      </c>
      <c r="H15" s="76"/>
      <c r="I15" s="77"/>
      <c r="J15" s="77"/>
      <c r="K15" s="77"/>
      <c r="L15" s="78" t="s">
        <v>21</v>
      </c>
      <c r="M15" s="12">
        <f>SUMIF(L1:L19977,"CƏMİ",M1:M19977)</f>
        <v>6267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61E8-9B76-4633-8B2C-EED2B7025C6E}">
  <sheetPr>
    <tabColor rgb="FFFFFF00"/>
    <pageSetUpPr fitToPage="1"/>
  </sheetPr>
  <dimension ref="A1:R13"/>
  <sheetViews>
    <sheetView view="pageBreakPreview" zoomScale="55" zoomScaleNormal="55" zoomScaleSheetLayoutView="55" workbookViewId="0">
      <pane ySplit="3" topLeftCell="A4" activePane="bottomLeft" state="frozen"/>
      <selection activeCell="A4" sqref="A4:XFD7"/>
      <selection pane="bottomLeft" activeCell="L10" sqref="L10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521</v>
      </c>
      <c r="B1" s="175"/>
      <c r="C1" s="175"/>
      <c r="D1" s="175"/>
      <c r="E1" s="176" t="s">
        <v>0</v>
      </c>
      <c r="F1" s="177"/>
      <c r="H1" s="174" t="s">
        <v>521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F12</f>
        <v>10131.200000000001</v>
      </c>
      <c r="O4" s="4"/>
    </row>
    <row r="5" spans="1:18" s="10" customFormat="1" ht="23.25" x14ac:dyDescent="0.3">
      <c r="A5" s="26">
        <v>1</v>
      </c>
      <c r="B5" s="65" t="s">
        <v>319</v>
      </c>
      <c r="C5" s="32" t="s">
        <v>20</v>
      </c>
      <c r="D5" s="32">
        <v>30</v>
      </c>
      <c r="E5" s="57">
        <v>30</v>
      </c>
      <c r="F5" s="30">
        <f>D5*E5</f>
        <v>900</v>
      </c>
      <c r="H5" s="26">
        <v>1</v>
      </c>
      <c r="I5" s="65" t="s">
        <v>319</v>
      </c>
      <c r="J5" s="32" t="s">
        <v>20</v>
      </c>
      <c r="K5" s="115">
        <v>15</v>
      </c>
      <c r="L5" s="57">
        <v>30</v>
      </c>
      <c r="M5" s="30">
        <f>K5*L5</f>
        <v>450</v>
      </c>
      <c r="N5" s="85"/>
      <c r="O5" s="11"/>
    </row>
    <row r="6" spans="1:18" s="10" customFormat="1" ht="23.25" x14ac:dyDescent="0.3">
      <c r="A6" s="26">
        <v>2</v>
      </c>
      <c r="B6" s="31" t="s">
        <v>320</v>
      </c>
      <c r="C6" s="32" t="s">
        <v>19</v>
      </c>
      <c r="D6" s="32">
        <v>10.5</v>
      </c>
      <c r="E6" s="57">
        <v>50</v>
      </c>
      <c r="F6" s="30">
        <f t="shared" ref="F6:F11" si="0">D6*E6</f>
        <v>525</v>
      </c>
      <c r="H6" s="26">
        <v>2</v>
      </c>
      <c r="I6" s="31" t="s">
        <v>320</v>
      </c>
      <c r="J6" s="32" t="s">
        <v>19</v>
      </c>
      <c r="K6" s="32">
        <v>10.5</v>
      </c>
      <c r="L6" s="57">
        <v>50</v>
      </c>
      <c r="M6" s="30">
        <f t="shared" ref="M6:M11" si="1">K6*L6</f>
        <v>525</v>
      </c>
      <c r="N6" s="85"/>
      <c r="O6" s="11"/>
    </row>
    <row r="7" spans="1:18" s="10" customFormat="1" ht="23.25" x14ac:dyDescent="0.3">
      <c r="A7" s="26">
        <v>3</v>
      </c>
      <c r="B7" s="70" t="s">
        <v>559</v>
      </c>
      <c r="C7" s="32" t="s">
        <v>20</v>
      </c>
      <c r="D7" s="88">
        <v>149.5</v>
      </c>
      <c r="E7" s="57">
        <v>30</v>
      </c>
      <c r="F7" s="30">
        <f t="shared" si="0"/>
        <v>4485</v>
      </c>
      <c r="H7" s="26">
        <v>3</v>
      </c>
      <c r="I7" s="70" t="s">
        <v>559</v>
      </c>
      <c r="J7" s="32" t="s">
        <v>20</v>
      </c>
      <c r="K7" s="115">
        <v>31.8</v>
      </c>
      <c r="L7" s="57">
        <v>30</v>
      </c>
      <c r="M7" s="30">
        <f t="shared" si="1"/>
        <v>954</v>
      </c>
      <c r="N7" s="85"/>
      <c r="O7" s="11"/>
    </row>
    <row r="8" spans="1:18" s="10" customFormat="1" ht="23.25" x14ac:dyDescent="0.3">
      <c r="A8" s="26">
        <v>4</v>
      </c>
      <c r="B8" s="65" t="s">
        <v>555</v>
      </c>
      <c r="C8" s="32" t="s">
        <v>19</v>
      </c>
      <c r="D8" s="32">
        <v>45.2</v>
      </c>
      <c r="E8" s="57">
        <v>50</v>
      </c>
      <c r="F8" s="30">
        <f t="shared" si="0"/>
        <v>2260</v>
      </c>
      <c r="H8" s="26">
        <v>4</v>
      </c>
      <c r="I8" s="65" t="s">
        <v>555</v>
      </c>
      <c r="J8" s="32" t="s">
        <v>19</v>
      </c>
      <c r="K8" s="115">
        <v>9</v>
      </c>
      <c r="L8" s="57">
        <v>50</v>
      </c>
      <c r="M8" s="30">
        <f t="shared" si="1"/>
        <v>450</v>
      </c>
      <c r="N8" s="85"/>
      <c r="O8" s="11"/>
    </row>
    <row r="9" spans="1:18" s="10" customFormat="1" ht="23.25" x14ac:dyDescent="0.3">
      <c r="A9" s="26">
        <v>5</v>
      </c>
      <c r="B9" s="65" t="s">
        <v>346</v>
      </c>
      <c r="C9" s="32" t="s">
        <v>20</v>
      </c>
      <c r="D9" s="32">
        <v>30.1</v>
      </c>
      <c r="E9" s="57">
        <v>30</v>
      </c>
      <c r="F9" s="30">
        <f t="shared" si="0"/>
        <v>903</v>
      </c>
      <c r="H9" s="26">
        <v>5</v>
      </c>
      <c r="I9" s="65" t="s">
        <v>346</v>
      </c>
      <c r="J9" s="32" t="s">
        <v>20</v>
      </c>
      <c r="K9" s="32">
        <v>30.1</v>
      </c>
      <c r="L9" s="118">
        <v>25</v>
      </c>
      <c r="M9" s="30">
        <f t="shared" si="1"/>
        <v>752.5</v>
      </c>
      <c r="N9" s="85"/>
      <c r="O9" s="11"/>
    </row>
    <row r="10" spans="1:18" s="10" customFormat="1" ht="23.25" x14ac:dyDescent="0.3">
      <c r="A10" s="26">
        <v>6</v>
      </c>
      <c r="B10" s="31" t="s">
        <v>412</v>
      </c>
      <c r="C10" s="32" t="s">
        <v>19</v>
      </c>
      <c r="D10" s="32">
        <v>19.600000000000001</v>
      </c>
      <c r="E10" s="57">
        <v>50</v>
      </c>
      <c r="F10" s="30">
        <f t="shared" si="0"/>
        <v>980.00000000000011</v>
      </c>
      <c r="H10" s="26">
        <v>6</v>
      </c>
      <c r="I10" s="31" t="s">
        <v>412</v>
      </c>
      <c r="J10" s="32" t="s">
        <v>19</v>
      </c>
      <c r="K10" s="115">
        <v>0</v>
      </c>
      <c r="L10" s="57">
        <v>50</v>
      </c>
      <c r="M10" s="30">
        <f t="shared" si="1"/>
        <v>0</v>
      </c>
      <c r="N10" s="85"/>
      <c r="O10" s="11"/>
    </row>
    <row r="11" spans="1:18" s="10" customFormat="1" ht="23.25" x14ac:dyDescent="0.3">
      <c r="A11" s="26">
        <v>7</v>
      </c>
      <c r="B11" s="65" t="s">
        <v>122</v>
      </c>
      <c r="C11" s="32" t="s">
        <v>119</v>
      </c>
      <c r="D11" s="32">
        <v>0.17</v>
      </c>
      <c r="E11" s="57">
        <v>460</v>
      </c>
      <c r="F11" s="30">
        <f t="shared" si="0"/>
        <v>78.2</v>
      </c>
      <c r="H11" s="26">
        <v>7</v>
      </c>
      <c r="I11" s="65" t="s">
        <v>122</v>
      </c>
      <c r="J11" s="32" t="s">
        <v>119</v>
      </c>
      <c r="K11" s="32">
        <v>0.17</v>
      </c>
      <c r="L11" s="57">
        <v>460</v>
      </c>
      <c r="M11" s="30">
        <f t="shared" si="1"/>
        <v>78.2</v>
      </c>
      <c r="N11" s="85"/>
      <c r="O11" s="11"/>
    </row>
    <row r="12" spans="1:18" ht="24" thickBot="1" x14ac:dyDescent="0.3">
      <c r="A12" s="38"/>
      <c r="B12" s="39"/>
      <c r="C12" s="39"/>
      <c r="D12" s="39"/>
      <c r="E12" s="40" t="s">
        <v>16</v>
      </c>
      <c r="F12" s="35">
        <f>SUM(F5:F11)</f>
        <v>10131.200000000001</v>
      </c>
      <c r="H12" s="38"/>
      <c r="I12" s="39"/>
      <c r="J12" s="39"/>
      <c r="K12" s="39"/>
      <c r="L12" s="40" t="s">
        <v>16</v>
      </c>
      <c r="M12" s="35">
        <f>SUM(M5:M11)</f>
        <v>3209.7</v>
      </c>
    </row>
    <row r="13" spans="1:18" ht="26.25" thickBot="1" x14ac:dyDescent="0.3">
      <c r="A13" s="76"/>
      <c r="B13" s="77"/>
      <c r="C13" s="77"/>
      <c r="D13" s="77"/>
      <c r="E13" s="78" t="s">
        <v>21</v>
      </c>
      <c r="F13" s="12">
        <f>SUMIF(E1:E19977,"CƏMİ",F1:F19977)</f>
        <v>10131.200000000001</v>
      </c>
      <c r="H13" s="76"/>
      <c r="I13" s="77"/>
      <c r="J13" s="77"/>
      <c r="K13" s="77"/>
      <c r="L13" s="78" t="s">
        <v>21</v>
      </c>
      <c r="M13" s="12">
        <f>SUMIF(L1:L19977,"CƏMİ",M1:M19977)</f>
        <v>3209.7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374A-5522-4970-B856-823DBD772308}">
  <sheetPr>
    <tabColor rgb="FFFFFF00"/>
    <pageSetUpPr fitToPage="1"/>
  </sheetPr>
  <dimension ref="A1:R8"/>
  <sheetViews>
    <sheetView view="pageBreakPreview" zoomScale="55" zoomScaleNormal="55" zoomScaleSheetLayoutView="55" workbookViewId="0">
      <pane ySplit="3" topLeftCell="A4" activePane="bottomLeft" state="frozen"/>
      <selection activeCell="A4" sqref="A4:XFD7"/>
      <selection pane="bottomLeft" activeCell="D26" sqref="D26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356</v>
      </c>
      <c r="B1" s="175"/>
      <c r="C1" s="175"/>
      <c r="D1" s="175"/>
      <c r="E1" s="176" t="s">
        <v>0</v>
      </c>
      <c r="F1" s="177"/>
      <c r="H1" s="174" t="s">
        <v>356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F7</f>
        <v>2158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48.6</v>
      </c>
      <c r="E5" s="57">
        <v>30</v>
      </c>
      <c r="F5" s="30">
        <f t="shared" ref="F5:F6" si="0">D5*E5</f>
        <v>1458</v>
      </c>
      <c r="H5" s="26">
        <v>1</v>
      </c>
      <c r="I5" s="70" t="s">
        <v>559</v>
      </c>
      <c r="J5" s="32" t="s">
        <v>20</v>
      </c>
      <c r="K5" s="88">
        <v>48.6</v>
      </c>
      <c r="L5" s="57">
        <v>30</v>
      </c>
      <c r="M5" s="30">
        <f t="shared" ref="M5:M6" si="1">K5*L5</f>
        <v>1458</v>
      </c>
      <c r="N5" s="85"/>
      <c r="O5" s="11"/>
    </row>
    <row r="6" spans="1:18" s="10" customFormat="1" ht="23.25" x14ac:dyDescent="0.3">
      <c r="A6" s="26">
        <v>2</v>
      </c>
      <c r="B6" s="65" t="s">
        <v>555</v>
      </c>
      <c r="C6" s="32" t="s">
        <v>19</v>
      </c>
      <c r="D6" s="32">
        <v>14</v>
      </c>
      <c r="E6" s="57">
        <v>50</v>
      </c>
      <c r="F6" s="30">
        <f t="shared" si="0"/>
        <v>700</v>
      </c>
      <c r="H6" s="26">
        <v>2</v>
      </c>
      <c r="I6" s="65" t="s">
        <v>555</v>
      </c>
      <c r="J6" s="32" t="s">
        <v>19</v>
      </c>
      <c r="K6" s="32">
        <v>14</v>
      </c>
      <c r="L6" s="57">
        <v>50</v>
      </c>
      <c r="M6" s="30">
        <f t="shared" si="1"/>
        <v>700</v>
      </c>
      <c r="N6" s="85"/>
      <c r="O6" s="11"/>
    </row>
    <row r="7" spans="1:18" ht="24" thickBot="1" x14ac:dyDescent="0.3">
      <c r="A7" s="38"/>
      <c r="B7" s="39"/>
      <c r="C7" s="39"/>
      <c r="D7" s="39"/>
      <c r="E7" s="40" t="s">
        <v>16</v>
      </c>
      <c r="F7" s="35">
        <f>SUM(F5:F6)</f>
        <v>2158</v>
      </c>
      <c r="H7" s="38"/>
      <c r="I7" s="39"/>
      <c r="J7" s="39"/>
      <c r="K7" s="39"/>
      <c r="L7" s="40" t="s">
        <v>16</v>
      </c>
      <c r="M7" s="35">
        <f>SUM(M5:M6)</f>
        <v>2158</v>
      </c>
    </row>
    <row r="8" spans="1:18" ht="26.25" thickBot="1" x14ac:dyDescent="0.3">
      <c r="A8" s="76"/>
      <c r="B8" s="77"/>
      <c r="C8" s="77"/>
      <c r="D8" s="77"/>
      <c r="E8" s="78" t="s">
        <v>21</v>
      </c>
      <c r="F8" s="12">
        <f>SUMIF(E1:E19974,"CƏMİ",F1:F19974)</f>
        <v>2158</v>
      </c>
      <c r="H8" s="76"/>
      <c r="I8" s="77"/>
      <c r="J8" s="77"/>
      <c r="K8" s="77"/>
      <c r="L8" s="78" t="s">
        <v>21</v>
      </c>
      <c r="M8" s="12">
        <f>SUMIF(L1:L19974,"CƏMİ",M1:M19974)</f>
        <v>2158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F37E-5581-4FDE-8137-8B1E0483B4FF}">
  <sheetPr>
    <tabColor rgb="FFFFFF00"/>
    <pageSetUpPr fitToPage="1"/>
  </sheetPr>
  <dimension ref="A1:R16"/>
  <sheetViews>
    <sheetView view="pageBreakPreview" zoomScale="55" zoomScaleNormal="55" zoomScaleSheetLayoutView="55" workbookViewId="0">
      <pane ySplit="3" topLeftCell="A4" activePane="bottomLeft" state="frozen"/>
      <selection activeCell="A4" sqref="A4:XFD7"/>
      <selection pane="bottomLeft" activeCell="L12" sqref="L12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499</v>
      </c>
      <c r="B1" s="175"/>
      <c r="C1" s="175"/>
      <c r="D1" s="175"/>
      <c r="E1" s="176" t="s">
        <v>0</v>
      </c>
      <c r="F1" s="177"/>
      <c r="H1" s="174" t="s">
        <v>499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F15</f>
        <v>10062.799999999999</v>
      </c>
      <c r="O4" s="4"/>
    </row>
    <row r="5" spans="1:18" s="10" customFormat="1" ht="23.25" x14ac:dyDescent="0.3">
      <c r="A5" s="26">
        <v>1</v>
      </c>
      <c r="B5" s="65" t="s">
        <v>297</v>
      </c>
      <c r="C5" s="32" t="s">
        <v>20</v>
      </c>
      <c r="D5" s="32">
        <v>25.2</v>
      </c>
      <c r="E5" s="57">
        <v>30</v>
      </c>
      <c r="F5" s="30">
        <f>D5*E5</f>
        <v>756</v>
      </c>
      <c r="H5" s="26">
        <v>1</v>
      </c>
      <c r="I5" s="65" t="s">
        <v>297</v>
      </c>
      <c r="J5" s="32" t="s">
        <v>20</v>
      </c>
      <c r="K5" s="115">
        <v>12.6</v>
      </c>
      <c r="L5" s="57">
        <v>30</v>
      </c>
      <c r="M5" s="30">
        <f>K5*L5</f>
        <v>378</v>
      </c>
      <c r="N5" s="85"/>
      <c r="O5" s="11"/>
    </row>
    <row r="6" spans="1:18" s="10" customFormat="1" ht="23.25" x14ac:dyDescent="0.3">
      <c r="A6" s="26">
        <v>2</v>
      </c>
      <c r="B6" s="31" t="s">
        <v>354</v>
      </c>
      <c r="C6" s="32" t="s">
        <v>19</v>
      </c>
      <c r="D6" s="32">
        <v>18.899999999999999</v>
      </c>
      <c r="E6" s="57">
        <v>50</v>
      </c>
      <c r="F6" s="30">
        <f t="shared" ref="F6:F14" si="0">D6*E6</f>
        <v>944.99999999999989</v>
      </c>
      <c r="H6" s="26">
        <v>2</v>
      </c>
      <c r="I6" s="31" t="s">
        <v>354</v>
      </c>
      <c r="J6" s="32" t="s">
        <v>19</v>
      </c>
      <c r="K6" s="32">
        <v>18.899999999999999</v>
      </c>
      <c r="L6" s="57">
        <v>50</v>
      </c>
      <c r="M6" s="30">
        <f t="shared" ref="M6:M14" si="1">K6*L6</f>
        <v>944.99999999999989</v>
      </c>
      <c r="N6" s="85"/>
      <c r="O6" s="11"/>
    </row>
    <row r="7" spans="1:18" s="10" customFormat="1" ht="23.25" x14ac:dyDescent="0.3">
      <c r="A7" s="26">
        <v>3</v>
      </c>
      <c r="B7" s="65" t="s">
        <v>319</v>
      </c>
      <c r="C7" s="32" t="s">
        <v>20</v>
      </c>
      <c r="D7" s="32">
        <v>26.4</v>
      </c>
      <c r="E7" s="57">
        <v>30</v>
      </c>
      <c r="F7" s="30">
        <f t="shared" si="0"/>
        <v>792</v>
      </c>
      <c r="H7" s="26">
        <v>3</v>
      </c>
      <c r="I7" s="65" t="s">
        <v>319</v>
      </c>
      <c r="J7" s="32" t="s">
        <v>20</v>
      </c>
      <c r="K7" s="115">
        <v>13.2</v>
      </c>
      <c r="L7" s="57">
        <v>30</v>
      </c>
      <c r="M7" s="30">
        <f t="shared" si="1"/>
        <v>396</v>
      </c>
      <c r="N7" s="85"/>
      <c r="O7" s="11"/>
    </row>
    <row r="8" spans="1:18" s="10" customFormat="1" ht="23.25" x14ac:dyDescent="0.3">
      <c r="A8" s="26">
        <v>4</v>
      </c>
      <c r="B8" s="31" t="s">
        <v>320</v>
      </c>
      <c r="C8" s="32" t="s">
        <v>19</v>
      </c>
      <c r="D8" s="32">
        <v>9.5</v>
      </c>
      <c r="E8" s="57">
        <v>50</v>
      </c>
      <c r="F8" s="30">
        <f t="shared" si="0"/>
        <v>475</v>
      </c>
      <c r="H8" s="26">
        <v>4</v>
      </c>
      <c r="I8" s="31" t="s">
        <v>320</v>
      </c>
      <c r="J8" s="32" t="s">
        <v>19</v>
      </c>
      <c r="K8" s="32">
        <v>9.5</v>
      </c>
      <c r="L8" s="57">
        <v>50</v>
      </c>
      <c r="M8" s="30">
        <f t="shared" si="1"/>
        <v>475</v>
      </c>
      <c r="N8" s="85"/>
      <c r="O8" s="11"/>
    </row>
    <row r="9" spans="1:18" s="10" customFormat="1" ht="23.25" x14ac:dyDescent="0.3">
      <c r="A9" s="26">
        <v>5</v>
      </c>
      <c r="B9" s="70" t="s">
        <v>559</v>
      </c>
      <c r="C9" s="32" t="s">
        <v>20</v>
      </c>
      <c r="D9" s="88">
        <v>41.8</v>
      </c>
      <c r="E9" s="57">
        <v>30</v>
      </c>
      <c r="F9" s="30">
        <f t="shared" si="0"/>
        <v>1254</v>
      </c>
      <c r="H9" s="26">
        <v>5</v>
      </c>
      <c r="I9" s="70" t="s">
        <v>559</v>
      </c>
      <c r="J9" s="32" t="s">
        <v>20</v>
      </c>
      <c r="K9" s="88">
        <v>41.8</v>
      </c>
      <c r="L9" s="57">
        <v>30</v>
      </c>
      <c r="M9" s="30">
        <f t="shared" si="1"/>
        <v>1254</v>
      </c>
      <c r="N9" s="85"/>
      <c r="O9" s="11"/>
    </row>
    <row r="10" spans="1:18" s="10" customFormat="1" ht="23.25" x14ac:dyDescent="0.3">
      <c r="A10" s="26">
        <v>6</v>
      </c>
      <c r="B10" s="65" t="s">
        <v>555</v>
      </c>
      <c r="C10" s="32" t="s">
        <v>19</v>
      </c>
      <c r="D10" s="32">
        <v>13</v>
      </c>
      <c r="E10" s="57">
        <v>50</v>
      </c>
      <c r="F10" s="30">
        <f t="shared" si="0"/>
        <v>650</v>
      </c>
      <c r="H10" s="26">
        <v>6</v>
      </c>
      <c r="I10" s="65" t="s">
        <v>555</v>
      </c>
      <c r="J10" s="32" t="s">
        <v>19</v>
      </c>
      <c r="K10" s="32">
        <v>13</v>
      </c>
      <c r="L10" s="57">
        <v>50</v>
      </c>
      <c r="M10" s="30">
        <f t="shared" si="1"/>
        <v>650</v>
      </c>
      <c r="N10" s="85"/>
      <c r="O10" s="11"/>
    </row>
    <row r="11" spans="1:18" s="10" customFormat="1" ht="23.25" x14ac:dyDescent="0.3">
      <c r="A11" s="26">
        <v>7</v>
      </c>
      <c r="B11" s="65" t="s">
        <v>346</v>
      </c>
      <c r="C11" s="32" t="s">
        <v>20</v>
      </c>
      <c r="D11" s="32">
        <v>51</v>
      </c>
      <c r="E11" s="57">
        <v>30</v>
      </c>
      <c r="F11" s="30">
        <f t="shared" si="0"/>
        <v>1530</v>
      </c>
      <c r="H11" s="26">
        <v>7</v>
      </c>
      <c r="I11" s="65" t="s">
        <v>346</v>
      </c>
      <c r="J11" s="32" t="s">
        <v>20</v>
      </c>
      <c r="K11" s="32">
        <v>51</v>
      </c>
      <c r="L11" s="118">
        <v>25</v>
      </c>
      <c r="M11" s="30">
        <f t="shared" si="1"/>
        <v>1275</v>
      </c>
      <c r="N11" s="85"/>
      <c r="O11" s="11"/>
    </row>
    <row r="12" spans="1:18" s="10" customFormat="1" ht="23.25" x14ac:dyDescent="0.3">
      <c r="A12" s="26">
        <v>8</v>
      </c>
      <c r="B12" s="31" t="s">
        <v>412</v>
      </c>
      <c r="C12" s="32" t="s">
        <v>19</v>
      </c>
      <c r="D12" s="32">
        <v>33.6</v>
      </c>
      <c r="E12" s="57">
        <v>50</v>
      </c>
      <c r="F12" s="30">
        <f t="shared" si="0"/>
        <v>1680</v>
      </c>
      <c r="H12" s="26">
        <v>8</v>
      </c>
      <c r="I12" s="31" t="s">
        <v>412</v>
      </c>
      <c r="J12" s="32" t="s">
        <v>19</v>
      </c>
      <c r="K12" s="115">
        <v>0</v>
      </c>
      <c r="L12" s="57">
        <v>50</v>
      </c>
      <c r="M12" s="30">
        <f t="shared" si="1"/>
        <v>0</v>
      </c>
      <c r="N12" s="85"/>
      <c r="O12" s="11"/>
    </row>
    <row r="13" spans="1:18" s="10" customFormat="1" ht="23.25" x14ac:dyDescent="0.3">
      <c r="A13" s="26">
        <v>9</v>
      </c>
      <c r="B13" s="31" t="s">
        <v>589</v>
      </c>
      <c r="C13" s="32" t="s">
        <v>19</v>
      </c>
      <c r="D13" s="32">
        <v>22</v>
      </c>
      <c r="E13" s="57">
        <v>80</v>
      </c>
      <c r="F13" s="30">
        <f t="shared" si="0"/>
        <v>1760</v>
      </c>
      <c r="H13" s="26">
        <v>9</v>
      </c>
      <c r="I13" s="31" t="s">
        <v>589</v>
      </c>
      <c r="J13" s="32" t="s">
        <v>19</v>
      </c>
      <c r="K13" s="32">
        <v>22</v>
      </c>
      <c r="L13" s="57">
        <v>80</v>
      </c>
      <c r="M13" s="30">
        <f t="shared" si="1"/>
        <v>1760</v>
      </c>
      <c r="N13" s="85"/>
      <c r="O13" s="11"/>
    </row>
    <row r="14" spans="1:18" s="10" customFormat="1" ht="23.25" x14ac:dyDescent="0.3">
      <c r="A14" s="26">
        <v>10</v>
      </c>
      <c r="B14" s="65" t="s">
        <v>122</v>
      </c>
      <c r="C14" s="32" t="s">
        <v>119</v>
      </c>
      <c r="D14" s="32">
        <v>0.48</v>
      </c>
      <c r="E14" s="57">
        <v>460</v>
      </c>
      <c r="F14" s="30">
        <f t="shared" si="0"/>
        <v>220.79999999999998</v>
      </c>
      <c r="H14" s="26">
        <v>10</v>
      </c>
      <c r="I14" s="65" t="s">
        <v>122</v>
      </c>
      <c r="J14" s="32" t="s">
        <v>119</v>
      </c>
      <c r="K14" s="32">
        <v>0.48</v>
      </c>
      <c r="L14" s="57">
        <v>460</v>
      </c>
      <c r="M14" s="30">
        <f t="shared" si="1"/>
        <v>220.79999999999998</v>
      </c>
      <c r="N14" s="85"/>
      <c r="O14" s="11"/>
    </row>
    <row r="15" spans="1:18" ht="24" thickBot="1" x14ac:dyDescent="0.3">
      <c r="A15" s="38"/>
      <c r="B15" s="39"/>
      <c r="C15" s="39"/>
      <c r="D15" s="39"/>
      <c r="E15" s="40" t="s">
        <v>16</v>
      </c>
      <c r="F15" s="35">
        <f>SUM(F5:F14)</f>
        <v>10062.799999999999</v>
      </c>
      <c r="H15" s="38"/>
      <c r="I15" s="39"/>
      <c r="J15" s="39"/>
      <c r="K15" s="39"/>
      <c r="L15" s="40" t="s">
        <v>16</v>
      </c>
      <c r="M15" s="35">
        <f>SUM(M5:M14)</f>
        <v>7353.8</v>
      </c>
    </row>
    <row r="16" spans="1:18" ht="26.25" thickBot="1" x14ac:dyDescent="0.3">
      <c r="A16" s="76"/>
      <c r="B16" s="77"/>
      <c r="C16" s="77"/>
      <c r="D16" s="77"/>
      <c r="E16" s="78" t="s">
        <v>21</v>
      </c>
      <c r="F16" s="12">
        <f>SUMIF(E1:E19977,"CƏMİ",F1:F19977)</f>
        <v>10062.799999999999</v>
      </c>
      <c r="H16" s="76"/>
      <c r="I16" s="77"/>
      <c r="J16" s="77"/>
      <c r="K16" s="77"/>
      <c r="L16" s="78" t="s">
        <v>21</v>
      </c>
      <c r="M16" s="12">
        <f>SUMIF(L1:L19977,"CƏMİ",M1:M19977)</f>
        <v>7353.8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70C6-FE41-4F53-A9B3-25401FDB93D3}">
  <sheetPr>
    <tabColor rgb="FFFFFF00"/>
    <pageSetUpPr fitToPage="1"/>
  </sheetPr>
  <dimension ref="A1:R13"/>
  <sheetViews>
    <sheetView view="pageBreakPreview" zoomScale="55" zoomScaleNormal="55" zoomScaleSheetLayoutView="55" workbookViewId="0">
      <pane ySplit="3" topLeftCell="A4" activePane="bottomLeft" state="frozen"/>
      <selection activeCell="A4" sqref="A4:XFD7"/>
      <selection pane="bottomLeft" activeCell="L8" sqref="L8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422</v>
      </c>
      <c r="B1" s="175"/>
      <c r="C1" s="175"/>
      <c r="D1" s="175"/>
      <c r="E1" s="176" t="s">
        <v>0</v>
      </c>
      <c r="F1" s="177"/>
      <c r="H1" s="174" t="s">
        <v>422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F12</f>
        <v>5676</v>
      </c>
      <c r="O4" s="4"/>
    </row>
    <row r="5" spans="1:18" s="10" customFormat="1" ht="23.25" x14ac:dyDescent="0.3">
      <c r="A5" s="26">
        <v>1</v>
      </c>
      <c r="B5" s="65" t="s">
        <v>319</v>
      </c>
      <c r="C5" s="32" t="s">
        <v>20</v>
      </c>
      <c r="D5" s="32">
        <v>24</v>
      </c>
      <c r="E5" s="57">
        <v>30</v>
      </c>
      <c r="F5" s="30">
        <f>D5*E5</f>
        <v>720</v>
      </c>
      <c r="H5" s="26">
        <v>1</v>
      </c>
      <c r="I5" s="65" t="s">
        <v>319</v>
      </c>
      <c r="J5" s="32" t="s">
        <v>20</v>
      </c>
      <c r="K5" s="115">
        <v>12</v>
      </c>
      <c r="L5" s="57">
        <v>30</v>
      </c>
      <c r="M5" s="30">
        <f>K5*L5</f>
        <v>360</v>
      </c>
      <c r="N5" s="85"/>
      <c r="O5" s="11"/>
    </row>
    <row r="6" spans="1:18" s="10" customFormat="1" ht="23.25" x14ac:dyDescent="0.3">
      <c r="A6" s="26">
        <v>2</v>
      </c>
      <c r="B6" s="31" t="s">
        <v>320</v>
      </c>
      <c r="C6" s="32" t="s">
        <v>19</v>
      </c>
      <c r="D6" s="32">
        <v>8</v>
      </c>
      <c r="E6" s="57">
        <v>50</v>
      </c>
      <c r="F6" s="30">
        <f t="shared" ref="F6:F11" si="0">D6*E6</f>
        <v>400</v>
      </c>
      <c r="H6" s="26">
        <v>2</v>
      </c>
      <c r="I6" s="31" t="s">
        <v>320</v>
      </c>
      <c r="J6" s="32" t="s">
        <v>19</v>
      </c>
      <c r="K6" s="32">
        <v>8</v>
      </c>
      <c r="L6" s="57">
        <v>50</v>
      </c>
      <c r="M6" s="30">
        <f t="shared" ref="M6:M11" si="1">K6*L6</f>
        <v>400</v>
      </c>
      <c r="N6" s="85"/>
      <c r="O6" s="11"/>
    </row>
    <row r="7" spans="1:18" s="10" customFormat="1" ht="23.25" x14ac:dyDescent="0.3">
      <c r="A7" s="26">
        <v>3</v>
      </c>
      <c r="B7" s="65" t="s">
        <v>346</v>
      </c>
      <c r="C7" s="32" t="s">
        <v>20</v>
      </c>
      <c r="D7" s="32">
        <v>43.4</v>
      </c>
      <c r="E7" s="57">
        <v>30</v>
      </c>
      <c r="F7" s="30">
        <f t="shared" si="0"/>
        <v>1302</v>
      </c>
      <c r="H7" s="26">
        <v>3</v>
      </c>
      <c r="I7" s="65" t="s">
        <v>346</v>
      </c>
      <c r="J7" s="32" t="s">
        <v>20</v>
      </c>
      <c r="K7" s="32">
        <v>43.4</v>
      </c>
      <c r="L7" s="118">
        <v>25</v>
      </c>
      <c r="M7" s="30">
        <f t="shared" si="1"/>
        <v>1085</v>
      </c>
      <c r="N7" s="85"/>
      <c r="O7" s="11"/>
    </row>
    <row r="8" spans="1:18" s="10" customFormat="1" ht="23.25" x14ac:dyDescent="0.3">
      <c r="A8" s="26">
        <v>4</v>
      </c>
      <c r="B8" s="31" t="s">
        <v>412</v>
      </c>
      <c r="C8" s="32" t="s">
        <v>19</v>
      </c>
      <c r="D8" s="32">
        <v>28.4</v>
      </c>
      <c r="E8" s="57">
        <v>50</v>
      </c>
      <c r="F8" s="30">
        <f t="shared" si="0"/>
        <v>1420</v>
      </c>
      <c r="H8" s="26">
        <v>4</v>
      </c>
      <c r="I8" s="31" t="s">
        <v>412</v>
      </c>
      <c r="J8" s="32" t="s">
        <v>19</v>
      </c>
      <c r="K8" s="115">
        <v>0</v>
      </c>
      <c r="L8" s="57">
        <v>50</v>
      </c>
      <c r="M8" s="30">
        <f t="shared" si="1"/>
        <v>0</v>
      </c>
      <c r="N8" s="85"/>
      <c r="O8" s="11"/>
    </row>
    <row r="9" spans="1:18" s="10" customFormat="1" ht="23.25" x14ac:dyDescent="0.3">
      <c r="A9" s="26">
        <v>5</v>
      </c>
      <c r="B9" s="70" t="s">
        <v>559</v>
      </c>
      <c r="C9" s="32" t="s">
        <v>20</v>
      </c>
      <c r="D9" s="88">
        <v>33.200000000000003</v>
      </c>
      <c r="E9" s="57">
        <v>30</v>
      </c>
      <c r="F9" s="30">
        <f t="shared" si="0"/>
        <v>996.00000000000011</v>
      </c>
      <c r="H9" s="26">
        <v>5</v>
      </c>
      <c r="I9" s="70" t="s">
        <v>559</v>
      </c>
      <c r="J9" s="32" t="s">
        <v>20</v>
      </c>
      <c r="K9" s="88">
        <v>33.200000000000003</v>
      </c>
      <c r="L9" s="57">
        <v>30</v>
      </c>
      <c r="M9" s="30">
        <f t="shared" si="1"/>
        <v>996.00000000000011</v>
      </c>
      <c r="N9" s="85"/>
      <c r="O9" s="11"/>
    </row>
    <row r="10" spans="1:18" s="10" customFormat="1" ht="23.25" x14ac:dyDescent="0.3">
      <c r="A10" s="26">
        <v>6</v>
      </c>
      <c r="B10" s="65" t="s">
        <v>556</v>
      </c>
      <c r="C10" s="32" t="s">
        <v>19</v>
      </c>
      <c r="D10" s="32">
        <v>9.4</v>
      </c>
      <c r="E10" s="57">
        <v>50</v>
      </c>
      <c r="F10" s="30">
        <f t="shared" si="0"/>
        <v>470</v>
      </c>
      <c r="H10" s="26">
        <v>6</v>
      </c>
      <c r="I10" s="65" t="s">
        <v>556</v>
      </c>
      <c r="J10" s="32" t="s">
        <v>19</v>
      </c>
      <c r="K10" s="32">
        <v>9.4</v>
      </c>
      <c r="L10" s="57">
        <v>50</v>
      </c>
      <c r="M10" s="30">
        <f t="shared" si="1"/>
        <v>470</v>
      </c>
      <c r="N10" s="85"/>
      <c r="O10" s="11"/>
    </row>
    <row r="11" spans="1:18" s="10" customFormat="1" ht="23.25" x14ac:dyDescent="0.3">
      <c r="A11" s="26">
        <v>7</v>
      </c>
      <c r="B11" s="65" t="s">
        <v>122</v>
      </c>
      <c r="C11" s="32" t="s">
        <v>119</v>
      </c>
      <c r="D11" s="32">
        <v>0.8</v>
      </c>
      <c r="E11" s="57">
        <v>460</v>
      </c>
      <c r="F11" s="30">
        <f t="shared" si="0"/>
        <v>368</v>
      </c>
      <c r="H11" s="26">
        <v>7</v>
      </c>
      <c r="I11" s="65" t="s">
        <v>122</v>
      </c>
      <c r="J11" s="32" t="s">
        <v>119</v>
      </c>
      <c r="K11" s="32">
        <v>0.8</v>
      </c>
      <c r="L11" s="57">
        <v>460</v>
      </c>
      <c r="M11" s="30">
        <f t="shared" si="1"/>
        <v>368</v>
      </c>
      <c r="N11" s="85"/>
      <c r="O11" s="11"/>
    </row>
    <row r="12" spans="1:18" ht="24" thickBot="1" x14ac:dyDescent="0.3">
      <c r="A12" s="38"/>
      <c r="B12" s="39"/>
      <c r="C12" s="39"/>
      <c r="D12" s="39"/>
      <c r="E12" s="40" t="s">
        <v>16</v>
      </c>
      <c r="F12" s="35">
        <f>SUM(F5:F11)</f>
        <v>5676</v>
      </c>
      <c r="H12" s="38"/>
      <c r="I12" s="39"/>
      <c r="J12" s="39"/>
      <c r="K12" s="39"/>
      <c r="L12" s="40" t="s">
        <v>16</v>
      </c>
      <c r="M12" s="35">
        <f>SUM(M5:M11)</f>
        <v>3679</v>
      </c>
    </row>
    <row r="13" spans="1:18" ht="26.25" thickBot="1" x14ac:dyDescent="0.3">
      <c r="A13" s="76"/>
      <c r="B13" s="77"/>
      <c r="C13" s="77"/>
      <c r="D13" s="77"/>
      <c r="E13" s="78" t="s">
        <v>21</v>
      </c>
      <c r="F13" s="12">
        <f>SUMIF(E1:E19977,"CƏMİ",F1:F19977)</f>
        <v>5676</v>
      </c>
      <c r="H13" s="76"/>
      <c r="I13" s="77"/>
      <c r="J13" s="77"/>
      <c r="K13" s="77"/>
      <c r="L13" s="78" t="s">
        <v>21</v>
      </c>
      <c r="M13" s="12">
        <f>SUMIF(L1:L19977,"CƏMİ",M1:M19977)</f>
        <v>3679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D6E8-1D1A-471D-BEEE-C4F758900243}">
  <sheetPr>
    <tabColor rgb="FFFFFF00"/>
    <pageSetUpPr fitToPage="1"/>
  </sheetPr>
  <dimension ref="A1:R14"/>
  <sheetViews>
    <sheetView view="pageBreakPreview" zoomScale="55" zoomScaleNormal="55" zoomScaleSheetLayoutView="55" workbookViewId="0">
      <pane ySplit="3" topLeftCell="A4" activePane="bottomLeft" state="frozen"/>
      <selection activeCell="A4" sqref="A4:XFD7"/>
      <selection pane="bottomLeft" activeCell="K10" sqref="K10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409</v>
      </c>
      <c r="B1" s="175"/>
      <c r="C1" s="175"/>
      <c r="D1" s="175"/>
      <c r="E1" s="176" t="s">
        <v>0</v>
      </c>
      <c r="F1" s="177"/>
      <c r="H1" s="174" t="s">
        <v>409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F13</f>
        <v>4305.8999999999996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26.5</v>
      </c>
      <c r="E5" s="57">
        <v>30</v>
      </c>
      <c r="F5" s="30">
        <f>D5*E5</f>
        <v>795</v>
      </c>
      <c r="H5" s="26">
        <v>1</v>
      </c>
      <c r="I5" s="70" t="s">
        <v>559</v>
      </c>
      <c r="J5" s="32" t="s">
        <v>20</v>
      </c>
      <c r="K5" s="88">
        <v>26.5</v>
      </c>
      <c r="L5" s="57">
        <v>30</v>
      </c>
      <c r="M5" s="30">
        <f>K5*L5</f>
        <v>795</v>
      </c>
      <c r="N5" s="85"/>
      <c r="O5" s="11"/>
    </row>
    <row r="6" spans="1:18" s="10" customFormat="1" ht="23.25" x14ac:dyDescent="0.3">
      <c r="A6" s="26">
        <v>2</v>
      </c>
      <c r="B6" s="65" t="s">
        <v>556</v>
      </c>
      <c r="C6" s="32" t="s">
        <v>19</v>
      </c>
      <c r="D6" s="32">
        <v>8.65</v>
      </c>
      <c r="E6" s="57">
        <v>50</v>
      </c>
      <c r="F6" s="30">
        <f t="shared" ref="F6:F12" si="0">D6*E6</f>
        <v>432.5</v>
      </c>
      <c r="H6" s="26">
        <v>2</v>
      </c>
      <c r="I6" s="65" t="s">
        <v>556</v>
      </c>
      <c r="J6" s="32" t="s">
        <v>19</v>
      </c>
      <c r="K6" s="32">
        <v>8.65</v>
      </c>
      <c r="L6" s="57">
        <v>50</v>
      </c>
      <c r="M6" s="30">
        <f t="shared" ref="M6:M12" si="1">K6*L6</f>
        <v>432.5</v>
      </c>
      <c r="N6" s="85"/>
      <c r="O6" s="11"/>
    </row>
    <row r="7" spans="1:18" s="10" customFormat="1" ht="23.25" x14ac:dyDescent="0.3">
      <c r="A7" s="26">
        <v>3</v>
      </c>
      <c r="B7" s="65" t="s">
        <v>319</v>
      </c>
      <c r="C7" s="32" t="s">
        <v>20</v>
      </c>
      <c r="D7" s="32">
        <v>28.8</v>
      </c>
      <c r="E7" s="57">
        <v>30</v>
      </c>
      <c r="F7" s="30">
        <f t="shared" si="0"/>
        <v>864</v>
      </c>
      <c r="H7" s="26">
        <v>3</v>
      </c>
      <c r="I7" s="65" t="s">
        <v>319</v>
      </c>
      <c r="J7" s="32" t="s">
        <v>20</v>
      </c>
      <c r="K7" s="115">
        <v>14.4</v>
      </c>
      <c r="L7" s="57">
        <v>30</v>
      </c>
      <c r="M7" s="30">
        <f t="shared" si="1"/>
        <v>432</v>
      </c>
      <c r="N7" s="85"/>
      <c r="O7" s="11"/>
    </row>
    <row r="8" spans="1:18" s="10" customFormat="1" ht="23.25" x14ac:dyDescent="0.3">
      <c r="A8" s="26">
        <v>4</v>
      </c>
      <c r="B8" s="31" t="s">
        <v>320</v>
      </c>
      <c r="C8" s="32" t="s">
        <v>19</v>
      </c>
      <c r="D8" s="32">
        <v>10.3</v>
      </c>
      <c r="E8" s="57">
        <v>50</v>
      </c>
      <c r="F8" s="30">
        <f t="shared" si="0"/>
        <v>515</v>
      </c>
      <c r="H8" s="26">
        <v>4</v>
      </c>
      <c r="I8" s="31" t="s">
        <v>320</v>
      </c>
      <c r="J8" s="32" t="s">
        <v>19</v>
      </c>
      <c r="K8" s="32">
        <v>10.3</v>
      </c>
      <c r="L8" s="57">
        <v>50</v>
      </c>
      <c r="M8" s="30">
        <f t="shared" si="1"/>
        <v>515</v>
      </c>
      <c r="N8" s="85"/>
      <c r="O8" s="11"/>
    </row>
    <row r="9" spans="1:18" s="10" customFormat="1" ht="23.25" x14ac:dyDescent="0.3">
      <c r="A9" s="26">
        <v>5</v>
      </c>
      <c r="B9" s="65" t="s">
        <v>297</v>
      </c>
      <c r="C9" s="32" t="s">
        <v>20</v>
      </c>
      <c r="D9" s="32">
        <v>10.199999999999999</v>
      </c>
      <c r="E9" s="57">
        <v>30</v>
      </c>
      <c r="F9" s="30">
        <f t="shared" si="0"/>
        <v>306</v>
      </c>
      <c r="H9" s="26">
        <v>5</v>
      </c>
      <c r="I9" s="65" t="s">
        <v>297</v>
      </c>
      <c r="J9" s="32" t="s">
        <v>20</v>
      </c>
      <c r="K9" s="115">
        <v>5.0999999999999996</v>
      </c>
      <c r="L9" s="57">
        <v>30</v>
      </c>
      <c r="M9" s="30">
        <f t="shared" si="1"/>
        <v>153</v>
      </c>
      <c r="N9" s="85"/>
      <c r="O9" s="11"/>
    </row>
    <row r="10" spans="1:18" s="10" customFormat="1" ht="23.25" x14ac:dyDescent="0.3">
      <c r="A10" s="26">
        <v>6</v>
      </c>
      <c r="B10" s="31" t="s">
        <v>354</v>
      </c>
      <c r="C10" s="32" t="s">
        <v>19</v>
      </c>
      <c r="D10" s="32">
        <v>5.6</v>
      </c>
      <c r="E10" s="57">
        <v>50</v>
      </c>
      <c r="F10" s="30">
        <f t="shared" si="0"/>
        <v>280</v>
      </c>
      <c r="H10" s="26">
        <v>6</v>
      </c>
      <c r="I10" s="31" t="s">
        <v>354</v>
      </c>
      <c r="J10" s="32" t="s">
        <v>19</v>
      </c>
      <c r="K10" s="32">
        <v>5.6</v>
      </c>
      <c r="L10" s="57">
        <v>50</v>
      </c>
      <c r="M10" s="30">
        <f t="shared" si="1"/>
        <v>280</v>
      </c>
      <c r="N10" s="85"/>
      <c r="O10" s="11"/>
    </row>
    <row r="11" spans="1:18" s="10" customFormat="1" ht="23.25" x14ac:dyDescent="0.3">
      <c r="A11" s="26">
        <v>7</v>
      </c>
      <c r="B11" s="31" t="s">
        <v>590</v>
      </c>
      <c r="C11" s="32" t="s">
        <v>19</v>
      </c>
      <c r="D11" s="32">
        <v>13.4</v>
      </c>
      <c r="E11" s="57">
        <v>80</v>
      </c>
      <c r="F11" s="30">
        <f t="shared" si="0"/>
        <v>1072</v>
      </c>
      <c r="H11" s="26">
        <v>7</v>
      </c>
      <c r="I11" s="31" t="s">
        <v>590</v>
      </c>
      <c r="J11" s="32" t="s">
        <v>19</v>
      </c>
      <c r="K11" s="32">
        <v>13.4</v>
      </c>
      <c r="L11" s="57">
        <v>80</v>
      </c>
      <c r="M11" s="30">
        <f t="shared" si="1"/>
        <v>1072</v>
      </c>
      <c r="N11" s="85"/>
      <c r="O11" s="11"/>
    </row>
    <row r="12" spans="1:18" s="10" customFormat="1" ht="23.25" x14ac:dyDescent="0.3">
      <c r="A12" s="26">
        <v>8</v>
      </c>
      <c r="B12" s="65" t="s">
        <v>122</v>
      </c>
      <c r="C12" s="32" t="s">
        <v>119</v>
      </c>
      <c r="D12" s="32">
        <v>0.09</v>
      </c>
      <c r="E12" s="57">
        <v>460</v>
      </c>
      <c r="F12" s="30">
        <f t="shared" si="0"/>
        <v>41.4</v>
      </c>
      <c r="H12" s="26">
        <v>8</v>
      </c>
      <c r="I12" s="65" t="s">
        <v>122</v>
      </c>
      <c r="J12" s="32" t="s">
        <v>119</v>
      </c>
      <c r="K12" s="32">
        <v>0.09</v>
      </c>
      <c r="L12" s="57">
        <v>460</v>
      </c>
      <c r="M12" s="30">
        <f t="shared" si="1"/>
        <v>41.4</v>
      </c>
      <c r="N12" s="85"/>
      <c r="O12" s="11"/>
    </row>
    <row r="13" spans="1:18" ht="24" thickBot="1" x14ac:dyDescent="0.3">
      <c r="A13" s="38"/>
      <c r="B13" s="39"/>
      <c r="C13" s="39"/>
      <c r="D13" s="39"/>
      <c r="E13" s="40" t="s">
        <v>16</v>
      </c>
      <c r="F13" s="35">
        <f>SUM(F5:F12)</f>
        <v>4305.8999999999996</v>
      </c>
      <c r="H13" s="38"/>
      <c r="I13" s="39"/>
      <c r="J13" s="39"/>
      <c r="K13" s="39"/>
      <c r="L13" s="40" t="s">
        <v>16</v>
      </c>
      <c r="M13" s="35">
        <f>SUM(M5:M12)</f>
        <v>3720.9</v>
      </c>
    </row>
    <row r="14" spans="1:18" ht="26.25" thickBot="1" x14ac:dyDescent="0.3">
      <c r="A14" s="76"/>
      <c r="B14" s="77"/>
      <c r="C14" s="77"/>
      <c r="D14" s="77"/>
      <c r="E14" s="78" t="s">
        <v>21</v>
      </c>
      <c r="F14" s="12">
        <f>SUMIF(E1:E19977,"CƏMİ",F1:F19977)</f>
        <v>4305.8999999999996</v>
      </c>
      <c r="H14" s="76"/>
      <c r="I14" s="77"/>
      <c r="J14" s="77"/>
      <c r="K14" s="77"/>
      <c r="L14" s="78" t="s">
        <v>21</v>
      </c>
      <c r="M14" s="12">
        <f>SUMIF(L1:L19977,"CƏMİ",M1:M19977)</f>
        <v>3720.9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001D-F610-4261-8DA7-65CB5E5B30EF}">
  <sheetPr>
    <tabColor rgb="FFFFFF00"/>
    <pageSetUpPr fitToPage="1"/>
  </sheetPr>
  <dimension ref="A1:R13"/>
  <sheetViews>
    <sheetView view="pageBreakPreview" zoomScale="55" zoomScaleNormal="55" zoomScaleSheetLayoutView="55" workbookViewId="0">
      <pane ySplit="3" topLeftCell="A4" activePane="bottomLeft" state="frozen"/>
      <selection activeCell="A4" sqref="A4:XFD7"/>
      <selection pane="bottomLeft" activeCell="I29" sqref="H29:I29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427</v>
      </c>
      <c r="B1" s="175"/>
      <c r="C1" s="175"/>
      <c r="D1" s="175"/>
      <c r="E1" s="176" t="s">
        <v>0</v>
      </c>
      <c r="F1" s="177"/>
      <c r="H1" s="174" t="s">
        <v>427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F12</f>
        <v>8513.2000000000007</v>
      </c>
      <c r="O4" s="4"/>
    </row>
    <row r="5" spans="1:18" s="10" customFormat="1" ht="23.25" x14ac:dyDescent="0.3">
      <c r="A5" s="26">
        <v>1</v>
      </c>
      <c r="B5" s="65" t="s">
        <v>319</v>
      </c>
      <c r="C5" s="32" t="s">
        <v>20</v>
      </c>
      <c r="D5" s="32">
        <v>47.4</v>
      </c>
      <c r="E5" s="57">
        <v>30</v>
      </c>
      <c r="F5" s="30">
        <f>D5*E5</f>
        <v>1422</v>
      </c>
      <c r="H5" s="26">
        <v>1</v>
      </c>
      <c r="I5" s="65" t="s">
        <v>319</v>
      </c>
      <c r="J5" s="32" t="s">
        <v>20</v>
      </c>
      <c r="K5" s="115">
        <v>23.7</v>
      </c>
      <c r="L5" s="57">
        <v>30</v>
      </c>
      <c r="M5" s="30">
        <f>K5*L5</f>
        <v>711</v>
      </c>
      <c r="N5" s="85"/>
      <c r="O5" s="11"/>
    </row>
    <row r="6" spans="1:18" s="10" customFormat="1" ht="23.25" x14ac:dyDescent="0.3">
      <c r="A6" s="26">
        <v>2</v>
      </c>
      <c r="B6" s="31" t="s">
        <v>320</v>
      </c>
      <c r="C6" s="32" t="s">
        <v>19</v>
      </c>
      <c r="D6" s="32">
        <v>15.6</v>
      </c>
      <c r="E6" s="57">
        <v>50</v>
      </c>
      <c r="F6" s="30">
        <f t="shared" ref="F6:F11" si="0">D6*E6</f>
        <v>780</v>
      </c>
      <c r="H6" s="26">
        <v>2</v>
      </c>
      <c r="I6" s="31" t="s">
        <v>320</v>
      </c>
      <c r="J6" s="32" t="s">
        <v>19</v>
      </c>
      <c r="K6" s="32">
        <v>15.6</v>
      </c>
      <c r="L6" s="57">
        <v>50</v>
      </c>
      <c r="M6" s="30">
        <f t="shared" ref="M6:M11" si="1">K6*L6</f>
        <v>780</v>
      </c>
      <c r="N6" s="85"/>
      <c r="O6" s="11"/>
    </row>
    <row r="7" spans="1:18" s="10" customFormat="1" ht="23.25" x14ac:dyDescent="0.3">
      <c r="A7" s="26">
        <v>3</v>
      </c>
      <c r="B7" s="70" t="s">
        <v>559</v>
      </c>
      <c r="C7" s="32" t="s">
        <v>20</v>
      </c>
      <c r="D7" s="88">
        <v>50.6</v>
      </c>
      <c r="E7" s="57">
        <v>30</v>
      </c>
      <c r="F7" s="30">
        <f t="shared" si="0"/>
        <v>1518</v>
      </c>
      <c r="H7" s="26">
        <v>3</v>
      </c>
      <c r="I7" s="70" t="s">
        <v>559</v>
      </c>
      <c r="J7" s="32" t="s">
        <v>20</v>
      </c>
      <c r="K7" s="88">
        <v>50.6</v>
      </c>
      <c r="L7" s="57">
        <v>30</v>
      </c>
      <c r="M7" s="30">
        <f t="shared" si="1"/>
        <v>1518</v>
      </c>
      <c r="N7" s="85"/>
      <c r="O7" s="11"/>
    </row>
    <row r="8" spans="1:18" s="10" customFormat="1" ht="23.25" x14ac:dyDescent="0.3">
      <c r="A8" s="26">
        <v>4</v>
      </c>
      <c r="B8" s="65" t="s">
        <v>556</v>
      </c>
      <c r="C8" s="32" t="s">
        <v>19</v>
      </c>
      <c r="D8" s="32">
        <v>16.5</v>
      </c>
      <c r="E8" s="57">
        <v>50</v>
      </c>
      <c r="F8" s="30">
        <f t="shared" si="0"/>
        <v>825</v>
      </c>
      <c r="H8" s="26">
        <v>4</v>
      </c>
      <c r="I8" s="65" t="s">
        <v>556</v>
      </c>
      <c r="J8" s="32" t="s">
        <v>19</v>
      </c>
      <c r="K8" s="32">
        <v>16.5</v>
      </c>
      <c r="L8" s="57">
        <v>50</v>
      </c>
      <c r="M8" s="30">
        <f t="shared" si="1"/>
        <v>825</v>
      </c>
      <c r="N8" s="85"/>
      <c r="O8" s="11"/>
    </row>
    <row r="9" spans="1:18" s="10" customFormat="1" ht="23.25" x14ac:dyDescent="0.3">
      <c r="A9" s="26">
        <v>5</v>
      </c>
      <c r="B9" s="65" t="s">
        <v>346</v>
      </c>
      <c r="C9" s="32" t="s">
        <v>20</v>
      </c>
      <c r="D9" s="32">
        <v>61.2</v>
      </c>
      <c r="E9" s="57">
        <v>30</v>
      </c>
      <c r="F9" s="30">
        <f t="shared" si="0"/>
        <v>1836</v>
      </c>
      <c r="H9" s="26">
        <v>5</v>
      </c>
      <c r="I9" s="65" t="s">
        <v>346</v>
      </c>
      <c r="J9" s="32" t="s">
        <v>20</v>
      </c>
      <c r="K9" s="32">
        <v>61.2</v>
      </c>
      <c r="L9" s="118">
        <v>25</v>
      </c>
      <c r="M9" s="30">
        <f t="shared" si="1"/>
        <v>1530</v>
      </c>
      <c r="N9" s="85"/>
      <c r="O9" s="11"/>
    </row>
    <row r="10" spans="1:18" s="10" customFormat="1" ht="23.25" x14ac:dyDescent="0.3">
      <c r="A10" s="26">
        <v>6</v>
      </c>
      <c r="B10" s="31" t="s">
        <v>412</v>
      </c>
      <c r="C10" s="32" t="s">
        <v>19</v>
      </c>
      <c r="D10" s="32">
        <v>39.700000000000003</v>
      </c>
      <c r="E10" s="57">
        <v>50</v>
      </c>
      <c r="F10" s="30">
        <f t="shared" si="0"/>
        <v>1985.0000000000002</v>
      </c>
      <c r="H10" s="26">
        <v>6</v>
      </c>
      <c r="I10" s="31" t="s">
        <v>412</v>
      </c>
      <c r="J10" s="32" t="s">
        <v>19</v>
      </c>
      <c r="K10" s="115">
        <v>0</v>
      </c>
      <c r="L10" s="57">
        <v>50</v>
      </c>
      <c r="M10" s="30">
        <f t="shared" si="1"/>
        <v>0</v>
      </c>
      <c r="N10" s="85"/>
      <c r="O10" s="11"/>
    </row>
    <row r="11" spans="1:18" s="10" customFormat="1" ht="23.25" x14ac:dyDescent="0.3">
      <c r="A11" s="26">
        <v>7</v>
      </c>
      <c r="B11" s="65" t="s">
        <v>122</v>
      </c>
      <c r="C11" s="32" t="s">
        <v>119</v>
      </c>
      <c r="D11" s="32">
        <v>0.32</v>
      </c>
      <c r="E11" s="57">
        <v>460</v>
      </c>
      <c r="F11" s="30">
        <f t="shared" si="0"/>
        <v>147.20000000000002</v>
      </c>
      <c r="H11" s="26">
        <v>7</v>
      </c>
      <c r="I11" s="65" t="s">
        <v>122</v>
      </c>
      <c r="J11" s="32" t="s">
        <v>119</v>
      </c>
      <c r="K11" s="32">
        <v>0.32</v>
      </c>
      <c r="L11" s="57">
        <v>460</v>
      </c>
      <c r="M11" s="30">
        <f t="shared" si="1"/>
        <v>147.20000000000002</v>
      </c>
      <c r="N11" s="85"/>
      <c r="O11" s="11"/>
    </row>
    <row r="12" spans="1:18" ht="24" thickBot="1" x14ac:dyDescent="0.3">
      <c r="A12" s="38"/>
      <c r="B12" s="39"/>
      <c r="C12" s="39"/>
      <c r="D12" s="39"/>
      <c r="E12" s="40" t="s">
        <v>16</v>
      </c>
      <c r="F12" s="35">
        <f>SUM(F5:F11)</f>
        <v>8513.2000000000007</v>
      </c>
      <c r="H12" s="38"/>
      <c r="I12" s="39"/>
      <c r="J12" s="39"/>
      <c r="K12" s="39"/>
      <c r="L12" s="40" t="s">
        <v>16</v>
      </c>
      <c r="M12" s="35">
        <f>SUM(M5:M11)</f>
        <v>5511.2</v>
      </c>
    </row>
    <row r="13" spans="1:18" ht="26.25" thickBot="1" x14ac:dyDescent="0.3">
      <c r="A13" s="76"/>
      <c r="B13" s="77"/>
      <c r="C13" s="77"/>
      <c r="D13" s="77"/>
      <c r="E13" s="78" t="s">
        <v>21</v>
      </c>
      <c r="F13" s="12">
        <f>SUMIF(E1:E19977,"CƏMİ",F1:F19977)</f>
        <v>8513.2000000000007</v>
      </c>
      <c r="H13" s="76"/>
      <c r="I13" s="77"/>
      <c r="J13" s="77"/>
      <c r="K13" s="77"/>
      <c r="L13" s="78" t="s">
        <v>21</v>
      </c>
      <c r="M13" s="12">
        <f>SUMIF(L1:L19977,"CƏMİ",M1:M19977)</f>
        <v>5511.2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C909C-5A2A-42E2-AD19-22EB4B856258}">
  <sheetPr>
    <tabColor rgb="FFFFFF00"/>
    <pageSetUpPr fitToPage="1"/>
  </sheetPr>
  <dimension ref="A1:R11"/>
  <sheetViews>
    <sheetView view="pageBreakPreview" zoomScale="55" zoomScaleNormal="55" zoomScaleSheetLayoutView="55" workbookViewId="0">
      <pane ySplit="3" topLeftCell="A4" activePane="bottomLeft" state="frozen"/>
      <selection activeCell="A4" sqref="A4:XFD7"/>
      <selection pane="bottomLeft" activeCell="K8" sqref="K8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324</v>
      </c>
      <c r="B1" s="175"/>
      <c r="C1" s="175"/>
      <c r="D1" s="175"/>
      <c r="E1" s="176" t="s">
        <v>0</v>
      </c>
      <c r="F1" s="177"/>
      <c r="H1" s="174" t="s">
        <v>324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F10</f>
        <v>1986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12.4</v>
      </c>
      <c r="E5" s="57">
        <v>30</v>
      </c>
      <c r="F5" s="30">
        <f t="shared" ref="F5:F6" si="0">D5*E5</f>
        <v>372</v>
      </c>
      <c r="H5" s="26">
        <v>1</v>
      </c>
      <c r="I5" s="70" t="s">
        <v>559</v>
      </c>
      <c r="J5" s="32" t="s">
        <v>20</v>
      </c>
      <c r="K5" s="88">
        <v>12.4</v>
      </c>
      <c r="L5" s="57">
        <v>30</v>
      </c>
      <c r="M5" s="30">
        <f t="shared" ref="M5:M6" si="1">K5*L5</f>
        <v>372</v>
      </c>
      <c r="N5" s="85"/>
      <c r="O5" s="11"/>
    </row>
    <row r="6" spans="1:18" s="10" customFormat="1" ht="23.25" x14ac:dyDescent="0.3">
      <c r="A6" s="26">
        <v>2</v>
      </c>
      <c r="B6" s="65" t="s">
        <v>556</v>
      </c>
      <c r="C6" s="32" t="s">
        <v>19</v>
      </c>
      <c r="D6" s="32">
        <v>3</v>
      </c>
      <c r="E6" s="57">
        <v>50</v>
      </c>
      <c r="F6" s="30">
        <f t="shared" si="0"/>
        <v>150</v>
      </c>
      <c r="H6" s="26">
        <v>2</v>
      </c>
      <c r="I6" s="65" t="s">
        <v>556</v>
      </c>
      <c r="J6" s="32" t="s">
        <v>19</v>
      </c>
      <c r="K6" s="32">
        <v>3</v>
      </c>
      <c r="L6" s="57">
        <v>50</v>
      </c>
      <c r="M6" s="30">
        <f t="shared" si="1"/>
        <v>150</v>
      </c>
      <c r="N6" s="85"/>
      <c r="O6" s="11"/>
    </row>
    <row r="7" spans="1:18" s="10" customFormat="1" ht="23.25" x14ac:dyDescent="0.3">
      <c r="A7" s="26">
        <v>3</v>
      </c>
      <c r="B7" s="65" t="s">
        <v>319</v>
      </c>
      <c r="C7" s="32" t="s">
        <v>20</v>
      </c>
      <c r="D7" s="32">
        <v>30.6</v>
      </c>
      <c r="E7" s="57">
        <v>30</v>
      </c>
      <c r="F7" s="30">
        <f>D7*E7</f>
        <v>918</v>
      </c>
      <c r="H7" s="26">
        <v>3</v>
      </c>
      <c r="I7" s="65" t="s">
        <v>319</v>
      </c>
      <c r="J7" s="32" t="s">
        <v>20</v>
      </c>
      <c r="K7" s="115">
        <v>15.3</v>
      </c>
      <c r="L7" s="57">
        <v>30</v>
      </c>
      <c r="M7" s="30">
        <f>K7*L7</f>
        <v>459</v>
      </c>
      <c r="N7" s="85"/>
      <c r="O7" s="11"/>
    </row>
    <row r="8" spans="1:18" s="10" customFormat="1" ht="23.25" x14ac:dyDescent="0.3">
      <c r="A8" s="26">
        <v>4</v>
      </c>
      <c r="B8" s="31" t="s">
        <v>320</v>
      </c>
      <c r="C8" s="32" t="s">
        <v>19</v>
      </c>
      <c r="D8" s="32">
        <v>10</v>
      </c>
      <c r="E8" s="57">
        <v>50</v>
      </c>
      <c r="F8" s="30">
        <f>D8*E8</f>
        <v>500</v>
      </c>
      <c r="H8" s="26">
        <v>4</v>
      </c>
      <c r="I8" s="31" t="s">
        <v>320</v>
      </c>
      <c r="J8" s="32" t="s">
        <v>19</v>
      </c>
      <c r="K8" s="32">
        <v>10</v>
      </c>
      <c r="L8" s="57">
        <v>50</v>
      </c>
      <c r="M8" s="30">
        <f>K8*L8</f>
        <v>500</v>
      </c>
      <c r="N8" s="85"/>
      <c r="O8" s="11"/>
    </row>
    <row r="9" spans="1:18" s="10" customFormat="1" ht="23.25" x14ac:dyDescent="0.3">
      <c r="A9" s="26">
        <v>5</v>
      </c>
      <c r="B9" s="65" t="s">
        <v>122</v>
      </c>
      <c r="C9" s="32" t="s">
        <v>119</v>
      </c>
      <c r="D9" s="32">
        <v>0.1</v>
      </c>
      <c r="E9" s="57">
        <v>460</v>
      </c>
      <c r="F9" s="30">
        <f>D9*E9</f>
        <v>46</v>
      </c>
      <c r="H9" s="26">
        <v>5</v>
      </c>
      <c r="I9" s="65" t="s">
        <v>122</v>
      </c>
      <c r="J9" s="32" t="s">
        <v>119</v>
      </c>
      <c r="K9" s="32">
        <v>0.1</v>
      </c>
      <c r="L9" s="57">
        <v>460</v>
      </c>
      <c r="M9" s="30">
        <f>K9*L9</f>
        <v>46</v>
      </c>
      <c r="N9" s="85"/>
      <c r="O9" s="11"/>
    </row>
    <row r="10" spans="1:18" ht="24" thickBot="1" x14ac:dyDescent="0.3">
      <c r="A10" s="38"/>
      <c r="B10" s="39"/>
      <c r="C10" s="39"/>
      <c r="D10" s="39"/>
      <c r="E10" s="40" t="s">
        <v>16</v>
      </c>
      <c r="F10" s="35">
        <f>SUM(F5:F9)</f>
        <v>1986</v>
      </c>
      <c r="H10" s="38"/>
      <c r="I10" s="39"/>
      <c r="J10" s="39"/>
      <c r="K10" s="39"/>
      <c r="L10" s="40" t="s">
        <v>16</v>
      </c>
      <c r="M10" s="35">
        <f>SUM(M5:M9)</f>
        <v>1527</v>
      </c>
    </row>
    <row r="11" spans="1:18" ht="26.25" thickBot="1" x14ac:dyDescent="0.3">
      <c r="A11" s="76"/>
      <c r="B11" s="77"/>
      <c r="C11" s="77"/>
      <c r="D11" s="77"/>
      <c r="E11" s="78" t="s">
        <v>21</v>
      </c>
      <c r="F11" s="12">
        <f>SUMIF(E1:E19977,"CƏMİ",F1:F19977)</f>
        <v>1986</v>
      </c>
      <c r="H11" s="76"/>
      <c r="I11" s="77"/>
      <c r="J11" s="77"/>
      <c r="K11" s="77"/>
      <c r="L11" s="78" t="s">
        <v>21</v>
      </c>
      <c r="M11" s="12">
        <f>SUMIF(L1:L19977,"CƏMİ",M1:M19977)</f>
        <v>1527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7C75-8629-42C2-B0E2-AB9BBA1B2988}">
  <sheetPr>
    <tabColor rgb="FFFFFF00"/>
    <pageSetUpPr fitToPage="1"/>
  </sheetPr>
  <dimension ref="A1:R11"/>
  <sheetViews>
    <sheetView view="pageBreakPreview" zoomScale="55" zoomScaleNormal="55" zoomScaleSheetLayoutView="55" workbookViewId="0">
      <pane ySplit="3" topLeftCell="A4" activePane="bottomLeft" state="frozen"/>
      <selection activeCell="A4" sqref="A4:XFD7"/>
      <selection pane="bottomLeft" activeCell="K9" sqref="K9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382</v>
      </c>
      <c r="B1" s="175"/>
      <c r="C1" s="175"/>
      <c r="D1" s="175"/>
      <c r="E1" s="176" t="s">
        <v>0</v>
      </c>
      <c r="F1" s="177"/>
      <c r="H1" s="174" t="s">
        <v>382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F10</f>
        <v>2366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15</v>
      </c>
      <c r="E5" s="57">
        <v>30</v>
      </c>
      <c r="F5" s="30">
        <f>D5*E5</f>
        <v>450</v>
      </c>
      <c r="H5" s="26">
        <v>1</v>
      </c>
      <c r="I5" s="70" t="s">
        <v>559</v>
      </c>
      <c r="J5" s="32" t="s">
        <v>20</v>
      </c>
      <c r="K5" s="88">
        <v>15</v>
      </c>
      <c r="L5" s="57">
        <v>30</v>
      </c>
      <c r="M5" s="30">
        <f>K5*L5</f>
        <v>450</v>
      </c>
      <c r="N5" s="85"/>
      <c r="O5" s="11"/>
    </row>
    <row r="6" spans="1:18" s="10" customFormat="1" ht="23.25" x14ac:dyDescent="0.3">
      <c r="A6" s="26">
        <v>2</v>
      </c>
      <c r="B6" s="65" t="s">
        <v>556</v>
      </c>
      <c r="C6" s="32" t="s">
        <v>19</v>
      </c>
      <c r="D6" s="32">
        <v>5</v>
      </c>
      <c r="E6" s="57">
        <v>50</v>
      </c>
      <c r="F6" s="30">
        <f t="shared" ref="F6:F9" si="0">D6*E6</f>
        <v>250</v>
      </c>
      <c r="H6" s="26">
        <v>2</v>
      </c>
      <c r="I6" s="65" t="s">
        <v>556</v>
      </c>
      <c r="J6" s="32" t="s">
        <v>19</v>
      </c>
      <c r="K6" s="32">
        <v>5</v>
      </c>
      <c r="L6" s="57">
        <v>50</v>
      </c>
      <c r="M6" s="30">
        <f t="shared" ref="M6:M9" si="1">K6*L6</f>
        <v>250</v>
      </c>
      <c r="N6" s="85"/>
      <c r="O6" s="11"/>
    </row>
    <row r="7" spans="1:18" s="10" customFormat="1" ht="23.25" x14ac:dyDescent="0.3">
      <c r="A7" s="26">
        <v>3</v>
      </c>
      <c r="B7" s="65" t="s">
        <v>297</v>
      </c>
      <c r="C7" s="32" t="s">
        <v>20</v>
      </c>
      <c r="D7" s="32">
        <v>27</v>
      </c>
      <c r="E7" s="57">
        <v>30</v>
      </c>
      <c r="F7" s="30">
        <f t="shared" si="0"/>
        <v>810</v>
      </c>
      <c r="H7" s="26">
        <v>3</v>
      </c>
      <c r="I7" s="65" t="s">
        <v>297</v>
      </c>
      <c r="J7" s="32" t="s">
        <v>20</v>
      </c>
      <c r="K7" s="115">
        <v>13.5</v>
      </c>
      <c r="L7" s="57">
        <v>30</v>
      </c>
      <c r="M7" s="30">
        <f t="shared" si="1"/>
        <v>405</v>
      </c>
      <c r="N7" s="85"/>
      <c r="O7" s="11"/>
    </row>
    <row r="8" spans="1:18" s="10" customFormat="1" ht="23.25" x14ac:dyDescent="0.3">
      <c r="A8" s="26">
        <v>4</v>
      </c>
      <c r="B8" s="31" t="s">
        <v>354</v>
      </c>
      <c r="C8" s="32" t="s">
        <v>19</v>
      </c>
      <c r="D8" s="32">
        <v>16.2</v>
      </c>
      <c r="E8" s="57">
        <v>50</v>
      </c>
      <c r="F8" s="30">
        <f t="shared" si="0"/>
        <v>810</v>
      </c>
      <c r="H8" s="26">
        <v>4</v>
      </c>
      <c r="I8" s="31" t="s">
        <v>354</v>
      </c>
      <c r="J8" s="32" t="s">
        <v>19</v>
      </c>
      <c r="K8" s="115">
        <v>8.1</v>
      </c>
      <c r="L8" s="57">
        <v>50</v>
      </c>
      <c r="M8" s="30">
        <f t="shared" si="1"/>
        <v>405</v>
      </c>
      <c r="N8" s="85"/>
      <c r="O8" s="11"/>
    </row>
    <row r="9" spans="1:18" s="10" customFormat="1" ht="23.25" x14ac:dyDescent="0.3">
      <c r="A9" s="26">
        <v>5</v>
      </c>
      <c r="B9" s="65" t="s">
        <v>122</v>
      </c>
      <c r="C9" s="32" t="s">
        <v>119</v>
      </c>
      <c r="D9" s="32">
        <v>0.1</v>
      </c>
      <c r="E9" s="57">
        <v>460</v>
      </c>
      <c r="F9" s="30">
        <f t="shared" si="0"/>
        <v>46</v>
      </c>
      <c r="H9" s="26">
        <v>5</v>
      </c>
      <c r="I9" s="65" t="s">
        <v>122</v>
      </c>
      <c r="J9" s="32" t="s">
        <v>119</v>
      </c>
      <c r="K9" s="32">
        <v>0.1</v>
      </c>
      <c r="L9" s="57">
        <v>460</v>
      </c>
      <c r="M9" s="30">
        <f t="shared" si="1"/>
        <v>46</v>
      </c>
      <c r="N9" s="85"/>
      <c r="O9" s="11"/>
    </row>
    <row r="10" spans="1:18" ht="24" thickBot="1" x14ac:dyDescent="0.3">
      <c r="A10" s="38"/>
      <c r="B10" s="39"/>
      <c r="C10" s="39"/>
      <c r="D10" s="39"/>
      <c r="E10" s="40" t="s">
        <v>16</v>
      </c>
      <c r="F10" s="35">
        <f>SUM(F5:F9)</f>
        <v>2366</v>
      </c>
      <c r="H10" s="38"/>
      <c r="I10" s="39"/>
      <c r="J10" s="39"/>
      <c r="K10" s="39"/>
      <c r="L10" s="40" t="s">
        <v>16</v>
      </c>
      <c r="M10" s="35">
        <f>SUM(M5:M9)</f>
        <v>1556</v>
      </c>
    </row>
    <row r="11" spans="1:18" ht="26.25" thickBot="1" x14ac:dyDescent="0.3">
      <c r="A11" s="76"/>
      <c r="B11" s="77"/>
      <c r="C11" s="77"/>
      <c r="D11" s="77"/>
      <c r="E11" s="78" t="s">
        <v>21</v>
      </c>
      <c r="F11" s="12">
        <f>SUMIF(E1:E19977,"CƏMİ",F1:F19977)</f>
        <v>2366</v>
      </c>
      <c r="H11" s="76"/>
      <c r="I11" s="77"/>
      <c r="J11" s="77"/>
      <c r="K11" s="77"/>
      <c r="L11" s="78" t="s">
        <v>21</v>
      </c>
      <c r="M11" s="12">
        <f>SUMIF(L1:L19977,"CƏMİ",M1:M19977)</f>
        <v>1556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C7DF-6461-4889-8B90-7D8599730D2A}">
  <sheetPr>
    <tabColor rgb="FFFFFF00"/>
    <pageSetUpPr fitToPage="1"/>
  </sheetPr>
  <dimension ref="A1:R9"/>
  <sheetViews>
    <sheetView view="pageBreakPreview" zoomScale="55" zoomScaleNormal="55" zoomScaleSheetLayoutView="55" workbookViewId="0">
      <pane ySplit="3" topLeftCell="A4" activePane="bottomLeft" state="frozen"/>
      <selection activeCell="A4" sqref="A4:XFD7"/>
      <selection pane="bottomLeft" activeCell="K6" sqref="K6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323</v>
      </c>
      <c r="B1" s="175"/>
      <c r="C1" s="175"/>
      <c r="D1" s="175"/>
      <c r="E1" s="176" t="s">
        <v>0</v>
      </c>
      <c r="F1" s="177"/>
      <c r="H1" s="174" t="s">
        <v>323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F8</f>
        <v>1294</v>
      </c>
      <c r="O4" s="4"/>
    </row>
    <row r="5" spans="1:18" s="10" customFormat="1" ht="23.25" x14ac:dyDescent="0.3">
      <c r="A5" s="26">
        <v>1</v>
      </c>
      <c r="B5" s="65" t="s">
        <v>319</v>
      </c>
      <c r="C5" s="32" t="s">
        <v>20</v>
      </c>
      <c r="D5" s="32">
        <v>26.6</v>
      </c>
      <c r="E5" s="57">
        <v>30</v>
      </c>
      <c r="F5" s="30">
        <f>D5*E5</f>
        <v>798</v>
      </c>
      <c r="H5" s="26">
        <v>1</v>
      </c>
      <c r="I5" s="65" t="s">
        <v>319</v>
      </c>
      <c r="J5" s="32" t="s">
        <v>20</v>
      </c>
      <c r="K5" s="115">
        <v>13.3</v>
      </c>
      <c r="L5" s="57">
        <v>30</v>
      </c>
      <c r="M5" s="30">
        <f>K5*L5</f>
        <v>399</v>
      </c>
      <c r="N5" s="85"/>
      <c r="O5" s="11"/>
    </row>
    <row r="6" spans="1:18" s="10" customFormat="1" ht="23.25" x14ac:dyDescent="0.3">
      <c r="A6" s="26">
        <v>2</v>
      </c>
      <c r="B6" s="31" t="s">
        <v>320</v>
      </c>
      <c r="C6" s="32" t="s">
        <v>19</v>
      </c>
      <c r="D6" s="32">
        <v>9</v>
      </c>
      <c r="E6" s="57">
        <v>50</v>
      </c>
      <c r="F6" s="30">
        <f>D6*E6</f>
        <v>450</v>
      </c>
      <c r="H6" s="26">
        <v>2</v>
      </c>
      <c r="I6" s="31" t="s">
        <v>320</v>
      </c>
      <c r="J6" s="32" t="s">
        <v>19</v>
      </c>
      <c r="K6" s="32">
        <v>9</v>
      </c>
      <c r="L6" s="57">
        <v>50</v>
      </c>
      <c r="M6" s="30">
        <f>K6*L6</f>
        <v>450</v>
      </c>
      <c r="N6" s="85"/>
      <c r="O6" s="11"/>
    </row>
    <row r="7" spans="1:18" s="10" customFormat="1" ht="23.25" x14ac:dyDescent="0.3">
      <c r="A7" s="26">
        <v>3</v>
      </c>
      <c r="B7" s="65" t="s">
        <v>122</v>
      </c>
      <c r="C7" s="32" t="s">
        <v>119</v>
      </c>
      <c r="D7" s="32">
        <v>0.1</v>
      </c>
      <c r="E7" s="57">
        <v>460</v>
      </c>
      <c r="F7" s="30">
        <f>D7*E7</f>
        <v>46</v>
      </c>
      <c r="H7" s="26">
        <v>3</v>
      </c>
      <c r="I7" s="65" t="s">
        <v>122</v>
      </c>
      <c r="J7" s="32" t="s">
        <v>119</v>
      </c>
      <c r="K7" s="32">
        <v>0.1</v>
      </c>
      <c r="L7" s="57">
        <v>460</v>
      </c>
      <c r="M7" s="30">
        <f>K7*L7</f>
        <v>46</v>
      </c>
      <c r="N7" s="85"/>
      <c r="O7" s="11"/>
    </row>
    <row r="8" spans="1:18" ht="24" thickBot="1" x14ac:dyDescent="0.3">
      <c r="A8" s="38"/>
      <c r="B8" s="39"/>
      <c r="C8" s="39"/>
      <c r="D8" s="39"/>
      <c r="E8" s="40" t="s">
        <v>16</v>
      </c>
      <c r="F8" s="35">
        <f>SUM(F5:F7)</f>
        <v>1294</v>
      </c>
      <c r="H8" s="38"/>
      <c r="I8" s="39"/>
      <c r="J8" s="39"/>
      <c r="K8" s="39"/>
      <c r="L8" s="40" t="s">
        <v>16</v>
      </c>
      <c r="M8" s="35">
        <f>SUM(M5:M7)</f>
        <v>895</v>
      </c>
    </row>
    <row r="9" spans="1:18" ht="26.25" thickBot="1" x14ac:dyDescent="0.3">
      <c r="A9" s="76"/>
      <c r="B9" s="77"/>
      <c r="C9" s="77"/>
      <c r="D9" s="77"/>
      <c r="E9" s="78" t="s">
        <v>21</v>
      </c>
      <c r="F9" s="12">
        <f>SUMIF(E1:E19977,"CƏMİ",F1:F19977)</f>
        <v>1294</v>
      </c>
      <c r="H9" s="76"/>
      <c r="I9" s="77"/>
      <c r="J9" s="77"/>
      <c r="K9" s="77"/>
      <c r="L9" s="78" t="s">
        <v>21</v>
      </c>
      <c r="M9" s="12">
        <f>SUMIF(L1:L19977,"CƏMİ",M1:M19977)</f>
        <v>895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53E4-82BD-4CCF-908B-3001ABB1C2AC}">
  <sheetPr>
    <tabColor rgb="FFFFFF00"/>
    <pageSetUpPr fitToPage="1"/>
  </sheetPr>
  <dimension ref="A1:R11"/>
  <sheetViews>
    <sheetView view="pageBreakPreview" zoomScale="55" zoomScaleNormal="55" zoomScaleSheetLayoutView="55" workbookViewId="0">
      <pane ySplit="3" topLeftCell="A4" activePane="bottomLeft" state="frozen"/>
      <selection activeCell="A4" sqref="A4:XFD7"/>
      <selection pane="bottomLeft" activeCell="I35" sqref="I35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318</v>
      </c>
      <c r="B1" s="175"/>
      <c r="C1" s="175"/>
      <c r="D1" s="175"/>
      <c r="E1" s="176" t="s">
        <v>0</v>
      </c>
      <c r="F1" s="177"/>
      <c r="H1" s="174" t="s">
        <v>318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F10</f>
        <v>1911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18.600000000000001</v>
      </c>
      <c r="E5" s="57">
        <v>30</v>
      </c>
      <c r="F5" s="30">
        <f t="shared" ref="F5:F6" si="0">D5*E5</f>
        <v>558</v>
      </c>
      <c r="H5" s="26">
        <v>1</v>
      </c>
      <c r="I5" s="70" t="s">
        <v>559</v>
      </c>
      <c r="J5" s="32" t="s">
        <v>20</v>
      </c>
      <c r="K5" s="88">
        <v>18.600000000000001</v>
      </c>
      <c r="L5" s="57">
        <v>30</v>
      </c>
      <c r="M5" s="30">
        <f t="shared" ref="M5:M6" si="1">K5*L5</f>
        <v>558</v>
      </c>
      <c r="N5" s="85"/>
      <c r="O5" s="11"/>
    </row>
    <row r="6" spans="1:18" s="10" customFormat="1" ht="23.25" x14ac:dyDescent="0.3">
      <c r="A6" s="26">
        <v>2</v>
      </c>
      <c r="B6" s="65" t="s">
        <v>556</v>
      </c>
      <c r="C6" s="32" t="s">
        <v>19</v>
      </c>
      <c r="D6" s="32">
        <v>6</v>
      </c>
      <c r="E6" s="57">
        <v>50</v>
      </c>
      <c r="F6" s="30">
        <f t="shared" si="0"/>
        <v>300</v>
      </c>
      <c r="H6" s="26">
        <v>2</v>
      </c>
      <c r="I6" s="65" t="s">
        <v>556</v>
      </c>
      <c r="J6" s="32" t="s">
        <v>19</v>
      </c>
      <c r="K6" s="32">
        <v>6</v>
      </c>
      <c r="L6" s="57">
        <v>50</v>
      </c>
      <c r="M6" s="30">
        <f t="shared" si="1"/>
        <v>300</v>
      </c>
      <c r="N6" s="85"/>
      <c r="O6" s="11"/>
    </row>
    <row r="7" spans="1:18" s="10" customFormat="1" ht="23.25" x14ac:dyDescent="0.3">
      <c r="A7" s="26">
        <v>3</v>
      </c>
      <c r="B7" s="65" t="s">
        <v>319</v>
      </c>
      <c r="C7" s="32" t="s">
        <v>20</v>
      </c>
      <c r="D7" s="32">
        <v>21.9</v>
      </c>
      <c r="E7" s="57">
        <v>30</v>
      </c>
      <c r="F7" s="30">
        <f>D7*E7</f>
        <v>657</v>
      </c>
      <c r="H7" s="26">
        <v>3</v>
      </c>
      <c r="I7" s="65" t="s">
        <v>319</v>
      </c>
      <c r="J7" s="32" t="s">
        <v>20</v>
      </c>
      <c r="K7" s="115">
        <v>11</v>
      </c>
      <c r="L7" s="57">
        <v>30</v>
      </c>
      <c r="M7" s="30">
        <f>K7*L7</f>
        <v>330</v>
      </c>
      <c r="N7" s="85"/>
      <c r="O7" s="11"/>
    </row>
    <row r="8" spans="1:18" s="10" customFormat="1" ht="23.25" x14ac:dyDescent="0.3">
      <c r="A8" s="26">
        <v>4</v>
      </c>
      <c r="B8" s="31" t="s">
        <v>320</v>
      </c>
      <c r="C8" s="32" t="s">
        <v>19</v>
      </c>
      <c r="D8" s="32">
        <v>7</v>
      </c>
      <c r="E8" s="57">
        <v>50</v>
      </c>
      <c r="F8" s="30">
        <f>D8*E8</f>
        <v>350</v>
      </c>
      <c r="H8" s="26">
        <v>4</v>
      </c>
      <c r="I8" s="31" t="s">
        <v>320</v>
      </c>
      <c r="J8" s="32" t="s">
        <v>19</v>
      </c>
      <c r="K8" s="32">
        <v>7</v>
      </c>
      <c r="L8" s="57">
        <v>50</v>
      </c>
      <c r="M8" s="30">
        <f>K8*L8</f>
        <v>350</v>
      </c>
      <c r="N8" s="85"/>
      <c r="O8" s="11"/>
    </row>
    <row r="9" spans="1:18" s="10" customFormat="1" ht="23.25" x14ac:dyDescent="0.3">
      <c r="A9" s="26">
        <v>5</v>
      </c>
      <c r="B9" s="65" t="s">
        <v>122</v>
      </c>
      <c r="C9" s="32" t="s">
        <v>119</v>
      </c>
      <c r="D9" s="32">
        <v>0.1</v>
      </c>
      <c r="E9" s="57">
        <v>460</v>
      </c>
      <c r="F9" s="30">
        <f>D9*E9</f>
        <v>46</v>
      </c>
      <c r="H9" s="26">
        <v>5</v>
      </c>
      <c r="I9" s="65" t="s">
        <v>122</v>
      </c>
      <c r="J9" s="32" t="s">
        <v>119</v>
      </c>
      <c r="K9" s="32">
        <v>0.1</v>
      </c>
      <c r="L9" s="57">
        <v>460</v>
      </c>
      <c r="M9" s="30">
        <f>K9*L9</f>
        <v>46</v>
      </c>
      <c r="N9" s="85"/>
      <c r="O9" s="11"/>
    </row>
    <row r="10" spans="1:18" ht="24" thickBot="1" x14ac:dyDescent="0.3">
      <c r="A10" s="38"/>
      <c r="B10" s="39"/>
      <c r="C10" s="39"/>
      <c r="D10" s="39"/>
      <c r="E10" s="40" t="s">
        <v>16</v>
      </c>
      <c r="F10" s="35">
        <f>SUM(F5:F9)</f>
        <v>1911</v>
      </c>
      <c r="H10" s="38"/>
      <c r="I10" s="39"/>
      <c r="J10" s="39"/>
      <c r="K10" s="39"/>
      <c r="L10" s="40" t="s">
        <v>16</v>
      </c>
      <c r="M10" s="35">
        <f>SUM(M5:M9)</f>
        <v>1584</v>
      </c>
    </row>
    <row r="11" spans="1:18" ht="26.25" thickBot="1" x14ac:dyDescent="0.3">
      <c r="A11" s="76"/>
      <c r="B11" s="77"/>
      <c r="C11" s="77"/>
      <c r="D11" s="77"/>
      <c r="E11" s="78" t="s">
        <v>21</v>
      </c>
      <c r="F11" s="12">
        <f>SUMIF(E1:E19977,"CƏMİ",F1:F19977)</f>
        <v>1911</v>
      </c>
      <c r="H11" s="76"/>
      <c r="I11" s="77"/>
      <c r="J11" s="77"/>
      <c r="K11" s="77"/>
      <c r="L11" s="78" t="s">
        <v>21</v>
      </c>
      <c r="M11" s="12">
        <f>SUMIF(L1:L19977,"CƏMİ",M1:M19977)</f>
        <v>1584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A2A4-930E-4974-A291-AF706BEF7B84}">
  <sheetPr>
    <tabColor rgb="FFFFFF00"/>
    <pageSetUpPr fitToPage="1"/>
  </sheetPr>
  <dimension ref="A1:R14"/>
  <sheetViews>
    <sheetView view="pageBreakPreview" zoomScale="55" zoomScaleNormal="55" zoomScaleSheetLayoutView="55" workbookViewId="0">
      <pane ySplit="3" topLeftCell="A4" activePane="bottomLeft" state="frozen"/>
      <selection activeCell="A4" sqref="A4:XFD7"/>
      <selection pane="bottomLeft" activeCell="K9" sqref="K9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384</v>
      </c>
      <c r="B1" s="175"/>
      <c r="C1" s="175"/>
      <c r="D1" s="175"/>
      <c r="E1" s="176" t="s">
        <v>0</v>
      </c>
      <c r="F1" s="177"/>
      <c r="H1" s="174" t="s">
        <v>384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498</v>
      </c>
      <c r="C4" s="24"/>
      <c r="D4" s="24"/>
      <c r="E4" s="24"/>
      <c r="F4" s="25"/>
      <c r="H4" s="23"/>
      <c r="I4" s="24" t="s">
        <v>498</v>
      </c>
      <c r="J4" s="24"/>
      <c r="K4" s="24"/>
      <c r="L4" s="24"/>
      <c r="M4" s="25"/>
      <c r="N4" s="84">
        <f>F13</f>
        <v>5460.4</v>
      </c>
      <c r="O4" s="4"/>
    </row>
    <row r="5" spans="1:18" s="10" customFormat="1" ht="23.25" x14ac:dyDescent="0.3">
      <c r="A5" s="26">
        <v>1</v>
      </c>
      <c r="B5" s="65" t="s">
        <v>496</v>
      </c>
      <c r="C5" s="32" t="s">
        <v>20</v>
      </c>
      <c r="D5" s="32">
        <v>9.1999999999999993</v>
      </c>
      <c r="E5" s="57">
        <v>30</v>
      </c>
      <c r="F5" s="30">
        <f>D5*E5</f>
        <v>276</v>
      </c>
      <c r="H5" s="26">
        <v>1</v>
      </c>
      <c r="I5" s="65" t="s">
        <v>496</v>
      </c>
      <c r="J5" s="32" t="s">
        <v>20</v>
      </c>
      <c r="K5" s="115">
        <v>4.5999999999999996</v>
      </c>
      <c r="L5" s="57">
        <v>30</v>
      </c>
      <c r="M5" s="30">
        <f>K5*L5</f>
        <v>138</v>
      </c>
      <c r="N5" s="85"/>
      <c r="O5" s="11"/>
    </row>
    <row r="6" spans="1:18" s="10" customFormat="1" ht="23.25" x14ac:dyDescent="0.3">
      <c r="A6" s="26">
        <v>2</v>
      </c>
      <c r="B6" s="31" t="s">
        <v>497</v>
      </c>
      <c r="C6" s="32" t="s">
        <v>19</v>
      </c>
      <c r="D6" s="32">
        <v>5.5</v>
      </c>
      <c r="E6" s="57">
        <v>50</v>
      </c>
      <c r="F6" s="30">
        <f t="shared" ref="F6:F12" si="0">D6*E6</f>
        <v>275</v>
      </c>
      <c r="H6" s="26">
        <v>2</v>
      </c>
      <c r="I6" s="31" t="s">
        <v>497</v>
      </c>
      <c r="J6" s="32" t="s">
        <v>19</v>
      </c>
      <c r="K6" s="32">
        <v>5.5</v>
      </c>
      <c r="L6" s="57">
        <v>50</v>
      </c>
      <c r="M6" s="30">
        <f t="shared" ref="M6:M12" si="1">K6*L6</f>
        <v>275</v>
      </c>
      <c r="N6" s="85"/>
      <c r="O6" s="11"/>
    </row>
    <row r="7" spans="1:18" s="10" customFormat="1" ht="23.25" x14ac:dyDescent="0.3">
      <c r="A7" s="26">
        <v>3</v>
      </c>
      <c r="B7" s="31" t="s">
        <v>591</v>
      </c>
      <c r="C7" s="32" t="s">
        <v>19</v>
      </c>
      <c r="D7" s="88">
        <v>14.8</v>
      </c>
      <c r="E7" s="57">
        <v>80</v>
      </c>
      <c r="F7" s="30">
        <f t="shared" si="0"/>
        <v>1184</v>
      </c>
      <c r="H7" s="26">
        <v>3</v>
      </c>
      <c r="I7" s="31" t="s">
        <v>591</v>
      </c>
      <c r="J7" s="32" t="s">
        <v>19</v>
      </c>
      <c r="K7" s="88">
        <v>14.8</v>
      </c>
      <c r="L7" s="57">
        <v>80</v>
      </c>
      <c r="M7" s="30">
        <f t="shared" si="1"/>
        <v>1184</v>
      </c>
      <c r="N7" s="85"/>
      <c r="O7" s="11"/>
    </row>
    <row r="8" spans="1:18" s="10" customFormat="1" ht="23.25" x14ac:dyDescent="0.3">
      <c r="A8" s="26">
        <v>4</v>
      </c>
      <c r="B8" s="65" t="s">
        <v>565</v>
      </c>
      <c r="C8" s="32" t="s">
        <v>20</v>
      </c>
      <c r="D8" s="32">
        <v>38</v>
      </c>
      <c r="E8" s="57">
        <v>30</v>
      </c>
      <c r="F8" s="30">
        <f t="shared" si="0"/>
        <v>1140</v>
      </c>
      <c r="H8" s="26">
        <v>4</v>
      </c>
      <c r="I8" s="65" t="s">
        <v>565</v>
      </c>
      <c r="J8" s="32" t="s">
        <v>20</v>
      </c>
      <c r="K8" s="115">
        <v>19</v>
      </c>
      <c r="L8" s="57">
        <v>30</v>
      </c>
      <c r="M8" s="30">
        <f t="shared" si="1"/>
        <v>570</v>
      </c>
      <c r="N8" s="85"/>
      <c r="O8" s="11"/>
    </row>
    <row r="9" spans="1:18" s="10" customFormat="1" ht="23.25" x14ac:dyDescent="0.3">
      <c r="A9" s="26">
        <v>5</v>
      </c>
      <c r="B9" s="31" t="s">
        <v>566</v>
      </c>
      <c r="C9" s="32" t="s">
        <v>19</v>
      </c>
      <c r="D9" s="32">
        <v>9.5</v>
      </c>
      <c r="E9" s="57">
        <v>50</v>
      </c>
      <c r="F9" s="30">
        <f t="shared" si="0"/>
        <v>475</v>
      </c>
      <c r="H9" s="26">
        <v>5</v>
      </c>
      <c r="I9" s="31" t="s">
        <v>566</v>
      </c>
      <c r="J9" s="32" t="s">
        <v>19</v>
      </c>
      <c r="K9" s="32">
        <v>9.5</v>
      </c>
      <c r="L9" s="57">
        <v>50</v>
      </c>
      <c r="M9" s="30">
        <f t="shared" si="1"/>
        <v>475</v>
      </c>
      <c r="N9" s="85"/>
      <c r="O9" s="11"/>
    </row>
    <row r="10" spans="1:18" s="10" customFormat="1" ht="23.25" x14ac:dyDescent="0.3">
      <c r="A10" s="26">
        <v>6</v>
      </c>
      <c r="B10" s="70" t="s">
        <v>559</v>
      </c>
      <c r="C10" s="32" t="s">
        <v>20</v>
      </c>
      <c r="D10" s="88">
        <v>40</v>
      </c>
      <c r="E10" s="57">
        <v>30</v>
      </c>
      <c r="F10" s="30">
        <f t="shared" si="0"/>
        <v>1200</v>
      </c>
      <c r="H10" s="26">
        <v>6</v>
      </c>
      <c r="I10" s="70" t="s">
        <v>559</v>
      </c>
      <c r="J10" s="32" t="s">
        <v>20</v>
      </c>
      <c r="K10" s="88">
        <v>40</v>
      </c>
      <c r="L10" s="57">
        <v>30</v>
      </c>
      <c r="M10" s="30">
        <f t="shared" si="1"/>
        <v>1200</v>
      </c>
      <c r="N10" s="85"/>
      <c r="O10" s="11"/>
    </row>
    <row r="11" spans="1:18" s="10" customFormat="1" ht="23.25" x14ac:dyDescent="0.3">
      <c r="A11" s="26">
        <v>7</v>
      </c>
      <c r="B11" s="65" t="s">
        <v>556</v>
      </c>
      <c r="C11" s="32" t="s">
        <v>19</v>
      </c>
      <c r="D11" s="32">
        <v>16</v>
      </c>
      <c r="E11" s="57">
        <v>50</v>
      </c>
      <c r="F11" s="30">
        <f t="shared" si="0"/>
        <v>800</v>
      </c>
      <c r="H11" s="26">
        <v>7</v>
      </c>
      <c r="I11" s="65" t="s">
        <v>556</v>
      </c>
      <c r="J11" s="32" t="s">
        <v>19</v>
      </c>
      <c r="K11" s="32">
        <v>16</v>
      </c>
      <c r="L11" s="57">
        <v>50</v>
      </c>
      <c r="M11" s="30">
        <f t="shared" si="1"/>
        <v>800</v>
      </c>
      <c r="N11" s="85"/>
      <c r="O11" s="11"/>
    </row>
    <row r="12" spans="1:18" s="10" customFormat="1" ht="23.25" x14ac:dyDescent="0.3">
      <c r="A12" s="26">
        <v>8</v>
      </c>
      <c r="B12" s="65" t="s">
        <v>122</v>
      </c>
      <c r="C12" s="32" t="s">
        <v>119</v>
      </c>
      <c r="D12" s="32">
        <v>0.24</v>
      </c>
      <c r="E12" s="57">
        <v>460</v>
      </c>
      <c r="F12" s="30">
        <f t="shared" si="0"/>
        <v>110.39999999999999</v>
      </c>
      <c r="H12" s="26">
        <v>8</v>
      </c>
      <c r="I12" s="65" t="s">
        <v>122</v>
      </c>
      <c r="J12" s="32" t="s">
        <v>119</v>
      </c>
      <c r="K12" s="32">
        <v>0.24</v>
      </c>
      <c r="L12" s="57">
        <v>460</v>
      </c>
      <c r="M12" s="30">
        <f t="shared" si="1"/>
        <v>110.39999999999999</v>
      </c>
      <c r="N12" s="85"/>
      <c r="O12" s="11"/>
    </row>
    <row r="13" spans="1:18" ht="24" thickBot="1" x14ac:dyDescent="0.3">
      <c r="A13" s="38"/>
      <c r="B13" s="39"/>
      <c r="C13" s="39"/>
      <c r="D13" s="39"/>
      <c r="E13" s="40" t="s">
        <v>16</v>
      </c>
      <c r="F13" s="35">
        <f>SUM(F5:F12)</f>
        <v>5460.4</v>
      </c>
      <c r="H13" s="38"/>
      <c r="I13" s="39"/>
      <c r="J13" s="39"/>
      <c r="K13" s="39"/>
      <c r="L13" s="40" t="s">
        <v>16</v>
      </c>
      <c r="M13" s="35">
        <f>SUM(M5:M12)</f>
        <v>4752.3999999999996</v>
      </c>
    </row>
    <row r="14" spans="1:18" ht="26.25" thickBot="1" x14ac:dyDescent="0.3">
      <c r="A14" s="76"/>
      <c r="B14" s="77"/>
      <c r="C14" s="77"/>
      <c r="D14" s="77"/>
      <c r="E14" s="78" t="s">
        <v>21</v>
      </c>
      <c r="F14" s="12">
        <f>SUMIF(E1:E19980,"CƏMİ",F1:F19980)</f>
        <v>5460.4</v>
      </c>
      <c r="H14" s="76"/>
      <c r="I14" s="77"/>
      <c r="J14" s="77"/>
      <c r="K14" s="77"/>
      <c r="L14" s="78" t="s">
        <v>21</v>
      </c>
      <c r="M14" s="12">
        <f>SUMIF(L1:L19980,"CƏMİ",M1:M19980)</f>
        <v>4752.3999999999996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9991-ADB9-43FC-AEE0-8AF53F262961}">
  <sheetPr>
    <tabColor rgb="FFFFFF00"/>
    <pageSetUpPr fitToPage="1"/>
  </sheetPr>
  <dimension ref="A1:R13"/>
  <sheetViews>
    <sheetView view="pageBreakPreview" zoomScale="55" zoomScaleNormal="55" zoomScaleSheetLayoutView="55" workbookViewId="0">
      <pane ySplit="3" topLeftCell="A4" activePane="bottomLeft" state="frozen"/>
      <selection activeCell="A4" sqref="A4:XFD7"/>
      <selection pane="bottomLeft" activeCell="G28" sqref="G28"/>
    </sheetView>
  </sheetViews>
  <sheetFormatPr defaultColWidth="9.140625" defaultRowHeight="15" x14ac:dyDescent="0.25"/>
  <cols>
    <col min="1" max="1" width="6.7109375" style="5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7109375" style="5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494</v>
      </c>
      <c r="B1" s="175"/>
      <c r="C1" s="175"/>
      <c r="D1" s="175"/>
      <c r="E1" s="176" t="s">
        <v>0</v>
      </c>
      <c r="F1" s="177"/>
      <c r="H1" s="174" t="s">
        <v>494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F12</f>
        <v>7496</v>
      </c>
      <c r="O4" s="4"/>
    </row>
    <row r="5" spans="1:18" s="10" customFormat="1" ht="23.25" x14ac:dyDescent="0.3">
      <c r="A5" s="26">
        <v>1</v>
      </c>
      <c r="B5" s="65" t="s">
        <v>319</v>
      </c>
      <c r="C5" s="32" t="s">
        <v>20</v>
      </c>
      <c r="D5" s="32">
        <v>30</v>
      </c>
      <c r="E5" s="57">
        <v>30</v>
      </c>
      <c r="F5" s="30">
        <f>D5*E5</f>
        <v>900</v>
      </c>
      <c r="H5" s="26">
        <v>1</v>
      </c>
      <c r="I5" s="65" t="s">
        <v>319</v>
      </c>
      <c r="J5" s="32" t="s">
        <v>20</v>
      </c>
      <c r="K5" s="32">
        <v>30</v>
      </c>
      <c r="L5" s="57">
        <v>30</v>
      </c>
      <c r="M5" s="30">
        <f>K5*L5</f>
        <v>900</v>
      </c>
      <c r="N5" s="85"/>
      <c r="O5" s="11"/>
    </row>
    <row r="6" spans="1:18" s="10" customFormat="1" ht="23.25" x14ac:dyDescent="0.3">
      <c r="A6" s="26">
        <v>2</v>
      </c>
      <c r="B6" s="31" t="s">
        <v>320</v>
      </c>
      <c r="C6" s="32" t="s">
        <v>19</v>
      </c>
      <c r="D6" s="32">
        <v>9.6999999999999993</v>
      </c>
      <c r="E6" s="57">
        <v>50</v>
      </c>
      <c r="F6" s="30">
        <f t="shared" ref="F6:F11" si="0">D6*E6</f>
        <v>484.99999999999994</v>
      </c>
      <c r="H6" s="26">
        <v>2</v>
      </c>
      <c r="I6" s="31" t="s">
        <v>320</v>
      </c>
      <c r="J6" s="32" t="s">
        <v>19</v>
      </c>
      <c r="K6" s="32">
        <v>9.6999999999999993</v>
      </c>
      <c r="L6" s="57">
        <v>50</v>
      </c>
      <c r="M6" s="30">
        <f t="shared" ref="M6:M11" si="1">K6*L6</f>
        <v>484.99999999999994</v>
      </c>
      <c r="N6" s="85"/>
      <c r="O6" s="11"/>
    </row>
    <row r="7" spans="1:18" s="10" customFormat="1" ht="23.25" x14ac:dyDescent="0.3">
      <c r="A7" s="26">
        <v>3</v>
      </c>
      <c r="B7" s="70" t="s">
        <v>559</v>
      </c>
      <c r="C7" s="32" t="s">
        <v>20</v>
      </c>
      <c r="D7" s="88">
        <v>56</v>
      </c>
      <c r="E7" s="57">
        <v>30</v>
      </c>
      <c r="F7" s="30">
        <f t="shared" si="0"/>
        <v>1680</v>
      </c>
      <c r="H7" s="26">
        <v>3</v>
      </c>
      <c r="I7" s="70" t="s">
        <v>559</v>
      </c>
      <c r="J7" s="32" t="s">
        <v>20</v>
      </c>
      <c r="K7" s="88">
        <v>56</v>
      </c>
      <c r="L7" s="57">
        <v>30</v>
      </c>
      <c r="M7" s="30">
        <f t="shared" si="1"/>
        <v>1680</v>
      </c>
      <c r="N7" s="85"/>
      <c r="O7" s="11"/>
    </row>
    <row r="8" spans="1:18" s="10" customFormat="1" ht="23.25" x14ac:dyDescent="0.3">
      <c r="A8" s="26">
        <v>4</v>
      </c>
      <c r="B8" s="65" t="s">
        <v>555</v>
      </c>
      <c r="C8" s="32" t="s">
        <v>19</v>
      </c>
      <c r="D8" s="32">
        <v>16.600000000000001</v>
      </c>
      <c r="E8" s="57">
        <v>50</v>
      </c>
      <c r="F8" s="30">
        <f t="shared" si="0"/>
        <v>830.00000000000011</v>
      </c>
      <c r="H8" s="26">
        <v>4</v>
      </c>
      <c r="I8" s="65" t="s">
        <v>555</v>
      </c>
      <c r="J8" s="32" t="s">
        <v>19</v>
      </c>
      <c r="K8" s="32">
        <v>16.600000000000001</v>
      </c>
      <c r="L8" s="57">
        <v>50</v>
      </c>
      <c r="M8" s="30">
        <f t="shared" si="1"/>
        <v>830.00000000000011</v>
      </c>
      <c r="N8" s="85"/>
      <c r="O8" s="11"/>
    </row>
    <row r="9" spans="1:18" s="10" customFormat="1" ht="23.25" x14ac:dyDescent="0.3">
      <c r="A9" s="26">
        <v>5</v>
      </c>
      <c r="B9" s="65" t="s">
        <v>346</v>
      </c>
      <c r="C9" s="32" t="s">
        <v>20</v>
      </c>
      <c r="D9" s="32">
        <v>56.4</v>
      </c>
      <c r="E9" s="57">
        <v>30</v>
      </c>
      <c r="F9" s="30">
        <f t="shared" si="0"/>
        <v>1692</v>
      </c>
      <c r="H9" s="26">
        <v>5</v>
      </c>
      <c r="I9" s="65" t="s">
        <v>346</v>
      </c>
      <c r="J9" s="32" t="s">
        <v>20</v>
      </c>
      <c r="K9" s="32">
        <v>56.4</v>
      </c>
      <c r="L9" s="57">
        <v>30</v>
      </c>
      <c r="M9" s="30">
        <f t="shared" si="1"/>
        <v>1692</v>
      </c>
      <c r="N9" s="85"/>
      <c r="O9" s="11"/>
    </row>
    <row r="10" spans="1:18" s="10" customFormat="1" ht="23.25" x14ac:dyDescent="0.3">
      <c r="A10" s="26">
        <v>6</v>
      </c>
      <c r="B10" s="31" t="s">
        <v>495</v>
      </c>
      <c r="C10" s="32" t="s">
        <v>19</v>
      </c>
      <c r="D10" s="32">
        <v>36.799999999999997</v>
      </c>
      <c r="E10" s="57">
        <v>50</v>
      </c>
      <c r="F10" s="30">
        <f t="shared" si="0"/>
        <v>1839.9999999999998</v>
      </c>
      <c r="H10" s="26">
        <v>6</v>
      </c>
      <c r="I10" s="31" t="s">
        <v>495</v>
      </c>
      <c r="J10" s="32" t="s">
        <v>19</v>
      </c>
      <c r="K10" s="32">
        <v>36.799999999999997</v>
      </c>
      <c r="L10" s="57">
        <v>50</v>
      </c>
      <c r="M10" s="30">
        <f t="shared" si="1"/>
        <v>1839.9999999999998</v>
      </c>
      <c r="N10" s="85"/>
      <c r="O10" s="11"/>
    </row>
    <row r="11" spans="1:18" s="10" customFormat="1" ht="23.25" x14ac:dyDescent="0.3">
      <c r="A11" s="26">
        <v>7</v>
      </c>
      <c r="B11" s="65" t="s">
        <v>122</v>
      </c>
      <c r="C11" s="32" t="s">
        <v>119</v>
      </c>
      <c r="D11" s="32">
        <v>0.15</v>
      </c>
      <c r="E11" s="57">
        <v>460</v>
      </c>
      <c r="F11" s="30">
        <f t="shared" si="0"/>
        <v>69</v>
      </c>
      <c r="H11" s="26">
        <v>7</v>
      </c>
      <c r="I11" s="65" t="s">
        <v>122</v>
      </c>
      <c r="J11" s="32" t="s">
        <v>119</v>
      </c>
      <c r="K11" s="32">
        <v>0.15</v>
      </c>
      <c r="L11" s="57">
        <v>460</v>
      </c>
      <c r="M11" s="30">
        <f t="shared" si="1"/>
        <v>69</v>
      </c>
      <c r="N11" s="85"/>
      <c r="O11" s="11"/>
    </row>
    <row r="12" spans="1:18" ht="24" thickBot="1" x14ac:dyDescent="0.3">
      <c r="A12" s="38"/>
      <c r="B12" s="39"/>
      <c r="C12" s="39"/>
      <c r="D12" s="39"/>
      <c r="E12" s="40" t="s">
        <v>16</v>
      </c>
      <c r="F12" s="35">
        <f>SUM(F5:F11)</f>
        <v>7496</v>
      </c>
      <c r="H12" s="38"/>
      <c r="I12" s="39"/>
      <c r="J12" s="39"/>
      <c r="K12" s="39"/>
      <c r="L12" s="40" t="s">
        <v>16</v>
      </c>
      <c r="M12" s="35">
        <f>SUM(M5:M11)</f>
        <v>7496</v>
      </c>
    </row>
    <row r="13" spans="1:18" ht="26.25" thickBot="1" x14ac:dyDescent="0.3">
      <c r="A13" s="76"/>
      <c r="B13" s="77"/>
      <c r="C13" s="77"/>
      <c r="D13" s="77"/>
      <c r="E13" s="78" t="s">
        <v>21</v>
      </c>
      <c r="F13" s="12">
        <f>SUMIF(E1:E19977,"CƏMİ",F1:F19977)</f>
        <v>7496</v>
      </c>
      <c r="H13" s="76"/>
      <c r="I13" s="77"/>
      <c r="J13" s="77"/>
      <c r="K13" s="77"/>
      <c r="L13" s="78" t="s">
        <v>21</v>
      </c>
      <c r="M13" s="12">
        <f>SUMIF(L1:L19977,"CƏMİ",M1:M19977)</f>
        <v>7496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4" fitToHeight="0" orientation="portrait" r:id="rId1"/>
  <drawing r:id="rId2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5F91-F936-47F1-97F9-88F556E1773E}">
  <sheetPr>
    <tabColor rgb="FFFFFF00"/>
    <pageSetUpPr fitToPage="1"/>
  </sheetPr>
  <dimension ref="A1:R13"/>
  <sheetViews>
    <sheetView view="pageBreakPreview" zoomScale="55" zoomScaleNormal="55" zoomScaleSheetLayoutView="55" workbookViewId="0">
      <pane ySplit="3" topLeftCell="A4" activePane="bottomLeft" state="frozen"/>
      <selection activeCell="A4" sqref="A4:XFD7"/>
      <selection pane="bottomLeft" activeCell="L8" sqref="L8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506</v>
      </c>
      <c r="B1" s="175"/>
      <c r="C1" s="175"/>
      <c r="D1" s="175"/>
      <c r="E1" s="176" t="s">
        <v>0</v>
      </c>
      <c r="F1" s="177"/>
      <c r="H1" s="174" t="s">
        <v>506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F12</f>
        <v>7814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50.5</v>
      </c>
      <c r="E5" s="57">
        <v>30</v>
      </c>
      <c r="F5" s="30">
        <f>D5*E5</f>
        <v>1515</v>
      </c>
      <c r="H5" s="26">
        <v>1</v>
      </c>
      <c r="I5" s="70" t="s">
        <v>559</v>
      </c>
      <c r="J5" s="32" t="s">
        <v>20</v>
      </c>
      <c r="K5" s="88">
        <v>50.5</v>
      </c>
      <c r="L5" s="57">
        <v>30</v>
      </c>
      <c r="M5" s="30">
        <f>K5*L5</f>
        <v>1515</v>
      </c>
      <c r="N5" s="85"/>
      <c r="O5" s="11"/>
    </row>
    <row r="6" spans="1:18" s="10" customFormat="1" ht="23.25" x14ac:dyDescent="0.3">
      <c r="A6" s="26">
        <v>2</v>
      </c>
      <c r="B6" s="65" t="s">
        <v>555</v>
      </c>
      <c r="C6" s="32" t="s">
        <v>19</v>
      </c>
      <c r="D6" s="32">
        <v>15.1</v>
      </c>
      <c r="E6" s="57">
        <v>50</v>
      </c>
      <c r="F6" s="30">
        <f t="shared" ref="F6:F11" si="0">D6*E6</f>
        <v>755</v>
      </c>
      <c r="H6" s="26">
        <v>2</v>
      </c>
      <c r="I6" s="65" t="s">
        <v>555</v>
      </c>
      <c r="J6" s="32" t="s">
        <v>19</v>
      </c>
      <c r="K6" s="32">
        <v>15.1</v>
      </c>
      <c r="L6" s="57">
        <v>50</v>
      </c>
      <c r="M6" s="30">
        <f t="shared" ref="M6:M11" si="1">K6*L6</f>
        <v>755</v>
      </c>
      <c r="N6" s="85"/>
      <c r="O6" s="11"/>
    </row>
    <row r="7" spans="1:18" s="10" customFormat="1" ht="23.25" x14ac:dyDescent="0.3">
      <c r="A7" s="26">
        <v>3</v>
      </c>
      <c r="B7" s="65" t="s">
        <v>507</v>
      </c>
      <c r="C7" s="32" t="s">
        <v>20</v>
      </c>
      <c r="D7" s="32">
        <v>46.2</v>
      </c>
      <c r="E7" s="57">
        <v>30</v>
      </c>
      <c r="F7" s="30">
        <f t="shared" si="0"/>
        <v>1386</v>
      </c>
      <c r="H7" s="26">
        <v>3</v>
      </c>
      <c r="I7" s="65" t="s">
        <v>507</v>
      </c>
      <c r="J7" s="32" t="s">
        <v>20</v>
      </c>
      <c r="K7" s="32">
        <v>46.2</v>
      </c>
      <c r="L7" s="118">
        <v>25</v>
      </c>
      <c r="M7" s="30">
        <f t="shared" si="1"/>
        <v>1155</v>
      </c>
      <c r="N7" s="85"/>
      <c r="O7" s="11"/>
    </row>
    <row r="8" spans="1:18" s="10" customFormat="1" ht="23.25" x14ac:dyDescent="0.3">
      <c r="A8" s="26">
        <v>4</v>
      </c>
      <c r="B8" s="31" t="s">
        <v>508</v>
      </c>
      <c r="C8" s="32" t="s">
        <v>19</v>
      </c>
      <c r="D8" s="32">
        <v>25.7</v>
      </c>
      <c r="E8" s="57">
        <v>50</v>
      </c>
      <c r="F8" s="30">
        <f t="shared" si="0"/>
        <v>1285</v>
      </c>
      <c r="H8" s="26">
        <v>4</v>
      </c>
      <c r="I8" s="31" t="s">
        <v>508</v>
      </c>
      <c r="J8" s="32" t="s">
        <v>19</v>
      </c>
      <c r="K8" s="115">
        <v>0</v>
      </c>
      <c r="L8" s="57">
        <v>50</v>
      </c>
      <c r="M8" s="30">
        <f t="shared" si="1"/>
        <v>0</v>
      </c>
      <c r="N8" s="85"/>
      <c r="O8" s="11"/>
    </row>
    <row r="9" spans="1:18" s="10" customFormat="1" ht="23.25" x14ac:dyDescent="0.3">
      <c r="A9" s="26">
        <v>5</v>
      </c>
      <c r="B9" s="65" t="s">
        <v>319</v>
      </c>
      <c r="C9" s="32" t="s">
        <v>20</v>
      </c>
      <c r="D9" s="32">
        <v>49.5</v>
      </c>
      <c r="E9" s="57">
        <v>30</v>
      </c>
      <c r="F9" s="30">
        <f t="shared" si="0"/>
        <v>1485</v>
      </c>
      <c r="H9" s="26">
        <v>5</v>
      </c>
      <c r="I9" s="65" t="s">
        <v>319</v>
      </c>
      <c r="J9" s="32" t="s">
        <v>20</v>
      </c>
      <c r="K9" s="115">
        <v>24.7</v>
      </c>
      <c r="L9" s="57">
        <v>30</v>
      </c>
      <c r="M9" s="30">
        <f t="shared" si="1"/>
        <v>741</v>
      </c>
      <c r="N9" s="85"/>
      <c r="O9" s="11"/>
    </row>
    <row r="10" spans="1:18" s="10" customFormat="1" ht="23.25" x14ac:dyDescent="0.3">
      <c r="A10" s="26">
        <v>6</v>
      </c>
      <c r="B10" s="31" t="s">
        <v>320</v>
      </c>
      <c r="C10" s="32" t="s">
        <v>19</v>
      </c>
      <c r="D10" s="32">
        <v>25</v>
      </c>
      <c r="E10" s="57">
        <v>50</v>
      </c>
      <c r="F10" s="30">
        <f t="shared" si="0"/>
        <v>1250</v>
      </c>
      <c r="H10" s="26">
        <v>6</v>
      </c>
      <c r="I10" s="31" t="s">
        <v>320</v>
      </c>
      <c r="J10" s="32" t="s">
        <v>19</v>
      </c>
      <c r="K10" s="32">
        <v>25</v>
      </c>
      <c r="L10" s="57">
        <v>50</v>
      </c>
      <c r="M10" s="30">
        <f t="shared" si="1"/>
        <v>1250</v>
      </c>
      <c r="N10" s="85"/>
      <c r="O10" s="11"/>
    </row>
    <row r="11" spans="1:18" s="10" customFormat="1" ht="23.25" x14ac:dyDescent="0.3">
      <c r="A11" s="26">
        <v>7</v>
      </c>
      <c r="B11" s="65" t="s">
        <v>122</v>
      </c>
      <c r="C11" s="32" t="s">
        <v>119</v>
      </c>
      <c r="D11" s="32">
        <v>0.3</v>
      </c>
      <c r="E11" s="57">
        <v>460</v>
      </c>
      <c r="F11" s="30">
        <f t="shared" si="0"/>
        <v>138</v>
      </c>
      <c r="H11" s="26">
        <v>7</v>
      </c>
      <c r="I11" s="65" t="s">
        <v>122</v>
      </c>
      <c r="J11" s="32" t="s">
        <v>119</v>
      </c>
      <c r="K11" s="32">
        <v>0.3</v>
      </c>
      <c r="L11" s="57">
        <v>460</v>
      </c>
      <c r="M11" s="30">
        <f t="shared" si="1"/>
        <v>138</v>
      </c>
      <c r="N11" s="85"/>
      <c r="O11" s="11"/>
    </row>
    <row r="12" spans="1:18" ht="24" thickBot="1" x14ac:dyDescent="0.3">
      <c r="A12" s="38"/>
      <c r="B12" s="39"/>
      <c r="C12" s="39"/>
      <c r="D12" s="39"/>
      <c r="E12" s="40" t="s">
        <v>16</v>
      </c>
      <c r="F12" s="35">
        <f>SUM(F5:F11)</f>
        <v>7814</v>
      </c>
      <c r="H12" s="38"/>
      <c r="I12" s="39"/>
      <c r="J12" s="39"/>
      <c r="K12" s="39"/>
      <c r="L12" s="40" t="s">
        <v>16</v>
      </c>
      <c r="M12" s="35">
        <f>SUM(M5:M11)</f>
        <v>5554</v>
      </c>
    </row>
    <row r="13" spans="1:18" ht="26.25" thickBot="1" x14ac:dyDescent="0.3">
      <c r="A13" s="76"/>
      <c r="B13" s="77"/>
      <c r="C13" s="77"/>
      <c r="D13" s="77"/>
      <c r="E13" s="78" t="s">
        <v>21</v>
      </c>
      <c r="F13" s="12">
        <f>SUMIF(E1:E19977,"CƏMİ",F1:F19977)</f>
        <v>7814</v>
      </c>
      <c r="H13" s="76"/>
      <c r="I13" s="77"/>
      <c r="J13" s="77"/>
      <c r="K13" s="77"/>
      <c r="L13" s="78" t="s">
        <v>21</v>
      </c>
      <c r="M13" s="12">
        <f>SUMIF(L1:L19977,"CƏMİ",M1:M19977)</f>
        <v>5554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932C-B063-47B1-9D5F-C428274F9537}">
  <sheetPr>
    <tabColor rgb="FFFFFF00"/>
    <pageSetUpPr fitToPage="1"/>
  </sheetPr>
  <dimension ref="A1:R13"/>
  <sheetViews>
    <sheetView view="pageBreakPreview" zoomScale="55" zoomScaleNormal="55" zoomScaleSheetLayoutView="55" workbookViewId="0">
      <pane ySplit="3" topLeftCell="A4" activePane="bottomLeft" state="frozen"/>
      <selection activeCell="A4" sqref="A4:XFD7"/>
      <selection pane="bottomLeft" activeCell="K8" sqref="K8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475</v>
      </c>
      <c r="B1" s="175"/>
      <c r="C1" s="175"/>
      <c r="D1" s="175"/>
      <c r="E1" s="176" t="s">
        <v>0</v>
      </c>
      <c r="F1" s="177"/>
      <c r="H1" s="174" t="s">
        <v>475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F12</f>
        <v>4264</v>
      </c>
      <c r="O4" s="4"/>
    </row>
    <row r="5" spans="1:18" s="10" customFormat="1" ht="23.25" x14ac:dyDescent="0.3">
      <c r="A5" s="26">
        <v>1</v>
      </c>
      <c r="B5" s="65" t="s">
        <v>297</v>
      </c>
      <c r="C5" s="32" t="s">
        <v>20</v>
      </c>
      <c r="D5" s="32">
        <v>20</v>
      </c>
      <c r="E5" s="57">
        <v>30</v>
      </c>
      <c r="F5" s="30">
        <f>D5*E5</f>
        <v>600</v>
      </c>
      <c r="H5" s="26">
        <v>1</v>
      </c>
      <c r="I5" s="65" t="s">
        <v>297</v>
      </c>
      <c r="J5" s="32" t="s">
        <v>20</v>
      </c>
      <c r="K5" s="115">
        <v>10</v>
      </c>
      <c r="L5" s="57">
        <v>30</v>
      </c>
      <c r="M5" s="30">
        <f>K5*L5</f>
        <v>300</v>
      </c>
      <c r="N5" s="85"/>
      <c r="O5" s="11"/>
    </row>
    <row r="6" spans="1:18" s="10" customFormat="1" ht="23.25" x14ac:dyDescent="0.3">
      <c r="A6" s="26">
        <v>2</v>
      </c>
      <c r="B6" s="31" t="s">
        <v>354</v>
      </c>
      <c r="C6" s="32" t="s">
        <v>19</v>
      </c>
      <c r="D6" s="32">
        <v>16.5</v>
      </c>
      <c r="E6" s="57">
        <v>50</v>
      </c>
      <c r="F6" s="30">
        <f t="shared" ref="F6:F11" si="0">D6*E6</f>
        <v>825</v>
      </c>
      <c r="H6" s="26">
        <v>2</v>
      </c>
      <c r="I6" s="31" t="s">
        <v>354</v>
      </c>
      <c r="J6" s="32" t="s">
        <v>19</v>
      </c>
      <c r="K6" s="32">
        <v>16.5</v>
      </c>
      <c r="L6" s="57">
        <v>50</v>
      </c>
      <c r="M6" s="30">
        <f t="shared" ref="M6:M11" si="1">K6*L6</f>
        <v>825</v>
      </c>
      <c r="N6" s="85"/>
      <c r="O6" s="11"/>
    </row>
    <row r="7" spans="1:18" s="10" customFormat="1" ht="23.25" x14ac:dyDescent="0.3">
      <c r="A7" s="26">
        <v>4</v>
      </c>
      <c r="B7" s="65" t="s">
        <v>319</v>
      </c>
      <c r="C7" s="32" t="s">
        <v>20</v>
      </c>
      <c r="D7" s="32">
        <v>24.8</v>
      </c>
      <c r="E7" s="57">
        <v>30</v>
      </c>
      <c r="F7" s="30">
        <f t="shared" si="0"/>
        <v>744</v>
      </c>
      <c r="H7" s="26">
        <v>4</v>
      </c>
      <c r="I7" s="65" t="s">
        <v>319</v>
      </c>
      <c r="J7" s="32" t="s">
        <v>20</v>
      </c>
      <c r="K7" s="115">
        <v>12.4</v>
      </c>
      <c r="L7" s="57">
        <v>30</v>
      </c>
      <c r="M7" s="30">
        <f t="shared" si="1"/>
        <v>372</v>
      </c>
      <c r="N7" s="85"/>
      <c r="O7" s="11"/>
    </row>
    <row r="8" spans="1:18" s="10" customFormat="1" ht="23.25" x14ac:dyDescent="0.3">
      <c r="A8" s="26">
        <v>5</v>
      </c>
      <c r="B8" s="31" t="s">
        <v>320</v>
      </c>
      <c r="C8" s="32" t="s">
        <v>19</v>
      </c>
      <c r="D8" s="32">
        <v>9</v>
      </c>
      <c r="E8" s="57">
        <v>50</v>
      </c>
      <c r="F8" s="30">
        <f t="shared" si="0"/>
        <v>450</v>
      </c>
      <c r="H8" s="26">
        <v>5</v>
      </c>
      <c r="I8" s="31" t="s">
        <v>320</v>
      </c>
      <c r="J8" s="32" t="s">
        <v>19</v>
      </c>
      <c r="K8" s="32">
        <v>9</v>
      </c>
      <c r="L8" s="57">
        <v>50</v>
      </c>
      <c r="M8" s="30">
        <f t="shared" si="1"/>
        <v>450</v>
      </c>
      <c r="N8" s="85"/>
      <c r="O8" s="11"/>
    </row>
    <row r="9" spans="1:18" s="10" customFormat="1" ht="23.25" x14ac:dyDescent="0.3">
      <c r="A9" s="26">
        <v>6</v>
      </c>
      <c r="B9" s="70" t="s">
        <v>559</v>
      </c>
      <c r="C9" s="32" t="s">
        <v>20</v>
      </c>
      <c r="D9" s="88">
        <v>34.700000000000003</v>
      </c>
      <c r="E9" s="57">
        <v>30</v>
      </c>
      <c r="F9" s="30">
        <f t="shared" si="0"/>
        <v>1041</v>
      </c>
      <c r="H9" s="26">
        <v>6</v>
      </c>
      <c r="I9" s="70" t="s">
        <v>559</v>
      </c>
      <c r="J9" s="32" t="s">
        <v>20</v>
      </c>
      <c r="K9" s="88">
        <v>34.700000000000003</v>
      </c>
      <c r="L9" s="57">
        <v>30</v>
      </c>
      <c r="M9" s="30">
        <f t="shared" si="1"/>
        <v>1041</v>
      </c>
      <c r="N9" s="85"/>
      <c r="O9" s="11"/>
    </row>
    <row r="10" spans="1:18" s="10" customFormat="1" ht="23.25" x14ac:dyDescent="0.3">
      <c r="A10" s="26">
        <v>7</v>
      </c>
      <c r="B10" s="65" t="s">
        <v>556</v>
      </c>
      <c r="C10" s="32" t="s">
        <v>19</v>
      </c>
      <c r="D10" s="32">
        <v>10.7</v>
      </c>
      <c r="E10" s="57">
        <v>50</v>
      </c>
      <c r="F10" s="30">
        <f t="shared" si="0"/>
        <v>535</v>
      </c>
      <c r="H10" s="26">
        <v>7</v>
      </c>
      <c r="I10" s="65" t="s">
        <v>556</v>
      </c>
      <c r="J10" s="32" t="s">
        <v>19</v>
      </c>
      <c r="K10" s="32">
        <v>10.7</v>
      </c>
      <c r="L10" s="57">
        <v>50</v>
      </c>
      <c r="M10" s="30">
        <f t="shared" si="1"/>
        <v>535</v>
      </c>
      <c r="N10" s="85"/>
      <c r="O10" s="11"/>
    </row>
    <row r="11" spans="1:18" s="10" customFormat="1" ht="23.25" x14ac:dyDescent="0.3">
      <c r="A11" s="26">
        <v>8</v>
      </c>
      <c r="B11" s="65" t="s">
        <v>122</v>
      </c>
      <c r="C11" s="32" t="s">
        <v>119</v>
      </c>
      <c r="D11" s="32">
        <v>0.15</v>
      </c>
      <c r="E11" s="57">
        <v>460</v>
      </c>
      <c r="F11" s="30">
        <f t="shared" si="0"/>
        <v>69</v>
      </c>
      <c r="H11" s="26">
        <v>8</v>
      </c>
      <c r="I11" s="65" t="s">
        <v>122</v>
      </c>
      <c r="J11" s="32" t="s">
        <v>119</v>
      </c>
      <c r="K11" s="32">
        <v>0.15</v>
      </c>
      <c r="L11" s="57">
        <v>460</v>
      </c>
      <c r="M11" s="30">
        <f t="shared" si="1"/>
        <v>69</v>
      </c>
      <c r="N11" s="85"/>
      <c r="O11" s="11"/>
    </row>
    <row r="12" spans="1:18" ht="24" thickBot="1" x14ac:dyDescent="0.3">
      <c r="A12" s="38"/>
      <c r="B12" s="39"/>
      <c r="C12" s="39"/>
      <c r="D12" s="39"/>
      <c r="E12" s="40" t="s">
        <v>16</v>
      </c>
      <c r="F12" s="35">
        <f>SUM(F5:F11)</f>
        <v>4264</v>
      </c>
      <c r="H12" s="38"/>
      <c r="I12" s="39"/>
      <c r="J12" s="39"/>
      <c r="K12" s="39"/>
      <c r="L12" s="40" t="s">
        <v>16</v>
      </c>
      <c r="M12" s="35">
        <f>SUM(M5:M11)</f>
        <v>3592</v>
      </c>
    </row>
    <row r="13" spans="1:18" ht="26.25" thickBot="1" x14ac:dyDescent="0.3">
      <c r="A13" s="76"/>
      <c r="B13" s="77"/>
      <c r="C13" s="77"/>
      <c r="D13" s="77"/>
      <c r="E13" s="78" t="s">
        <v>21</v>
      </c>
      <c r="F13" s="12">
        <f>SUMIF(E1:E19977,"CƏMİ",F1:F19977)</f>
        <v>4264</v>
      </c>
      <c r="H13" s="76"/>
      <c r="I13" s="77"/>
      <c r="J13" s="77"/>
      <c r="K13" s="77"/>
      <c r="L13" s="78" t="s">
        <v>21</v>
      </c>
      <c r="M13" s="12">
        <f>SUMIF(L1:L19977,"CƏMİ",M1:M19977)</f>
        <v>3592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3ED4-BAF0-43F5-B71A-C69858CE0A8C}">
  <sheetPr>
    <tabColor rgb="FFFFFF00"/>
    <pageSetUpPr fitToPage="1"/>
  </sheetPr>
  <dimension ref="A1:R11"/>
  <sheetViews>
    <sheetView view="pageBreakPreview" zoomScale="55" zoomScaleNormal="55" zoomScaleSheetLayoutView="55" workbookViewId="0">
      <pane ySplit="3" topLeftCell="A4" activePane="bottomLeft" state="frozen"/>
      <selection activeCell="A4" sqref="A4:XFD7"/>
      <selection pane="bottomLeft" activeCell="H28" sqref="H28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462</v>
      </c>
      <c r="B1" s="175"/>
      <c r="C1" s="175"/>
      <c r="D1" s="175"/>
      <c r="E1" s="176" t="s">
        <v>0</v>
      </c>
      <c r="F1" s="177"/>
      <c r="H1" s="174" t="s">
        <v>462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F10</f>
        <v>3592.2</v>
      </c>
      <c r="O4" s="4"/>
    </row>
    <row r="5" spans="1:18" s="10" customFormat="1" ht="23.25" x14ac:dyDescent="0.3">
      <c r="A5" s="26">
        <v>1</v>
      </c>
      <c r="B5" s="65" t="s">
        <v>319</v>
      </c>
      <c r="C5" s="32" t="s">
        <v>20</v>
      </c>
      <c r="D5" s="32">
        <v>28.8</v>
      </c>
      <c r="E5" s="57">
        <v>30</v>
      </c>
      <c r="F5" s="30">
        <f>D5*E5</f>
        <v>864</v>
      </c>
      <c r="H5" s="26">
        <v>1</v>
      </c>
      <c r="I5" s="65" t="s">
        <v>319</v>
      </c>
      <c r="J5" s="32" t="s">
        <v>20</v>
      </c>
      <c r="K5" s="32">
        <v>28.8</v>
      </c>
      <c r="L5" s="57">
        <v>30</v>
      </c>
      <c r="M5" s="30">
        <f>K5*L5</f>
        <v>864</v>
      </c>
      <c r="N5" s="85"/>
      <c r="O5" s="11"/>
    </row>
    <row r="6" spans="1:18" s="10" customFormat="1" ht="23.25" x14ac:dyDescent="0.3">
      <c r="A6" s="26">
        <v>2</v>
      </c>
      <c r="B6" s="31" t="s">
        <v>320</v>
      </c>
      <c r="C6" s="32" t="s">
        <v>19</v>
      </c>
      <c r="D6" s="32">
        <v>11.8</v>
      </c>
      <c r="E6" s="57">
        <v>50</v>
      </c>
      <c r="F6" s="30">
        <f t="shared" ref="F6:F9" si="0">D6*E6</f>
        <v>590</v>
      </c>
      <c r="H6" s="26">
        <v>2</v>
      </c>
      <c r="I6" s="31" t="s">
        <v>320</v>
      </c>
      <c r="J6" s="32" t="s">
        <v>19</v>
      </c>
      <c r="K6" s="32">
        <v>11.8</v>
      </c>
      <c r="L6" s="57">
        <v>50</v>
      </c>
      <c r="M6" s="30">
        <f t="shared" ref="M6:M9" si="1">K6*L6</f>
        <v>590</v>
      </c>
      <c r="N6" s="85"/>
      <c r="O6" s="11"/>
    </row>
    <row r="7" spans="1:18" s="10" customFormat="1" ht="23.25" x14ac:dyDescent="0.3">
      <c r="A7" s="26">
        <v>3</v>
      </c>
      <c r="B7" s="70" t="s">
        <v>559</v>
      </c>
      <c r="C7" s="32" t="s">
        <v>20</v>
      </c>
      <c r="D7" s="88">
        <v>45.7</v>
      </c>
      <c r="E7" s="57">
        <v>30</v>
      </c>
      <c r="F7" s="30">
        <f t="shared" si="0"/>
        <v>1371</v>
      </c>
      <c r="H7" s="26">
        <v>3</v>
      </c>
      <c r="I7" s="70" t="s">
        <v>559</v>
      </c>
      <c r="J7" s="32" t="s">
        <v>20</v>
      </c>
      <c r="K7" s="88">
        <v>45.7</v>
      </c>
      <c r="L7" s="57">
        <v>30</v>
      </c>
      <c r="M7" s="30">
        <f t="shared" si="1"/>
        <v>1371</v>
      </c>
      <c r="N7" s="85"/>
      <c r="O7" s="11"/>
    </row>
    <row r="8" spans="1:18" s="10" customFormat="1" ht="23.25" x14ac:dyDescent="0.3">
      <c r="A8" s="26">
        <v>4</v>
      </c>
      <c r="B8" s="65" t="s">
        <v>556</v>
      </c>
      <c r="C8" s="32" t="s">
        <v>19</v>
      </c>
      <c r="D8" s="32">
        <v>14.7</v>
      </c>
      <c r="E8" s="57">
        <v>50</v>
      </c>
      <c r="F8" s="30">
        <f t="shared" si="0"/>
        <v>735</v>
      </c>
      <c r="H8" s="26">
        <v>4</v>
      </c>
      <c r="I8" s="65" t="s">
        <v>556</v>
      </c>
      <c r="J8" s="32" t="s">
        <v>19</v>
      </c>
      <c r="K8" s="32">
        <v>14.7</v>
      </c>
      <c r="L8" s="57">
        <v>50</v>
      </c>
      <c r="M8" s="30">
        <f t="shared" si="1"/>
        <v>735</v>
      </c>
      <c r="N8" s="85"/>
      <c r="O8" s="11"/>
    </row>
    <row r="9" spans="1:18" s="10" customFormat="1" ht="23.25" x14ac:dyDescent="0.3">
      <c r="A9" s="26">
        <v>5</v>
      </c>
      <c r="B9" s="65" t="s">
        <v>122</v>
      </c>
      <c r="C9" s="32" t="s">
        <v>119</v>
      </c>
      <c r="D9" s="32">
        <v>7.0000000000000007E-2</v>
      </c>
      <c r="E9" s="57">
        <v>460</v>
      </c>
      <c r="F9" s="30">
        <f t="shared" si="0"/>
        <v>32.200000000000003</v>
      </c>
      <c r="H9" s="26">
        <v>5</v>
      </c>
      <c r="I9" s="65" t="s">
        <v>122</v>
      </c>
      <c r="J9" s="32" t="s">
        <v>119</v>
      </c>
      <c r="K9" s="32">
        <v>7.0000000000000007E-2</v>
      </c>
      <c r="L9" s="57">
        <v>460</v>
      </c>
      <c r="M9" s="30">
        <f t="shared" si="1"/>
        <v>32.200000000000003</v>
      </c>
      <c r="N9" s="85"/>
      <c r="O9" s="11"/>
    </row>
    <row r="10" spans="1:18" ht="24" thickBot="1" x14ac:dyDescent="0.3">
      <c r="A10" s="38"/>
      <c r="B10" s="39"/>
      <c r="C10" s="39"/>
      <c r="D10" s="39"/>
      <c r="E10" s="40" t="s">
        <v>16</v>
      </c>
      <c r="F10" s="35">
        <f>SUM(F5:F9)</f>
        <v>3592.2</v>
      </c>
      <c r="H10" s="38"/>
      <c r="I10" s="39"/>
      <c r="J10" s="39"/>
      <c r="K10" s="39"/>
      <c r="L10" s="40" t="s">
        <v>16</v>
      </c>
      <c r="M10" s="35">
        <f>SUM(M5:M9)</f>
        <v>3592.2</v>
      </c>
    </row>
    <row r="11" spans="1:18" ht="26.25" thickBot="1" x14ac:dyDescent="0.3">
      <c r="A11" s="76"/>
      <c r="B11" s="77"/>
      <c r="C11" s="77"/>
      <c r="D11" s="77"/>
      <c r="E11" s="78" t="s">
        <v>21</v>
      </c>
      <c r="F11" s="12">
        <f>SUMIF(E1:E19977,"CƏMİ",F1:F19977)</f>
        <v>3592.2</v>
      </c>
      <c r="H11" s="76"/>
      <c r="I11" s="77"/>
      <c r="J11" s="77"/>
      <c r="K11" s="77"/>
      <c r="L11" s="78" t="s">
        <v>21</v>
      </c>
      <c r="M11" s="12">
        <f>SUMIF(L1:L19977,"CƏMİ",M1:M19977)</f>
        <v>3592.2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B2DB-29D6-4328-9930-9B4FA8F35E1D}">
  <sheetPr>
    <tabColor rgb="FFFFFF00"/>
    <pageSetUpPr fitToPage="1"/>
  </sheetPr>
  <dimension ref="A1:R10"/>
  <sheetViews>
    <sheetView view="pageBreakPreview" zoomScale="55" zoomScaleNormal="55" zoomScaleSheetLayoutView="55" workbookViewId="0">
      <pane ySplit="3" topLeftCell="A4" activePane="bottomLeft" state="frozen"/>
      <selection activeCell="A4" sqref="A4:XFD7"/>
      <selection pane="bottomLeft" activeCell="J15" sqref="J15:L44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360</v>
      </c>
      <c r="B1" s="175"/>
      <c r="C1" s="175"/>
      <c r="D1" s="175"/>
      <c r="E1" s="176" t="s">
        <v>0</v>
      </c>
      <c r="F1" s="177"/>
      <c r="H1" s="174" t="s">
        <v>360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F9</f>
        <v>3489.8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36</v>
      </c>
      <c r="E5" s="57">
        <v>30</v>
      </c>
      <c r="F5" s="30">
        <f>D5*E5</f>
        <v>1080</v>
      </c>
      <c r="H5" s="26">
        <v>1</v>
      </c>
      <c r="I5" s="70" t="s">
        <v>559</v>
      </c>
      <c r="J5" s="32" t="s">
        <v>20</v>
      </c>
      <c r="K5" s="88">
        <v>36</v>
      </c>
      <c r="L5" s="57">
        <v>30</v>
      </c>
      <c r="M5" s="30">
        <f>K5*L5</f>
        <v>1080</v>
      </c>
      <c r="N5" s="85"/>
      <c r="O5" s="11"/>
    </row>
    <row r="6" spans="1:18" s="10" customFormat="1" ht="23.25" x14ac:dyDescent="0.3">
      <c r="A6" s="26">
        <v>2</v>
      </c>
      <c r="B6" s="65" t="s">
        <v>556</v>
      </c>
      <c r="C6" s="32" t="s">
        <v>19</v>
      </c>
      <c r="D6" s="32">
        <v>11.8</v>
      </c>
      <c r="E6" s="57">
        <v>50</v>
      </c>
      <c r="F6" s="30">
        <f t="shared" ref="F6:F8" si="0">D6*E6</f>
        <v>590</v>
      </c>
      <c r="H6" s="26">
        <v>2</v>
      </c>
      <c r="I6" s="65" t="s">
        <v>556</v>
      </c>
      <c r="J6" s="32" t="s">
        <v>19</v>
      </c>
      <c r="K6" s="32">
        <v>11.8</v>
      </c>
      <c r="L6" s="57">
        <v>50</v>
      </c>
      <c r="M6" s="30">
        <f t="shared" ref="M6:M8" si="1">K6*L6</f>
        <v>590</v>
      </c>
      <c r="N6" s="85"/>
      <c r="O6" s="11"/>
    </row>
    <row r="7" spans="1:18" s="10" customFormat="1" ht="23.25" x14ac:dyDescent="0.3">
      <c r="A7" s="26">
        <v>4</v>
      </c>
      <c r="B7" s="31" t="s">
        <v>592</v>
      </c>
      <c r="C7" s="32" t="s">
        <v>19</v>
      </c>
      <c r="D7" s="32">
        <v>22</v>
      </c>
      <c r="E7" s="57">
        <v>80</v>
      </c>
      <c r="F7" s="30">
        <f t="shared" si="0"/>
        <v>1760</v>
      </c>
      <c r="H7" s="26">
        <v>4</v>
      </c>
      <c r="I7" s="31" t="s">
        <v>592</v>
      </c>
      <c r="J7" s="32" t="s">
        <v>19</v>
      </c>
      <c r="K7" s="32">
        <v>22</v>
      </c>
      <c r="L7" s="118">
        <v>25</v>
      </c>
      <c r="M7" s="30">
        <f t="shared" si="1"/>
        <v>550</v>
      </c>
      <c r="N7" s="85"/>
      <c r="O7" s="11"/>
    </row>
    <row r="8" spans="1:18" s="10" customFormat="1" ht="23.25" x14ac:dyDescent="0.3">
      <c r="A8" s="26">
        <v>5</v>
      </c>
      <c r="B8" s="65" t="s">
        <v>122</v>
      </c>
      <c r="C8" s="32" t="s">
        <v>119</v>
      </c>
      <c r="D8" s="32">
        <v>0.13</v>
      </c>
      <c r="E8" s="57">
        <v>460</v>
      </c>
      <c r="F8" s="30">
        <f t="shared" si="0"/>
        <v>59.800000000000004</v>
      </c>
      <c r="H8" s="26">
        <v>5</v>
      </c>
      <c r="I8" s="65" t="s">
        <v>122</v>
      </c>
      <c r="J8" s="32" t="s">
        <v>119</v>
      </c>
      <c r="K8" s="32">
        <v>0.13</v>
      </c>
      <c r="L8" s="57">
        <v>460</v>
      </c>
      <c r="M8" s="30">
        <f t="shared" si="1"/>
        <v>59.800000000000004</v>
      </c>
      <c r="N8" s="85"/>
      <c r="O8" s="11"/>
    </row>
    <row r="9" spans="1:18" ht="24" thickBot="1" x14ac:dyDescent="0.3">
      <c r="A9" s="38"/>
      <c r="B9" s="39"/>
      <c r="C9" s="39"/>
      <c r="D9" s="39"/>
      <c r="E9" s="40" t="s">
        <v>16</v>
      </c>
      <c r="F9" s="35">
        <f>SUM(F5:F8)</f>
        <v>3489.8</v>
      </c>
      <c r="H9" s="38"/>
      <c r="I9" s="39"/>
      <c r="J9" s="39"/>
      <c r="K9" s="39"/>
      <c r="L9" s="40" t="s">
        <v>16</v>
      </c>
      <c r="M9" s="35">
        <f>SUM(M5:M8)</f>
        <v>2279.8000000000002</v>
      </c>
    </row>
    <row r="10" spans="1:18" ht="26.25" thickBot="1" x14ac:dyDescent="0.3">
      <c r="A10" s="76"/>
      <c r="B10" s="77"/>
      <c r="C10" s="77"/>
      <c r="D10" s="77"/>
      <c r="E10" s="78" t="s">
        <v>21</v>
      </c>
      <c r="F10" s="12">
        <f>SUMIF(E1:E19977,"CƏMİ",F1:F19977)</f>
        <v>3489.8</v>
      </c>
      <c r="H10" s="76"/>
      <c r="I10" s="77"/>
      <c r="J10" s="77"/>
      <c r="K10" s="77"/>
      <c r="L10" s="78" t="s">
        <v>21</v>
      </c>
      <c r="M10" s="12">
        <f>SUMIF(L1:L19977,"CƏMİ",M1:M19977)</f>
        <v>2279.8000000000002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C19D0-EC5C-49FC-BAFE-5B402FD4F8D6}">
  <sheetPr>
    <tabColor rgb="FFFFFF00"/>
    <pageSetUpPr fitToPage="1"/>
  </sheetPr>
  <dimension ref="A1:R18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L12" sqref="L12"/>
    </sheetView>
  </sheetViews>
  <sheetFormatPr defaultColWidth="9.140625" defaultRowHeight="15" x14ac:dyDescent="0.25"/>
  <cols>
    <col min="1" max="1" width="6.42578125" style="5" bestFit="1" customWidth="1"/>
    <col min="2" max="2" width="120.570312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20.570312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260</v>
      </c>
      <c r="B1" s="175"/>
      <c r="C1" s="175"/>
      <c r="D1" s="175"/>
      <c r="E1" s="176" t="s">
        <v>0</v>
      </c>
      <c r="F1" s="177"/>
      <c r="H1" s="174" t="s">
        <v>260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45219</v>
      </c>
      <c r="H2" s="17"/>
      <c r="I2" s="18"/>
      <c r="J2" s="18"/>
      <c r="K2" s="19"/>
      <c r="L2" s="18"/>
      <c r="M2" s="46">
        <v>45219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F17</f>
        <v>15053</v>
      </c>
      <c r="O4" s="4"/>
    </row>
    <row r="5" spans="1:18" s="10" customFormat="1" ht="23.25" x14ac:dyDescent="0.3">
      <c r="A5" s="26">
        <v>1</v>
      </c>
      <c r="B5" s="70" t="s">
        <v>750</v>
      </c>
      <c r="C5" s="32" t="s">
        <v>20</v>
      </c>
      <c r="D5" s="88">
        <v>80.8</v>
      </c>
      <c r="E5" s="57">
        <v>30</v>
      </c>
      <c r="F5" s="30">
        <f t="shared" ref="F5:F15" si="0">D5*E5</f>
        <v>2424</v>
      </c>
      <c r="H5" s="26">
        <v>1</v>
      </c>
      <c r="I5" s="70" t="s">
        <v>750</v>
      </c>
      <c r="J5" s="32" t="s">
        <v>20</v>
      </c>
      <c r="K5" s="88">
        <v>80.8</v>
      </c>
      <c r="L5" s="57">
        <v>30</v>
      </c>
      <c r="M5" s="30">
        <f t="shared" ref="M5:M6" si="1">K5*L5</f>
        <v>2424</v>
      </c>
      <c r="N5" s="85"/>
      <c r="O5" s="11"/>
    </row>
    <row r="6" spans="1:18" s="10" customFormat="1" ht="23.25" x14ac:dyDescent="0.3">
      <c r="A6" s="26">
        <v>2</v>
      </c>
      <c r="B6" s="65" t="s">
        <v>44</v>
      </c>
      <c r="C6" s="32" t="s">
        <v>19</v>
      </c>
      <c r="D6" s="32">
        <v>26.7</v>
      </c>
      <c r="E6" s="57">
        <v>50</v>
      </c>
      <c r="F6" s="30">
        <f t="shared" si="0"/>
        <v>1335</v>
      </c>
      <c r="H6" s="26">
        <v>2</v>
      </c>
      <c r="I6" s="65" t="s">
        <v>44</v>
      </c>
      <c r="J6" s="32" t="s">
        <v>19</v>
      </c>
      <c r="K6" s="32">
        <v>26.7</v>
      </c>
      <c r="L6" s="57">
        <v>50</v>
      </c>
      <c r="M6" s="30">
        <f t="shared" si="1"/>
        <v>1335</v>
      </c>
      <c r="N6" s="85"/>
      <c r="O6" s="11"/>
    </row>
    <row r="7" spans="1:18" s="10" customFormat="1" ht="23.25" x14ac:dyDescent="0.3">
      <c r="A7" s="26">
        <v>3</v>
      </c>
      <c r="B7" s="65" t="s">
        <v>172</v>
      </c>
      <c r="C7" s="32" t="s">
        <v>20</v>
      </c>
      <c r="D7" s="32">
        <v>53.1</v>
      </c>
      <c r="E7" s="57">
        <v>30</v>
      </c>
      <c r="F7" s="30">
        <f>D7*E7</f>
        <v>1593</v>
      </c>
      <c r="H7" s="26">
        <v>3</v>
      </c>
      <c r="I7" s="65" t="s">
        <v>172</v>
      </c>
      <c r="J7" s="32" t="s">
        <v>20</v>
      </c>
      <c r="K7" s="32">
        <v>53.1</v>
      </c>
      <c r="L7" s="118">
        <v>25</v>
      </c>
      <c r="M7" s="30">
        <f>K7*L7</f>
        <v>1327.5</v>
      </c>
      <c r="N7" s="85"/>
      <c r="O7" s="11"/>
    </row>
    <row r="8" spans="1:18" s="10" customFormat="1" ht="23.25" x14ac:dyDescent="0.3">
      <c r="A8" s="26">
        <v>4</v>
      </c>
      <c r="B8" s="65" t="s">
        <v>744</v>
      </c>
      <c r="C8" s="32" t="s">
        <v>19</v>
      </c>
      <c r="D8" s="32">
        <v>35</v>
      </c>
      <c r="E8" s="57">
        <v>50</v>
      </c>
      <c r="F8" s="30">
        <f>D8*E8</f>
        <v>1750</v>
      </c>
      <c r="H8" s="26">
        <v>4</v>
      </c>
      <c r="I8" s="65" t="s">
        <v>744</v>
      </c>
      <c r="J8" s="32" t="s">
        <v>19</v>
      </c>
      <c r="K8" s="115">
        <v>0</v>
      </c>
      <c r="L8" s="57">
        <v>50</v>
      </c>
      <c r="M8" s="30">
        <f>K8*L8</f>
        <v>0</v>
      </c>
      <c r="N8" s="85"/>
      <c r="O8" s="11"/>
    </row>
    <row r="9" spans="1:18" s="10" customFormat="1" ht="23.25" x14ac:dyDescent="0.3">
      <c r="A9" s="26">
        <v>5</v>
      </c>
      <c r="B9" s="65" t="s">
        <v>227</v>
      </c>
      <c r="C9" s="32" t="s">
        <v>20</v>
      </c>
      <c r="D9" s="32">
        <v>40</v>
      </c>
      <c r="E9" s="57">
        <v>30</v>
      </c>
      <c r="F9" s="30">
        <f t="shared" si="0"/>
        <v>1200</v>
      </c>
      <c r="H9" s="26">
        <v>5</v>
      </c>
      <c r="I9" s="65" t="s">
        <v>227</v>
      </c>
      <c r="J9" s="32" t="s">
        <v>20</v>
      </c>
      <c r="K9" s="115">
        <v>20</v>
      </c>
      <c r="L9" s="57">
        <v>30</v>
      </c>
      <c r="M9" s="30">
        <f t="shared" ref="M9:M16" si="2">K9*L9</f>
        <v>600</v>
      </c>
      <c r="N9" s="85"/>
      <c r="O9" s="11"/>
    </row>
    <row r="10" spans="1:18" s="10" customFormat="1" ht="23.25" x14ac:dyDescent="0.3">
      <c r="A10" s="26">
        <v>6</v>
      </c>
      <c r="B10" s="65" t="s">
        <v>231</v>
      </c>
      <c r="C10" s="32" t="s">
        <v>19</v>
      </c>
      <c r="D10" s="88">
        <v>15</v>
      </c>
      <c r="E10" s="57">
        <v>50</v>
      </c>
      <c r="F10" s="30">
        <f t="shared" si="0"/>
        <v>750</v>
      </c>
      <c r="H10" s="26">
        <v>6</v>
      </c>
      <c r="I10" s="65" t="s">
        <v>231</v>
      </c>
      <c r="J10" s="32" t="s">
        <v>19</v>
      </c>
      <c r="K10" s="88">
        <v>15</v>
      </c>
      <c r="L10" s="57">
        <v>50</v>
      </c>
      <c r="M10" s="30">
        <f t="shared" si="2"/>
        <v>750</v>
      </c>
      <c r="N10" s="85"/>
      <c r="O10" s="11"/>
    </row>
    <row r="11" spans="1:18" s="10" customFormat="1" ht="23.25" x14ac:dyDescent="0.3">
      <c r="A11" s="26">
        <v>7</v>
      </c>
      <c r="B11" s="65" t="s">
        <v>778</v>
      </c>
      <c r="C11" s="32" t="s">
        <v>19</v>
      </c>
      <c r="D11" s="32">
        <v>11.4</v>
      </c>
      <c r="E11" s="57">
        <v>80</v>
      </c>
      <c r="F11" s="30">
        <f t="shared" si="0"/>
        <v>912</v>
      </c>
      <c r="H11" s="26">
        <v>7</v>
      </c>
      <c r="I11" s="65" t="s">
        <v>778</v>
      </c>
      <c r="J11" s="32" t="s">
        <v>19</v>
      </c>
      <c r="K11" s="32">
        <v>11.4</v>
      </c>
      <c r="L11" s="118">
        <v>25</v>
      </c>
      <c r="M11" s="30">
        <f t="shared" si="2"/>
        <v>285</v>
      </c>
      <c r="N11" s="85"/>
      <c r="O11" s="11"/>
    </row>
    <row r="12" spans="1:18" s="10" customFormat="1" ht="23.25" x14ac:dyDescent="0.3">
      <c r="A12" s="26">
        <v>8</v>
      </c>
      <c r="B12" s="65" t="s">
        <v>749</v>
      </c>
      <c r="C12" s="32" t="s">
        <v>19</v>
      </c>
      <c r="D12" s="32">
        <v>7.9</v>
      </c>
      <c r="E12" s="57">
        <v>80</v>
      </c>
      <c r="F12" s="30">
        <f t="shared" ref="F12" si="3">D12*E12</f>
        <v>632</v>
      </c>
      <c r="H12" s="26">
        <v>8</v>
      </c>
      <c r="I12" s="65" t="s">
        <v>749</v>
      </c>
      <c r="J12" s="32" t="s">
        <v>19</v>
      </c>
      <c r="K12" s="32">
        <v>7.9</v>
      </c>
      <c r="L12" s="57">
        <v>80</v>
      </c>
      <c r="M12" s="30">
        <f t="shared" si="2"/>
        <v>632</v>
      </c>
      <c r="N12" s="85"/>
      <c r="O12" s="11"/>
    </row>
    <row r="13" spans="1:18" s="10" customFormat="1" ht="23.25" x14ac:dyDescent="0.3">
      <c r="A13" s="26">
        <v>9</v>
      </c>
      <c r="B13" s="65" t="s">
        <v>262</v>
      </c>
      <c r="C13" s="32" t="s">
        <v>20</v>
      </c>
      <c r="D13" s="32">
        <v>34.9</v>
      </c>
      <c r="E13" s="57">
        <v>30</v>
      </c>
      <c r="F13" s="30">
        <f t="shared" si="0"/>
        <v>1047</v>
      </c>
      <c r="H13" s="26">
        <v>9</v>
      </c>
      <c r="I13" s="65" t="s">
        <v>262</v>
      </c>
      <c r="J13" s="32" t="s">
        <v>20</v>
      </c>
      <c r="K13" s="32">
        <v>34.9</v>
      </c>
      <c r="L13" s="57">
        <v>30</v>
      </c>
      <c r="M13" s="30">
        <f t="shared" si="2"/>
        <v>1047</v>
      </c>
      <c r="N13" s="85"/>
      <c r="O13" s="11"/>
    </row>
    <row r="14" spans="1:18" s="10" customFormat="1" ht="23.25" x14ac:dyDescent="0.3">
      <c r="A14" s="26">
        <v>10</v>
      </c>
      <c r="B14" s="65" t="s">
        <v>259</v>
      </c>
      <c r="C14" s="32" t="s">
        <v>19</v>
      </c>
      <c r="D14" s="32">
        <v>14.4</v>
      </c>
      <c r="E14" s="57">
        <v>50</v>
      </c>
      <c r="F14" s="30">
        <f t="shared" si="0"/>
        <v>720</v>
      </c>
      <c r="H14" s="26">
        <v>10</v>
      </c>
      <c r="I14" s="65" t="s">
        <v>259</v>
      </c>
      <c r="J14" s="32" t="s">
        <v>19</v>
      </c>
      <c r="K14" s="32">
        <v>14.4</v>
      </c>
      <c r="L14" s="57">
        <v>50</v>
      </c>
      <c r="M14" s="30">
        <f t="shared" si="2"/>
        <v>720</v>
      </c>
      <c r="N14" s="85"/>
      <c r="O14" s="11"/>
    </row>
    <row r="15" spans="1:18" s="10" customFormat="1" ht="23.25" x14ac:dyDescent="0.3">
      <c r="A15" s="26">
        <v>11</v>
      </c>
      <c r="B15" s="65" t="s">
        <v>779</v>
      </c>
      <c r="C15" s="32" t="s">
        <v>19</v>
      </c>
      <c r="D15" s="32">
        <v>28</v>
      </c>
      <c r="E15" s="57">
        <v>80</v>
      </c>
      <c r="F15" s="30">
        <f t="shared" si="0"/>
        <v>2240</v>
      </c>
      <c r="H15" s="26">
        <v>11</v>
      </c>
      <c r="I15" s="65" t="s">
        <v>779</v>
      </c>
      <c r="J15" s="32" t="s">
        <v>19</v>
      </c>
      <c r="K15" s="32">
        <v>28</v>
      </c>
      <c r="L15" s="57">
        <v>80</v>
      </c>
      <c r="M15" s="30">
        <f t="shared" si="2"/>
        <v>2240</v>
      </c>
      <c r="N15" s="85"/>
      <c r="O15" s="11"/>
    </row>
    <row r="16" spans="1:18" s="10" customFormat="1" ht="23.25" x14ac:dyDescent="0.3">
      <c r="A16" s="26">
        <v>12</v>
      </c>
      <c r="B16" s="65" t="s">
        <v>263</v>
      </c>
      <c r="C16" s="32" t="s">
        <v>20</v>
      </c>
      <c r="D16" s="32">
        <v>15</v>
      </c>
      <c r="E16" s="57">
        <v>30</v>
      </c>
      <c r="F16" s="30">
        <f t="shared" ref="F16" si="4">D16*E16</f>
        <v>450</v>
      </c>
      <c r="H16" s="26">
        <v>12</v>
      </c>
      <c r="I16" s="65" t="s">
        <v>263</v>
      </c>
      <c r="J16" s="32" t="s">
        <v>20</v>
      </c>
      <c r="K16" s="32">
        <v>15</v>
      </c>
      <c r="L16" s="57">
        <v>30</v>
      </c>
      <c r="M16" s="30">
        <f t="shared" si="2"/>
        <v>450</v>
      </c>
      <c r="N16" s="85"/>
      <c r="O16" s="11"/>
    </row>
    <row r="17" spans="1:13" ht="24" thickBot="1" x14ac:dyDescent="0.3">
      <c r="A17" s="38"/>
      <c r="B17" s="39"/>
      <c r="C17" s="39"/>
      <c r="D17" s="39"/>
      <c r="E17" s="40" t="s">
        <v>16</v>
      </c>
      <c r="F17" s="35">
        <f>SUM(F5:F16)</f>
        <v>15053</v>
      </c>
      <c r="H17" s="38"/>
      <c r="I17" s="39"/>
      <c r="J17" s="39"/>
      <c r="K17" s="39"/>
      <c r="L17" s="40" t="s">
        <v>16</v>
      </c>
      <c r="M17" s="35">
        <f>SUM(M5:M16)</f>
        <v>11810.5</v>
      </c>
    </row>
    <row r="18" spans="1:13" ht="26.25" thickBot="1" x14ac:dyDescent="0.3">
      <c r="A18" s="76"/>
      <c r="B18" s="77"/>
      <c r="C18" s="77"/>
      <c r="D18" s="77"/>
      <c r="E18" s="78" t="s">
        <v>21</v>
      </c>
      <c r="F18" s="12">
        <f>SUMIF(E1:E19977,"CƏMİ",F1:F19977)</f>
        <v>15053</v>
      </c>
      <c r="H18" s="76"/>
      <c r="I18" s="77"/>
      <c r="J18" s="77"/>
      <c r="K18" s="77"/>
      <c r="L18" s="78" t="s">
        <v>21</v>
      </c>
      <c r="M18" s="12">
        <f>SUMIF(L1:L19977,"CƏMİ",M1:M19977)</f>
        <v>11810.5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4" fitToHeight="0" orientation="portrait" r:id="rId1"/>
  <drawing r:id="rId2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8D6E-3313-4541-8748-7E43B569FC00}">
  <sheetPr>
    <tabColor rgb="FFFFFF00"/>
    <pageSetUpPr fitToPage="1"/>
  </sheetPr>
  <dimension ref="A1:R11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F55" sqref="F55"/>
    </sheetView>
  </sheetViews>
  <sheetFormatPr defaultColWidth="9.140625" defaultRowHeight="15" x14ac:dyDescent="0.25"/>
  <cols>
    <col min="1" max="1" width="6.42578125" style="5" bestFit="1" customWidth="1"/>
    <col min="2" max="2" width="116.14062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6.14062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232</v>
      </c>
      <c r="B1" s="175"/>
      <c r="C1" s="175"/>
      <c r="D1" s="175"/>
      <c r="E1" s="176" t="s">
        <v>0</v>
      </c>
      <c r="F1" s="177"/>
      <c r="H1" s="174" t="s">
        <v>232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45219</v>
      </c>
      <c r="H2" s="17"/>
      <c r="I2" s="18"/>
      <c r="J2" s="18"/>
      <c r="K2" s="19"/>
      <c r="L2" s="18"/>
      <c r="M2" s="46">
        <v>45219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F10</f>
        <v>3668</v>
      </c>
      <c r="O4" s="4"/>
    </row>
    <row r="5" spans="1:18" s="10" customFormat="1" ht="23.25" x14ac:dyDescent="0.3">
      <c r="A5" s="26">
        <v>1</v>
      </c>
      <c r="B5" s="70" t="s">
        <v>750</v>
      </c>
      <c r="C5" s="32" t="s">
        <v>20</v>
      </c>
      <c r="D5" s="88">
        <v>35.799999999999997</v>
      </c>
      <c r="E5" s="57">
        <v>30</v>
      </c>
      <c r="F5" s="30">
        <f>D5*E5</f>
        <v>1074</v>
      </c>
      <c r="H5" s="26">
        <v>1</v>
      </c>
      <c r="I5" s="70" t="s">
        <v>750</v>
      </c>
      <c r="J5" s="32" t="s">
        <v>20</v>
      </c>
      <c r="K5" s="88">
        <v>35.799999999999997</v>
      </c>
      <c r="L5" s="57">
        <v>30</v>
      </c>
      <c r="M5" s="30">
        <f>K5*L5</f>
        <v>1074</v>
      </c>
      <c r="N5" s="85"/>
      <c r="O5" s="11"/>
    </row>
    <row r="6" spans="1:18" s="10" customFormat="1" ht="23.25" x14ac:dyDescent="0.3">
      <c r="A6" s="26">
        <v>2</v>
      </c>
      <c r="B6" s="65" t="s">
        <v>776</v>
      </c>
      <c r="C6" s="32" t="s">
        <v>19</v>
      </c>
      <c r="D6" s="32">
        <v>11.7</v>
      </c>
      <c r="E6" s="57">
        <v>50</v>
      </c>
      <c r="F6" s="30">
        <f>D6*E6</f>
        <v>585</v>
      </c>
      <c r="H6" s="26">
        <v>2</v>
      </c>
      <c r="I6" s="65" t="s">
        <v>776</v>
      </c>
      <c r="J6" s="32" t="s">
        <v>19</v>
      </c>
      <c r="K6" s="32">
        <v>11.7</v>
      </c>
      <c r="L6" s="57">
        <v>50</v>
      </c>
      <c r="M6" s="30">
        <f>K6*L6</f>
        <v>585</v>
      </c>
      <c r="N6" s="85"/>
      <c r="O6" s="11"/>
    </row>
    <row r="7" spans="1:18" s="10" customFormat="1" ht="23.25" x14ac:dyDescent="0.3">
      <c r="A7" s="26">
        <v>3</v>
      </c>
      <c r="B7" s="65" t="s">
        <v>227</v>
      </c>
      <c r="C7" s="32" t="s">
        <v>20</v>
      </c>
      <c r="D7" s="32">
        <v>36</v>
      </c>
      <c r="E7" s="57">
        <v>30</v>
      </c>
      <c r="F7" s="30">
        <f>D7*E7</f>
        <v>1080</v>
      </c>
      <c r="H7" s="26">
        <v>3</v>
      </c>
      <c r="I7" s="65" t="s">
        <v>227</v>
      </c>
      <c r="J7" s="32" t="s">
        <v>20</v>
      </c>
      <c r="K7" s="115">
        <v>18</v>
      </c>
      <c r="L7" s="57">
        <v>30</v>
      </c>
      <c r="M7" s="30">
        <f>K7*L7</f>
        <v>540</v>
      </c>
      <c r="N7" s="85"/>
      <c r="O7" s="11"/>
    </row>
    <row r="8" spans="1:18" s="10" customFormat="1" ht="23.25" x14ac:dyDescent="0.3">
      <c r="A8" s="26">
        <v>4</v>
      </c>
      <c r="B8" s="65" t="s">
        <v>231</v>
      </c>
      <c r="C8" s="32" t="s">
        <v>19</v>
      </c>
      <c r="D8" s="88">
        <v>17.2</v>
      </c>
      <c r="E8" s="57">
        <v>50</v>
      </c>
      <c r="F8" s="30">
        <f>D8*E8</f>
        <v>860</v>
      </c>
      <c r="H8" s="26">
        <v>4</v>
      </c>
      <c r="I8" s="65" t="s">
        <v>231</v>
      </c>
      <c r="J8" s="32" t="s">
        <v>19</v>
      </c>
      <c r="K8" s="115">
        <v>9</v>
      </c>
      <c r="L8" s="57">
        <v>50</v>
      </c>
      <c r="M8" s="30">
        <f>K8*L8</f>
        <v>450</v>
      </c>
      <c r="N8" s="85"/>
      <c r="O8" s="11"/>
    </row>
    <row r="9" spans="1:18" s="10" customFormat="1" ht="23.25" x14ac:dyDescent="0.3">
      <c r="A9" s="26">
        <v>5</v>
      </c>
      <c r="B9" s="65" t="s">
        <v>122</v>
      </c>
      <c r="C9" s="32" t="s">
        <v>119</v>
      </c>
      <c r="D9" s="32">
        <v>0.15</v>
      </c>
      <c r="E9" s="57">
        <v>460</v>
      </c>
      <c r="F9" s="30">
        <f t="shared" ref="F9" si="0">D9*E9</f>
        <v>69</v>
      </c>
      <c r="H9" s="26">
        <v>5</v>
      </c>
      <c r="I9" s="65" t="s">
        <v>122</v>
      </c>
      <c r="J9" s="32" t="s">
        <v>119</v>
      </c>
      <c r="K9" s="32">
        <v>0.15</v>
      </c>
      <c r="L9" s="57">
        <v>460</v>
      </c>
      <c r="M9" s="30">
        <f t="shared" ref="M9" si="1">K9*L9</f>
        <v>69</v>
      </c>
      <c r="N9" s="85"/>
      <c r="O9" s="11"/>
    </row>
    <row r="10" spans="1:18" ht="24" thickBot="1" x14ac:dyDescent="0.3">
      <c r="A10" s="38"/>
      <c r="B10" s="39"/>
      <c r="C10" s="39"/>
      <c r="D10" s="39"/>
      <c r="E10" s="40" t="s">
        <v>16</v>
      </c>
      <c r="F10" s="35">
        <f>SUM(F5:F9)</f>
        <v>3668</v>
      </c>
      <c r="H10" s="38"/>
      <c r="I10" s="39"/>
      <c r="J10" s="39"/>
      <c r="K10" s="39"/>
      <c r="L10" s="40" t="s">
        <v>16</v>
      </c>
      <c r="M10" s="35">
        <f>SUM(M5:M9)</f>
        <v>2718</v>
      </c>
    </row>
    <row r="11" spans="1:18" ht="26.25" thickBot="1" x14ac:dyDescent="0.3">
      <c r="A11" s="76"/>
      <c r="B11" s="77"/>
      <c r="C11" s="77"/>
      <c r="D11" s="77"/>
      <c r="E11" s="78" t="s">
        <v>21</v>
      </c>
      <c r="F11" s="12">
        <f>SUMIF(E1:E19977,"CƏMİ",F1:F19977)</f>
        <v>3668</v>
      </c>
      <c r="H11" s="76"/>
      <c r="I11" s="77"/>
      <c r="J11" s="77"/>
      <c r="K11" s="77"/>
      <c r="L11" s="78" t="s">
        <v>21</v>
      </c>
      <c r="M11" s="12">
        <f>SUMIF(L1:L19977,"CƏMİ",M1:M19977)</f>
        <v>2718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4" fitToHeight="0" orientation="portrait" r:id="rId1"/>
  <drawing r:id="rId2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6D32-99E4-4345-A041-DE7A9D4CE62A}">
  <sheetPr>
    <tabColor rgb="FFFFFF00"/>
    <pageSetUpPr fitToPage="1"/>
  </sheetPr>
  <dimension ref="A1:R11"/>
  <sheetViews>
    <sheetView view="pageBreakPreview" zoomScale="55" zoomScaleNormal="55" zoomScaleSheetLayoutView="55" workbookViewId="0">
      <pane ySplit="3" topLeftCell="A4" activePane="bottomLeft" state="frozen"/>
      <selection activeCell="A4" sqref="A4:XFD10"/>
      <selection pane="bottomLeft" activeCell="K6" sqref="K6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628</v>
      </c>
      <c r="B1" s="175"/>
      <c r="C1" s="175"/>
      <c r="D1" s="175"/>
      <c r="E1" s="176" t="s">
        <v>0</v>
      </c>
      <c r="F1" s="177"/>
      <c r="H1" s="174" t="s">
        <v>628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F10</f>
        <v>3669</v>
      </c>
      <c r="O4" s="4"/>
    </row>
    <row r="5" spans="1:18" s="10" customFormat="1" ht="23.25" x14ac:dyDescent="0.3">
      <c r="A5" s="26">
        <v>1</v>
      </c>
      <c r="B5" s="65" t="s">
        <v>319</v>
      </c>
      <c r="C5" s="32" t="s">
        <v>20</v>
      </c>
      <c r="D5" s="32">
        <v>32</v>
      </c>
      <c r="E5" s="57">
        <v>30</v>
      </c>
      <c r="F5" s="30">
        <f>D5*E5</f>
        <v>960</v>
      </c>
      <c r="H5" s="26">
        <v>1</v>
      </c>
      <c r="I5" s="65" t="s">
        <v>319</v>
      </c>
      <c r="J5" s="32" t="s">
        <v>20</v>
      </c>
      <c r="K5" s="115">
        <v>16</v>
      </c>
      <c r="L5" s="57">
        <v>30</v>
      </c>
      <c r="M5" s="30">
        <f>K5*L5</f>
        <v>480</v>
      </c>
      <c r="N5" s="85"/>
      <c r="O5" s="11"/>
    </row>
    <row r="6" spans="1:18" s="10" customFormat="1" ht="23.25" x14ac:dyDescent="0.3">
      <c r="A6" s="26">
        <v>2</v>
      </c>
      <c r="B6" s="31" t="s">
        <v>320</v>
      </c>
      <c r="C6" s="32" t="s">
        <v>19</v>
      </c>
      <c r="D6" s="32">
        <v>10.5</v>
      </c>
      <c r="E6" s="57">
        <v>50</v>
      </c>
      <c r="F6" s="30">
        <f t="shared" ref="F6:F9" si="0">D6*E6</f>
        <v>525</v>
      </c>
      <c r="H6" s="26">
        <v>2</v>
      </c>
      <c r="I6" s="31" t="s">
        <v>320</v>
      </c>
      <c r="J6" s="32" t="s">
        <v>19</v>
      </c>
      <c r="K6" s="32">
        <v>10.5</v>
      </c>
      <c r="L6" s="57">
        <v>50</v>
      </c>
      <c r="M6" s="30">
        <f t="shared" ref="M6:M9" si="1">K6*L6</f>
        <v>525</v>
      </c>
      <c r="N6" s="85"/>
      <c r="O6" s="11"/>
    </row>
    <row r="7" spans="1:18" s="10" customFormat="1" ht="23.25" x14ac:dyDescent="0.3">
      <c r="A7" s="26">
        <v>3</v>
      </c>
      <c r="B7" s="70" t="s">
        <v>559</v>
      </c>
      <c r="C7" s="32" t="s">
        <v>20</v>
      </c>
      <c r="D7" s="88">
        <v>47.1</v>
      </c>
      <c r="E7" s="57">
        <v>30</v>
      </c>
      <c r="F7" s="30">
        <f t="shared" si="0"/>
        <v>1413</v>
      </c>
      <c r="H7" s="26">
        <v>3</v>
      </c>
      <c r="I7" s="70" t="s">
        <v>559</v>
      </c>
      <c r="J7" s="32" t="s">
        <v>20</v>
      </c>
      <c r="K7" s="88">
        <v>47.1</v>
      </c>
      <c r="L7" s="57">
        <v>30</v>
      </c>
      <c r="M7" s="30">
        <f t="shared" si="1"/>
        <v>1413</v>
      </c>
      <c r="N7" s="85"/>
      <c r="O7" s="11"/>
    </row>
    <row r="8" spans="1:18" s="10" customFormat="1" ht="23.25" x14ac:dyDescent="0.3">
      <c r="A8" s="26">
        <v>4</v>
      </c>
      <c r="B8" s="65" t="s">
        <v>555</v>
      </c>
      <c r="C8" s="32" t="s">
        <v>19</v>
      </c>
      <c r="D8" s="32">
        <v>14.5</v>
      </c>
      <c r="E8" s="57">
        <v>50</v>
      </c>
      <c r="F8" s="30">
        <f t="shared" si="0"/>
        <v>725</v>
      </c>
      <c r="H8" s="26">
        <v>4</v>
      </c>
      <c r="I8" s="65" t="s">
        <v>555</v>
      </c>
      <c r="J8" s="32" t="s">
        <v>19</v>
      </c>
      <c r="K8" s="32">
        <v>14.5</v>
      </c>
      <c r="L8" s="57">
        <v>50</v>
      </c>
      <c r="M8" s="30">
        <f t="shared" si="1"/>
        <v>725</v>
      </c>
      <c r="N8" s="85"/>
      <c r="O8" s="11"/>
    </row>
    <row r="9" spans="1:18" s="10" customFormat="1" ht="23.25" x14ac:dyDescent="0.3">
      <c r="A9" s="26">
        <v>5</v>
      </c>
      <c r="B9" s="65" t="s">
        <v>122</v>
      </c>
      <c r="C9" s="32" t="s">
        <v>119</v>
      </c>
      <c r="D9" s="32">
        <v>0.1</v>
      </c>
      <c r="E9" s="57">
        <v>460</v>
      </c>
      <c r="F9" s="30">
        <f t="shared" si="0"/>
        <v>46</v>
      </c>
      <c r="H9" s="26">
        <v>5</v>
      </c>
      <c r="I9" s="65" t="s">
        <v>122</v>
      </c>
      <c r="J9" s="32" t="s">
        <v>119</v>
      </c>
      <c r="K9" s="32">
        <v>0.1</v>
      </c>
      <c r="L9" s="57">
        <v>460</v>
      </c>
      <c r="M9" s="30">
        <f t="shared" si="1"/>
        <v>46</v>
      </c>
      <c r="N9" s="85"/>
      <c r="O9" s="11"/>
    </row>
    <row r="10" spans="1:18" ht="24" thickBot="1" x14ac:dyDescent="0.3">
      <c r="A10" s="38"/>
      <c r="B10" s="39"/>
      <c r="C10" s="39"/>
      <c r="D10" s="39"/>
      <c r="E10" s="40" t="s">
        <v>16</v>
      </c>
      <c r="F10" s="35">
        <f>SUM(F5:F9)</f>
        <v>3669</v>
      </c>
      <c r="H10" s="38"/>
      <c r="I10" s="39"/>
      <c r="J10" s="39"/>
      <c r="K10" s="39"/>
      <c r="L10" s="40" t="s">
        <v>16</v>
      </c>
      <c r="M10" s="35">
        <f>SUM(M5:M9)</f>
        <v>3189</v>
      </c>
    </row>
    <row r="11" spans="1:18" ht="26.25" thickBot="1" x14ac:dyDescent="0.3">
      <c r="A11" s="76"/>
      <c r="B11" s="77"/>
      <c r="C11" s="77"/>
      <c r="D11" s="77"/>
      <c r="E11" s="78" t="s">
        <v>21</v>
      </c>
      <c r="F11" s="12">
        <f>SUMIF(E1:E19975,"CƏMİ",F1:F19975)</f>
        <v>3669</v>
      </c>
      <c r="H11" s="76"/>
      <c r="I11" s="77"/>
      <c r="J11" s="77"/>
      <c r="K11" s="77"/>
      <c r="L11" s="78" t="s">
        <v>21</v>
      </c>
      <c r="M11" s="12">
        <f>SUMIF(L1:L19975,"CƏMİ",M1:M19975)</f>
        <v>3189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08325-9B91-48AB-A25D-CA81756621FB}">
  <sheetPr>
    <tabColor rgb="FFFFFF00"/>
    <pageSetUpPr fitToPage="1"/>
  </sheetPr>
  <dimension ref="A1:R13"/>
  <sheetViews>
    <sheetView view="pageBreakPreview" zoomScale="55" zoomScaleNormal="55" zoomScaleSheetLayoutView="55" workbookViewId="0">
      <pane ySplit="3" topLeftCell="A4" activePane="bottomLeft" state="frozen"/>
      <selection activeCell="A4" sqref="A4:XFD10"/>
      <selection pane="bottomLeft" activeCell="K10" sqref="K10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478</v>
      </c>
      <c r="B1" s="175"/>
      <c r="C1" s="175"/>
      <c r="D1" s="175"/>
      <c r="E1" s="176" t="s">
        <v>0</v>
      </c>
      <c r="F1" s="177"/>
      <c r="H1" s="174" t="s">
        <v>478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F12</f>
        <v>4968.6000000000004</v>
      </c>
      <c r="O4" s="4"/>
    </row>
    <row r="5" spans="1:18" s="10" customFormat="1" ht="23.25" x14ac:dyDescent="0.3">
      <c r="A5" s="26">
        <v>1</v>
      </c>
      <c r="B5" s="65" t="s">
        <v>319</v>
      </c>
      <c r="C5" s="32" t="s">
        <v>20</v>
      </c>
      <c r="D5" s="32">
        <v>32.4</v>
      </c>
      <c r="E5" s="57">
        <v>30</v>
      </c>
      <c r="F5" s="30">
        <f>D5*E5</f>
        <v>972</v>
      </c>
      <c r="H5" s="26">
        <v>1</v>
      </c>
      <c r="I5" s="65" t="s">
        <v>319</v>
      </c>
      <c r="J5" s="32" t="s">
        <v>20</v>
      </c>
      <c r="K5" s="115">
        <v>16.2</v>
      </c>
      <c r="L5" s="57">
        <v>30</v>
      </c>
      <c r="M5" s="30">
        <f>K5*L5</f>
        <v>486</v>
      </c>
      <c r="N5" s="85"/>
      <c r="O5" s="11"/>
    </row>
    <row r="6" spans="1:18" s="10" customFormat="1" ht="23.25" x14ac:dyDescent="0.3">
      <c r="A6" s="26">
        <v>2</v>
      </c>
      <c r="B6" s="31" t="s">
        <v>320</v>
      </c>
      <c r="C6" s="32" t="s">
        <v>19</v>
      </c>
      <c r="D6" s="32">
        <v>12.5</v>
      </c>
      <c r="E6" s="57">
        <v>50</v>
      </c>
      <c r="F6" s="30">
        <f t="shared" ref="F6:F11" si="0">D6*E6</f>
        <v>625</v>
      </c>
      <c r="H6" s="26">
        <v>2</v>
      </c>
      <c r="I6" s="31" t="s">
        <v>320</v>
      </c>
      <c r="J6" s="32" t="s">
        <v>19</v>
      </c>
      <c r="K6" s="32">
        <v>12.5</v>
      </c>
      <c r="L6" s="57">
        <v>50</v>
      </c>
      <c r="M6" s="30">
        <f t="shared" ref="M6:M11" si="1">K6*L6</f>
        <v>625</v>
      </c>
      <c r="N6" s="85"/>
      <c r="O6" s="11"/>
    </row>
    <row r="7" spans="1:18" s="10" customFormat="1" ht="23.25" x14ac:dyDescent="0.3">
      <c r="A7" s="26">
        <v>3</v>
      </c>
      <c r="B7" s="70" t="s">
        <v>559</v>
      </c>
      <c r="C7" s="32" t="s">
        <v>20</v>
      </c>
      <c r="D7" s="88">
        <v>39.1</v>
      </c>
      <c r="E7" s="57">
        <v>30</v>
      </c>
      <c r="F7" s="30">
        <f t="shared" si="0"/>
        <v>1173</v>
      </c>
      <c r="H7" s="26">
        <v>3</v>
      </c>
      <c r="I7" s="70" t="s">
        <v>559</v>
      </c>
      <c r="J7" s="32" t="s">
        <v>20</v>
      </c>
      <c r="K7" s="88">
        <v>39.1</v>
      </c>
      <c r="L7" s="57">
        <v>30</v>
      </c>
      <c r="M7" s="30">
        <f t="shared" si="1"/>
        <v>1173</v>
      </c>
      <c r="N7" s="85"/>
      <c r="O7" s="11"/>
    </row>
    <row r="8" spans="1:18" s="10" customFormat="1" ht="23.25" x14ac:dyDescent="0.3">
      <c r="A8" s="26">
        <v>4</v>
      </c>
      <c r="B8" s="65" t="s">
        <v>556</v>
      </c>
      <c r="C8" s="32" t="s">
        <v>19</v>
      </c>
      <c r="D8" s="32">
        <v>12.7</v>
      </c>
      <c r="E8" s="57">
        <v>50</v>
      </c>
      <c r="F8" s="30">
        <f t="shared" si="0"/>
        <v>635</v>
      </c>
      <c r="H8" s="26">
        <v>4</v>
      </c>
      <c r="I8" s="65" t="s">
        <v>556</v>
      </c>
      <c r="J8" s="32" t="s">
        <v>19</v>
      </c>
      <c r="K8" s="32">
        <v>12.7</v>
      </c>
      <c r="L8" s="57">
        <v>50</v>
      </c>
      <c r="M8" s="30">
        <f t="shared" si="1"/>
        <v>635</v>
      </c>
      <c r="N8" s="85"/>
      <c r="O8" s="11"/>
    </row>
    <row r="9" spans="1:18" s="10" customFormat="1" ht="23.25" x14ac:dyDescent="0.3">
      <c r="A9" s="26">
        <v>5</v>
      </c>
      <c r="B9" s="65" t="s">
        <v>297</v>
      </c>
      <c r="C9" s="32" t="s">
        <v>20</v>
      </c>
      <c r="D9" s="32">
        <v>25.5</v>
      </c>
      <c r="E9" s="57">
        <v>30</v>
      </c>
      <c r="F9" s="30">
        <f t="shared" si="0"/>
        <v>765</v>
      </c>
      <c r="H9" s="26">
        <v>5</v>
      </c>
      <c r="I9" s="65" t="s">
        <v>297</v>
      </c>
      <c r="J9" s="32" t="s">
        <v>20</v>
      </c>
      <c r="K9" s="115">
        <v>12.8</v>
      </c>
      <c r="L9" s="57">
        <v>30</v>
      </c>
      <c r="M9" s="30">
        <f t="shared" si="1"/>
        <v>384</v>
      </c>
      <c r="N9" s="85"/>
      <c r="O9" s="11"/>
    </row>
    <row r="10" spans="1:18" s="10" customFormat="1" ht="23.25" x14ac:dyDescent="0.3">
      <c r="A10" s="26">
        <v>6</v>
      </c>
      <c r="B10" s="31" t="s">
        <v>354</v>
      </c>
      <c r="C10" s="32" t="s">
        <v>19</v>
      </c>
      <c r="D10" s="32">
        <v>14.5</v>
      </c>
      <c r="E10" s="57">
        <v>50</v>
      </c>
      <c r="F10" s="30">
        <f t="shared" si="0"/>
        <v>725</v>
      </c>
      <c r="H10" s="26">
        <v>6</v>
      </c>
      <c r="I10" s="31" t="s">
        <v>354</v>
      </c>
      <c r="J10" s="32" t="s">
        <v>19</v>
      </c>
      <c r="K10" s="32">
        <v>14.5</v>
      </c>
      <c r="L10" s="57">
        <v>50</v>
      </c>
      <c r="M10" s="30">
        <f t="shared" si="1"/>
        <v>725</v>
      </c>
      <c r="N10" s="85"/>
      <c r="O10" s="11"/>
    </row>
    <row r="11" spans="1:18" s="10" customFormat="1" ht="23.25" x14ac:dyDescent="0.3">
      <c r="A11" s="26">
        <v>7</v>
      </c>
      <c r="B11" s="65" t="s">
        <v>122</v>
      </c>
      <c r="C11" s="32" t="s">
        <v>119</v>
      </c>
      <c r="D11" s="32">
        <v>0.16</v>
      </c>
      <c r="E11" s="57">
        <v>460</v>
      </c>
      <c r="F11" s="30">
        <f t="shared" si="0"/>
        <v>73.600000000000009</v>
      </c>
      <c r="H11" s="26">
        <v>7</v>
      </c>
      <c r="I11" s="65" t="s">
        <v>122</v>
      </c>
      <c r="J11" s="32" t="s">
        <v>119</v>
      </c>
      <c r="K11" s="32">
        <v>0.16</v>
      </c>
      <c r="L11" s="57">
        <v>460</v>
      </c>
      <c r="M11" s="30">
        <f t="shared" si="1"/>
        <v>73.600000000000009</v>
      </c>
      <c r="N11" s="85"/>
      <c r="O11" s="11"/>
    </row>
    <row r="12" spans="1:18" ht="24" thickBot="1" x14ac:dyDescent="0.3">
      <c r="A12" s="38"/>
      <c r="B12" s="39"/>
      <c r="C12" s="39"/>
      <c r="D12" s="39"/>
      <c r="E12" s="40" t="s">
        <v>16</v>
      </c>
      <c r="F12" s="35">
        <f>SUM(F5:F11)</f>
        <v>4968.6000000000004</v>
      </c>
      <c r="H12" s="38"/>
      <c r="I12" s="39"/>
      <c r="J12" s="39"/>
      <c r="K12" s="39"/>
      <c r="L12" s="40" t="s">
        <v>16</v>
      </c>
      <c r="M12" s="35">
        <f>SUM(M5:M11)</f>
        <v>4101.6000000000004</v>
      </c>
    </row>
    <row r="13" spans="1:18" ht="26.25" thickBot="1" x14ac:dyDescent="0.3">
      <c r="A13" s="76"/>
      <c r="B13" s="77"/>
      <c r="C13" s="77"/>
      <c r="D13" s="77"/>
      <c r="E13" s="78" t="s">
        <v>21</v>
      </c>
      <c r="F13" s="12">
        <f>SUMIF(E1:E19977,"CƏMİ",F1:F19977)</f>
        <v>4968.6000000000004</v>
      </c>
      <c r="H13" s="76"/>
      <c r="I13" s="77"/>
      <c r="J13" s="77"/>
      <c r="K13" s="77"/>
      <c r="L13" s="78" t="s">
        <v>21</v>
      </c>
      <c r="M13" s="12">
        <f>SUMIF(L1:L19977,"CƏMİ",M1:M19977)</f>
        <v>4101.6000000000004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510F-A88E-4B78-A8EF-F10C0F2A7CDA}">
  <sheetPr>
    <tabColor rgb="FFFFFF00"/>
    <pageSetUpPr fitToPage="1"/>
  </sheetPr>
  <dimension ref="A1:R8"/>
  <sheetViews>
    <sheetView view="pageBreakPreview" zoomScale="55" zoomScaleNormal="55" zoomScaleSheetLayoutView="55" workbookViewId="0">
      <pane ySplit="3" topLeftCell="A4" activePane="bottomLeft" state="frozen"/>
      <selection activeCell="A4" sqref="A4:XFD10"/>
      <selection pane="bottomLeft" activeCell="K6" sqref="K6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522</v>
      </c>
      <c r="B1" s="175"/>
      <c r="C1" s="175"/>
      <c r="D1" s="175"/>
      <c r="E1" s="176" t="s">
        <v>0</v>
      </c>
      <c r="F1" s="177"/>
      <c r="H1" s="174" t="s">
        <v>522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F7</f>
        <v>933</v>
      </c>
      <c r="O4" s="4"/>
    </row>
    <row r="5" spans="1:18" s="10" customFormat="1" ht="23.25" x14ac:dyDescent="0.3">
      <c r="A5" s="26">
        <v>1</v>
      </c>
      <c r="B5" s="65" t="s">
        <v>297</v>
      </c>
      <c r="C5" s="32" t="s">
        <v>20</v>
      </c>
      <c r="D5" s="32">
        <v>16.100000000000001</v>
      </c>
      <c r="E5" s="57">
        <v>30</v>
      </c>
      <c r="F5" s="30">
        <f>D5*E5</f>
        <v>483.00000000000006</v>
      </c>
      <c r="H5" s="26">
        <v>1</v>
      </c>
      <c r="I5" s="65" t="s">
        <v>297</v>
      </c>
      <c r="J5" s="32" t="s">
        <v>20</v>
      </c>
      <c r="K5" s="115">
        <v>8</v>
      </c>
      <c r="L5" s="57">
        <v>30</v>
      </c>
      <c r="M5" s="30">
        <f>K5*L5</f>
        <v>240</v>
      </c>
      <c r="N5" s="85"/>
      <c r="O5" s="11"/>
    </row>
    <row r="6" spans="1:18" s="10" customFormat="1" ht="23.25" x14ac:dyDescent="0.3">
      <c r="A6" s="26">
        <v>2</v>
      </c>
      <c r="B6" s="31" t="s">
        <v>354</v>
      </c>
      <c r="C6" s="32" t="s">
        <v>19</v>
      </c>
      <c r="D6" s="32">
        <v>9</v>
      </c>
      <c r="E6" s="57">
        <v>50</v>
      </c>
      <c r="F6" s="30">
        <f>D6*E6</f>
        <v>450</v>
      </c>
      <c r="H6" s="26">
        <v>2</v>
      </c>
      <c r="I6" s="31" t="s">
        <v>354</v>
      </c>
      <c r="J6" s="32" t="s">
        <v>19</v>
      </c>
      <c r="K6" s="32">
        <v>9</v>
      </c>
      <c r="L6" s="57">
        <v>50</v>
      </c>
      <c r="M6" s="30">
        <f>K6*L6</f>
        <v>450</v>
      </c>
      <c r="N6" s="85"/>
      <c r="O6" s="11"/>
    </row>
    <row r="7" spans="1:18" ht="24" thickBot="1" x14ac:dyDescent="0.3">
      <c r="A7" s="38"/>
      <c r="B7" s="39"/>
      <c r="C7" s="39"/>
      <c r="D7" s="39"/>
      <c r="E7" s="40" t="s">
        <v>16</v>
      </c>
      <c r="F7" s="35">
        <f>SUM(F5:F6)</f>
        <v>933</v>
      </c>
      <c r="H7" s="38"/>
      <c r="I7" s="39"/>
      <c r="J7" s="39"/>
      <c r="K7" s="39"/>
      <c r="L7" s="40" t="s">
        <v>16</v>
      </c>
      <c r="M7" s="35">
        <f>SUM(M5:M6)</f>
        <v>690</v>
      </c>
    </row>
    <row r="8" spans="1:18" ht="26.25" thickBot="1" x14ac:dyDescent="0.3">
      <c r="A8" s="76"/>
      <c r="B8" s="77"/>
      <c r="C8" s="77"/>
      <c r="D8" s="77"/>
      <c r="E8" s="78" t="s">
        <v>21</v>
      </c>
      <c r="F8" s="12">
        <f>SUMIF(E1:E19977,"CƏMİ",F1:F19977)</f>
        <v>933</v>
      </c>
      <c r="H8" s="76"/>
      <c r="I8" s="77"/>
      <c r="J8" s="77"/>
      <c r="K8" s="77"/>
      <c r="L8" s="78" t="s">
        <v>21</v>
      </c>
      <c r="M8" s="12">
        <f>SUMIF(L1:L19977,"CƏMİ",M1:M19977)</f>
        <v>690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8C4C-F83D-4582-AFF7-C8E96E6195A1}">
  <sheetPr>
    <tabColor rgb="FFFFFF00"/>
    <pageSetUpPr fitToPage="1"/>
  </sheetPr>
  <dimension ref="A1:R11"/>
  <sheetViews>
    <sheetView view="pageBreakPreview" zoomScale="55" zoomScaleNormal="55" zoomScaleSheetLayoutView="55" workbookViewId="0">
      <pane ySplit="3" topLeftCell="A4" activePane="bottomLeft" state="frozen"/>
      <selection activeCell="A4" sqref="A4:XFD10"/>
      <selection pane="bottomLeft" activeCell="K8" sqref="K8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481</v>
      </c>
      <c r="B1" s="175"/>
      <c r="C1" s="175"/>
      <c r="D1" s="175"/>
      <c r="E1" s="176" t="s">
        <v>0</v>
      </c>
      <c r="F1" s="177"/>
      <c r="H1" s="174" t="s">
        <v>481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F10</f>
        <v>3999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37.5</v>
      </c>
      <c r="E5" s="57">
        <v>30</v>
      </c>
      <c r="F5" s="30">
        <f>D5*E5</f>
        <v>1125</v>
      </c>
      <c r="H5" s="26">
        <v>1</v>
      </c>
      <c r="I5" s="70" t="s">
        <v>559</v>
      </c>
      <c r="J5" s="32" t="s">
        <v>20</v>
      </c>
      <c r="K5" s="88">
        <v>37.5</v>
      </c>
      <c r="L5" s="57">
        <v>30</v>
      </c>
      <c r="M5" s="30">
        <f>K5*L5</f>
        <v>1125</v>
      </c>
      <c r="N5" s="85"/>
      <c r="O5" s="11"/>
    </row>
    <row r="6" spans="1:18" s="10" customFormat="1" ht="23.25" x14ac:dyDescent="0.3">
      <c r="A6" s="26">
        <v>2</v>
      </c>
      <c r="B6" s="65" t="s">
        <v>556</v>
      </c>
      <c r="C6" s="32" t="s">
        <v>19</v>
      </c>
      <c r="D6" s="32">
        <v>11.5</v>
      </c>
      <c r="E6" s="57">
        <v>50</v>
      </c>
      <c r="F6" s="30">
        <f t="shared" ref="F6:F9" si="0">D6*E6</f>
        <v>575</v>
      </c>
      <c r="H6" s="26">
        <v>2</v>
      </c>
      <c r="I6" s="65" t="s">
        <v>556</v>
      </c>
      <c r="J6" s="32" t="s">
        <v>19</v>
      </c>
      <c r="K6" s="32">
        <v>11.5</v>
      </c>
      <c r="L6" s="57">
        <v>50</v>
      </c>
      <c r="M6" s="30">
        <f t="shared" ref="M6:M9" si="1">K6*L6</f>
        <v>575</v>
      </c>
      <c r="N6" s="85"/>
      <c r="O6" s="11"/>
    </row>
    <row r="7" spans="1:18" s="10" customFormat="1" ht="23.25" x14ac:dyDescent="0.3">
      <c r="A7" s="26">
        <v>3</v>
      </c>
      <c r="B7" s="65" t="s">
        <v>319</v>
      </c>
      <c r="C7" s="32" t="s">
        <v>20</v>
      </c>
      <c r="D7" s="32">
        <v>52.6</v>
      </c>
      <c r="E7" s="57">
        <v>30</v>
      </c>
      <c r="F7" s="30">
        <f t="shared" si="0"/>
        <v>1578</v>
      </c>
      <c r="H7" s="26">
        <v>3</v>
      </c>
      <c r="I7" s="65" t="s">
        <v>319</v>
      </c>
      <c r="J7" s="32" t="s">
        <v>20</v>
      </c>
      <c r="K7" s="115">
        <v>16</v>
      </c>
      <c r="L7" s="57">
        <v>30</v>
      </c>
      <c r="M7" s="30">
        <f t="shared" si="1"/>
        <v>480</v>
      </c>
      <c r="N7" s="85"/>
      <c r="O7" s="11"/>
    </row>
    <row r="8" spans="1:18" s="10" customFormat="1" ht="23.25" x14ac:dyDescent="0.3">
      <c r="A8" s="26">
        <v>4</v>
      </c>
      <c r="B8" s="31" t="s">
        <v>320</v>
      </c>
      <c r="C8" s="32" t="s">
        <v>19</v>
      </c>
      <c r="D8" s="32">
        <v>13.5</v>
      </c>
      <c r="E8" s="57">
        <v>50</v>
      </c>
      <c r="F8" s="30">
        <f t="shared" si="0"/>
        <v>675</v>
      </c>
      <c r="H8" s="26">
        <v>4</v>
      </c>
      <c r="I8" s="31" t="s">
        <v>320</v>
      </c>
      <c r="J8" s="32" t="s">
        <v>19</v>
      </c>
      <c r="K8" s="32">
        <v>13.5</v>
      </c>
      <c r="L8" s="57">
        <v>50</v>
      </c>
      <c r="M8" s="30">
        <f t="shared" si="1"/>
        <v>675</v>
      </c>
      <c r="N8" s="85"/>
      <c r="O8" s="11"/>
    </row>
    <row r="9" spans="1:18" s="10" customFormat="1" ht="23.25" x14ac:dyDescent="0.3">
      <c r="A9" s="26">
        <v>5</v>
      </c>
      <c r="B9" s="65" t="s">
        <v>122</v>
      </c>
      <c r="C9" s="32" t="s">
        <v>119</v>
      </c>
      <c r="D9" s="32">
        <v>0.1</v>
      </c>
      <c r="E9" s="57">
        <v>460</v>
      </c>
      <c r="F9" s="30">
        <f t="shared" si="0"/>
        <v>46</v>
      </c>
      <c r="H9" s="26">
        <v>5</v>
      </c>
      <c r="I9" s="65" t="s">
        <v>122</v>
      </c>
      <c r="J9" s="32" t="s">
        <v>119</v>
      </c>
      <c r="K9" s="32">
        <v>0.1</v>
      </c>
      <c r="L9" s="57">
        <v>460</v>
      </c>
      <c r="M9" s="30">
        <f t="shared" si="1"/>
        <v>46</v>
      </c>
      <c r="N9" s="85"/>
      <c r="O9" s="11"/>
    </row>
    <row r="10" spans="1:18" ht="24" thickBot="1" x14ac:dyDescent="0.3">
      <c r="A10" s="38"/>
      <c r="B10" s="39"/>
      <c r="C10" s="39"/>
      <c r="D10" s="39"/>
      <c r="E10" s="40" t="s">
        <v>16</v>
      </c>
      <c r="F10" s="35">
        <f>SUM(F5:F9)</f>
        <v>3999</v>
      </c>
      <c r="H10" s="38"/>
      <c r="I10" s="39"/>
      <c r="J10" s="39"/>
      <c r="K10" s="39"/>
      <c r="L10" s="40" t="s">
        <v>16</v>
      </c>
      <c r="M10" s="35">
        <f>SUM(M5:M9)</f>
        <v>2901</v>
      </c>
    </row>
    <row r="11" spans="1:18" ht="26.25" thickBot="1" x14ac:dyDescent="0.3">
      <c r="A11" s="76"/>
      <c r="B11" s="77"/>
      <c r="C11" s="77"/>
      <c r="D11" s="77"/>
      <c r="E11" s="78" t="s">
        <v>21</v>
      </c>
      <c r="F11" s="12">
        <f>SUMIF(E1:E19977,"CƏMİ",F1:F19977)</f>
        <v>3999</v>
      </c>
      <c r="H11" s="76"/>
      <c r="I11" s="77"/>
      <c r="J11" s="77"/>
      <c r="K11" s="77"/>
      <c r="L11" s="78" t="s">
        <v>21</v>
      </c>
      <c r="M11" s="12">
        <f>SUMIF(L1:L19977,"CƏMİ",M1:M19977)</f>
        <v>2901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B1D3-265E-4298-B4A6-F304935FC0EF}">
  <sheetPr>
    <tabColor rgb="FFFFFF00"/>
    <pageSetUpPr fitToPage="1"/>
  </sheetPr>
  <dimension ref="A1:R11"/>
  <sheetViews>
    <sheetView view="pageBreakPreview" zoomScale="55" zoomScaleNormal="55" zoomScaleSheetLayoutView="55" workbookViewId="0">
      <pane ySplit="3" topLeftCell="A4" activePane="bottomLeft" state="frozen"/>
      <selection activeCell="A4" sqref="A4:XFD10"/>
      <selection pane="bottomLeft" activeCell="K8" sqref="K8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486</v>
      </c>
      <c r="B1" s="175"/>
      <c r="C1" s="175"/>
      <c r="D1" s="175"/>
      <c r="E1" s="176" t="s">
        <v>0</v>
      </c>
      <c r="F1" s="177"/>
      <c r="H1" s="174" t="s">
        <v>486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F10</f>
        <v>3024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37.1</v>
      </c>
      <c r="E5" s="57">
        <v>30</v>
      </c>
      <c r="F5" s="30">
        <f>D5*E5</f>
        <v>1113</v>
      </c>
      <c r="H5" s="26">
        <v>1</v>
      </c>
      <c r="I5" s="70" t="s">
        <v>559</v>
      </c>
      <c r="J5" s="32" t="s">
        <v>20</v>
      </c>
      <c r="K5" s="88">
        <v>37.1</v>
      </c>
      <c r="L5" s="57">
        <v>30</v>
      </c>
      <c r="M5" s="30">
        <f>K5*L5</f>
        <v>1113</v>
      </c>
      <c r="N5" s="85"/>
      <c r="O5" s="11"/>
    </row>
    <row r="6" spans="1:18" s="10" customFormat="1" ht="23.25" x14ac:dyDescent="0.3">
      <c r="A6" s="26">
        <v>2</v>
      </c>
      <c r="B6" s="65" t="s">
        <v>555</v>
      </c>
      <c r="C6" s="32" t="s">
        <v>19</v>
      </c>
      <c r="D6" s="32">
        <v>11</v>
      </c>
      <c r="E6" s="57">
        <v>50</v>
      </c>
      <c r="F6" s="30">
        <f t="shared" ref="F6:F9" si="0">D6*E6</f>
        <v>550</v>
      </c>
      <c r="H6" s="26">
        <v>2</v>
      </c>
      <c r="I6" s="65" t="s">
        <v>555</v>
      </c>
      <c r="J6" s="32" t="s">
        <v>19</v>
      </c>
      <c r="K6" s="32">
        <v>11</v>
      </c>
      <c r="L6" s="57">
        <v>50</v>
      </c>
      <c r="M6" s="30">
        <f t="shared" ref="M6:M9" si="1">K6*L6</f>
        <v>550</v>
      </c>
      <c r="N6" s="85"/>
      <c r="O6" s="11"/>
    </row>
    <row r="7" spans="1:18" s="10" customFormat="1" ht="23.25" x14ac:dyDescent="0.3">
      <c r="A7" s="26">
        <v>3</v>
      </c>
      <c r="B7" s="65" t="s">
        <v>319</v>
      </c>
      <c r="C7" s="32" t="s">
        <v>20</v>
      </c>
      <c r="D7" s="32">
        <v>28</v>
      </c>
      <c r="E7" s="57">
        <v>30</v>
      </c>
      <c r="F7" s="30">
        <f t="shared" si="0"/>
        <v>840</v>
      </c>
      <c r="H7" s="26">
        <v>3</v>
      </c>
      <c r="I7" s="65" t="s">
        <v>319</v>
      </c>
      <c r="J7" s="32" t="s">
        <v>20</v>
      </c>
      <c r="K7" s="115">
        <v>14</v>
      </c>
      <c r="L7" s="57">
        <v>30</v>
      </c>
      <c r="M7" s="30">
        <f t="shared" si="1"/>
        <v>420</v>
      </c>
      <c r="N7" s="85"/>
      <c r="O7" s="11"/>
    </row>
    <row r="8" spans="1:18" s="10" customFormat="1" ht="23.25" x14ac:dyDescent="0.3">
      <c r="A8" s="26">
        <v>4</v>
      </c>
      <c r="B8" s="31" t="s">
        <v>320</v>
      </c>
      <c r="C8" s="32" t="s">
        <v>19</v>
      </c>
      <c r="D8" s="32">
        <v>9.5</v>
      </c>
      <c r="E8" s="57">
        <v>50</v>
      </c>
      <c r="F8" s="30">
        <f t="shared" si="0"/>
        <v>475</v>
      </c>
      <c r="H8" s="26">
        <v>4</v>
      </c>
      <c r="I8" s="31" t="s">
        <v>320</v>
      </c>
      <c r="J8" s="32" t="s">
        <v>19</v>
      </c>
      <c r="K8" s="32">
        <v>9.5</v>
      </c>
      <c r="L8" s="57">
        <v>50</v>
      </c>
      <c r="M8" s="30">
        <f t="shared" si="1"/>
        <v>475</v>
      </c>
      <c r="N8" s="85"/>
      <c r="O8" s="11"/>
    </row>
    <row r="9" spans="1:18" s="10" customFormat="1" ht="23.25" x14ac:dyDescent="0.3">
      <c r="A9" s="26">
        <v>5</v>
      </c>
      <c r="B9" s="65" t="s">
        <v>122</v>
      </c>
      <c r="C9" s="32" t="s">
        <v>119</v>
      </c>
      <c r="D9" s="32">
        <v>0.1</v>
      </c>
      <c r="E9" s="57">
        <v>460</v>
      </c>
      <c r="F9" s="30">
        <f t="shared" si="0"/>
        <v>46</v>
      </c>
      <c r="H9" s="26">
        <v>5</v>
      </c>
      <c r="I9" s="65" t="s">
        <v>122</v>
      </c>
      <c r="J9" s="32" t="s">
        <v>119</v>
      </c>
      <c r="K9" s="32">
        <v>0.1</v>
      </c>
      <c r="L9" s="57">
        <v>460</v>
      </c>
      <c r="M9" s="30">
        <f t="shared" si="1"/>
        <v>46</v>
      </c>
      <c r="N9" s="85"/>
      <c r="O9" s="11"/>
    </row>
    <row r="10" spans="1:18" ht="24" thickBot="1" x14ac:dyDescent="0.3">
      <c r="A10" s="38"/>
      <c r="B10" s="39"/>
      <c r="C10" s="39"/>
      <c r="D10" s="39"/>
      <c r="E10" s="40" t="s">
        <v>16</v>
      </c>
      <c r="F10" s="35">
        <f>SUM(F5:F9)</f>
        <v>3024</v>
      </c>
      <c r="H10" s="38"/>
      <c r="I10" s="39"/>
      <c r="J10" s="39"/>
      <c r="K10" s="39"/>
      <c r="L10" s="40" t="s">
        <v>16</v>
      </c>
      <c r="M10" s="35">
        <f>SUM(M5:M9)</f>
        <v>2604</v>
      </c>
    </row>
    <row r="11" spans="1:18" ht="26.25" thickBot="1" x14ac:dyDescent="0.3">
      <c r="A11" s="76"/>
      <c r="B11" s="77"/>
      <c r="C11" s="77"/>
      <c r="D11" s="77"/>
      <c r="E11" s="78" t="s">
        <v>21</v>
      </c>
      <c r="F11" s="12">
        <f>SUMIF(E1:E19977,"CƏMİ",F1:F19977)</f>
        <v>3024</v>
      </c>
      <c r="H11" s="76"/>
      <c r="I11" s="77"/>
      <c r="J11" s="77"/>
      <c r="K11" s="77"/>
      <c r="L11" s="78" t="s">
        <v>21</v>
      </c>
      <c r="M11" s="12">
        <f>SUMIF(L1:L19977,"CƏMİ",M1:M19977)</f>
        <v>2604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08A4-05F4-4C21-81D6-F0E982199986}">
  <sheetPr>
    <tabColor rgb="FFFFFF00"/>
    <pageSetUpPr fitToPage="1"/>
  </sheetPr>
  <dimension ref="A1:R12"/>
  <sheetViews>
    <sheetView view="pageBreakPreview" zoomScale="55" zoomScaleNormal="55" zoomScaleSheetLayoutView="55" workbookViewId="0">
      <pane ySplit="3" topLeftCell="A4" activePane="bottomLeft" state="frozen"/>
      <selection activeCell="A4" sqref="A4:XFD10"/>
      <selection pane="bottomLeft" activeCell="K6" sqref="K6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487</v>
      </c>
      <c r="B1" s="175"/>
      <c r="C1" s="175"/>
      <c r="D1" s="175"/>
      <c r="E1" s="176" t="s">
        <v>0</v>
      </c>
      <c r="F1" s="177"/>
      <c r="H1" s="174" t="s">
        <v>487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F11</f>
        <v>3445.2</v>
      </c>
      <c r="O4" s="4"/>
    </row>
    <row r="5" spans="1:18" s="10" customFormat="1" ht="23.25" x14ac:dyDescent="0.3">
      <c r="A5" s="26">
        <v>1</v>
      </c>
      <c r="B5" s="65" t="s">
        <v>297</v>
      </c>
      <c r="C5" s="32" t="s">
        <v>20</v>
      </c>
      <c r="D5" s="32">
        <v>23</v>
      </c>
      <c r="E5" s="57">
        <v>30</v>
      </c>
      <c r="F5" s="30">
        <f>D5*E5</f>
        <v>690</v>
      </c>
      <c r="H5" s="26">
        <v>1</v>
      </c>
      <c r="I5" s="65" t="s">
        <v>297</v>
      </c>
      <c r="J5" s="32" t="s">
        <v>20</v>
      </c>
      <c r="K5" s="115">
        <v>11.5</v>
      </c>
      <c r="L5" s="57">
        <v>30</v>
      </c>
      <c r="M5" s="30">
        <f>K5*L5</f>
        <v>345</v>
      </c>
      <c r="N5" s="85"/>
      <c r="O5" s="11"/>
    </row>
    <row r="6" spans="1:18" s="10" customFormat="1" ht="23.25" x14ac:dyDescent="0.3">
      <c r="A6" s="26">
        <v>2</v>
      </c>
      <c r="B6" s="31" t="s">
        <v>354</v>
      </c>
      <c r="C6" s="32" t="s">
        <v>19</v>
      </c>
      <c r="D6" s="32">
        <v>12.5</v>
      </c>
      <c r="E6" s="57">
        <v>50</v>
      </c>
      <c r="F6" s="30">
        <f t="shared" ref="F6:F10" si="0">D6*E6</f>
        <v>625</v>
      </c>
      <c r="H6" s="26">
        <v>2</v>
      </c>
      <c r="I6" s="31" t="s">
        <v>354</v>
      </c>
      <c r="J6" s="32" t="s">
        <v>19</v>
      </c>
      <c r="K6" s="32">
        <v>12.5</v>
      </c>
      <c r="L6" s="57">
        <v>50</v>
      </c>
      <c r="M6" s="30">
        <f t="shared" ref="M6:M10" si="1">K6*L6</f>
        <v>625</v>
      </c>
      <c r="N6" s="85"/>
      <c r="O6" s="11"/>
    </row>
    <row r="7" spans="1:18" s="10" customFormat="1" ht="23.25" x14ac:dyDescent="0.3">
      <c r="A7" s="26">
        <v>3</v>
      </c>
      <c r="B7" s="31" t="s">
        <v>590</v>
      </c>
      <c r="C7" s="32" t="s">
        <v>19</v>
      </c>
      <c r="D7" s="32">
        <v>9</v>
      </c>
      <c r="E7" s="57">
        <v>80</v>
      </c>
      <c r="F7" s="30">
        <f t="shared" si="0"/>
        <v>720</v>
      </c>
      <c r="H7" s="26">
        <v>3</v>
      </c>
      <c r="I7" s="31" t="s">
        <v>590</v>
      </c>
      <c r="J7" s="32" t="s">
        <v>19</v>
      </c>
      <c r="K7" s="32">
        <v>9</v>
      </c>
      <c r="L7" s="57">
        <v>80</v>
      </c>
      <c r="M7" s="30">
        <f t="shared" si="1"/>
        <v>720</v>
      </c>
      <c r="N7" s="85"/>
      <c r="O7" s="11"/>
    </row>
    <row r="8" spans="1:18" s="10" customFormat="1" ht="23.25" x14ac:dyDescent="0.3">
      <c r="A8" s="26">
        <v>4</v>
      </c>
      <c r="B8" s="70" t="s">
        <v>559</v>
      </c>
      <c r="C8" s="32" t="s">
        <v>20</v>
      </c>
      <c r="D8" s="88">
        <v>30.1</v>
      </c>
      <c r="E8" s="57">
        <v>30</v>
      </c>
      <c r="F8" s="30">
        <f t="shared" si="0"/>
        <v>903</v>
      </c>
      <c r="H8" s="26">
        <v>4</v>
      </c>
      <c r="I8" s="70" t="s">
        <v>559</v>
      </c>
      <c r="J8" s="32" t="s">
        <v>20</v>
      </c>
      <c r="K8" s="88">
        <v>30.1</v>
      </c>
      <c r="L8" s="57">
        <v>30</v>
      </c>
      <c r="M8" s="30">
        <f t="shared" si="1"/>
        <v>903</v>
      </c>
      <c r="N8" s="85"/>
      <c r="O8" s="11"/>
    </row>
    <row r="9" spans="1:18" s="10" customFormat="1" ht="23.25" x14ac:dyDescent="0.3">
      <c r="A9" s="26">
        <v>5</v>
      </c>
      <c r="B9" s="65" t="s">
        <v>555</v>
      </c>
      <c r="C9" s="32" t="s">
        <v>19</v>
      </c>
      <c r="D9" s="32">
        <v>9.5</v>
      </c>
      <c r="E9" s="57">
        <v>50</v>
      </c>
      <c r="F9" s="30">
        <f t="shared" si="0"/>
        <v>475</v>
      </c>
      <c r="H9" s="26">
        <v>5</v>
      </c>
      <c r="I9" s="65" t="s">
        <v>555</v>
      </c>
      <c r="J9" s="32" t="s">
        <v>19</v>
      </c>
      <c r="K9" s="32">
        <v>9.5</v>
      </c>
      <c r="L9" s="57">
        <v>50</v>
      </c>
      <c r="M9" s="30">
        <f t="shared" si="1"/>
        <v>475</v>
      </c>
      <c r="N9" s="85"/>
      <c r="O9" s="11"/>
    </row>
    <row r="10" spans="1:18" s="10" customFormat="1" ht="23.25" x14ac:dyDescent="0.3">
      <c r="A10" s="26">
        <v>6</v>
      </c>
      <c r="B10" s="65" t="s">
        <v>122</v>
      </c>
      <c r="C10" s="32" t="s">
        <v>119</v>
      </c>
      <c r="D10" s="32">
        <v>7.0000000000000007E-2</v>
      </c>
      <c r="E10" s="57">
        <v>460</v>
      </c>
      <c r="F10" s="30">
        <f t="shared" si="0"/>
        <v>32.200000000000003</v>
      </c>
      <c r="H10" s="26">
        <v>6</v>
      </c>
      <c r="I10" s="65" t="s">
        <v>122</v>
      </c>
      <c r="J10" s="32" t="s">
        <v>119</v>
      </c>
      <c r="K10" s="32">
        <v>7.0000000000000007E-2</v>
      </c>
      <c r="L10" s="57">
        <v>460</v>
      </c>
      <c r="M10" s="30">
        <f t="shared" si="1"/>
        <v>32.200000000000003</v>
      </c>
      <c r="N10" s="85"/>
      <c r="O10" s="11"/>
    </row>
    <row r="11" spans="1:18" ht="24" thickBot="1" x14ac:dyDescent="0.3">
      <c r="A11" s="38"/>
      <c r="B11" s="39"/>
      <c r="C11" s="39"/>
      <c r="D11" s="39"/>
      <c r="E11" s="40" t="s">
        <v>16</v>
      </c>
      <c r="F11" s="35">
        <f>SUM(F5:F10)</f>
        <v>3445.2</v>
      </c>
      <c r="H11" s="38"/>
      <c r="I11" s="39"/>
      <c r="J11" s="39"/>
      <c r="K11" s="39"/>
      <c r="L11" s="40" t="s">
        <v>16</v>
      </c>
      <c r="M11" s="35">
        <f>SUM(M5:M10)</f>
        <v>3100.2</v>
      </c>
    </row>
    <row r="12" spans="1:18" ht="26.25" thickBot="1" x14ac:dyDescent="0.3">
      <c r="A12" s="76"/>
      <c r="B12" s="77"/>
      <c r="C12" s="77"/>
      <c r="D12" s="77"/>
      <c r="E12" s="78" t="s">
        <v>21</v>
      </c>
      <c r="F12" s="12">
        <f>SUMIF(E1:E19978,"CƏMİ",F1:F19978)</f>
        <v>3445.2</v>
      </c>
      <c r="H12" s="76"/>
      <c r="I12" s="77"/>
      <c r="J12" s="77"/>
      <c r="K12" s="77"/>
      <c r="L12" s="78" t="s">
        <v>21</v>
      </c>
      <c r="M12" s="12">
        <f>SUMIF(L1:L19978,"CƏMİ",M1:M19978)</f>
        <v>3100.2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9629-99D6-488D-B88A-53DF40BAB5AD}">
  <sheetPr>
    <tabColor rgb="FFFFFF00"/>
    <pageSetUpPr fitToPage="1"/>
  </sheetPr>
  <dimension ref="A1:R11"/>
  <sheetViews>
    <sheetView view="pageBreakPreview" zoomScale="55" zoomScaleNormal="55" zoomScaleSheetLayoutView="55" workbookViewId="0">
      <pane ySplit="3" topLeftCell="A4" activePane="bottomLeft" state="frozen"/>
      <selection activeCell="A4" sqref="A4:XFD10"/>
      <selection pane="bottomLeft" activeCell="K6" sqref="K6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512</v>
      </c>
      <c r="B1" s="175"/>
      <c r="C1" s="175"/>
      <c r="D1" s="175"/>
      <c r="E1" s="176" t="s">
        <v>0</v>
      </c>
      <c r="F1" s="177"/>
      <c r="H1" s="174" t="s">
        <v>512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F10</f>
        <v>3118.4</v>
      </c>
      <c r="O4" s="4"/>
    </row>
    <row r="5" spans="1:18" s="10" customFormat="1" ht="23.25" x14ac:dyDescent="0.3">
      <c r="A5" s="26">
        <v>1</v>
      </c>
      <c r="B5" s="65" t="s">
        <v>319</v>
      </c>
      <c r="C5" s="32" t="s">
        <v>20</v>
      </c>
      <c r="D5" s="32">
        <v>27.3</v>
      </c>
      <c r="E5" s="57">
        <v>30</v>
      </c>
      <c r="F5" s="30">
        <f>D5*E5</f>
        <v>819</v>
      </c>
      <c r="H5" s="26">
        <v>1</v>
      </c>
      <c r="I5" s="65" t="s">
        <v>319</v>
      </c>
      <c r="J5" s="32" t="s">
        <v>20</v>
      </c>
      <c r="K5" s="115">
        <v>13.7</v>
      </c>
      <c r="L5" s="57">
        <v>30</v>
      </c>
      <c r="M5" s="30">
        <f>K5*L5</f>
        <v>411</v>
      </c>
      <c r="N5" s="85"/>
      <c r="O5" s="11"/>
    </row>
    <row r="6" spans="1:18" s="10" customFormat="1" ht="23.25" x14ac:dyDescent="0.3">
      <c r="A6" s="26">
        <v>2</v>
      </c>
      <c r="B6" s="31" t="s">
        <v>320</v>
      </c>
      <c r="C6" s="32" t="s">
        <v>19</v>
      </c>
      <c r="D6" s="32">
        <v>9.6</v>
      </c>
      <c r="E6" s="57">
        <v>50</v>
      </c>
      <c r="F6" s="30">
        <f t="shared" ref="F6:F9" si="0">D6*E6</f>
        <v>480</v>
      </c>
      <c r="H6" s="26">
        <v>2</v>
      </c>
      <c r="I6" s="31" t="s">
        <v>320</v>
      </c>
      <c r="J6" s="32" t="s">
        <v>19</v>
      </c>
      <c r="K6" s="32">
        <v>9.6</v>
      </c>
      <c r="L6" s="57">
        <v>50</v>
      </c>
      <c r="M6" s="30">
        <f t="shared" ref="M6:M9" si="1">K6*L6</f>
        <v>480</v>
      </c>
      <c r="N6" s="85"/>
      <c r="O6" s="11"/>
    </row>
    <row r="7" spans="1:18" s="10" customFormat="1" ht="23.25" x14ac:dyDescent="0.3">
      <c r="A7" s="26">
        <v>3</v>
      </c>
      <c r="B7" s="70" t="s">
        <v>559</v>
      </c>
      <c r="C7" s="32" t="s">
        <v>20</v>
      </c>
      <c r="D7" s="88">
        <v>38.5</v>
      </c>
      <c r="E7" s="57">
        <v>30</v>
      </c>
      <c r="F7" s="30">
        <f t="shared" si="0"/>
        <v>1155</v>
      </c>
      <c r="H7" s="26">
        <v>3</v>
      </c>
      <c r="I7" s="70" t="s">
        <v>559</v>
      </c>
      <c r="J7" s="32" t="s">
        <v>20</v>
      </c>
      <c r="K7" s="88">
        <v>38.5</v>
      </c>
      <c r="L7" s="57">
        <v>30</v>
      </c>
      <c r="M7" s="30">
        <f t="shared" si="1"/>
        <v>1155</v>
      </c>
      <c r="N7" s="85"/>
      <c r="O7" s="11"/>
    </row>
    <row r="8" spans="1:18" s="10" customFormat="1" ht="23.25" x14ac:dyDescent="0.3">
      <c r="A8" s="26">
        <v>4</v>
      </c>
      <c r="B8" s="65" t="s">
        <v>555</v>
      </c>
      <c r="C8" s="32" t="s">
        <v>19</v>
      </c>
      <c r="D8" s="32">
        <v>12</v>
      </c>
      <c r="E8" s="57">
        <v>50</v>
      </c>
      <c r="F8" s="30">
        <f t="shared" si="0"/>
        <v>600</v>
      </c>
      <c r="H8" s="26">
        <v>4</v>
      </c>
      <c r="I8" s="65" t="s">
        <v>555</v>
      </c>
      <c r="J8" s="32" t="s">
        <v>19</v>
      </c>
      <c r="K8" s="32">
        <v>12</v>
      </c>
      <c r="L8" s="57">
        <v>50</v>
      </c>
      <c r="M8" s="30">
        <f t="shared" si="1"/>
        <v>600</v>
      </c>
      <c r="N8" s="85"/>
      <c r="O8" s="11"/>
    </row>
    <row r="9" spans="1:18" s="10" customFormat="1" ht="23.25" x14ac:dyDescent="0.3">
      <c r="A9" s="26">
        <v>5</v>
      </c>
      <c r="B9" s="65" t="s">
        <v>122</v>
      </c>
      <c r="C9" s="32" t="s">
        <v>119</v>
      </c>
      <c r="D9" s="32">
        <v>0.14000000000000001</v>
      </c>
      <c r="E9" s="57">
        <v>460</v>
      </c>
      <c r="F9" s="30">
        <f t="shared" si="0"/>
        <v>64.400000000000006</v>
      </c>
      <c r="H9" s="26">
        <v>5</v>
      </c>
      <c r="I9" s="65" t="s">
        <v>122</v>
      </c>
      <c r="J9" s="32" t="s">
        <v>119</v>
      </c>
      <c r="K9" s="32">
        <v>0.14000000000000001</v>
      </c>
      <c r="L9" s="57">
        <v>460</v>
      </c>
      <c r="M9" s="30">
        <f t="shared" si="1"/>
        <v>64.400000000000006</v>
      </c>
      <c r="N9" s="85"/>
      <c r="O9" s="11"/>
    </row>
    <row r="10" spans="1:18" ht="24" thickBot="1" x14ac:dyDescent="0.3">
      <c r="A10" s="38"/>
      <c r="B10" s="39"/>
      <c r="C10" s="39"/>
      <c r="D10" s="39"/>
      <c r="E10" s="40" t="s">
        <v>16</v>
      </c>
      <c r="F10" s="35">
        <f>SUM(F5:F9)</f>
        <v>3118.4</v>
      </c>
      <c r="H10" s="38"/>
      <c r="I10" s="39"/>
      <c r="J10" s="39"/>
      <c r="K10" s="39"/>
      <c r="L10" s="40" t="s">
        <v>16</v>
      </c>
      <c r="M10" s="35">
        <f>SUM(M5:M9)</f>
        <v>2710.4</v>
      </c>
    </row>
    <row r="11" spans="1:18" ht="26.25" thickBot="1" x14ac:dyDescent="0.3">
      <c r="A11" s="76"/>
      <c r="B11" s="77"/>
      <c r="C11" s="77"/>
      <c r="D11" s="77"/>
      <c r="E11" s="78" t="s">
        <v>21</v>
      </c>
      <c r="F11" s="12">
        <f>SUMIF(E1:E19977,"CƏMİ",F1:F19977)</f>
        <v>3118.4</v>
      </c>
      <c r="H11" s="76"/>
      <c r="I11" s="77"/>
      <c r="J11" s="77"/>
      <c r="K11" s="77"/>
      <c r="L11" s="78" t="s">
        <v>21</v>
      </c>
      <c r="M11" s="12">
        <f>SUMIF(L1:L19977,"CƏMİ",M1:M19977)</f>
        <v>2710.4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F824-C481-493B-A080-11440D63111C}">
  <sheetPr>
    <tabColor rgb="FFFFFF00"/>
    <pageSetUpPr fitToPage="1"/>
  </sheetPr>
  <dimension ref="A1:R14"/>
  <sheetViews>
    <sheetView view="pageBreakPreview" zoomScale="55" zoomScaleNormal="55" zoomScaleSheetLayoutView="55" workbookViewId="0">
      <pane ySplit="3" topLeftCell="A4" activePane="bottomLeft" state="frozen"/>
      <selection activeCell="A4" sqref="A4:XFD10"/>
      <selection pane="bottomLeft" activeCell="K9" sqref="K9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469</v>
      </c>
      <c r="B1" s="175"/>
      <c r="C1" s="175"/>
      <c r="D1" s="175"/>
      <c r="E1" s="176" t="s">
        <v>0</v>
      </c>
      <c r="F1" s="177"/>
      <c r="H1" s="174" t="s">
        <v>469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F13</f>
        <v>5378</v>
      </c>
      <c r="O4" s="4"/>
    </row>
    <row r="5" spans="1:18" s="10" customFormat="1" ht="23.25" x14ac:dyDescent="0.3">
      <c r="A5" s="26">
        <v>1</v>
      </c>
      <c r="B5" s="65" t="s">
        <v>297</v>
      </c>
      <c r="C5" s="32" t="s">
        <v>20</v>
      </c>
      <c r="D5" s="32">
        <v>12</v>
      </c>
      <c r="E5" s="57">
        <v>30</v>
      </c>
      <c r="F5" s="30">
        <f>D5*E5</f>
        <v>360</v>
      </c>
      <c r="H5" s="26">
        <v>1</v>
      </c>
      <c r="I5" s="65" t="s">
        <v>297</v>
      </c>
      <c r="J5" s="32" t="s">
        <v>20</v>
      </c>
      <c r="K5" s="115">
        <v>6</v>
      </c>
      <c r="L5" s="57">
        <v>30</v>
      </c>
      <c r="M5" s="30">
        <f>K5*L5</f>
        <v>180</v>
      </c>
      <c r="N5" s="85"/>
      <c r="O5" s="11"/>
    </row>
    <row r="6" spans="1:18" s="10" customFormat="1" ht="23.25" x14ac:dyDescent="0.3">
      <c r="A6" s="26">
        <v>2</v>
      </c>
      <c r="B6" s="31" t="s">
        <v>354</v>
      </c>
      <c r="C6" s="32" t="s">
        <v>19</v>
      </c>
      <c r="D6" s="32">
        <v>6.5</v>
      </c>
      <c r="E6" s="57">
        <v>50</v>
      </c>
      <c r="F6" s="30">
        <f t="shared" ref="F6:F12" si="0">D6*E6</f>
        <v>325</v>
      </c>
      <c r="H6" s="26">
        <v>2</v>
      </c>
      <c r="I6" s="31" t="s">
        <v>354</v>
      </c>
      <c r="J6" s="32" t="s">
        <v>19</v>
      </c>
      <c r="K6" s="32">
        <v>6.5</v>
      </c>
      <c r="L6" s="57">
        <v>50</v>
      </c>
      <c r="M6" s="30">
        <f t="shared" ref="M6:M12" si="1">K6*L6</f>
        <v>325</v>
      </c>
      <c r="N6" s="85"/>
      <c r="O6" s="11"/>
    </row>
    <row r="7" spans="1:18" s="10" customFormat="1" ht="23.25" x14ac:dyDescent="0.3">
      <c r="A7" s="26">
        <v>3</v>
      </c>
      <c r="B7" s="31" t="s">
        <v>590</v>
      </c>
      <c r="C7" s="32" t="s">
        <v>19</v>
      </c>
      <c r="D7" s="32">
        <v>17.3</v>
      </c>
      <c r="E7" s="57">
        <v>80</v>
      </c>
      <c r="F7" s="30">
        <f t="shared" si="0"/>
        <v>1384</v>
      </c>
      <c r="H7" s="26">
        <v>3</v>
      </c>
      <c r="I7" s="31" t="s">
        <v>590</v>
      </c>
      <c r="J7" s="32" t="s">
        <v>19</v>
      </c>
      <c r="K7" s="32">
        <v>17.3</v>
      </c>
      <c r="L7" s="57">
        <v>80</v>
      </c>
      <c r="M7" s="30">
        <f t="shared" si="1"/>
        <v>1384</v>
      </c>
      <c r="N7" s="85"/>
      <c r="O7" s="11"/>
    </row>
    <row r="8" spans="1:18" s="10" customFormat="1" ht="23.25" x14ac:dyDescent="0.3">
      <c r="A8" s="26">
        <v>4</v>
      </c>
      <c r="B8" s="65" t="s">
        <v>319</v>
      </c>
      <c r="C8" s="32" t="s">
        <v>20</v>
      </c>
      <c r="D8" s="32">
        <v>30.4</v>
      </c>
      <c r="E8" s="57">
        <v>30</v>
      </c>
      <c r="F8" s="30">
        <f t="shared" si="0"/>
        <v>912</v>
      </c>
      <c r="H8" s="26">
        <v>4</v>
      </c>
      <c r="I8" s="65" t="s">
        <v>319</v>
      </c>
      <c r="J8" s="32" t="s">
        <v>20</v>
      </c>
      <c r="K8" s="115">
        <v>15.2</v>
      </c>
      <c r="L8" s="57">
        <v>30</v>
      </c>
      <c r="M8" s="30">
        <f t="shared" si="1"/>
        <v>456</v>
      </c>
      <c r="N8" s="85"/>
      <c r="O8" s="11"/>
    </row>
    <row r="9" spans="1:18" s="10" customFormat="1" ht="23.25" x14ac:dyDescent="0.3">
      <c r="A9" s="26">
        <v>5</v>
      </c>
      <c r="B9" s="31" t="s">
        <v>320</v>
      </c>
      <c r="C9" s="32" t="s">
        <v>19</v>
      </c>
      <c r="D9" s="32">
        <v>11</v>
      </c>
      <c r="E9" s="57">
        <v>50</v>
      </c>
      <c r="F9" s="30">
        <f t="shared" si="0"/>
        <v>550</v>
      </c>
      <c r="H9" s="26">
        <v>5</v>
      </c>
      <c r="I9" s="31" t="s">
        <v>320</v>
      </c>
      <c r="J9" s="32" t="s">
        <v>19</v>
      </c>
      <c r="K9" s="32">
        <v>11</v>
      </c>
      <c r="L9" s="57">
        <v>50</v>
      </c>
      <c r="M9" s="30">
        <f t="shared" si="1"/>
        <v>550</v>
      </c>
      <c r="N9" s="85"/>
      <c r="O9" s="11"/>
    </row>
    <row r="10" spans="1:18" s="10" customFormat="1" ht="23.25" x14ac:dyDescent="0.3">
      <c r="A10" s="26">
        <v>6</v>
      </c>
      <c r="B10" s="70" t="s">
        <v>559</v>
      </c>
      <c r="C10" s="32" t="s">
        <v>20</v>
      </c>
      <c r="D10" s="88">
        <v>38.5</v>
      </c>
      <c r="E10" s="57">
        <v>30</v>
      </c>
      <c r="F10" s="30">
        <f t="shared" si="0"/>
        <v>1155</v>
      </c>
      <c r="H10" s="26">
        <v>6</v>
      </c>
      <c r="I10" s="70" t="s">
        <v>559</v>
      </c>
      <c r="J10" s="32" t="s">
        <v>20</v>
      </c>
      <c r="K10" s="88">
        <v>38.5</v>
      </c>
      <c r="L10" s="57">
        <v>30</v>
      </c>
      <c r="M10" s="30">
        <f t="shared" si="1"/>
        <v>1155</v>
      </c>
      <c r="N10" s="85"/>
      <c r="O10" s="11"/>
    </row>
    <row r="11" spans="1:18" s="10" customFormat="1" ht="23.25" x14ac:dyDescent="0.3">
      <c r="A11" s="26">
        <v>7</v>
      </c>
      <c r="B11" s="65" t="s">
        <v>555</v>
      </c>
      <c r="C11" s="32" t="s">
        <v>19</v>
      </c>
      <c r="D11" s="32">
        <v>12</v>
      </c>
      <c r="E11" s="57">
        <v>50</v>
      </c>
      <c r="F11" s="30">
        <f t="shared" si="0"/>
        <v>600</v>
      </c>
      <c r="H11" s="26">
        <v>7</v>
      </c>
      <c r="I11" s="65" t="s">
        <v>555</v>
      </c>
      <c r="J11" s="32" t="s">
        <v>19</v>
      </c>
      <c r="K11" s="32">
        <v>12</v>
      </c>
      <c r="L11" s="57">
        <v>50</v>
      </c>
      <c r="M11" s="30">
        <f t="shared" si="1"/>
        <v>600</v>
      </c>
      <c r="N11" s="85"/>
      <c r="O11" s="11"/>
    </row>
    <row r="12" spans="1:18" s="10" customFormat="1" ht="23.25" x14ac:dyDescent="0.3">
      <c r="A12" s="26">
        <v>8</v>
      </c>
      <c r="B12" s="65" t="s">
        <v>122</v>
      </c>
      <c r="C12" s="32" t="s">
        <v>119</v>
      </c>
      <c r="D12" s="32">
        <v>0.2</v>
      </c>
      <c r="E12" s="57">
        <v>460</v>
      </c>
      <c r="F12" s="30">
        <f t="shared" si="0"/>
        <v>92</v>
      </c>
      <c r="H12" s="26">
        <v>8</v>
      </c>
      <c r="I12" s="65" t="s">
        <v>122</v>
      </c>
      <c r="J12" s="32" t="s">
        <v>119</v>
      </c>
      <c r="K12" s="32">
        <v>0.2</v>
      </c>
      <c r="L12" s="57">
        <v>460</v>
      </c>
      <c r="M12" s="30">
        <f t="shared" si="1"/>
        <v>92</v>
      </c>
      <c r="N12" s="85"/>
      <c r="O12" s="11"/>
    </row>
    <row r="13" spans="1:18" ht="24" thickBot="1" x14ac:dyDescent="0.3">
      <c r="A13" s="38"/>
      <c r="B13" s="39"/>
      <c r="C13" s="39"/>
      <c r="D13" s="39"/>
      <c r="E13" s="40" t="s">
        <v>16</v>
      </c>
      <c r="F13" s="35">
        <f>SUM(F5:F12)</f>
        <v>5378</v>
      </c>
      <c r="H13" s="38"/>
      <c r="I13" s="39"/>
      <c r="J13" s="39"/>
      <c r="K13" s="39"/>
      <c r="L13" s="40" t="s">
        <v>16</v>
      </c>
      <c r="M13" s="35">
        <f>SUM(M5:M12)</f>
        <v>4742</v>
      </c>
    </row>
    <row r="14" spans="1:18" ht="26.25" thickBot="1" x14ac:dyDescent="0.3">
      <c r="A14" s="76"/>
      <c r="B14" s="77"/>
      <c r="C14" s="77"/>
      <c r="D14" s="77"/>
      <c r="E14" s="78" t="s">
        <v>21</v>
      </c>
      <c r="F14" s="12">
        <f>SUMIF(E1:E19977,"CƏMİ",F1:F19977)</f>
        <v>5378</v>
      </c>
      <c r="H14" s="76"/>
      <c r="I14" s="77"/>
      <c r="J14" s="77"/>
      <c r="K14" s="77"/>
      <c r="L14" s="78" t="s">
        <v>21</v>
      </c>
      <c r="M14" s="12">
        <f>SUMIF(L1:L19977,"CƏMİ",M1:M19977)</f>
        <v>4742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AAAA-75B6-4CA6-8529-1EA72F155A70}">
  <sheetPr>
    <tabColor rgb="FFFFFF00"/>
    <pageSetUpPr fitToPage="1"/>
  </sheetPr>
  <dimension ref="A1:R11"/>
  <sheetViews>
    <sheetView view="pageBreakPreview" zoomScale="55" zoomScaleNormal="55" zoomScaleSheetLayoutView="55" workbookViewId="0">
      <pane ySplit="3" topLeftCell="A4" activePane="bottomLeft" state="frozen"/>
      <selection activeCell="A4" sqref="A4:XFD10"/>
      <selection pane="bottomLeft" activeCell="K7" sqref="K7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474</v>
      </c>
      <c r="B1" s="175"/>
      <c r="C1" s="175"/>
      <c r="D1" s="175"/>
      <c r="E1" s="176" t="s">
        <v>0</v>
      </c>
      <c r="F1" s="177"/>
      <c r="H1" s="174" t="s">
        <v>474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F10</f>
        <v>6199.2</v>
      </c>
      <c r="O4" s="4"/>
    </row>
    <row r="5" spans="1:18" s="10" customFormat="1" ht="23.25" x14ac:dyDescent="0.3">
      <c r="A5" s="26">
        <v>1</v>
      </c>
      <c r="B5" s="65" t="s">
        <v>319</v>
      </c>
      <c r="C5" s="32" t="s">
        <v>20</v>
      </c>
      <c r="D5" s="32">
        <v>86.8</v>
      </c>
      <c r="E5" s="57">
        <v>30</v>
      </c>
      <c r="F5" s="30">
        <f>D5*E5</f>
        <v>2604</v>
      </c>
      <c r="H5" s="26">
        <v>1</v>
      </c>
      <c r="I5" s="65" t="s">
        <v>319</v>
      </c>
      <c r="J5" s="32" t="s">
        <v>20</v>
      </c>
      <c r="K5" s="115">
        <v>34</v>
      </c>
      <c r="L5" s="57">
        <v>30</v>
      </c>
      <c r="M5" s="30">
        <f>K5*L5</f>
        <v>1020</v>
      </c>
      <c r="N5" s="85"/>
      <c r="O5" s="11"/>
    </row>
    <row r="6" spans="1:18" s="10" customFormat="1" ht="23.25" x14ac:dyDescent="0.3">
      <c r="A6" s="26">
        <v>2</v>
      </c>
      <c r="B6" s="31" t="s">
        <v>320</v>
      </c>
      <c r="C6" s="32" t="s">
        <v>19</v>
      </c>
      <c r="D6" s="32">
        <v>28</v>
      </c>
      <c r="E6" s="57">
        <v>50</v>
      </c>
      <c r="F6" s="30">
        <f t="shared" ref="F6:F9" si="0">D6*E6</f>
        <v>1400</v>
      </c>
      <c r="H6" s="26">
        <v>2</v>
      </c>
      <c r="I6" s="31" t="s">
        <v>320</v>
      </c>
      <c r="J6" s="32" t="s">
        <v>19</v>
      </c>
      <c r="K6" s="115">
        <v>23</v>
      </c>
      <c r="L6" s="57">
        <v>50</v>
      </c>
      <c r="M6" s="30">
        <f t="shared" ref="M6:M9" si="1">K6*L6</f>
        <v>1150</v>
      </c>
      <c r="N6" s="85"/>
      <c r="O6" s="11"/>
    </row>
    <row r="7" spans="1:18" s="10" customFormat="1" ht="23.25" x14ac:dyDescent="0.3">
      <c r="A7" s="26">
        <v>3</v>
      </c>
      <c r="B7" s="70" t="s">
        <v>559</v>
      </c>
      <c r="C7" s="32" t="s">
        <v>20</v>
      </c>
      <c r="D7" s="88">
        <v>45.9</v>
      </c>
      <c r="E7" s="57">
        <v>30</v>
      </c>
      <c r="F7" s="30">
        <f t="shared" si="0"/>
        <v>1377</v>
      </c>
      <c r="H7" s="26">
        <v>3</v>
      </c>
      <c r="I7" s="70" t="s">
        <v>559</v>
      </c>
      <c r="J7" s="32" t="s">
        <v>20</v>
      </c>
      <c r="K7" s="88">
        <v>45.9</v>
      </c>
      <c r="L7" s="57">
        <v>30</v>
      </c>
      <c r="M7" s="30">
        <f t="shared" si="1"/>
        <v>1377</v>
      </c>
      <c r="N7" s="85"/>
      <c r="O7" s="11"/>
    </row>
    <row r="8" spans="1:18" s="10" customFormat="1" ht="23.25" x14ac:dyDescent="0.3">
      <c r="A8" s="26">
        <v>4</v>
      </c>
      <c r="B8" s="65" t="s">
        <v>555</v>
      </c>
      <c r="C8" s="32" t="s">
        <v>19</v>
      </c>
      <c r="D8" s="32">
        <v>14.8</v>
      </c>
      <c r="E8" s="57">
        <v>50</v>
      </c>
      <c r="F8" s="30">
        <f t="shared" si="0"/>
        <v>740</v>
      </c>
      <c r="H8" s="26">
        <v>4</v>
      </c>
      <c r="I8" s="65" t="s">
        <v>555</v>
      </c>
      <c r="J8" s="32" t="s">
        <v>19</v>
      </c>
      <c r="K8" s="32">
        <v>14.8</v>
      </c>
      <c r="L8" s="57">
        <v>50</v>
      </c>
      <c r="M8" s="30">
        <f t="shared" si="1"/>
        <v>740</v>
      </c>
      <c r="N8" s="85"/>
      <c r="O8" s="11"/>
    </row>
    <row r="9" spans="1:18" s="10" customFormat="1" ht="23.25" x14ac:dyDescent="0.3">
      <c r="A9" s="26">
        <v>5</v>
      </c>
      <c r="B9" s="65" t="s">
        <v>122</v>
      </c>
      <c r="C9" s="32" t="s">
        <v>119</v>
      </c>
      <c r="D9" s="32">
        <v>0.17</v>
      </c>
      <c r="E9" s="57">
        <v>460</v>
      </c>
      <c r="F9" s="30">
        <f t="shared" si="0"/>
        <v>78.2</v>
      </c>
      <c r="H9" s="26">
        <v>5</v>
      </c>
      <c r="I9" s="65" t="s">
        <v>122</v>
      </c>
      <c r="J9" s="32" t="s">
        <v>119</v>
      </c>
      <c r="K9" s="32">
        <v>0.17</v>
      </c>
      <c r="L9" s="57">
        <v>460</v>
      </c>
      <c r="M9" s="30">
        <f t="shared" si="1"/>
        <v>78.2</v>
      </c>
      <c r="N9" s="85"/>
      <c r="O9" s="11"/>
    </row>
    <row r="10" spans="1:18" ht="24" thickBot="1" x14ac:dyDescent="0.3">
      <c r="A10" s="38"/>
      <c r="B10" s="39"/>
      <c r="C10" s="39"/>
      <c r="D10" s="39"/>
      <c r="E10" s="40" t="s">
        <v>16</v>
      </c>
      <c r="F10" s="35">
        <f>SUM(F5:F9)</f>
        <v>6199.2</v>
      </c>
      <c r="H10" s="38"/>
      <c r="I10" s="39"/>
      <c r="J10" s="39"/>
      <c r="K10" s="39"/>
      <c r="L10" s="40" t="s">
        <v>16</v>
      </c>
      <c r="M10" s="35">
        <f>SUM(M5:M9)</f>
        <v>4365.2</v>
      </c>
    </row>
    <row r="11" spans="1:18" ht="26.25" thickBot="1" x14ac:dyDescent="0.3">
      <c r="A11" s="76"/>
      <c r="B11" s="77"/>
      <c r="C11" s="77"/>
      <c r="D11" s="77"/>
      <c r="E11" s="78" t="s">
        <v>21</v>
      </c>
      <c r="F11" s="12">
        <f>SUMIF(E1:E19977,"CƏMİ",F1:F19977)</f>
        <v>6199.2</v>
      </c>
      <c r="H11" s="76"/>
      <c r="I11" s="77"/>
      <c r="J11" s="77"/>
      <c r="K11" s="77"/>
      <c r="L11" s="78" t="s">
        <v>21</v>
      </c>
      <c r="M11" s="12">
        <f>SUMIF(L1:L19977,"CƏMİ",M1:M19977)</f>
        <v>4365.2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B2E38-834A-4FAC-A882-65690328EAB0}">
  <sheetPr>
    <tabColor rgb="FFFFFF00"/>
    <pageSetUpPr fitToPage="1"/>
  </sheetPr>
  <dimension ref="A1:R11"/>
  <sheetViews>
    <sheetView view="pageBreakPreview" zoomScale="55" zoomScaleNormal="55" zoomScaleSheetLayoutView="55" workbookViewId="0">
      <pane ySplit="3" topLeftCell="A4" activePane="bottomLeft" state="frozen"/>
      <selection activeCell="A4" sqref="A4:XFD10"/>
      <selection pane="bottomLeft" activeCell="K6" sqref="K6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511</v>
      </c>
      <c r="B1" s="175"/>
      <c r="C1" s="175"/>
      <c r="D1" s="175"/>
      <c r="E1" s="176" t="s">
        <v>0</v>
      </c>
      <c r="F1" s="177"/>
      <c r="H1" s="174" t="s">
        <v>511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F10</f>
        <v>2877</v>
      </c>
      <c r="O4" s="4"/>
    </row>
    <row r="5" spans="1:18" s="10" customFormat="1" ht="23.25" x14ac:dyDescent="0.3">
      <c r="A5" s="26">
        <v>1</v>
      </c>
      <c r="B5" s="65" t="s">
        <v>319</v>
      </c>
      <c r="C5" s="32" t="s">
        <v>20</v>
      </c>
      <c r="D5" s="32">
        <v>26.4</v>
      </c>
      <c r="E5" s="57">
        <v>30</v>
      </c>
      <c r="F5" s="30">
        <f>D5*E5</f>
        <v>792</v>
      </c>
      <c r="H5" s="26">
        <v>1</v>
      </c>
      <c r="I5" s="65" t="s">
        <v>319</v>
      </c>
      <c r="J5" s="32" t="s">
        <v>20</v>
      </c>
      <c r="K5" s="115">
        <v>13.2</v>
      </c>
      <c r="L5" s="57">
        <v>30</v>
      </c>
      <c r="M5" s="30">
        <f>K5*L5</f>
        <v>396</v>
      </c>
      <c r="N5" s="85"/>
      <c r="O5" s="11"/>
    </row>
    <row r="6" spans="1:18" s="10" customFormat="1" ht="23.25" x14ac:dyDescent="0.3">
      <c r="A6" s="26">
        <v>2</v>
      </c>
      <c r="B6" s="31" t="s">
        <v>320</v>
      </c>
      <c r="C6" s="32" t="s">
        <v>19</v>
      </c>
      <c r="D6" s="32">
        <v>9.5</v>
      </c>
      <c r="E6" s="57">
        <v>50</v>
      </c>
      <c r="F6" s="30">
        <f t="shared" ref="F6:F9" si="0">D6*E6</f>
        <v>475</v>
      </c>
      <c r="H6" s="26">
        <v>2</v>
      </c>
      <c r="I6" s="31" t="s">
        <v>320</v>
      </c>
      <c r="J6" s="32" t="s">
        <v>19</v>
      </c>
      <c r="K6" s="32">
        <v>9.5</v>
      </c>
      <c r="L6" s="57">
        <v>50</v>
      </c>
      <c r="M6" s="30">
        <f t="shared" ref="M6:M9" si="1">K6*L6</f>
        <v>475</v>
      </c>
      <c r="N6" s="85"/>
      <c r="O6" s="11"/>
    </row>
    <row r="7" spans="1:18" s="10" customFormat="1" ht="23.25" x14ac:dyDescent="0.3">
      <c r="A7" s="26">
        <v>3</v>
      </c>
      <c r="B7" s="70" t="s">
        <v>559</v>
      </c>
      <c r="C7" s="32" t="s">
        <v>20</v>
      </c>
      <c r="D7" s="88">
        <v>34.9</v>
      </c>
      <c r="E7" s="57">
        <v>30</v>
      </c>
      <c r="F7" s="30">
        <f t="shared" si="0"/>
        <v>1047</v>
      </c>
      <c r="H7" s="26">
        <v>3</v>
      </c>
      <c r="I7" s="70" t="s">
        <v>559</v>
      </c>
      <c r="J7" s="32" t="s">
        <v>20</v>
      </c>
      <c r="K7" s="88">
        <v>34.9</v>
      </c>
      <c r="L7" s="57">
        <v>30</v>
      </c>
      <c r="M7" s="30">
        <f t="shared" si="1"/>
        <v>1047</v>
      </c>
      <c r="N7" s="85"/>
      <c r="O7" s="11"/>
    </row>
    <row r="8" spans="1:18" s="10" customFormat="1" ht="23.25" x14ac:dyDescent="0.3">
      <c r="A8" s="26">
        <v>4</v>
      </c>
      <c r="B8" s="65" t="s">
        <v>555</v>
      </c>
      <c r="C8" s="32" t="s">
        <v>19</v>
      </c>
      <c r="D8" s="32">
        <v>10.8</v>
      </c>
      <c r="E8" s="57">
        <v>50</v>
      </c>
      <c r="F8" s="30">
        <f t="shared" si="0"/>
        <v>540</v>
      </c>
      <c r="H8" s="26">
        <v>4</v>
      </c>
      <c r="I8" s="65" t="s">
        <v>555</v>
      </c>
      <c r="J8" s="32" t="s">
        <v>19</v>
      </c>
      <c r="K8" s="32">
        <v>10.8</v>
      </c>
      <c r="L8" s="57">
        <v>50</v>
      </c>
      <c r="M8" s="30">
        <f t="shared" si="1"/>
        <v>540</v>
      </c>
      <c r="N8" s="85"/>
      <c r="O8" s="11"/>
    </row>
    <row r="9" spans="1:18" s="10" customFormat="1" ht="23.25" x14ac:dyDescent="0.3">
      <c r="A9" s="26">
        <v>5</v>
      </c>
      <c r="B9" s="65" t="s">
        <v>122</v>
      </c>
      <c r="C9" s="32" t="s">
        <v>119</v>
      </c>
      <c r="D9" s="32">
        <v>0.05</v>
      </c>
      <c r="E9" s="57">
        <v>460</v>
      </c>
      <c r="F9" s="30">
        <f t="shared" si="0"/>
        <v>23</v>
      </c>
      <c r="H9" s="26">
        <v>5</v>
      </c>
      <c r="I9" s="65" t="s">
        <v>122</v>
      </c>
      <c r="J9" s="32" t="s">
        <v>119</v>
      </c>
      <c r="K9" s="32">
        <v>0.05</v>
      </c>
      <c r="L9" s="57">
        <v>460</v>
      </c>
      <c r="M9" s="30">
        <f t="shared" si="1"/>
        <v>23</v>
      </c>
      <c r="N9" s="85"/>
      <c r="O9" s="11"/>
    </row>
    <row r="10" spans="1:18" ht="24" thickBot="1" x14ac:dyDescent="0.3">
      <c r="A10" s="38"/>
      <c r="B10" s="39"/>
      <c r="C10" s="39"/>
      <c r="D10" s="39"/>
      <c r="E10" s="40" t="s">
        <v>16</v>
      </c>
      <c r="F10" s="35">
        <f>SUM(F5:F9)</f>
        <v>2877</v>
      </c>
      <c r="H10" s="38"/>
      <c r="I10" s="39"/>
      <c r="J10" s="39"/>
      <c r="K10" s="39"/>
      <c r="L10" s="40" t="s">
        <v>16</v>
      </c>
      <c r="M10" s="35">
        <f>SUM(M5:M9)</f>
        <v>2481</v>
      </c>
    </row>
    <row r="11" spans="1:18" ht="26.25" thickBot="1" x14ac:dyDescent="0.3">
      <c r="A11" s="76"/>
      <c r="B11" s="77"/>
      <c r="C11" s="77"/>
      <c r="D11" s="77"/>
      <c r="E11" s="78" t="s">
        <v>21</v>
      </c>
      <c r="F11" s="12">
        <f>SUMIF(E1:E19977,"CƏMİ",F1:F19977)</f>
        <v>2877</v>
      </c>
      <c r="H11" s="76"/>
      <c r="I11" s="77"/>
      <c r="J11" s="77"/>
      <c r="K11" s="77"/>
      <c r="L11" s="78" t="s">
        <v>21</v>
      </c>
      <c r="M11" s="12">
        <f>SUMIF(L1:L19977,"CƏMİ",M1:M19977)</f>
        <v>2481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4392-6EE1-4038-93E8-52D66A8EB12A}">
  <sheetPr>
    <tabColor rgb="FFFFFF00"/>
    <pageSetUpPr fitToPage="1"/>
  </sheetPr>
  <dimension ref="A1:R11"/>
  <sheetViews>
    <sheetView view="pageBreakPreview" zoomScale="55" zoomScaleNormal="55" zoomScaleSheetLayoutView="55" workbookViewId="0">
      <pane ySplit="3" topLeftCell="A4" activePane="bottomLeft" state="frozen"/>
      <selection activeCell="A4" sqref="A4:XFD10"/>
      <selection pane="bottomLeft" activeCell="K6" sqref="K6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337</v>
      </c>
      <c r="B1" s="175"/>
      <c r="C1" s="175"/>
      <c r="D1" s="175"/>
      <c r="E1" s="176" t="s">
        <v>0</v>
      </c>
      <c r="F1" s="177"/>
      <c r="H1" s="174" t="s">
        <v>337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F10</f>
        <v>3096.8</v>
      </c>
      <c r="O4" s="4"/>
    </row>
    <row r="5" spans="1:18" s="10" customFormat="1" ht="23.25" x14ac:dyDescent="0.3">
      <c r="A5" s="26">
        <v>1</v>
      </c>
      <c r="B5" s="65" t="s">
        <v>297</v>
      </c>
      <c r="C5" s="32" t="s">
        <v>20</v>
      </c>
      <c r="D5" s="32">
        <v>26.4</v>
      </c>
      <c r="E5" s="57">
        <v>30</v>
      </c>
      <c r="F5" s="30">
        <f>D5*E5</f>
        <v>792</v>
      </c>
      <c r="H5" s="26">
        <v>1</v>
      </c>
      <c r="I5" s="65" t="s">
        <v>297</v>
      </c>
      <c r="J5" s="32" t="s">
        <v>20</v>
      </c>
      <c r="K5" s="115">
        <v>13.2</v>
      </c>
      <c r="L5" s="57">
        <v>30</v>
      </c>
      <c r="M5" s="30">
        <f>K5*L5</f>
        <v>396</v>
      </c>
      <c r="N5" s="85"/>
      <c r="O5" s="11"/>
    </row>
    <row r="6" spans="1:18" s="10" customFormat="1" ht="23.25" x14ac:dyDescent="0.3">
      <c r="A6" s="26">
        <v>2</v>
      </c>
      <c r="B6" s="31" t="s">
        <v>354</v>
      </c>
      <c r="C6" s="32" t="s">
        <v>19</v>
      </c>
      <c r="D6" s="32">
        <v>9.5</v>
      </c>
      <c r="E6" s="57">
        <v>50</v>
      </c>
      <c r="F6" s="30">
        <f t="shared" ref="F6:F9" si="0">D6*E6</f>
        <v>475</v>
      </c>
      <c r="H6" s="26">
        <v>2</v>
      </c>
      <c r="I6" s="31" t="s">
        <v>354</v>
      </c>
      <c r="J6" s="32" t="s">
        <v>19</v>
      </c>
      <c r="K6" s="32">
        <v>9.5</v>
      </c>
      <c r="L6" s="57">
        <v>50</v>
      </c>
      <c r="M6" s="30">
        <f t="shared" ref="M6:M9" si="1">K6*L6</f>
        <v>475</v>
      </c>
      <c r="N6" s="85"/>
      <c r="O6" s="11"/>
    </row>
    <row r="7" spans="1:18" s="10" customFormat="1" ht="23.25" x14ac:dyDescent="0.3">
      <c r="A7" s="26">
        <v>3</v>
      </c>
      <c r="B7" s="70" t="s">
        <v>559</v>
      </c>
      <c r="C7" s="32" t="s">
        <v>20</v>
      </c>
      <c r="D7" s="88">
        <v>38.5</v>
      </c>
      <c r="E7" s="57">
        <v>30</v>
      </c>
      <c r="F7" s="30">
        <f t="shared" si="0"/>
        <v>1155</v>
      </c>
      <c r="H7" s="26">
        <v>3</v>
      </c>
      <c r="I7" s="70" t="s">
        <v>559</v>
      </c>
      <c r="J7" s="32" t="s">
        <v>20</v>
      </c>
      <c r="K7" s="88">
        <v>38.5</v>
      </c>
      <c r="L7" s="57">
        <v>30</v>
      </c>
      <c r="M7" s="30">
        <f t="shared" si="1"/>
        <v>1155</v>
      </c>
      <c r="N7" s="85"/>
      <c r="O7" s="11"/>
    </row>
    <row r="8" spans="1:18" s="10" customFormat="1" ht="23.25" x14ac:dyDescent="0.3">
      <c r="A8" s="26">
        <v>4</v>
      </c>
      <c r="B8" s="65" t="s">
        <v>555</v>
      </c>
      <c r="C8" s="32" t="s">
        <v>19</v>
      </c>
      <c r="D8" s="32">
        <v>12.3</v>
      </c>
      <c r="E8" s="57">
        <v>50</v>
      </c>
      <c r="F8" s="30">
        <f t="shared" si="0"/>
        <v>615</v>
      </c>
      <c r="H8" s="26">
        <v>4</v>
      </c>
      <c r="I8" s="65" t="s">
        <v>555</v>
      </c>
      <c r="J8" s="32" t="s">
        <v>19</v>
      </c>
      <c r="K8" s="32">
        <v>12.3</v>
      </c>
      <c r="L8" s="57">
        <v>50</v>
      </c>
      <c r="M8" s="30">
        <f t="shared" si="1"/>
        <v>615</v>
      </c>
      <c r="N8" s="85"/>
      <c r="O8" s="11"/>
    </row>
    <row r="9" spans="1:18" s="10" customFormat="1" ht="23.25" x14ac:dyDescent="0.3">
      <c r="A9" s="26">
        <v>5</v>
      </c>
      <c r="B9" s="65" t="s">
        <v>122</v>
      </c>
      <c r="C9" s="32" t="s">
        <v>119</v>
      </c>
      <c r="D9" s="32">
        <v>0.13</v>
      </c>
      <c r="E9" s="57">
        <v>460</v>
      </c>
      <c r="F9" s="30">
        <f t="shared" si="0"/>
        <v>59.800000000000004</v>
      </c>
      <c r="H9" s="26">
        <v>5</v>
      </c>
      <c r="I9" s="65" t="s">
        <v>122</v>
      </c>
      <c r="J9" s="32" t="s">
        <v>119</v>
      </c>
      <c r="K9" s="32">
        <v>0.13</v>
      </c>
      <c r="L9" s="57">
        <v>460</v>
      </c>
      <c r="M9" s="30">
        <f t="shared" si="1"/>
        <v>59.800000000000004</v>
      </c>
      <c r="N9" s="85"/>
      <c r="O9" s="11"/>
    </row>
    <row r="10" spans="1:18" ht="24" thickBot="1" x14ac:dyDescent="0.3">
      <c r="A10" s="38"/>
      <c r="B10" s="39"/>
      <c r="C10" s="39"/>
      <c r="D10" s="39"/>
      <c r="E10" s="40" t="s">
        <v>16</v>
      </c>
      <c r="F10" s="35">
        <f>SUM(F5:F9)</f>
        <v>3096.8</v>
      </c>
      <c r="H10" s="38"/>
      <c r="I10" s="39"/>
      <c r="J10" s="39"/>
      <c r="K10" s="39"/>
      <c r="L10" s="40" t="s">
        <v>16</v>
      </c>
      <c r="M10" s="35">
        <f>SUM(M5:M9)</f>
        <v>2700.8</v>
      </c>
    </row>
    <row r="11" spans="1:18" ht="26.25" thickBot="1" x14ac:dyDescent="0.3">
      <c r="A11" s="76"/>
      <c r="B11" s="77"/>
      <c r="C11" s="77"/>
      <c r="D11" s="77"/>
      <c r="E11" s="78" t="s">
        <v>21</v>
      </c>
      <c r="F11" s="12">
        <f>SUMIF(E1:E19977,"CƏMİ",F1:F19977)</f>
        <v>3096.8</v>
      </c>
      <c r="H11" s="76"/>
      <c r="I11" s="77"/>
      <c r="J11" s="77"/>
      <c r="K11" s="77"/>
      <c r="L11" s="78" t="s">
        <v>21</v>
      </c>
      <c r="M11" s="12">
        <f>SUMIF(L1:L19977,"CƏMİ",M1:M19977)</f>
        <v>2700.8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01F3-F7F3-4DBF-B16B-C0E4B341C072}">
  <sheetPr>
    <tabColor rgb="FFFFFF00"/>
    <pageSetUpPr fitToPage="1"/>
  </sheetPr>
  <dimension ref="A1:R14"/>
  <sheetViews>
    <sheetView view="pageBreakPreview" zoomScale="55" zoomScaleNormal="55" zoomScaleSheetLayoutView="55" workbookViewId="0">
      <pane ySplit="3" topLeftCell="A4" activePane="bottomLeft" state="frozen"/>
      <selection activeCell="A4" sqref="A4:XFD10"/>
      <selection pane="bottomLeft" activeCell="K10" sqref="K10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476</v>
      </c>
      <c r="B1" s="175"/>
      <c r="C1" s="175"/>
      <c r="D1" s="175"/>
      <c r="E1" s="176" t="s">
        <v>0</v>
      </c>
      <c r="F1" s="177"/>
      <c r="H1" s="174" t="s">
        <v>476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F13</f>
        <v>4738.3999999999996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39.700000000000003</v>
      </c>
      <c r="E5" s="57">
        <v>30</v>
      </c>
      <c r="F5" s="30">
        <f>D5*E5</f>
        <v>1191</v>
      </c>
      <c r="H5" s="26">
        <v>1</v>
      </c>
      <c r="I5" s="70" t="s">
        <v>559</v>
      </c>
      <c r="J5" s="32" t="s">
        <v>20</v>
      </c>
      <c r="K5" s="88">
        <v>39.700000000000003</v>
      </c>
      <c r="L5" s="57">
        <v>30</v>
      </c>
      <c r="M5" s="30">
        <f>K5*L5</f>
        <v>1191</v>
      </c>
      <c r="N5" s="85"/>
      <c r="O5" s="11"/>
    </row>
    <row r="6" spans="1:18" s="10" customFormat="1" ht="23.25" x14ac:dyDescent="0.3">
      <c r="A6" s="26">
        <v>2</v>
      </c>
      <c r="B6" s="65" t="s">
        <v>555</v>
      </c>
      <c r="C6" s="32" t="s">
        <v>19</v>
      </c>
      <c r="D6" s="32">
        <v>12.1</v>
      </c>
      <c r="E6" s="57">
        <v>50</v>
      </c>
      <c r="F6" s="30">
        <f t="shared" ref="F6:F12" si="0">D6*E6</f>
        <v>605</v>
      </c>
      <c r="H6" s="26">
        <v>2</v>
      </c>
      <c r="I6" s="65" t="s">
        <v>555</v>
      </c>
      <c r="J6" s="32" t="s">
        <v>19</v>
      </c>
      <c r="K6" s="32">
        <v>12.1</v>
      </c>
      <c r="L6" s="57">
        <v>50</v>
      </c>
      <c r="M6" s="30">
        <f t="shared" ref="M6:M12" si="1">K6*L6</f>
        <v>605</v>
      </c>
      <c r="N6" s="85"/>
      <c r="O6" s="11"/>
    </row>
    <row r="7" spans="1:18" s="10" customFormat="1" ht="23.25" x14ac:dyDescent="0.3">
      <c r="A7" s="26">
        <v>3</v>
      </c>
      <c r="B7" s="65" t="s">
        <v>319</v>
      </c>
      <c r="C7" s="32" t="s">
        <v>20</v>
      </c>
      <c r="D7" s="32">
        <v>31</v>
      </c>
      <c r="E7" s="57">
        <v>30</v>
      </c>
      <c r="F7" s="30">
        <f t="shared" si="0"/>
        <v>930</v>
      </c>
      <c r="H7" s="26">
        <v>3</v>
      </c>
      <c r="I7" s="65" t="s">
        <v>319</v>
      </c>
      <c r="J7" s="32" t="s">
        <v>20</v>
      </c>
      <c r="K7" s="115">
        <v>15.5</v>
      </c>
      <c r="L7" s="57">
        <v>30</v>
      </c>
      <c r="M7" s="30">
        <f t="shared" si="1"/>
        <v>465</v>
      </c>
      <c r="N7" s="85"/>
      <c r="O7" s="11"/>
    </row>
    <row r="8" spans="1:18" s="10" customFormat="1" ht="23.25" x14ac:dyDescent="0.3">
      <c r="A8" s="26">
        <v>4</v>
      </c>
      <c r="B8" s="31" t="s">
        <v>320</v>
      </c>
      <c r="C8" s="32" t="s">
        <v>19</v>
      </c>
      <c r="D8" s="32">
        <v>8</v>
      </c>
      <c r="E8" s="57">
        <v>50</v>
      </c>
      <c r="F8" s="30">
        <f t="shared" si="0"/>
        <v>400</v>
      </c>
      <c r="H8" s="26">
        <v>4</v>
      </c>
      <c r="I8" s="31" t="s">
        <v>320</v>
      </c>
      <c r="J8" s="32" t="s">
        <v>19</v>
      </c>
      <c r="K8" s="32">
        <v>8</v>
      </c>
      <c r="L8" s="57">
        <v>50</v>
      </c>
      <c r="M8" s="30">
        <f t="shared" si="1"/>
        <v>400</v>
      </c>
      <c r="N8" s="85"/>
      <c r="O8" s="11"/>
    </row>
    <row r="9" spans="1:18" s="10" customFormat="1" ht="23.25" x14ac:dyDescent="0.3">
      <c r="A9" s="26">
        <v>5</v>
      </c>
      <c r="B9" s="65" t="s">
        <v>297</v>
      </c>
      <c r="C9" s="32" t="s">
        <v>20</v>
      </c>
      <c r="D9" s="32">
        <v>10</v>
      </c>
      <c r="E9" s="57">
        <v>30</v>
      </c>
      <c r="F9" s="30">
        <f t="shared" si="0"/>
        <v>300</v>
      </c>
      <c r="H9" s="26">
        <v>5</v>
      </c>
      <c r="I9" s="65" t="s">
        <v>297</v>
      </c>
      <c r="J9" s="32" t="s">
        <v>20</v>
      </c>
      <c r="K9" s="115">
        <v>5</v>
      </c>
      <c r="L9" s="57">
        <v>30</v>
      </c>
      <c r="M9" s="30">
        <f t="shared" si="1"/>
        <v>150</v>
      </c>
      <c r="N9" s="85"/>
      <c r="O9" s="11"/>
    </row>
    <row r="10" spans="1:18" s="10" customFormat="1" ht="23.25" x14ac:dyDescent="0.3">
      <c r="A10" s="26">
        <v>6</v>
      </c>
      <c r="B10" s="31" t="s">
        <v>354</v>
      </c>
      <c r="C10" s="32" t="s">
        <v>19</v>
      </c>
      <c r="D10" s="32">
        <v>5.5</v>
      </c>
      <c r="E10" s="57">
        <v>50</v>
      </c>
      <c r="F10" s="30">
        <f t="shared" si="0"/>
        <v>275</v>
      </c>
      <c r="H10" s="26">
        <v>6</v>
      </c>
      <c r="I10" s="31" t="s">
        <v>354</v>
      </c>
      <c r="J10" s="32" t="s">
        <v>19</v>
      </c>
      <c r="K10" s="32">
        <v>5.5</v>
      </c>
      <c r="L10" s="57">
        <v>50</v>
      </c>
      <c r="M10" s="30">
        <f t="shared" si="1"/>
        <v>275</v>
      </c>
      <c r="N10" s="85"/>
      <c r="O10" s="11"/>
    </row>
    <row r="11" spans="1:18" s="10" customFormat="1" ht="23.25" x14ac:dyDescent="0.3">
      <c r="A11" s="26">
        <v>7</v>
      </c>
      <c r="B11" s="31" t="s">
        <v>590</v>
      </c>
      <c r="C11" s="32" t="s">
        <v>19</v>
      </c>
      <c r="D11" s="32">
        <v>19</v>
      </c>
      <c r="E11" s="57">
        <v>50</v>
      </c>
      <c r="F11" s="30">
        <f t="shared" si="0"/>
        <v>950</v>
      </c>
      <c r="H11" s="26">
        <v>7</v>
      </c>
      <c r="I11" s="31" t="s">
        <v>590</v>
      </c>
      <c r="J11" s="32" t="s">
        <v>19</v>
      </c>
      <c r="K11" s="32">
        <v>19</v>
      </c>
      <c r="L11" s="57">
        <v>50</v>
      </c>
      <c r="M11" s="30">
        <f t="shared" si="1"/>
        <v>950</v>
      </c>
      <c r="N11" s="85"/>
      <c r="O11" s="11"/>
    </row>
    <row r="12" spans="1:18" s="10" customFormat="1" ht="23.25" x14ac:dyDescent="0.3">
      <c r="A12" s="26">
        <v>8</v>
      </c>
      <c r="B12" s="65" t="s">
        <v>122</v>
      </c>
      <c r="C12" s="32" t="s">
        <v>119</v>
      </c>
      <c r="D12" s="32">
        <v>0.19</v>
      </c>
      <c r="E12" s="57">
        <v>460</v>
      </c>
      <c r="F12" s="30">
        <f t="shared" si="0"/>
        <v>87.4</v>
      </c>
      <c r="H12" s="26">
        <v>8</v>
      </c>
      <c r="I12" s="65" t="s">
        <v>122</v>
      </c>
      <c r="J12" s="32" t="s">
        <v>119</v>
      </c>
      <c r="K12" s="32">
        <v>0.19</v>
      </c>
      <c r="L12" s="57">
        <v>460</v>
      </c>
      <c r="M12" s="30">
        <f t="shared" si="1"/>
        <v>87.4</v>
      </c>
      <c r="N12" s="85"/>
      <c r="O12" s="11"/>
    </row>
    <row r="13" spans="1:18" ht="24" thickBot="1" x14ac:dyDescent="0.3">
      <c r="A13" s="38"/>
      <c r="B13" s="39"/>
      <c r="C13" s="39"/>
      <c r="D13" s="39"/>
      <c r="E13" s="40" t="s">
        <v>16</v>
      </c>
      <c r="F13" s="35">
        <f>SUM(F5:F12)</f>
        <v>4738.3999999999996</v>
      </c>
      <c r="H13" s="38"/>
      <c r="I13" s="39"/>
      <c r="J13" s="39"/>
      <c r="K13" s="39"/>
      <c r="L13" s="40" t="s">
        <v>16</v>
      </c>
      <c r="M13" s="35">
        <f>SUM(M5:M12)</f>
        <v>4123.3999999999996</v>
      </c>
    </row>
    <row r="14" spans="1:18" ht="26.25" thickBot="1" x14ac:dyDescent="0.3">
      <c r="A14" s="76"/>
      <c r="B14" s="77"/>
      <c r="C14" s="77"/>
      <c r="D14" s="77"/>
      <c r="E14" s="78" t="s">
        <v>21</v>
      </c>
      <c r="F14" s="12">
        <f>SUMIF(E1:E19977,"CƏMİ",F1:F19977)</f>
        <v>4738.3999999999996</v>
      </c>
      <c r="H14" s="76"/>
      <c r="I14" s="77"/>
      <c r="J14" s="77"/>
      <c r="K14" s="77"/>
      <c r="L14" s="78" t="s">
        <v>21</v>
      </c>
      <c r="M14" s="12">
        <f>SUMIF(L1:L19977,"CƏMİ",M1:M19977)</f>
        <v>4123.3999999999996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9514-BCC5-478E-81C6-9E7853705487}">
  <sheetPr>
    <tabColor rgb="FFFFFF00"/>
    <pageSetUpPr fitToPage="1"/>
  </sheetPr>
  <dimension ref="A1:R12"/>
  <sheetViews>
    <sheetView view="pageBreakPreview" zoomScale="55" zoomScaleNormal="55" zoomScaleSheetLayoutView="55" workbookViewId="0">
      <pane ySplit="3" topLeftCell="A4" activePane="bottomLeft" state="frozen"/>
      <selection activeCell="A4" sqref="A4:XFD10"/>
      <selection pane="bottomLeft" activeCell="K9" sqref="K9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510</v>
      </c>
      <c r="B1" s="175"/>
      <c r="C1" s="175"/>
      <c r="D1" s="175"/>
      <c r="E1" s="176" t="s">
        <v>0</v>
      </c>
      <c r="F1" s="177"/>
      <c r="H1" s="174" t="s">
        <v>510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F11</f>
        <v>4131.2</v>
      </c>
      <c r="O4" s="4"/>
    </row>
    <row r="5" spans="1:18" s="10" customFormat="1" ht="23.25" x14ac:dyDescent="0.3">
      <c r="A5" s="26">
        <v>1</v>
      </c>
      <c r="B5" s="65" t="s">
        <v>297</v>
      </c>
      <c r="C5" s="32" t="s">
        <v>20</v>
      </c>
      <c r="D5" s="32">
        <v>23.2</v>
      </c>
      <c r="E5" s="57">
        <v>30</v>
      </c>
      <c r="F5" s="30">
        <f>D5*E5</f>
        <v>696</v>
      </c>
      <c r="H5" s="26">
        <v>1</v>
      </c>
      <c r="I5" s="65" t="s">
        <v>297</v>
      </c>
      <c r="J5" s="32" t="s">
        <v>20</v>
      </c>
      <c r="K5" s="115">
        <v>12</v>
      </c>
      <c r="L5" s="57">
        <v>30</v>
      </c>
      <c r="M5" s="30">
        <f>K5*L5</f>
        <v>360</v>
      </c>
      <c r="N5" s="85"/>
      <c r="O5" s="11"/>
    </row>
    <row r="6" spans="1:18" s="10" customFormat="1" ht="23.25" x14ac:dyDescent="0.3">
      <c r="A6" s="26">
        <v>2</v>
      </c>
      <c r="B6" s="31" t="s">
        <v>354</v>
      </c>
      <c r="C6" s="32" t="s">
        <v>19</v>
      </c>
      <c r="D6" s="32">
        <v>12</v>
      </c>
      <c r="E6" s="57">
        <v>50</v>
      </c>
      <c r="F6" s="30">
        <f t="shared" ref="F6:F10" si="0">D6*E6</f>
        <v>600</v>
      </c>
      <c r="H6" s="26">
        <v>2</v>
      </c>
      <c r="I6" s="31" t="s">
        <v>354</v>
      </c>
      <c r="J6" s="32" t="s">
        <v>19</v>
      </c>
      <c r="K6" s="32">
        <v>12</v>
      </c>
      <c r="L6" s="57">
        <v>50</v>
      </c>
      <c r="M6" s="30">
        <f t="shared" ref="M6:M10" si="1">K6*L6</f>
        <v>600</v>
      </c>
      <c r="N6" s="85"/>
      <c r="O6" s="11"/>
    </row>
    <row r="7" spans="1:18" s="10" customFormat="1" ht="23.25" x14ac:dyDescent="0.3">
      <c r="A7" s="26">
        <v>3</v>
      </c>
      <c r="B7" s="31" t="s">
        <v>590</v>
      </c>
      <c r="C7" s="32" t="s">
        <v>19</v>
      </c>
      <c r="D7" s="32">
        <v>13.3</v>
      </c>
      <c r="E7" s="57">
        <v>80</v>
      </c>
      <c r="F7" s="30">
        <f t="shared" si="0"/>
        <v>1064</v>
      </c>
      <c r="H7" s="26">
        <v>3</v>
      </c>
      <c r="I7" s="31" t="s">
        <v>590</v>
      </c>
      <c r="J7" s="32" t="s">
        <v>19</v>
      </c>
      <c r="K7" s="32">
        <v>13.3</v>
      </c>
      <c r="L7" s="57">
        <v>80</v>
      </c>
      <c r="M7" s="30">
        <f t="shared" si="1"/>
        <v>1064</v>
      </c>
      <c r="N7" s="85"/>
      <c r="O7" s="11"/>
    </row>
    <row r="8" spans="1:18" s="10" customFormat="1" ht="23.25" x14ac:dyDescent="0.3">
      <c r="A8" s="26">
        <v>4</v>
      </c>
      <c r="B8" s="65" t="s">
        <v>319</v>
      </c>
      <c r="C8" s="32" t="s">
        <v>20</v>
      </c>
      <c r="D8" s="32">
        <v>34</v>
      </c>
      <c r="E8" s="57">
        <v>30</v>
      </c>
      <c r="F8" s="30">
        <f t="shared" si="0"/>
        <v>1020</v>
      </c>
      <c r="H8" s="26">
        <v>4</v>
      </c>
      <c r="I8" s="65" t="s">
        <v>319</v>
      </c>
      <c r="J8" s="32" t="s">
        <v>20</v>
      </c>
      <c r="K8" s="115">
        <v>17</v>
      </c>
      <c r="L8" s="57">
        <v>30</v>
      </c>
      <c r="M8" s="30">
        <f t="shared" si="1"/>
        <v>510</v>
      </c>
      <c r="N8" s="85"/>
      <c r="O8" s="11"/>
    </row>
    <row r="9" spans="1:18" s="10" customFormat="1" ht="23.25" x14ac:dyDescent="0.3">
      <c r="A9" s="26">
        <v>5</v>
      </c>
      <c r="B9" s="31" t="s">
        <v>320</v>
      </c>
      <c r="C9" s="32" t="s">
        <v>19</v>
      </c>
      <c r="D9" s="32">
        <v>13</v>
      </c>
      <c r="E9" s="57">
        <v>50</v>
      </c>
      <c r="F9" s="30">
        <f t="shared" si="0"/>
        <v>650</v>
      </c>
      <c r="H9" s="26">
        <v>5</v>
      </c>
      <c r="I9" s="31" t="s">
        <v>320</v>
      </c>
      <c r="J9" s="32" t="s">
        <v>19</v>
      </c>
      <c r="K9" s="32">
        <v>13</v>
      </c>
      <c r="L9" s="57">
        <v>50</v>
      </c>
      <c r="M9" s="30">
        <f t="shared" si="1"/>
        <v>650</v>
      </c>
      <c r="N9" s="85"/>
      <c r="O9" s="11"/>
    </row>
    <row r="10" spans="1:18" s="10" customFormat="1" ht="23.25" x14ac:dyDescent="0.3">
      <c r="A10" s="26">
        <v>6</v>
      </c>
      <c r="B10" s="65" t="s">
        <v>122</v>
      </c>
      <c r="C10" s="32" t="s">
        <v>119</v>
      </c>
      <c r="D10" s="32">
        <v>0.22</v>
      </c>
      <c r="E10" s="57">
        <v>460</v>
      </c>
      <c r="F10" s="30">
        <f t="shared" si="0"/>
        <v>101.2</v>
      </c>
      <c r="H10" s="26">
        <v>6</v>
      </c>
      <c r="I10" s="65" t="s">
        <v>122</v>
      </c>
      <c r="J10" s="32" t="s">
        <v>119</v>
      </c>
      <c r="K10" s="32">
        <v>0.22</v>
      </c>
      <c r="L10" s="57">
        <v>460</v>
      </c>
      <c r="M10" s="30">
        <f t="shared" si="1"/>
        <v>101.2</v>
      </c>
      <c r="N10" s="85"/>
      <c r="O10" s="11"/>
    </row>
    <row r="11" spans="1:18" ht="24" thickBot="1" x14ac:dyDescent="0.3">
      <c r="A11" s="38"/>
      <c r="B11" s="39"/>
      <c r="C11" s="39"/>
      <c r="D11" s="39"/>
      <c r="E11" s="40" t="s">
        <v>16</v>
      </c>
      <c r="F11" s="35">
        <f>SUM(F5:F10)</f>
        <v>4131.2</v>
      </c>
      <c r="H11" s="38"/>
      <c r="I11" s="39"/>
      <c r="J11" s="39"/>
      <c r="K11" s="39"/>
      <c r="L11" s="40" t="s">
        <v>16</v>
      </c>
      <c r="M11" s="35">
        <f>SUM(M5:M10)</f>
        <v>3285.2</v>
      </c>
    </row>
    <row r="12" spans="1:18" ht="26.25" thickBot="1" x14ac:dyDescent="0.3">
      <c r="A12" s="76"/>
      <c r="B12" s="77"/>
      <c r="C12" s="77"/>
      <c r="D12" s="77"/>
      <c r="E12" s="78" t="s">
        <v>21</v>
      </c>
      <c r="F12" s="12">
        <f>SUMIF(E1:E19978,"CƏMİ",F1:F19978)</f>
        <v>4131.2</v>
      </c>
      <c r="H12" s="76"/>
      <c r="I12" s="77"/>
      <c r="J12" s="77"/>
      <c r="K12" s="77"/>
      <c r="L12" s="78" t="s">
        <v>21</v>
      </c>
      <c r="M12" s="12">
        <f>SUMIF(L1:L19978,"CƏMİ",M1:M19978)</f>
        <v>3285.2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D634-A5E8-4260-855D-DD3A8547D172}">
  <sheetPr>
    <tabColor rgb="FFFFFF00"/>
    <pageSetUpPr fitToPage="1"/>
  </sheetPr>
  <dimension ref="A1:L12"/>
  <sheetViews>
    <sheetView view="pageBreakPreview" zoomScale="55" zoomScaleNormal="55" zoomScaleSheetLayoutView="55" workbookViewId="0">
      <pane ySplit="3" topLeftCell="A4" activePane="bottomLeft" state="frozen"/>
      <selection activeCell="A4" sqref="A4:XFD10"/>
      <selection pane="bottomLeft" activeCell="B25" sqref="B25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20.28515625" style="86" bestFit="1" customWidth="1"/>
    <col min="9" max="9" width="9.140625" style="6"/>
    <col min="10" max="16384" width="9.140625" style="2"/>
  </cols>
  <sheetData>
    <row r="1" spans="1:12" customFormat="1" ht="140.25" customHeight="1" thickBot="1" x14ac:dyDescent="0.3">
      <c r="A1" s="174" t="s">
        <v>509</v>
      </c>
      <c r="B1" s="175"/>
      <c r="C1" s="175"/>
      <c r="D1" s="175"/>
      <c r="E1" s="176" t="s">
        <v>0</v>
      </c>
      <c r="F1" s="177"/>
      <c r="H1" s="82"/>
      <c r="I1" s="1"/>
    </row>
    <row r="2" spans="1:12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82"/>
      <c r="I2" s="1"/>
      <c r="L2" s="2"/>
    </row>
    <row r="3" spans="1:12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83"/>
      <c r="I3" s="4"/>
    </row>
    <row r="4" spans="1:12" s="3" customFormat="1" ht="23.25" x14ac:dyDescent="0.35">
      <c r="A4" s="23"/>
      <c r="B4" s="24" t="s">
        <v>123</v>
      </c>
      <c r="C4" s="24"/>
      <c r="D4" s="24"/>
      <c r="E4" s="24"/>
      <c r="F4" s="25"/>
      <c r="H4" s="84">
        <f>F11</f>
        <v>2630.8</v>
      </c>
      <c r="I4" s="4"/>
    </row>
    <row r="5" spans="1:12" s="10" customFormat="1" ht="23.25" x14ac:dyDescent="0.3">
      <c r="A5" s="26">
        <v>1</v>
      </c>
      <c r="B5" s="65" t="s">
        <v>297</v>
      </c>
      <c r="C5" s="32" t="s">
        <v>20</v>
      </c>
      <c r="D5" s="115">
        <v>6.6</v>
      </c>
      <c r="E5" s="57">
        <v>30</v>
      </c>
      <c r="F5" s="30">
        <f>D5*E5</f>
        <v>198</v>
      </c>
      <c r="H5" s="85"/>
      <c r="I5" s="11"/>
    </row>
    <row r="6" spans="1:12" s="10" customFormat="1" ht="23.25" x14ac:dyDescent="0.3">
      <c r="A6" s="26">
        <v>2</v>
      </c>
      <c r="B6" s="31" t="s">
        <v>354</v>
      </c>
      <c r="C6" s="32" t="s">
        <v>19</v>
      </c>
      <c r="D6" s="32">
        <v>7</v>
      </c>
      <c r="E6" s="57">
        <v>50</v>
      </c>
      <c r="F6" s="30">
        <f t="shared" ref="F6:F10" si="0">D6*E6</f>
        <v>350</v>
      </c>
      <c r="H6" s="85"/>
      <c r="I6" s="11"/>
    </row>
    <row r="7" spans="1:12" s="10" customFormat="1" ht="23.25" x14ac:dyDescent="0.3">
      <c r="A7" s="26">
        <v>3</v>
      </c>
      <c r="B7" s="31" t="s">
        <v>590</v>
      </c>
      <c r="C7" s="32" t="s">
        <v>19</v>
      </c>
      <c r="D7" s="32">
        <v>13</v>
      </c>
      <c r="E7" s="57">
        <v>80</v>
      </c>
      <c r="F7" s="30">
        <f t="shared" si="0"/>
        <v>1040</v>
      </c>
      <c r="H7" s="85"/>
      <c r="I7" s="11"/>
    </row>
    <row r="8" spans="1:12" s="10" customFormat="1" ht="23.25" x14ac:dyDescent="0.3">
      <c r="A8" s="26">
        <v>4</v>
      </c>
      <c r="B8" s="65" t="s">
        <v>319</v>
      </c>
      <c r="C8" s="32" t="s">
        <v>20</v>
      </c>
      <c r="D8" s="115">
        <v>14</v>
      </c>
      <c r="E8" s="57">
        <v>30</v>
      </c>
      <c r="F8" s="30">
        <f t="shared" si="0"/>
        <v>420</v>
      </c>
      <c r="H8" s="85"/>
      <c r="I8" s="11"/>
    </row>
    <row r="9" spans="1:12" s="10" customFormat="1" ht="23.25" x14ac:dyDescent="0.3">
      <c r="A9" s="26">
        <v>5</v>
      </c>
      <c r="B9" s="31" t="s">
        <v>320</v>
      </c>
      <c r="C9" s="32" t="s">
        <v>19</v>
      </c>
      <c r="D9" s="32">
        <v>10.8</v>
      </c>
      <c r="E9" s="57">
        <v>50</v>
      </c>
      <c r="F9" s="30">
        <f t="shared" si="0"/>
        <v>540</v>
      </c>
      <c r="H9" s="85"/>
      <c r="I9" s="11"/>
    </row>
    <row r="10" spans="1:12" s="10" customFormat="1" ht="23.25" x14ac:dyDescent="0.3">
      <c r="A10" s="26">
        <v>6</v>
      </c>
      <c r="B10" s="65" t="s">
        <v>122</v>
      </c>
      <c r="C10" s="32" t="s">
        <v>119</v>
      </c>
      <c r="D10" s="32">
        <v>0.18</v>
      </c>
      <c r="E10" s="57">
        <v>460</v>
      </c>
      <c r="F10" s="30">
        <f t="shared" si="0"/>
        <v>82.8</v>
      </c>
      <c r="H10" s="85"/>
      <c r="I10" s="11"/>
    </row>
    <row r="11" spans="1:12" ht="24" thickBot="1" x14ac:dyDescent="0.3">
      <c r="A11" s="38"/>
      <c r="B11" s="39"/>
      <c r="C11" s="39"/>
      <c r="D11" s="39"/>
      <c r="E11" s="40" t="s">
        <v>16</v>
      </c>
      <c r="F11" s="35">
        <f>SUM(F5:F10)</f>
        <v>2630.8</v>
      </c>
    </row>
    <row r="12" spans="1:12" ht="26.25" thickBot="1" x14ac:dyDescent="0.3">
      <c r="A12" s="76"/>
      <c r="B12" s="77"/>
      <c r="C12" s="77"/>
      <c r="D12" s="77"/>
      <c r="E12" s="78" t="s">
        <v>21</v>
      </c>
      <c r="F12" s="12">
        <f>SUMIF(E1:E19977,"CƏMİ",F1:F19977)</f>
        <v>2630.8</v>
      </c>
    </row>
  </sheetData>
  <mergeCells count="2">
    <mergeCell ref="A1:D1"/>
    <mergeCell ref="E1:F1"/>
  </mergeCells>
  <pageMargins left="0.23622047244094488" right="0.23622047244094488" top="0.24799978127734032" bottom="0.24803040244969379" header="0.31496062992125984" footer="0.31496062992125984"/>
  <pageSetup paperSize="9" scale="51" fitToHeight="0" orientation="portrait" r:id="rId1"/>
  <drawing r:id="rId2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5DF7-792B-4CD5-892B-8E0BA7858CE1}">
  <sheetPr>
    <tabColor rgb="FFFFFF00"/>
    <pageSetUpPr fitToPage="1"/>
  </sheetPr>
  <dimension ref="A1:R14"/>
  <sheetViews>
    <sheetView view="pageBreakPreview" zoomScale="55" zoomScaleNormal="55" zoomScaleSheetLayoutView="55" workbookViewId="0">
      <pane ySplit="3" topLeftCell="A4" activePane="bottomLeft" state="frozen"/>
      <selection activeCell="A4" sqref="A4:XFD10"/>
      <selection pane="bottomLeft" activeCell="K10" sqref="K10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493</v>
      </c>
      <c r="B1" s="175"/>
      <c r="C1" s="175"/>
      <c r="D1" s="175"/>
      <c r="E1" s="176" t="s">
        <v>0</v>
      </c>
      <c r="F1" s="177"/>
      <c r="H1" s="174" t="s">
        <v>493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F13</f>
        <v>4968.3999999999996</v>
      </c>
      <c r="O4" s="4"/>
    </row>
    <row r="5" spans="1:18" s="10" customFormat="1" ht="23.25" x14ac:dyDescent="0.3">
      <c r="A5" s="26">
        <v>1</v>
      </c>
      <c r="B5" s="65" t="s">
        <v>319</v>
      </c>
      <c r="C5" s="32" t="s">
        <v>20</v>
      </c>
      <c r="D5" s="32">
        <v>29</v>
      </c>
      <c r="E5" s="57">
        <v>30</v>
      </c>
      <c r="F5" s="30">
        <f>D5*E5</f>
        <v>870</v>
      </c>
      <c r="H5" s="26">
        <v>1</v>
      </c>
      <c r="I5" s="65" t="s">
        <v>319</v>
      </c>
      <c r="J5" s="32" t="s">
        <v>20</v>
      </c>
      <c r="K5" s="115">
        <v>14.5</v>
      </c>
      <c r="L5" s="57">
        <v>30</v>
      </c>
      <c r="M5" s="30">
        <f>K5*L5</f>
        <v>435</v>
      </c>
      <c r="N5" s="85"/>
      <c r="O5" s="11"/>
    </row>
    <row r="6" spans="1:18" s="10" customFormat="1" ht="23.25" x14ac:dyDescent="0.3">
      <c r="A6" s="26">
        <v>2</v>
      </c>
      <c r="B6" s="31" t="s">
        <v>320</v>
      </c>
      <c r="C6" s="32" t="s">
        <v>19</v>
      </c>
      <c r="D6" s="32">
        <v>9.1999999999999993</v>
      </c>
      <c r="E6" s="57">
        <v>50</v>
      </c>
      <c r="F6" s="30">
        <f t="shared" ref="F6:F12" si="0">D6*E6</f>
        <v>459.99999999999994</v>
      </c>
      <c r="H6" s="26">
        <v>2</v>
      </c>
      <c r="I6" s="31" t="s">
        <v>320</v>
      </c>
      <c r="J6" s="32" t="s">
        <v>19</v>
      </c>
      <c r="K6" s="32">
        <v>9.1999999999999993</v>
      </c>
      <c r="L6" s="57">
        <v>50</v>
      </c>
      <c r="M6" s="30">
        <f t="shared" ref="M6:M12" si="1">K6*L6</f>
        <v>459.99999999999994</v>
      </c>
      <c r="N6" s="85"/>
      <c r="O6" s="11"/>
    </row>
    <row r="7" spans="1:18" s="10" customFormat="1" ht="23.25" x14ac:dyDescent="0.3">
      <c r="A7" s="26">
        <v>3</v>
      </c>
      <c r="B7" s="70" t="s">
        <v>559</v>
      </c>
      <c r="C7" s="32" t="s">
        <v>20</v>
      </c>
      <c r="D7" s="88">
        <v>38.5</v>
      </c>
      <c r="E7" s="57">
        <v>30</v>
      </c>
      <c r="F7" s="30">
        <f t="shared" si="0"/>
        <v>1155</v>
      </c>
      <c r="H7" s="26">
        <v>3</v>
      </c>
      <c r="I7" s="70" t="s">
        <v>559</v>
      </c>
      <c r="J7" s="32" t="s">
        <v>20</v>
      </c>
      <c r="K7" s="88">
        <v>38.5</v>
      </c>
      <c r="L7" s="57">
        <v>30</v>
      </c>
      <c r="M7" s="30">
        <f t="shared" si="1"/>
        <v>1155</v>
      </c>
      <c r="N7" s="85"/>
      <c r="O7" s="11"/>
    </row>
    <row r="8" spans="1:18" s="10" customFormat="1" ht="23.25" x14ac:dyDescent="0.3">
      <c r="A8" s="26">
        <v>4</v>
      </c>
      <c r="B8" s="65" t="s">
        <v>555</v>
      </c>
      <c r="C8" s="32" t="s">
        <v>19</v>
      </c>
      <c r="D8" s="32">
        <v>12</v>
      </c>
      <c r="E8" s="57">
        <v>50</v>
      </c>
      <c r="F8" s="30">
        <f t="shared" si="0"/>
        <v>600</v>
      </c>
      <c r="H8" s="26">
        <v>4</v>
      </c>
      <c r="I8" s="65" t="s">
        <v>555</v>
      </c>
      <c r="J8" s="32" t="s">
        <v>19</v>
      </c>
      <c r="K8" s="32">
        <v>12</v>
      </c>
      <c r="L8" s="57">
        <v>50</v>
      </c>
      <c r="M8" s="30">
        <f t="shared" si="1"/>
        <v>600</v>
      </c>
      <c r="N8" s="85"/>
      <c r="O8" s="11"/>
    </row>
    <row r="9" spans="1:18" s="10" customFormat="1" ht="23.25" x14ac:dyDescent="0.3">
      <c r="A9" s="26">
        <v>5</v>
      </c>
      <c r="B9" s="65" t="s">
        <v>297</v>
      </c>
      <c r="C9" s="32" t="s">
        <v>20</v>
      </c>
      <c r="D9" s="32">
        <v>11.9</v>
      </c>
      <c r="E9" s="57">
        <v>30</v>
      </c>
      <c r="F9" s="30">
        <f t="shared" si="0"/>
        <v>357</v>
      </c>
      <c r="H9" s="26">
        <v>5</v>
      </c>
      <c r="I9" s="65" t="s">
        <v>297</v>
      </c>
      <c r="J9" s="32" t="s">
        <v>20</v>
      </c>
      <c r="K9" s="115">
        <v>6</v>
      </c>
      <c r="L9" s="57">
        <v>30</v>
      </c>
      <c r="M9" s="30">
        <f t="shared" si="1"/>
        <v>180</v>
      </c>
      <c r="N9" s="85"/>
      <c r="O9" s="11"/>
    </row>
    <row r="10" spans="1:18" s="10" customFormat="1" ht="23.25" x14ac:dyDescent="0.3">
      <c r="A10" s="26">
        <v>6</v>
      </c>
      <c r="B10" s="31" t="s">
        <v>354</v>
      </c>
      <c r="C10" s="32" t="s">
        <v>19</v>
      </c>
      <c r="D10" s="32">
        <v>6.5</v>
      </c>
      <c r="E10" s="57">
        <v>50</v>
      </c>
      <c r="F10" s="30">
        <f t="shared" si="0"/>
        <v>325</v>
      </c>
      <c r="H10" s="26">
        <v>6</v>
      </c>
      <c r="I10" s="31" t="s">
        <v>354</v>
      </c>
      <c r="J10" s="32" t="s">
        <v>19</v>
      </c>
      <c r="K10" s="32">
        <v>6.5</v>
      </c>
      <c r="L10" s="57">
        <v>50</v>
      </c>
      <c r="M10" s="30">
        <f t="shared" si="1"/>
        <v>325</v>
      </c>
      <c r="N10" s="85"/>
      <c r="O10" s="11"/>
    </row>
    <row r="11" spans="1:18" s="10" customFormat="1" ht="23.25" x14ac:dyDescent="0.3">
      <c r="A11" s="26">
        <v>7</v>
      </c>
      <c r="B11" s="31" t="s">
        <v>590</v>
      </c>
      <c r="C11" s="32" t="s">
        <v>19</v>
      </c>
      <c r="D11" s="32">
        <v>14.5</v>
      </c>
      <c r="E11" s="57">
        <v>80</v>
      </c>
      <c r="F11" s="30">
        <f t="shared" si="0"/>
        <v>1160</v>
      </c>
      <c r="H11" s="26">
        <v>7</v>
      </c>
      <c r="I11" s="31" t="s">
        <v>590</v>
      </c>
      <c r="J11" s="32" t="s">
        <v>19</v>
      </c>
      <c r="K11" s="32">
        <v>14.5</v>
      </c>
      <c r="L11" s="57">
        <v>80</v>
      </c>
      <c r="M11" s="30">
        <f t="shared" si="1"/>
        <v>1160</v>
      </c>
      <c r="N11" s="85"/>
      <c r="O11" s="11"/>
    </row>
    <row r="12" spans="1:18" s="10" customFormat="1" ht="23.25" x14ac:dyDescent="0.3">
      <c r="A12" s="26">
        <v>8</v>
      </c>
      <c r="B12" s="65" t="s">
        <v>122</v>
      </c>
      <c r="C12" s="32" t="s">
        <v>119</v>
      </c>
      <c r="D12" s="32">
        <v>0.09</v>
      </c>
      <c r="E12" s="57">
        <v>460</v>
      </c>
      <c r="F12" s="30">
        <f t="shared" si="0"/>
        <v>41.4</v>
      </c>
      <c r="H12" s="26">
        <v>8</v>
      </c>
      <c r="I12" s="65" t="s">
        <v>122</v>
      </c>
      <c r="J12" s="32" t="s">
        <v>119</v>
      </c>
      <c r="K12" s="32">
        <v>0.09</v>
      </c>
      <c r="L12" s="57">
        <v>460</v>
      </c>
      <c r="M12" s="30">
        <f t="shared" si="1"/>
        <v>41.4</v>
      </c>
      <c r="N12" s="85"/>
      <c r="O12" s="11"/>
    </row>
    <row r="13" spans="1:18" ht="24" thickBot="1" x14ac:dyDescent="0.3">
      <c r="A13" s="38"/>
      <c r="B13" s="39"/>
      <c r="C13" s="39"/>
      <c r="D13" s="39"/>
      <c r="E13" s="40" t="s">
        <v>16</v>
      </c>
      <c r="F13" s="35">
        <f>SUM(F5:F12)</f>
        <v>4968.3999999999996</v>
      </c>
      <c r="H13" s="38"/>
      <c r="I13" s="39"/>
      <c r="J13" s="39"/>
      <c r="K13" s="39"/>
      <c r="L13" s="40" t="s">
        <v>16</v>
      </c>
      <c r="M13" s="35">
        <f>SUM(M5:M12)</f>
        <v>4356.3999999999996</v>
      </c>
    </row>
    <row r="14" spans="1:18" ht="26.25" thickBot="1" x14ac:dyDescent="0.3">
      <c r="A14" s="76"/>
      <c r="B14" s="77"/>
      <c r="C14" s="77"/>
      <c r="D14" s="77"/>
      <c r="E14" s="78" t="s">
        <v>21</v>
      </c>
      <c r="F14" s="12">
        <f>SUMIF(E1:E19977,"CƏMİ",F1:F19977)</f>
        <v>4968.3999999999996</v>
      </c>
      <c r="H14" s="76"/>
      <c r="I14" s="77"/>
      <c r="J14" s="77"/>
      <c r="K14" s="77"/>
      <c r="L14" s="78" t="s">
        <v>21</v>
      </c>
      <c r="M14" s="12">
        <f>SUMIF(L1:L19977,"CƏMİ",M1:M19977)</f>
        <v>4356.3999999999996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9F05-1620-44F0-A47A-3AE0EB6AA78A}">
  <sheetPr>
    <tabColor rgb="FFFFFF00"/>
    <pageSetUpPr fitToPage="1"/>
  </sheetPr>
  <dimension ref="A1:R14"/>
  <sheetViews>
    <sheetView view="pageBreakPreview" zoomScale="55" zoomScaleNormal="55" zoomScaleSheetLayoutView="55" workbookViewId="0">
      <pane ySplit="3" topLeftCell="A4" activePane="bottomLeft" state="frozen"/>
      <selection activeCell="A4" sqref="A4:XFD10"/>
      <selection pane="bottomLeft" activeCell="E39" sqref="E39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429</v>
      </c>
      <c r="B1" s="175"/>
      <c r="C1" s="175"/>
      <c r="D1" s="175"/>
      <c r="E1" s="176" t="s">
        <v>0</v>
      </c>
      <c r="F1" s="177"/>
      <c r="H1" s="174" t="s">
        <v>429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F13</f>
        <v>4319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26.5</v>
      </c>
      <c r="E5" s="57">
        <v>30</v>
      </c>
      <c r="F5" s="30">
        <f>D5*E5</f>
        <v>795</v>
      </c>
      <c r="H5" s="26">
        <v>1</v>
      </c>
      <c r="I5" s="70" t="s">
        <v>559</v>
      </c>
      <c r="J5" s="32" t="s">
        <v>20</v>
      </c>
      <c r="K5" s="88">
        <v>26.5</v>
      </c>
      <c r="L5" s="57">
        <v>30</v>
      </c>
      <c r="M5" s="30">
        <f>K5*L5</f>
        <v>795</v>
      </c>
      <c r="N5" s="85"/>
      <c r="O5" s="11"/>
    </row>
    <row r="6" spans="1:18" s="10" customFormat="1" ht="23.25" x14ac:dyDescent="0.3">
      <c r="A6" s="26">
        <v>2</v>
      </c>
      <c r="B6" s="65" t="s">
        <v>556</v>
      </c>
      <c r="C6" s="32" t="s">
        <v>19</v>
      </c>
      <c r="D6" s="32">
        <v>8.6</v>
      </c>
      <c r="E6" s="57">
        <v>50</v>
      </c>
      <c r="F6" s="30">
        <f t="shared" ref="F6:F12" si="0">D6*E6</f>
        <v>430</v>
      </c>
      <c r="H6" s="26">
        <v>2</v>
      </c>
      <c r="I6" s="65" t="s">
        <v>556</v>
      </c>
      <c r="J6" s="32" t="s">
        <v>19</v>
      </c>
      <c r="K6" s="32">
        <v>8.6</v>
      </c>
      <c r="L6" s="57">
        <v>50</v>
      </c>
      <c r="M6" s="30">
        <f t="shared" ref="M6:M12" si="1">K6*L6</f>
        <v>430</v>
      </c>
      <c r="N6" s="85"/>
      <c r="O6" s="11"/>
    </row>
    <row r="7" spans="1:18" s="10" customFormat="1" ht="23.25" x14ac:dyDescent="0.3">
      <c r="A7" s="26">
        <v>3</v>
      </c>
      <c r="B7" s="65" t="s">
        <v>319</v>
      </c>
      <c r="C7" s="32" t="s">
        <v>20</v>
      </c>
      <c r="D7" s="32">
        <v>26.4</v>
      </c>
      <c r="E7" s="57">
        <v>30</v>
      </c>
      <c r="F7" s="30">
        <f t="shared" si="0"/>
        <v>792</v>
      </c>
      <c r="H7" s="26">
        <v>3</v>
      </c>
      <c r="I7" s="65" t="s">
        <v>319</v>
      </c>
      <c r="J7" s="32" t="s">
        <v>20</v>
      </c>
      <c r="K7" s="115">
        <v>13.2</v>
      </c>
      <c r="L7" s="57">
        <v>30</v>
      </c>
      <c r="M7" s="30">
        <f t="shared" si="1"/>
        <v>396</v>
      </c>
      <c r="N7" s="85"/>
      <c r="O7" s="11"/>
    </row>
    <row r="8" spans="1:18" s="10" customFormat="1" ht="23.25" x14ac:dyDescent="0.3">
      <c r="A8" s="26">
        <v>4</v>
      </c>
      <c r="B8" s="31" t="s">
        <v>320</v>
      </c>
      <c r="C8" s="32" t="s">
        <v>19</v>
      </c>
      <c r="D8" s="32">
        <v>9.4</v>
      </c>
      <c r="E8" s="57">
        <v>50</v>
      </c>
      <c r="F8" s="30">
        <f t="shared" si="0"/>
        <v>470</v>
      </c>
      <c r="H8" s="26">
        <v>4</v>
      </c>
      <c r="I8" s="31" t="s">
        <v>320</v>
      </c>
      <c r="J8" s="32" t="s">
        <v>19</v>
      </c>
      <c r="K8" s="32">
        <v>9.4</v>
      </c>
      <c r="L8" s="57">
        <v>50</v>
      </c>
      <c r="M8" s="30">
        <f t="shared" si="1"/>
        <v>470</v>
      </c>
      <c r="N8" s="85"/>
      <c r="O8" s="11"/>
    </row>
    <row r="9" spans="1:18" s="10" customFormat="1" ht="23.25" x14ac:dyDescent="0.3">
      <c r="A9" s="26">
        <v>5</v>
      </c>
      <c r="B9" s="65" t="s">
        <v>297</v>
      </c>
      <c r="C9" s="32" t="s">
        <v>20</v>
      </c>
      <c r="D9" s="32">
        <v>13.3</v>
      </c>
      <c r="E9" s="57">
        <v>30</v>
      </c>
      <c r="F9" s="30">
        <f t="shared" si="0"/>
        <v>399</v>
      </c>
      <c r="H9" s="26">
        <v>5</v>
      </c>
      <c r="I9" s="65" t="s">
        <v>297</v>
      </c>
      <c r="J9" s="32" t="s">
        <v>20</v>
      </c>
      <c r="K9" s="115">
        <v>6.6</v>
      </c>
      <c r="L9" s="57">
        <v>30</v>
      </c>
      <c r="M9" s="30">
        <f t="shared" si="1"/>
        <v>198</v>
      </c>
      <c r="N9" s="85"/>
      <c r="O9" s="11"/>
    </row>
    <row r="10" spans="1:18" s="10" customFormat="1" ht="23.25" x14ac:dyDescent="0.3">
      <c r="A10" s="26">
        <v>6</v>
      </c>
      <c r="B10" s="31" t="s">
        <v>354</v>
      </c>
      <c r="C10" s="32" t="s">
        <v>19</v>
      </c>
      <c r="D10" s="32">
        <v>7.9</v>
      </c>
      <c r="E10" s="57">
        <v>50</v>
      </c>
      <c r="F10" s="30">
        <f t="shared" si="0"/>
        <v>395</v>
      </c>
      <c r="H10" s="26">
        <v>6</v>
      </c>
      <c r="I10" s="31" t="s">
        <v>354</v>
      </c>
      <c r="J10" s="32" t="s">
        <v>19</v>
      </c>
      <c r="K10" s="32">
        <v>7.9</v>
      </c>
      <c r="L10" s="57">
        <v>50</v>
      </c>
      <c r="M10" s="30">
        <f t="shared" si="1"/>
        <v>395</v>
      </c>
      <c r="N10" s="85"/>
      <c r="O10" s="11"/>
    </row>
    <row r="11" spans="1:18" s="10" customFormat="1" ht="23.25" x14ac:dyDescent="0.3">
      <c r="A11" s="26">
        <v>7</v>
      </c>
      <c r="B11" s="31" t="s">
        <v>590</v>
      </c>
      <c r="C11" s="32" t="s">
        <v>19</v>
      </c>
      <c r="D11" s="32">
        <v>12.4</v>
      </c>
      <c r="E11" s="57">
        <v>80</v>
      </c>
      <c r="F11" s="30">
        <f t="shared" si="0"/>
        <v>992</v>
      </c>
      <c r="H11" s="26">
        <v>7</v>
      </c>
      <c r="I11" s="31" t="s">
        <v>590</v>
      </c>
      <c r="J11" s="32" t="s">
        <v>19</v>
      </c>
      <c r="K11" s="32">
        <v>12.4</v>
      </c>
      <c r="L11" s="57">
        <v>80</v>
      </c>
      <c r="M11" s="30">
        <f t="shared" si="1"/>
        <v>992</v>
      </c>
      <c r="N11" s="85"/>
      <c r="O11" s="11"/>
    </row>
    <row r="12" spans="1:18" s="10" customFormat="1" ht="23.25" x14ac:dyDescent="0.3">
      <c r="A12" s="26">
        <v>8</v>
      </c>
      <c r="B12" s="65" t="s">
        <v>122</v>
      </c>
      <c r="C12" s="32" t="s">
        <v>119</v>
      </c>
      <c r="D12" s="32">
        <v>0.1</v>
      </c>
      <c r="E12" s="57">
        <v>460</v>
      </c>
      <c r="F12" s="30">
        <f t="shared" si="0"/>
        <v>46</v>
      </c>
      <c r="H12" s="26">
        <v>8</v>
      </c>
      <c r="I12" s="65" t="s">
        <v>122</v>
      </c>
      <c r="J12" s="32" t="s">
        <v>119</v>
      </c>
      <c r="K12" s="32">
        <v>0.1</v>
      </c>
      <c r="L12" s="57">
        <v>460</v>
      </c>
      <c r="M12" s="30">
        <f t="shared" si="1"/>
        <v>46</v>
      </c>
      <c r="N12" s="85"/>
      <c r="O12" s="11"/>
    </row>
    <row r="13" spans="1:18" ht="24" thickBot="1" x14ac:dyDescent="0.3">
      <c r="A13" s="38"/>
      <c r="B13" s="39"/>
      <c r="C13" s="39"/>
      <c r="D13" s="39"/>
      <c r="E13" s="40" t="s">
        <v>16</v>
      </c>
      <c r="F13" s="35">
        <f>SUM(F5:F12)</f>
        <v>4319</v>
      </c>
      <c r="H13" s="38"/>
      <c r="I13" s="39"/>
      <c r="J13" s="39"/>
      <c r="K13" s="39"/>
      <c r="L13" s="40" t="s">
        <v>16</v>
      </c>
      <c r="M13" s="35">
        <f>SUM(M5:M12)</f>
        <v>3722</v>
      </c>
    </row>
    <row r="14" spans="1:18" ht="26.25" thickBot="1" x14ac:dyDescent="0.3">
      <c r="A14" s="76"/>
      <c r="B14" s="77"/>
      <c r="C14" s="77"/>
      <c r="D14" s="77"/>
      <c r="E14" s="78" t="s">
        <v>21</v>
      </c>
      <c r="F14" s="12">
        <f>SUMIF(E1:E19977,"CƏMİ",F1:F19977)</f>
        <v>4319</v>
      </c>
      <c r="H14" s="76"/>
      <c r="I14" s="77"/>
      <c r="J14" s="77"/>
      <c r="K14" s="77"/>
      <c r="L14" s="78" t="s">
        <v>21</v>
      </c>
      <c r="M14" s="12">
        <f>SUMIF(L1:L19977,"CƏMİ",M1:M19977)</f>
        <v>3722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B732-D661-4436-9436-6005C014E82D}">
  <sheetPr>
    <tabColor rgb="FFFFFF00"/>
    <pageSetUpPr fitToPage="1"/>
  </sheetPr>
  <dimension ref="A1:R14"/>
  <sheetViews>
    <sheetView view="pageBreakPreview" zoomScale="55" zoomScaleNormal="55" zoomScaleSheetLayoutView="55" workbookViewId="0">
      <pane ySplit="3" topLeftCell="A4" activePane="bottomLeft" state="frozen"/>
      <selection activeCell="A4" sqref="A4:XFD10"/>
      <selection pane="bottomLeft" activeCell="K10" sqref="K10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403</v>
      </c>
      <c r="B1" s="175"/>
      <c r="C1" s="175"/>
      <c r="D1" s="175"/>
      <c r="E1" s="176" t="s">
        <v>0</v>
      </c>
      <c r="F1" s="177"/>
      <c r="H1" s="174" t="s">
        <v>403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F13</f>
        <v>4507.6000000000004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32.5</v>
      </c>
      <c r="E5" s="57">
        <v>30</v>
      </c>
      <c r="F5" s="30">
        <f>D5*E5</f>
        <v>975</v>
      </c>
      <c r="H5" s="26">
        <v>1</v>
      </c>
      <c r="I5" s="70" t="s">
        <v>559</v>
      </c>
      <c r="J5" s="32" t="s">
        <v>20</v>
      </c>
      <c r="K5" s="88">
        <v>32.5</v>
      </c>
      <c r="L5" s="57">
        <v>30</v>
      </c>
      <c r="M5" s="30">
        <f>K5*L5</f>
        <v>975</v>
      </c>
      <c r="N5" s="85"/>
      <c r="O5" s="11"/>
    </row>
    <row r="6" spans="1:18" s="10" customFormat="1" ht="23.25" x14ac:dyDescent="0.3">
      <c r="A6" s="26">
        <v>2</v>
      </c>
      <c r="B6" s="65" t="s">
        <v>556</v>
      </c>
      <c r="C6" s="32" t="s">
        <v>19</v>
      </c>
      <c r="D6" s="32">
        <v>9.9</v>
      </c>
      <c r="E6" s="57">
        <v>50</v>
      </c>
      <c r="F6" s="30">
        <f t="shared" ref="F6:F12" si="0">D6*E6</f>
        <v>495</v>
      </c>
      <c r="H6" s="26">
        <v>2</v>
      </c>
      <c r="I6" s="65" t="s">
        <v>556</v>
      </c>
      <c r="J6" s="32" t="s">
        <v>19</v>
      </c>
      <c r="K6" s="32">
        <v>9.9</v>
      </c>
      <c r="L6" s="57">
        <v>50</v>
      </c>
      <c r="M6" s="30">
        <f t="shared" ref="M6:M12" si="1">K6*L6</f>
        <v>495</v>
      </c>
      <c r="N6" s="85"/>
      <c r="O6" s="11"/>
    </row>
    <row r="7" spans="1:18" s="10" customFormat="1" ht="23.25" x14ac:dyDescent="0.3">
      <c r="A7" s="26">
        <v>3</v>
      </c>
      <c r="B7" s="65" t="s">
        <v>319</v>
      </c>
      <c r="C7" s="32" t="s">
        <v>20</v>
      </c>
      <c r="D7" s="32">
        <v>28.1</v>
      </c>
      <c r="E7" s="57">
        <v>30</v>
      </c>
      <c r="F7" s="30">
        <f t="shared" si="0"/>
        <v>843</v>
      </c>
      <c r="H7" s="26">
        <v>3</v>
      </c>
      <c r="I7" s="65" t="s">
        <v>319</v>
      </c>
      <c r="J7" s="32" t="s">
        <v>20</v>
      </c>
      <c r="K7" s="115">
        <v>14</v>
      </c>
      <c r="L7" s="57">
        <v>30</v>
      </c>
      <c r="M7" s="30">
        <f t="shared" si="1"/>
        <v>420</v>
      </c>
      <c r="N7" s="85"/>
      <c r="O7" s="11"/>
    </row>
    <row r="8" spans="1:18" s="10" customFormat="1" ht="23.25" x14ac:dyDescent="0.3">
      <c r="A8" s="26">
        <v>4</v>
      </c>
      <c r="B8" s="31" t="s">
        <v>320</v>
      </c>
      <c r="C8" s="32" t="s">
        <v>19</v>
      </c>
      <c r="D8" s="32">
        <v>10.1</v>
      </c>
      <c r="E8" s="57">
        <v>50</v>
      </c>
      <c r="F8" s="30">
        <f t="shared" si="0"/>
        <v>505</v>
      </c>
      <c r="H8" s="26">
        <v>4</v>
      </c>
      <c r="I8" s="31" t="s">
        <v>320</v>
      </c>
      <c r="J8" s="32" t="s">
        <v>19</v>
      </c>
      <c r="K8" s="32">
        <v>10.1</v>
      </c>
      <c r="L8" s="57">
        <v>50</v>
      </c>
      <c r="M8" s="30">
        <f t="shared" si="1"/>
        <v>505</v>
      </c>
      <c r="N8" s="85"/>
      <c r="O8" s="11"/>
    </row>
    <row r="9" spans="1:18" s="10" customFormat="1" ht="23.25" x14ac:dyDescent="0.3">
      <c r="A9" s="26">
        <v>5</v>
      </c>
      <c r="B9" s="65" t="s">
        <v>297</v>
      </c>
      <c r="C9" s="32" t="s">
        <v>20</v>
      </c>
      <c r="D9" s="32">
        <v>17</v>
      </c>
      <c r="E9" s="57">
        <v>30</v>
      </c>
      <c r="F9" s="30">
        <f t="shared" si="0"/>
        <v>510</v>
      </c>
      <c r="H9" s="26">
        <v>5</v>
      </c>
      <c r="I9" s="65" t="s">
        <v>297</v>
      </c>
      <c r="J9" s="32" t="s">
        <v>20</v>
      </c>
      <c r="K9" s="115">
        <v>8.5</v>
      </c>
      <c r="L9" s="57">
        <v>30</v>
      </c>
      <c r="M9" s="30">
        <f t="shared" si="1"/>
        <v>255</v>
      </c>
      <c r="N9" s="85"/>
      <c r="O9" s="11"/>
    </row>
    <row r="10" spans="1:18" s="10" customFormat="1" ht="23.25" x14ac:dyDescent="0.3">
      <c r="A10" s="26">
        <v>6</v>
      </c>
      <c r="B10" s="31" t="s">
        <v>354</v>
      </c>
      <c r="C10" s="32" t="s">
        <v>19</v>
      </c>
      <c r="D10" s="32">
        <v>8.5</v>
      </c>
      <c r="E10" s="57">
        <v>50</v>
      </c>
      <c r="F10" s="30">
        <f t="shared" si="0"/>
        <v>425</v>
      </c>
      <c r="H10" s="26">
        <v>6</v>
      </c>
      <c r="I10" s="31" t="s">
        <v>354</v>
      </c>
      <c r="J10" s="32" t="s">
        <v>19</v>
      </c>
      <c r="K10" s="32">
        <v>8.5</v>
      </c>
      <c r="L10" s="57">
        <v>50</v>
      </c>
      <c r="M10" s="30">
        <f t="shared" si="1"/>
        <v>425</v>
      </c>
      <c r="N10" s="85"/>
      <c r="O10" s="11"/>
    </row>
    <row r="11" spans="1:18" s="10" customFormat="1" ht="23.25" x14ac:dyDescent="0.3">
      <c r="A11" s="26">
        <v>7</v>
      </c>
      <c r="B11" s="31" t="s">
        <v>590</v>
      </c>
      <c r="C11" s="32" t="s">
        <v>19</v>
      </c>
      <c r="D11" s="32">
        <v>8.8000000000000007</v>
      </c>
      <c r="E11" s="57">
        <v>80</v>
      </c>
      <c r="F11" s="30">
        <f t="shared" si="0"/>
        <v>704</v>
      </c>
      <c r="H11" s="26">
        <v>7</v>
      </c>
      <c r="I11" s="31" t="s">
        <v>590</v>
      </c>
      <c r="J11" s="32" t="s">
        <v>19</v>
      </c>
      <c r="K11" s="32">
        <v>8.8000000000000007</v>
      </c>
      <c r="L11" s="57">
        <v>80</v>
      </c>
      <c r="M11" s="30">
        <f t="shared" si="1"/>
        <v>704</v>
      </c>
      <c r="N11" s="85"/>
      <c r="O11" s="11"/>
    </row>
    <row r="12" spans="1:18" s="10" customFormat="1" ht="23.25" x14ac:dyDescent="0.3">
      <c r="A12" s="26">
        <v>8</v>
      </c>
      <c r="B12" s="65" t="s">
        <v>122</v>
      </c>
      <c r="C12" s="32" t="s">
        <v>119</v>
      </c>
      <c r="D12" s="32">
        <v>0.11</v>
      </c>
      <c r="E12" s="57">
        <v>460</v>
      </c>
      <c r="F12" s="30">
        <f t="shared" si="0"/>
        <v>50.6</v>
      </c>
      <c r="H12" s="26">
        <v>8</v>
      </c>
      <c r="I12" s="65" t="s">
        <v>122</v>
      </c>
      <c r="J12" s="32" t="s">
        <v>119</v>
      </c>
      <c r="K12" s="32">
        <v>0.11</v>
      </c>
      <c r="L12" s="57">
        <v>460</v>
      </c>
      <c r="M12" s="30">
        <f t="shared" si="1"/>
        <v>50.6</v>
      </c>
      <c r="N12" s="85"/>
      <c r="O12" s="11"/>
    </row>
    <row r="13" spans="1:18" ht="24" thickBot="1" x14ac:dyDescent="0.3">
      <c r="A13" s="38"/>
      <c r="B13" s="39"/>
      <c r="C13" s="39"/>
      <c r="D13" s="39"/>
      <c r="E13" s="40" t="s">
        <v>16</v>
      </c>
      <c r="F13" s="35">
        <f>SUM(F5:F12)</f>
        <v>4507.6000000000004</v>
      </c>
      <c r="H13" s="38"/>
      <c r="I13" s="39"/>
      <c r="J13" s="39"/>
      <c r="K13" s="39"/>
      <c r="L13" s="40" t="s">
        <v>16</v>
      </c>
      <c r="M13" s="35">
        <f>SUM(M5:M12)</f>
        <v>3829.6</v>
      </c>
    </row>
    <row r="14" spans="1:18" ht="26.25" thickBot="1" x14ac:dyDescent="0.3">
      <c r="A14" s="76"/>
      <c r="B14" s="77"/>
      <c r="C14" s="77"/>
      <c r="D14" s="77"/>
      <c r="E14" s="78" t="s">
        <v>21</v>
      </c>
      <c r="F14" s="12">
        <f>SUMIF(E1:E19977,"CƏMİ",F1:F19977)</f>
        <v>4507.6000000000004</v>
      </c>
      <c r="H14" s="76"/>
      <c r="I14" s="77"/>
      <c r="J14" s="77"/>
      <c r="K14" s="77"/>
      <c r="L14" s="78" t="s">
        <v>21</v>
      </c>
      <c r="M14" s="12">
        <f>SUMIF(L1:L19977,"CƏMİ",M1:M19977)</f>
        <v>3829.6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CC7C-43B0-48C8-ACFD-EBCA86DEC31F}">
  <sheetPr>
    <tabColor rgb="FFFFFF00"/>
    <pageSetUpPr fitToPage="1"/>
  </sheetPr>
  <dimension ref="A1:R14"/>
  <sheetViews>
    <sheetView view="pageBreakPreview" zoomScale="55" zoomScaleNormal="55" zoomScaleSheetLayoutView="55" workbookViewId="0">
      <pane ySplit="3" topLeftCell="A4" activePane="bottomLeft" state="frozen"/>
      <selection activeCell="A4" sqref="A4:XFD10"/>
      <selection pane="bottomLeft" activeCell="D27" sqref="D27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401</v>
      </c>
      <c r="B1" s="175"/>
      <c r="C1" s="175"/>
      <c r="D1" s="175"/>
      <c r="E1" s="176" t="s">
        <v>0</v>
      </c>
      <c r="F1" s="177"/>
      <c r="H1" s="174" t="s">
        <v>401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F13</f>
        <v>4059.2</v>
      </c>
      <c r="O4" s="4"/>
    </row>
    <row r="5" spans="1:18" s="10" customFormat="1" ht="23.25" x14ac:dyDescent="0.3">
      <c r="A5" s="26">
        <v>1</v>
      </c>
      <c r="B5" s="65" t="s">
        <v>319</v>
      </c>
      <c r="C5" s="32" t="s">
        <v>20</v>
      </c>
      <c r="D5" s="32">
        <v>28.8</v>
      </c>
      <c r="E5" s="57">
        <v>30</v>
      </c>
      <c r="F5" s="30">
        <f>D5*E5</f>
        <v>864</v>
      </c>
      <c r="H5" s="26">
        <v>1</v>
      </c>
      <c r="I5" s="65" t="s">
        <v>319</v>
      </c>
      <c r="J5" s="32" t="s">
        <v>20</v>
      </c>
      <c r="K5" s="115">
        <v>14.4</v>
      </c>
      <c r="L5" s="57">
        <v>30</v>
      </c>
      <c r="M5" s="30">
        <f>K5*L5</f>
        <v>432</v>
      </c>
      <c r="N5" s="85"/>
      <c r="O5" s="11"/>
    </row>
    <row r="6" spans="1:18" s="10" customFormat="1" ht="23.25" x14ac:dyDescent="0.3">
      <c r="A6" s="26">
        <v>2</v>
      </c>
      <c r="B6" s="31" t="s">
        <v>320</v>
      </c>
      <c r="C6" s="32" t="s">
        <v>19</v>
      </c>
      <c r="D6" s="32">
        <v>10.199999999999999</v>
      </c>
      <c r="E6" s="57">
        <v>50</v>
      </c>
      <c r="F6" s="30">
        <f t="shared" ref="F6:F12" si="0">D6*E6</f>
        <v>509.99999999999994</v>
      </c>
      <c r="H6" s="26">
        <v>2</v>
      </c>
      <c r="I6" s="31" t="s">
        <v>320</v>
      </c>
      <c r="J6" s="32" t="s">
        <v>19</v>
      </c>
      <c r="K6" s="32">
        <v>10.199999999999999</v>
      </c>
      <c r="L6" s="57">
        <v>50</v>
      </c>
      <c r="M6" s="30">
        <f t="shared" ref="M6:M12" si="1">K6*L6</f>
        <v>509.99999999999994</v>
      </c>
      <c r="N6" s="85"/>
      <c r="O6" s="11"/>
    </row>
    <row r="7" spans="1:18" s="10" customFormat="1" ht="23.25" x14ac:dyDescent="0.3">
      <c r="A7" s="26">
        <v>3</v>
      </c>
      <c r="B7" s="70" t="s">
        <v>559</v>
      </c>
      <c r="C7" s="32" t="s">
        <v>20</v>
      </c>
      <c r="D7" s="88">
        <v>26</v>
      </c>
      <c r="E7" s="57">
        <v>30</v>
      </c>
      <c r="F7" s="30">
        <f t="shared" si="0"/>
        <v>780</v>
      </c>
      <c r="H7" s="26">
        <v>3</v>
      </c>
      <c r="I7" s="70" t="s">
        <v>559</v>
      </c>
      <c r="J7" s="32" t="s">
        <v>20</v>
      </c>
      <c r="K7" s="88">
        <v>26</v>
      </c>
      <c r="L7" s="57">
        <v>30</v>
      </c>
      <c r="M7" s="30">
        <f t="shared" si="1"/>
        <v>780</v>
      </c>
      <c r="N7" s="85"/>
      <c r="O7" s="11"/>
    </row>
    <row r="8" spans="1:18" s="10" customFormat="1" ht="23.25" x14ac:dyDescent="0.3">
      <c r="A8" s="26">
        <v>4</v>
      </c>
      <c r="B8" s="65" t="s">
        <v>556</v>
      </c>
      <c r="C8" s="32" t="s">
        <v>19</v>
      </c>
      <c r="D8" s="32">
        <v>8.5</v>
      </c>
      <c r="E8" s="57">
        <v>50</v>
      </c>
      <c r="F8" s="30">
        <f t="shared" si="0"/>
        <v>425</v>
      </c>
      <c r="H8" s="26">
        <v>4</v>
      </c>
      <c r="I8" s="65" t="s">
        <v>556</v>
      </c>
      <c r="J8" s="32" t="s">
        <v>19</v>
      </c>
      <c r="K8" s="32">
        <v>8.5</v>
      </c>
      <c r="L8" s="57">
        <v>50</v>
      </c>
      <c r="M8" s="30">
        <f t="shared" si="1"/>
        <v>425</v>
      </c>
      <c r="N8" s="85"/>
      <c r="O8" s="11"/>
    </row>
    <row r="9" spans="1:18" s="10" customFormat="1" ht="23.25" x14ac:dyDescent="0.3">
      <c r="A9" s="26">
        <v>5</v>
      </c>
      <c r="B9" s="65" t="s">
        <v>297</v>
      </c>
      <c r="C9" s="32" t="s">
        <v>20</v>
      </c>
      <c r="D9" s="32">
        <v>11.2</v>
      </c>
      <c r="E9" s="57">
        <v>30</v>
      </c>
      <c r="F9" s="30">
        <f t="shared" si="0"/>
        <v>336</v>
      </c>
      <c r="H9" s="26">
        <v>5</v>
      </c>
      <c r="I9" s="65" t="s">
        <v>297</v>
      </c>
      <c r="J9" s="32" t="s">
        <v>20</v>
      </c>
      <c r="K9" s="115">
        <v>5.6</v>
      </c>
      <c r="L9" s="57">
        <v>30</v>
      </c>
      <c r="M9" s="30">
        <f t="shared" si="1"/>
        <v>168</v>
      </c>
      <c r="N9" s="85"/>
      <c r="O9" s="11"/>
    </row>
    <row r="10" spans="1:18" s="10" customFormat="1" ht="23.25" x14ac:dyDescent="0.3">
      <c r="A10" s="26">
        <v>6</v>
      </c>
      <c r="B10" s="31" t="s">
        <v>354</v>
      </c>
      <c r="C10" s="32" t="s">
        <v>19</v>
      </c>
      <c r="D10" s="32">
        <v>6.1</v>
      </c>
      <c r="E10" s="57">
        <v>50</v>
      </c>
      <c r="F10" s="30">
        <f t="shared" si="0"/>
        <v>305</v>
      </c>
      <c r="H10" s="26">
        <v>6</v>
      </c>
      <c r="I10" s="31" t="s">
        <v>354</v>
      </c>
      <c r="J10" s="32" t="s">
        <v>19</v>
      </c>
      <c r="K10" s="32">
        <v>6.1</v>
      </c>
      <c r="L10" s="57">
        <v>50</v>
      </c>
      <c r="M10" s="30">
        <f t="shared" si="1"/>
        <v>305</v>
      </c>
      <c r="N10" s="85"/>
      <c r="O10" s="11"/>
    </row>
    <row r="11" spans="1:18" s="10" customFormat="1" ht="23.25" x14ac:dyDescent="0.3">
      <c r="A11" s="26">
        <v>7</v>
      </c>
      <c r="B11" s="31" t="s">
        <v>590</v>
      </c>
      <c r="C11" s="32" t="s">
        <v>19</v>
      </c>
      <c r="D11" s="32">
        <v>9.8000000000000007</v>
      </c>
      <c r="E11" s="57">
        <v>80</v>
      </c>
      <c r="F11" s="30">
        <f t="shared" si="0"/>
        <v>784</v>
      </c>
      <c r="H11" s="26">
        <v>7</v>
      </c>
      <c r="I11" s="31" t="s">
        <v>590</v>
      </c>
      <c r="J11" s="32" t="s">
        <v>19</v>
      </c>
      <c r="K11" s="32">
        <v>9.8000000000000007</v>
      </c>
      <c r="L11" s="57">
        <v>80</v>
      </c>
      <c r="M11" s="30">
        <f t="shared" si="1"/>
        <v>784</v>
      </c>
      <c r="N11" s="85"/>
      <c r="O11" s="11"/>
    </row>
    <row r="12" spans="1:18" s="10" customFormat="1" ht="23.25" x14ac:dyDescent="0.3">
      <c r="A12" s="26">
        <v>8</v>
      </c>
      <c r="B12" s="65" t="s">
        <v>122</v>
      </c>
      <c r="C12" s="32" t="s">
        <v>119</v>
      </c>
      <c r="D12" s="32">
        <v>0.12</v>
      </c>
      <c r="E12" s="57">
        <v>460</v>
      </c>
      <c r="F12" s="30">
        <f t="shared" si="0"/>
        <v>55.199999999999996</v>
      </c>
      <c r="H12" s="26">
        <v>8</v>
      </c>
      <c r="I12" s="65" t="s">
        <v>122</v>
      </c>
      <c r="J12" s="32" t="s">
        <v>119</v>
      </c>
      <c r="K12" s="32">
        <v>0.12</v>
      </c>
      <c r="L12" s="57">
        <v>460</v>
      </c>
      <c r="M12" s="30">
        <f t="shared" si="1"/>
        <v>55.199999999999996</v>
      </c>
      <c r="N12" s="85"/>
      <c r="O12" s="11"/>
    </row>
    <row r="13" spans="1:18" ht="24" thickBot="1" x14ac:dyDescent="0.3">
      <c r="A13" s="38"/>
      <c r="B13" s="39"/>
      <c r="C13" s="39"/>
      <c r="D13" s="39"/>
      <c r="E13" s="40" t="s">
        <v>16</v>
      </c>
      <c r="F13" s="35">
        <f>SUM(F5:F12)</f>
        <v>4059.2</v>
      </c>
      <c r="H13" s="38"/>
      <c r="I13" s="39"/>
      <c r="J13" s="39"/>
      <c r="K13" s="39"/>
      <c r="L13" s="40" t="s">
        <v>16</v>
      </c>
      <c r="M13" s="35">
        <f>SUM(M5:M12)</f>
        <v>3459.2</v>
      </c>
    </row>
    <row r="14" spans="1:18" ht="26.25" thickBot="1" x14ac:dyDescent="0.3">
      <c r="A14" s="76"/>
      <c r="B14" s="77"/>
      <c r="C14" s="77"/>
      <c r="D14" s="77"/>
      <c r="E14" s="78" t="s">
        <v>21</v>
      </c>
      <c r="F14" s="12">
        <f>SUMIF(E1:E19977,"CƏMİ",F1:F19977)</f>
        <v>4059.2</v>
      </c>
      <c r="H14" s="76"/>
      <c r="I14" s="77"/>
      <c r="J14" s="77"/>
      <c r="K14" s="77"/>
      <c r="L14" s="78" t="s">
        <v>21</v>
      </c>
      <c r="M14" s="12">
        <f>SUMIF(L1:L19977,"CƏMİ",M1:M19977)</f>
        <v>3459.2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C567-06C5-4100-86D9-D1BB641C27DF}">
  <sheetPr>
    <tabColor rgb="FFFFFF00"/>
    <pageSetUpPr fitToPage="1"/>
  </sheetPr>
  <dimension ref="A1:R14"/>
  <sheetViews>
    <sheetView view="pageBreakPreview" zoomScale="55" zoomScaleNormal="55" zoomScaleSheetLayoutView="55" workbookViewId="0">
      <pane ySplit="3" topLeftCell="A4" activePane="bottomLeft" state="frozen"/>
      <selection activeCell="A4" sqref="A4:XFD10"/>
      <selection pane="bottomLeft" activeCell="K8" sqref="K8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519</v>
      </c>
      <c r="B1" s="175"/>
      <c r="C1" s="175"/>
      <c r="D1" s="175"/>
      <c r="E1" s="176" t="s">
        <v>0</v>
      </c>
      <c r="F1" s="177"/>
      <c r="H1" s="174" t="s">
        <v>519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F13</f>
        <v>4945.3999999999996</v>
      </c>
      <c r="O4" s="4"/>
    </row>
    <row r="5" spans="1:18" s="10" customFormat="1" ht="23.25" x14ac:dyDescent="0.3">
      <c r="A5" s="26">
        <v>1</v>
      </c>
      <c r="B5" s="65" t="s">
        <v>319</v>
      </c>
      <c r="C5" s="32" t="s">
        <v>20</v>
      </c>
      <c r="D5" s="32">
        <v>28.8</v>
      </c>
      <c r="E5" s="57">
        <v>30</v>
      </c>
      <c r="F5" s="30">
        <f>D5*E5</f>
        <v>864</v>
      </c>
      <c r="H5" s="26">
        <v>1</v>
      </c>
      <c r="I5" s="65" t="s">
        <v>319</v>
      </c>
      <c r="J5" s="32" t="s">
        <v>20</v>
      </c>
      <c r="K5" s="115">
        <v>14.4</v>
      </c>
      <c r="L5" s="57">
        <v>30</v>
      </c>
      <c r="M5" s="30">
        <f>K5*L5</f>
        <v>432</v>
      </c>
      <c r="N5" s="85"/>
      <c r="O5" s="11"/>
    </row>
    <row r="6" spans="1:18" s="10" customFormat="1" ht="23.25" x14ac:dyDescent="0.3">
      <c r="A6" s="26">
        <v>2</v>
      </c>
      <c r="B6" s="31" t="s">
        <v>320</v>
      </c>
      <c r="C6" s="32" t="s">
        <v>19</v>
      </c>
      <c r="D6" s="32">
        <v>10.3</v>
      </c>
      <c r="E6" s="57">
        <v>50</v>
      </c>
      <c r="F6" s="30">
        <f t="shared" ref="F6:F12" si="0">D6*E6</f>
        <v>515</v>
      </c>
      <c r="H6" s="26">
        <v>2</v>
      </c>
      <c r="I6" s="31" t="s">
        <v>320</v>
      </c>
      <c r="J6" s="32" t="s">
        <v>19</v>
      </c>
      <c r="K6" s="32">
        <v>10.3</v>
      </c>
      <c r="L6" s="57">
        <v>50</v>
      </c>
      <c r="M6" s="30">
        <f t="shared" ref="M6:M12" si="1">K6*L6</f>
        <v>515</v>
      </c>
      <c r="N6" s="85"/>
      <c r="O6" s="11"/>
    </row>
    <row r="7" spans="1:18" s="10" customFormat="1" ht="23.25" x14ac:dyDescent="0.3">
      <c r="A7" s="26">
        <v>3</v>
      </c>
      <c r="B7" s="65" t="s">
        <v>297</v>
      </c>
      <c r="C7" s="32" t="s">
        <v>20</v>
      </c>
      <c r="D7" s="32">
        <v>11.5</v>
      </c>
      <c r="E7" s="57">
        <v>30</v>
      </c>
      <c r="F7" s="30">
        <f t="shared" si="0"/>
        <v>345</v>
      </c>
      <c r="H7" s="26">
        <v>3</v>
      </c>
      <c r="I7" s="65" t="s">
        <v>297</v>
      </c>
      <c r="J7" s="32" t="s">
        <v>20</v>
      </c>
      <c r="K7" s="115">
        <v>5.7</v>
      </c>
      <c r="L7" s="57">
        <v>30</v>
      </c>
      <c r="M7" s="30">
        <f t="shared" si="1"/>
        <v>171</v>
      </c>
      <c r="N7" s="85"/>
      <c r="O7" s="11"/>
    </row>
    <row r="8" spans="1:18" s="10" customFormat="1" ht="23.25" x14ac:dyDescent="0.3">
      <c r="A8" s="26">
        <v>4</v>
      </c>
      <c r="B8" s="31" t="s">
        <v>354</v>
      </c>
      <c r="C8" s="32" t="s">
        <v>19</v>
      </c>
      <c r="D8" s="32">
        <v>6.5</v>
      </c>
      <c r="E8" s="57">
        <v>50</v>
      </c>
      <c r="F8" s="30">
        <f t="shared" si="0"/>
        <v>325</v>
      </c>
      <c r="H8" s="26">
        <v>4</v>
      </c>
      <c r="I8" s="31" t="s">
        <v>354</v>
      </c>
      <c r="J8" s="32" t="s">
        <v>19</v>
      </c>
      <c r="K8" s="32">
        <v>6.5</v>
      </c>
      <c r="L8" s="57">
        <v>50</v>
      </c>
      <c r="M8" s="30">
        <f t="shared" si="1"/>
        <v>325</v>
      </c>
      <c r="N8" s="85"/>
      <c r="O8" s="11"/>
    </row>
    <row r="9" spans="1:18" s="10" customFormat="1" ht="23.25" x14ac:dyDescent="0.3">
      <c r="A9" s="26">
        <v>5</v>
      </c>
      <c r="B9" s="31" t="s">
        <v>590</v>
      </c>
      <c r="C9" s="32" t="s">
        <v>19</v>
      </c>
      <c r="D9" s="32">
        <v>13.2</v>
      </c>
      <c r="E9" s="57">
        <v>80</v>
      </c>
      <c r="F9" s="30">
        <f t="shared" si="0"/>
        <v>1056</v>
      </c>
      <c r="H9" s="26">
        <v>5</v>
      </c>
      <c r="I9" s="31" t="s">
        <v>590</v>
      </c>
      <c r="J9" s="32" t="s">
        <v>19</v>
      </c>
      <c r="K9" s="32">
        <v>13.2</v>
      </c>
      <c r="L9" s="57">
        <v>80</v>
      </c>
      <c r="M9" s="30">
        <f t="shared" si="1"/>
        <v>1056</v>
      </c>
      <c r="N9" s="85"/>
      <c r="O9" s="11"/>
    </row>
    <row r="10" spans="1:18" s="10" customFormat="1" ht="23.25" x14ac:dyDescent="0.3">
      <c r="A10" s="26">
        <v>6</v>
      </c>
      <c r="B10" s="70" t="s">
        <v>559</v>
      </c>
      <c r="C10" s="32" t="s">
        <v>20</v>
      </c>
      <c r="D10" s="88">
        <v>38.5</v>
      </c>
      <c r="E10" s="57">
        <v>30</v>
      </c>
      <c r="F10" s="30">
        <f t="shared" si="0"/>
        <v>1155</v>
      </c>
      <c r="H10" s="26">
        <v>6</v>
      </c>
      <c r="I10" s="70" t="s">
        <v>559</v>
      </c>
      <c r="J10" s="32" t="s">
        <v>20</v>
      </c>
      <c r="K10" s="88">
        <v>38.5</v>
      </c>
      <c r="L10" s="57">
        <v>30</v>
      </c>
      <c r="M10" s="30">
        <f t="shared" si="1"/>
        <v>1155</v>
      </c>
      <c r="N10" s="85"/>
      <c r="O10" s="11"/>
    </row>
    <row r="11" spans="1:18" s="10" customFormat="1" ht="23.25" x14ac:dyDescent="0.3">
      <c r="A11" s="26">
        <v>7</v>
      </c>
      <c r="B11" s="65" t="s">
        <v>555</v>
      </c>
      <c r="C11" s="32" t="s">
        <v>19</v>
      </c>
      <c r="D11" s="32">
        <v>11.5</v>
      </c>
      <c r="E11" s="57">
        <v>50</v>
      </c>
      <c r="F11" s="30">
        <f t="shared" si="0"/>
        <v>575</v>
      </c>
      <c r="H11" s="26">
        <v>7</v>
      </c>
      <c r="I11" s="65" t="s">
        <v>555</v>
      </c>
      <c r="J11" s="32" t="s">
        <v>19</v>
      </c>
      <c r="K11" s="32">
        <v>11.5</v>
      </c>
      <c r="L11" s="57">
        <v>50</v>
      </c>
      <c r="M11" s="30">
        <f t="shared" si="1"/>
        <v>575</v>
      </c>
      <c r="N11" s="85"/>
      <c r="O11" s="11"/>
    </row>
    <row r="12" spans="1:18" s="10" customFormat="1" ht="23.25" x14ac:dyDescent="0.3">
      <c r="A12" s="26">
        <v>8</v>
      </c>
      <c r="B12" s="65" t="s">
        <v>122</v>
      </c>
      <c r="C12" s="32" t="s">
        <v>119</v>
      </c>
      <c r="D12" s="32">
        <v>0.24</v>
      </c>
      <c r="E12" s="57">
        <v>460</v>
      </c>
      <c r="F12" s="30">
        <f t="shared" si="0"/>
        <v>110.39999999999999</v>
      </c>
      <c r="H12" s="26">
        <v>8</v>
      </c>
      <c r="I12" s="65" t="s">
        <v>122</v>
      </c>
      <c r="J12" s="32" t="s">
        <v>119</v>
      </c>
      <c r="K12" s="32">
        <v>0.24</v>
      </c>
      <c r="L12" s="57">
        <v>460</v>
      </c>
      <c r="M12" s="30">
        <f t="shared" si="1"/>
        <v>110.39999999999999</v>
      </c>
      <c r="N12" s="85"/>
      <c r="O12" s="11"/>
    </row>
    <row r="13" spans="1:18" ht="24" thickBot="1" x14ac:dyDescent="0.3">
      <c r="A13" s="38"/>
      <c r="B13" s="39"/>
      <c r="C13" s="39"/>
      <c r="D13" s="39"/>
      <c r="E13" s="40" t="s">
        <v>16</v>
      </c>
      <c r="F13" s="35">
        <f>SUM(F5:F12)</f>
        <v>4945.3999999999996</v>
      </c>
      <c r="H13" s="38"/>
      <c r="I13" s="39"/>
      <c r="J13" s="39"/>
      <c r="K13" s="39"/>
      <c r="L13" s="40" t="s">
        <v>16</v>
      </c>
      <c r="M13" s="35">
        <f>SUM(M5:M12)</f>
        <v>4339.3999999999996</v>
      </c>
    </row>
    <row r="14" spans="1:18" ht="26.25" thickBot="1" x14ac:dyDescent="0.3">
      <c r="A14" s="76"/>
      <c r="B14" s="77"/>
      <c r="C14" s="77"/>
      <c r="D14" s="77"/>
      <c r="E14" s="78" t="s">
        <v>21</v>
      </c>
      <c r="F14" s="12">
        <f>SUMIF(E1:E19980,"CƏMİ",F1:F19980)</f>
        <v>4945.3999999999996</v>
      </c>
      <c r="H14" s="76"/>
      <c r="I14" s="77"/>
      <c r="J14" s="77"/>
      <c r="K14" s="77"/>
      <c r="L14" s="78" t="s">
        <v>21</v>
      </c>
      <c r="M14" s="12">
        <f>SUMIF(L1:L19980,"CƏMİ",M1:M19980)</f>
        <v>4339.3999999999996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95B0-2318-4B26-AABD-E43E4BF64CC5}">
  <sheetPr>
    <tabColor rgb="FFFFFF00"/>
    <pageSetUpPr fitToPage="1"/>
  </sheetPr>
  <dimension ref="A1:R8"/>
  <sheetViews>
    <sheetView view="pageBreakPreview" zoomScale="55" zoomScaleNormal="55" zoomScaleSheetLayoutView="55" workbookViewId="0">
      <pane ySplit="3" topLeftCell="A4" activePane="bottomLeft" state="frozen"/>
      <selection activeCell="A4" sqref="A4:XFD10"/>
      <selection pane="bottomLeft" activeCell="F11" sqref="F11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405</v>
      </c>
      <c r="B1" s="175"/>
      <c r="C1" s="175"/>
      <c r="D1" s="175"/>
      <c r="E1" s="176" t="s">
        <v>0</v>
      </c>
      <c r="F1" s="177"/>
      <c r="H1" s="174" t="s">
        <v>405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F7</f>
        <v>6000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133</v>
      </c>
      <c r="E5" s="57">
        <v>30</v>
      </c>
      <c r="F5" s="30">
        <f>D5*E5</f>
        <v>3990</v>
      </c>
      <c r="H5" s="26">
        <v>1</v>
      </c>
      <c r="I5" s="70" t="s">
        <v>559</v>
      </c>
      <c r="J5" s="32" t="s">
        <v>20</v>
      </c>
      <c r="K5" s="88">
        <v>133</v>
      </c>
      <c r="L5" s="57">
        <v>30</v>
      </c>
      <c r="M5" s="30">
        <f>K5*L5</f>
        <v>3990</v>
      </c>
      <c r="N5" s="85"/>
      <c r="O5" s="11"/>
    </row>
    <row r="6" spans="1:18" s="10" customFormat="1" ht="23.25" x14ac:dyDescent="0.3">
      <c r="A6" s="26">
        <v>2</v>
      </c>
      <c r="B6" s="65" t="s">
        <v>556</v>
      </c>
      <c r="C6" s="32" t="s">
        <v>19</v>
      </c>
      <c r="D6" s="32">
        <v>40.200000000000003</v>
      </c>
      <c r="E6" s="57">
        <v>50</v>
      </c>
      <c r="F6" s="30">
        <f>D6*E6</f>
        <v>2010.0000000000002</v>
      </c>
      <c r="H6" s="26">
        <v>2</v>
      </c>
      <c r="I6" s="65" t="s">
        <v>556</v>
      </c>
      <c r="J6" s="32" t="s">
        <v>19</v>
      </c>
      <c r="K6" s="32">
        <v>40.200000000000003</v>
      </c>
      <c r="L6" s="57">
        <v>50</v>
      </c>
      <c r="M6" s="30">
        <f>K6*L6</f>
        <v>2010.0000000000002</v>
      </c>
      <c r="N6" s="85"/>
      <c r="O6" s="11"/>
    </row>
    <row r="7" spans="1:18" ht="24" thickBot="1" x14ac:dyDescent="0.3">
      <c r="A7" s="38"/>
      <c r="B7" s="39"/>
      <c r="C7" s="39"/>
      <c r="D7" s="39"/>
      <c r="E7" s="40" t="s">
        <v>16</v>
      </c>
      <c r="F7" s="35">
        <f>SUM(F5:F6)</f>
        <v>6000</v>
      </c>
      <c r="H7" s="38"/>
      <c r="I7" s="39"/>
      <c r="J7" s="39"/>
      <c r="K7" s="39"/>
      <c r="L7" s="40" t="s">
        <v>16</v>
      </c>
      <c r="M7" s="35">
        <f>SUM(M5:M6)</f>
        <v>6000</v>
      </c>
    </row>
    <row r="8" spans="1:18" ht="26.25" thickBot="1" x14ac:dyDescent="0.3">
      <c r="A8" s="76"/>
      <c r="B8" s="77"/>
      <c r="C8" s="77"/>
      <c r="D8" s="77"/>
      <c r="E8" s="78" t="s">
        <v>21</v>
      </c>
      <c r="F8" s="12">
        <f>SUMIF(E1:E19974,"CƏMİ",F1:F19974)</f>
        <v>6000</v>
      </c>
      <c r="H8" s="76"/>
      <c r="I8" s="77"/>
      <c r="J8" s="77"/>
      <c r="K8" s="77"/>
      <c r="L8" s="78" t="s">
        <v>21</v>
      </c>
      <c r="M8" s="12">
        <f>SUMIF(L1:L19974,"CƏMİ",M1:M19974)</f>
        <v>6000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31BA-3623-4FAB-8286-8CF354A508C5}">
  <sheetPr>
    <tabColor rgb="FFFFFF00"/>
    <pageSetUpPr fitToPage="1"/>
  </sheetPr>
  <dimension ref="A1:R12"/>
  <sheetViews>
    <sheetView view="pageBreakPreview" zoomScale="55" zoomScaleNormal="55" zoomScaleSheetLayoutView="55" workbookViewId="0">
      <pane ySplit="3" topLeftCell="A4" activePane="bottomLeft" state="frozen"/>
      <selection activeCell="A4" sqref="A4:XFD10"/>
      <selection pane="bottomLeft" activeCell="K6" sqref="K6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407</v>
      </c>
      <c r="B1" s="175"/>
      <c r="C1" s="175"/>
      <c r="D1" s="175"/>
      <c r="E1" s="176" t="s">
        <v>0</v>
      </c>
      <c r="F1" s="177"/>
      <c r="H1" s="174" t="s">
        <v>407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F11</f>
        <v>4427.3</v>
      </c>
      <c r="O4" s="4"/>
    </row>
    <row r="5" spans="1:18" s="10" customFormat="1" ht="23.25" x14ac:dyDescent="0.3">
      <c r="A5" s="26">
        <v>1</v>
      </c>
      <c r="B5" s="65" t="s">
        <v>297</v>
      </c>
      <c r="C5" s="32" t="s">
        <v>20</v>
      </c>
      <c r="D5" s="32">
        <v>15.4</v>
      </c>
      <c r="E5" s="57">
        <v>30</v>
      </c>
      <c r="F5" s="30">
        <f>D5*E5</f>
        <v>462</v>
      </c>
      <c r="H5" s="26">
        <v>1</v>
      </c>
      <c r="I5" s="65" t="s">
        <v>297</v>
      </c>
      <c r="J5" s="32" t="s">
        <v>20</v>
      </c>
      <c r="K5" s="115">
        <v>7.7</v>
      </c>
      <c r="L5" s="57">
        <v>30</v>
      </c>
      <c r="M5" s="30">
        <f>K5*L5</f>
        <v>231</v>
      </c>
      <c r="N5" s="85"/>
      <c r="O5" s="11"/>
    </row>
    <row r="6" spans="1:18" s="10" customFormat="1" ht="23.25" x14ac:dyDescent="0.3">
      <c r="A6" s="26">
        <v>2</v>
      </c>
      <c r="B6" s="31" t="s">
        <v>354</v>
      </c>
      <c r="C6" s="32" t="s">
        <v>19</v>
      </c>
      <c r="D6" s="32">
        <v>8.4</v>
      </c>
      <c r="E6" s="57">
        <v>50</v>
      </c>
      <c r="F6" s="30">
        <f t="shared" ref="F6:F10" si="0">D6*E6</f>
        <v>420</v>
      </c>
      <c r="H6" s="26">
        <v>2</v>
      </c>
      <c r="I6" s="31" t="s">
        <v>354</v>
      </c>
      <c r="J6" s="32" t="s">
        <v>19</v>
      </c>
      <c r="K6" s="32">
        <v>8.4</v>
      </c>
      <c r="L6" s="57">
        <v>50</v>
      </c>
      <c r="M6" s="30">
        <f t="shared" ref="M6:M10" si="1">K6*L6</f>
        <v>420</v>
      </c>
      <c r="N6" s="85"/>
      <c r="O6" s="11"/>
    </row>
    <row r="7" spans="1:18" s="10" customFormat="1" ht="23.25" x14ac:dyDescent="0.3">
      <c r="A7" s="26">
        <v>3</v>
      </c>
      <c r="B7" s="31" t="s">
        <v>590</v>
      </c>
      <c r="C7" s="32" t="s">
        <v>19</v>
      </c>
      <c r="D7" s="32">
        <v>21</v>
      </c>
      <c r="E7" s="57">
        <v>80</v>
      </c>
      <c r="F7" s="30">
        <f t="shared" si="0"/>
        <v>1680</v>
      </c>
      <c r="H7" s="26">
        <v>3</v>
      </c>
      <c r="I7" s="31" t="s">
        <v>590</v>
      </c>
      <c r="J7" s="32" t="s">
        <v>19</v>
      </c>
      <c r="K7" s="32">
        <v>21</v>
      </c>
      <c r="L7" s="57">
        <v>80</v>
      </c>
      <c r="M7" s="30">
        <f t="shared" si="1"/>
        <v>1680</v>
      </c>
      <c r="N7" s="85"/>
      <c r="O7" s="11"/>
    </row>
    <row r="8" spans="1:18" s="10" customFormat="1" ht="23.25" x14ac:dyDescent="0.3">
      <c r="A8" s="26">
        <v>4</v>
      </c>
      <c r="B8" s="70" t="s">
        <v>559</v>
      </c>
      <c r="C8" s="32" t="s">
        <v>20</v>
      </c>
      <c r="D8" s="88">
        <v>38.5</v>
      </c>
      <c r="E8" s="57">
        <v>30</v>
      </c>
      <c r="F8" s="30">
        <f t="shared" si="0"/>
        <v>1155</v>
      </c>
      <c r="H8" s="26">
        <v>4</v>
      </c>
      <c r="I8" s="70" t="s">
        <v>559</v>
      </c>
      <c r="J8" s="32" t="s">
        <v>20</v>
      </c>
      <c r="K8" s="88">
        <v>38.5</v>
      </c>
      <c r="L8" s="57">
        <v>30</v>
      </c>
      <c r="M8" s="30">
        <f t="shared" si="1"/>
        <v>1155</v>
      </c>
      <c r="N8" s="85"/>
      <c r="O8" s="11"/>
    </row>
    <row r="9" spans="1:18" s="10" customFormat="1" ht="23.25" x14ac:dyDescent="0.3">
      <c r="A9" s="26">
        <v>5</v>
      </c>
      <c r="B9" s="65" t="s">
        <v>556</v>
      </c>
      <c r="C9" s="32" t="s">
        <v>19</v>
      </c>
      <c r="D9" s="32">
        <v>12.55</v>
      </c>
      <c r="E9" s="57">
        <v>50</v>
      </c>
      <c r="F9" s="30">
        <f t="shared" si="0"/>
        <v>627.5</v>
      </c>
      <c r="H9" s="26">
        <v>5</v>
      </c>
      <c r="I9" s="65" t="s">
        <v>556</v>
      </c>
      <c r="J9" s="32" t="s">
        <v>19</v>
      </c>
      <c r="K9" s="32">
        <v>12.55</v>
      </c>
      <c r="L9" s="57">
        <v>50</v>
      </c>
      <c r="M9" s="30">
        <f t="shared" si="1"/>
        <v>627.5</v>
      </c>
      <c r="N9" s="85"/>
      <c r="O9" s="11"/>
    </row>
    <row r="10" spans="1:18" s="10" customFormat="1" ht="23.25" x14ac:dyDescent="0.3">
      <c r="A10" s="26">
        <v>6</v>
      </c>
      <c r="B10" s="65" t="s">
        <v>122</v>
      </c>
      <c r="C10" s="32" t="s">
        <v>119</v>
      </c>
      <c r="D10" s="32">
        <v>0.18</v>
      </c>
      <c r="E10" s="57">
        <v>460</v>
      </c>
      <c r="F10" s="30">
        <f t="shared" si="0"/>
        <v>82.8</v>
      </c>
      <c r="H10" s="26">
        <v>6</v>
      </c>
      <c r="I10" s="65" t="s">
        <v>122</v>
      </c>
      <c r="J10" s="32" t="s">
        <v>119</v>
      </c>
      <c r="K10" s="32">
        <v>0.18</v>
      </c>
      <c r="L10" s="57">
        <v>460</v>
      </c>
      <c r="M10" s="30">
        <f t="shared" si="1"/>
        <v>82.8</v>
      </c>
      <c r="N10" s="85"/>
      <c r="O10" s="11"/>
    </row>
    <row r="11" spans="1:18" ht="24" thickBot="1" x14ac:dyDescent="0.3">
      <c r="A11" s="38"/>
      <c r="B11" s="39"/>
      <c r="C11" s="39"/>
      <c r="D11" s="39"/>
      <c r="E11" s="40" t="s">
        <v>16</v>
      </c>
      <c r="F11" s="35">
        <f>SUM(F5:F10)</f>
        <v>4427.3</v>
      </c>
      <c r="H11" s="38"/>
      <c r="I11" s="39"/>
      <c r="J11" s="39"/>
      <c r="K11" s="39"/>
      <c r="L11" s="40" t="s">
        <v>16</v>
      </c>
      <c r="M11" s="35">
        <f>SUM(M5:M10)</f>
        <v>4196.3</v>
      </c>
    </row>
    <row r="12" spans="1:18" ht="26.25" thickBot="1" x14ac:dyDescent="0.3">
      <c r="A12" s="76"/>
      <c r="B12" s="77"/>
      <c r="C12" s="77"/>
      <c r="D12" s="77"/>
      <c r="E12" s="78" t="s">
        <v>21</v>
      </c>
      <c r="F12" s="12">
        <f>SUMIF(E1:E19978,"CƏMİ",F1:F19978)</f>
        <v>4427.3</v>
      </c>
      <c r="H12" s="76"/>
      <c r="I12" s="77"/>
      <c r="J12" s="77"/>
      <c r="K12" s="77"/>
      <c r="L12" s="78" t="s">
        <v>21</v>
      </c>
      <c r="M12" s="12">
        <f>SUMIF(L1:L19978,"CƏMİ",M1:M19978)</f>
        <v>4196.3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2927-B62E-40F7-A0C4-163E36C9F0EF}">
  <sheetPr>
    <tabColor rgb="FFFFFF00"/>
    <pageSetUpPr fitToPage="1"/>
  </sheetPr>
  <dimension ref="A1:R14"/>
  <sheetViews>
    <sheetView view="pageBreakPreview" zoomScale="55" zoomScaleNormal="55" zoomScaleSheetLayoutView="55" workbookViewId="0">
      <pane ySplit="3" topLeftCell="A4" activePane="bottomLeft" state="frozen"/>
      <selection activeCell="A4" sqref="A4:XFD10"/>
      <selection pane="bottomLeft" activeCell="K10" sqref="K10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424</v>
      </c>
      <c r="B1" s="175"/>
      <c r="C1" s="175"/>
      <c r="D1" s="175"/>
      <c r="E1" s="176" t="s">
        <v>0</v>
      </c>
      <c r="F1" s="177"/>
      <c r="H1" s="174" t="s">
        <v>424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F13</f>
        <v>4578.5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32.5</v>
      </c>
      <c r="E5" s="57">
        <v>30</v>
      </c>
      <c r="F5" s="30">
        <f>D5*E5</f>
        <v>975</v>
      </c>
      <c r="H5" s="26">
        <v>1</v>
      </c>
      <c r="I5" s="70" t="s">
        <v>559</v>
      </c>
      <c r="J5" s="32" t="s">
        <v>20</v>
      </c>
      <c r="K5" s="88">
        <v>32.5</v>
      </c>
      <c r="L5" s="57">
        <v>30</v>
      </c>
      <c r="M5" s="30">
        <f>K5*L5</f>
        <v>975</v>
      </c>
      <c r="N5" s="85"/>
      <c r="O5" s="11"/>
    </row>
    <row r="6" spans="1:18" s="10" customFormat="1" ht="23.25" x14ac:dyDescent="0.3">
      <c r="A6" s="26">
        <v>2</v>
      </c>
      <c r="B6" s="65" t="s">
        <v>556</v>
      </c>
      <c r="C6" s="32" t="s">
        <v>19</v>
      </c>
      <c r="D6" s="32">
        <v>9.75</v>
      </c>
      <c r="E6" s="57">
        <v>50</v>
      </c>
      <c r="F6" s="30">
        <f t="shared" ref="F6:F12" si="0">D6*E6</f>
        <v>487.5</v>
      </c>
      <c r="H6" s="26">
        <v>2</v>
      </c>
      <c r="I6" s="65" t="s">
        <v>556</v>
      </c>
      <c r="J6" s="32" t="s">
        <v>19</v>
      </c>
      <c r="K6" s="32">
        <v>9.75</v>
      </c>
      <c r="L6" s="57">
        <v>50</v>
      </c>
      <c r="M6" s="30">
        <f t="shared" ref="M6:M12" si="1">K6*L6</f>
        <v>487.5</v>
      </c>
      <c r="N6" s="85"/>
      <c r="O6" s="11"/>
    </row>
    <row r="7" spans="1:18" s="10" customFormat="1" ht="23.25" x14ac:dyDescent="0.3">
      <c r="A7" s="26">
        <v>3</v>
      </c>
      <c r="B7" s="65" t="s">
        <v>319</v>
      </c>
      <c r="C7" s="32" t="s">
        <v>20</v>
      </c>
      <c r="D7" s="32">
        <v>28.8</v>
      </c>
      <c r="E7" s="57">
        <v>30</v>
      </c>
      <c r="F7" s="30">
        <f t="shared" si="0"/>
        <v>864</v>
      </c>
      <c r="H7" s="26">
        <v>3</v>
      </c>
      <c r="I7" s="65" t="s">
        <v>319</v>
      </c>
      <c r="J7" s="32" t="s">
        <v>20</v>
      </c>
      <c r="K7" s="115">
        <v>14.4</v>
      </c>
      <c r="L7" s="57">
        <v>30</v>
      </c>
      <c r="M7" s="30">
        <f t="shared" si="1"/>
        <v>432</v>
      </c>
      <c r="N7" s="85"/>
      <c r="O7" s="11"/>
    </row>
    <row r="8" spans="1:18" s="10" customFormat="1" ht="23.25" x14ac:dyDescent="0.3">
      <c r="A8" s="26">
        <v>4</v>
      </c>
      <c r="B8" s="31" t="s">
        <v>320</v>
      </c>
      <c r="C8" s="32" t="s">
        <v>19</v>
      </c>
      <c r="D8" s="32">
        <v>11</v>
      </c>
      <c r="E8" s="57">
        <v>50</v>
      </c>
      <c r="F8" s="30">
        <f t="shared" si="0"/>
        <v>550</v>
      </c>
      <c r="H8" s="26">
        <v>4</v>
      </c>
      <c r="I8" s="31" t="s">
        <v>320</v>
      </c>
      <c r="J8" s="32" t="s">
        <v>19</v>
      </c>
      <c r="K8" s="32">
        <v>11</v>
      </c>
      <c r="L8" s="57">
        <v>50</v>
      </c>
      <c r="M8" s="30">
        <f t="shared" si="1"/>
        <v>550</v>
      </c>
      <c r="N8" s="85"/>
      <c r="O8" s="11"/>
    </row>
    <row r="9" spans="1:18" s="10" customFormat="1" ht="23.25" x14ac:dyDescent="0.3">
      <c r="A9" s="26">
        <v>5</v>
      </c>
      <c r="B9" s="65" t="s">
        <v>297</v>
      </c>
      <c r="C9" s="32" t="s">
        <v>20</v>
      </c>
      <c r="D9" s="32">
        <v>13.5</v>
      </c>
      <c r="E9" s="57">
        <v>30</v>
      </c>
      <c r="F9" s="30">
        <f t="shared" si="0"/>
        <v>405</v>
      </c>
      <c r="H9" s="26">
        <v>5</v>
      </c>
      <c r="I9" s="65" t="s">
        <v>297</v>
      </c>
      <c r="J9" s="32" t="s">
        <v>20</v>
      </c>
      <c r="K9" s="115">
        <v>6.7</v>
      </c>
      <c r="L9" s="57">
        <v>30</v>
      </c>
      <c r="M9" s="30">
        <f t="shared" si="1"/>
        <v>201</v>
      </c>
      <c r="N9" s="85"/>
      <c r="O9" s="11"/>
    </row>
    <row r="10" spans="1:18" s="10" customFormat="1" ht="23.25" x14ac:dyDescent="0.3">
      <c r="A10" s="26">
        <v>6</v>
      </c>
      <c r="B10" s="31" t="s">
        <v>354</v>
      </c>
      <c r="C10" s="32" t="s">
        <v>19</v>
      </c>
      <c r="D10" s="32">
        <v>8.1</v>
      </c>
      <c r="E10" s="57">
        <v>50</v>
      </c>
      <c r="F10" s="30">
        <f t="shared" si="0"/>
        <v>405</v>
      </c>
      <c r="H10" s="26">
        <v>6</v>
      </c>
      <c r="I10" s="31" t="s">
        <v>354</v>
      </c>
      <c r="J10" s="32" t="s">
        <v>19</v>
      </c>
      <c r="K10" s="32">
        <v>8.1</v>
      </c>
      <c r="L10" s="57">
        <v>50</v>
      </c>
      <c r="M10" s="30">
        <f t="shared" si="1"/>
        <v>405</v>
      </c>
      <c r="N10" s="85"/>
      <c r="O10" s="11"/>
    </row>
    <row r="11" spans="1:18" s="10" customFormat="1" ht="23.25" x14ac:dyDescent="0.3">
      <c r="A11" s="26">
        <v>7</v>
      </c>
      <c r="B11" s="31" t="s">
        <v>590</v>
      </c>
      <c r="C11" s="32" t="s">
        <v>19</v>
      </c>
      <c r="D11" s="32">
        <v>10</v>
      </c>
      <c r="E11" s="57">
        <v>80</v>
      </c>
      <c r="F11" s="30">
        <f t="shared" si="0"/>
        <v>800</v>
      </c>
      <c r="H11" s="26">
        <v>7</v>
      </c>
      <c r="I11" s="31" t="s">
        <v>590</v>
      </c>
      <c r="J11" s="32" t="s">
        <v>19</v>
      </c>
      <c r="K11" s="32">
        <v>10</v>
      </c>
      <c r="L11" s="57">
        <v>80</v>
      </c>
      <c r="M11" s="30">
        <f t="shared" si="1"/>
        <v>800</v>
      </c>
      <c r="N11" s="85"/>
      <c r="O11" s="11"/>
    </row>
    <row r="12" spans="1:18" s="10" customFormat="1" ht="23.25" x14ac:dyDescent="0.3">
      <c r="A12" s="26">
        <v>8</v>
      </c>
      <c r="B12" s="65" t="s">
        <v>122</v>
      </c>
      <c r="C12" s="32" t="s">
        <v>119</v>
      </c>
      <c r="D12" s="32">
        <v>0.2</v>
      </c>
      <c r="E12" s="57">
        <v>460</v>
      </c>
      <c r="F12" s="30">
        <f t="shared" si="0"/>
        <v>92</v>
      </c>
      <c r="H12" s="26">
        <v>8</v>
      </c>
      <c r="I12" s="65" t="s">
        <v>122</v>
      </c>
      <c r="J12" s="32" t="s">
        <v>119</v>
      </c>
      <c r="K12" s="32">
        <v>0.2</v>
      </c>
      <c r="L12" s="57">
        <v>460</v>
      </c>
      <c r="M12" s="30">
        <f t="shared" si="1"/>
        <v>92</v>
      </c>
      <c r="N12" s="85"/>
      <c r="O12" s="11"/>
    </row>
    <row r="13" spans="1:18" ht="24" thickBot="1" x14ac:dyDescent="0.3">
      <c r="A13" s="38"/>
      <c r="B13" s="39"/>
      <c r="C13" s="39"/>
      <c r="D13" s="39"/>
      <c r="E13" s="40" t="s">
        <v>16</v>
      </c>
      <c r="F13" s="35">
        <f>SUM(F5:F12)</f>
        <v>4578.5</v>
      </c>
      <c r="H13" s="38"/>
      <c r="I13" s="39"/>
      <c r="J13" s="39"/>
      <c r="K13" s="39"/>
      <c r="L13" s="40" t="s">
        <v>16</v>
      </c>
      <c r="M13" s="35">
        <f>SUM(M5:M12)</f>
        <v>3942.5</v>
      </c>
    </row>
    <row r="14" spans="1:18" ht="26.25" thickBot="1" x14ac:dyDescent="0.3">
      <c r="A14" s="76"/>
      <c r="B14" s="77"/>
      <c r="C14" s="77"/>
      <c r="D14" s="77"/>
      <c r="E14" s="78" t="s">
        <v>21</v>
      </c>
      <c r="F14" s="12">
        <f>SUMIF(E1:E19977,"CƏMİ",F1:F19977)</f>
        <v>4578.5</v>
      </c>
      <c r="H14" s="76"/>
      <c r="I14" s="77"/>
      <c r="J14" s="77"/>
      <c r="K14" s="77"/>
      <c r="L14" s="78" t="s">
        <v>21</v>
      </c>
      <c r="M14" s="12">
        <f>SUMIF(L1:L19977,"CƏMİ",M1:M19977)</f>
        <v>3942.5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C7DD-1777-4A5B-AF06-B13603F249A4}">
  <sheetPr>
    <tabColor rgb="FFFFFF00"/>
    <pageSetUpPr fitToPage="1"/>
  </sheetPr>
  <dimension ref="A1:R13"/>
  <sheetViews>
    <sheetView view="pageBreakPreview" zoomScale="55" zoomScaleNormal="55" zoomScaleSheetLayoutView="55" workbookViewId="0">
      <pane ySplit="3" topLeftCell="A4" activePane="bottomLeft" state="frozen"/>
      <selection activeCell="A4" sqref="A4:XFD10"/>
      <selection pane="bottomLeft" activeCell="L8" sqref="L8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397</v>
      </c>
      <c r="B1" s="175"/>
      <c r="C1" s="175"/>
      <c r="D1" s="175"/>
      <c r="E1" s="176" t="s">
        <v>0</v>
      </c>
      <c r="F1" s="177"/>
      <c r="H1" s="174" t="s">
        <v>397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F12</f>
        <v>7255.4</v>
      </c>
      <c r="O4" s="4"/>
    </row>
    <row r="5" spans="1:18" s="10" customFormat="1" ht="23.25" x14ac:dyDescent="0.3">
      <c r="A5" s="26">
        <v>1</v>
      </c>
      <c r="B5" s="70" t="s">
        <v>764</v>
      </c>
      <c r="C5" s="32" t="s">
        <v>20</v>
      </c>
      <c r="D5" s="88">
        <v>57</v>
      </c>
      <c r="E5" s="57">
        <v>30</v>
      </c>
      <c r="F5" s="30">
        <f>D5*E5</f>
        <v>1710</v>
      </c>
      <c r="H5" s="26">
        <v>1</v>
      </c>
      <c r="I5" s="70" t="s">
        <v>764</v>
      </c>
      <c r="J5" s="32" t="s">
        <v>20</v>
      </c>
      <c r="K5" s="88">
        <v>57</v>
      </c>
      <c r="L5" s="57">
        <v>30</v>
      </c>
      <c r="M5" s="30">
        <f>K5*L5</f>
        <v>1710</v>
      </c>
      <c r="N5" s="85"/>
      <c r="O5" s="11"/>
    </row>
    <row r="6" spans="1:18" s="10" customFormat="1" ht="23.25" x14ac:dyDescent="0.3">
      <c r="A6" s="26">
        <v>2</v>
      </c>
      <c r="B6" s="65" t="s">
        <v>555</v>
      </c>
      <c r="C6" s="32" t="s">
        <v>19</v>
      </c>
      <c r="D6" s="32">
        <v>18</v>
      </c>
      <c r="E6" s="57">
        <v>50</v>
      </c>
      <c r="F6" s="30">
        <f t="shared" ref="F6:F11" si="0">D6*E6</f>
        <v>900</v>
      </c>
      <c r="H6" s="26">
        <v>2</v>
      </c>
      <c r="I6" s="65" t="s">
        <v>555</v>
      </c>
      <c r="J6" s="32" t="s">
        <v>19</v>
      </c>
      <c r="K6" s="32">
        <v>18</v>
      </c>
      <c r="L6" s="57">
        <v>50</v>
      </c>
      <c r="M6" s="30">
        <f t="shared" ref="M6:M11" si="1">K6*L6</f>
        <v>900</v>
      </c>
      <c r="N6" s="85"/>
      <c r="O6" s="11"/>
    </row>
    <row r="7" spans="1:18" s="10" customFormat="1" ht="23.25" x14ac:dyDescent="0.3">
      <c r="A7" s="26">
        <v>3</v>
      </c>
      <c r="B7" s="65" t="s">
        <v>394</v>
      </c>
      <c r="C7" s="32" t="s">
        <v>20</v>
      </c>
      <c r="D7" s="32">
        <v>52</v>
      </c>
      <c r="E7" s="57">
        <v>30</v>
      </c>
      <c r="F7" s="30">
        <f t="shared" si="0"/>
        <v>1560</v>
      </c>
      <c r="H7" s="26">
        <v>3</v>
      </c>
      <c r="I7" s="65" t="s">
        <v>394</v>
      </c>
      <c r="J7" s="32" t="s">
        <v>20</v>
      </c>
      <c r="K7" s="32">
        <v>52</v>
      </c>
      <c r="L7" s="118">
        <v>25</v>
      </c>
      <c r="M7" s="30">
        <f t="shared" si="1"/>
        <v>1300</v>
      </c>
      <c r="N7" s="85"/>
      <c r="O7" s="11"/>
    </row>
    <row r="8" spans="1:18" s="10" customFormat="1" ht="23.25" x14ac:dyDescent="0.3">
      <c r="A8" s="26">
        <v>4</v>
      </c>
      <c r="B8" s="31" t="s">
        <v>347</v>
      </c>
      <c r="C8" s="32" t="s">
        <v>19</v>
      </c>
      <c r="D8" s="32">
        <v>31.2</v>
      </c>
      <c r="E8" s="57">
        <v>50</v>
      </c>
      <c r="F8" s="30">
        <f t="shared" si="0"/>
        <v>1560</v>
      </c>
      <c r="H8" s="26">
        <v>4</v>
      </c>
      <c r="I8" s="31" t="s">
        <v>347</v>
      </c>
      <c r="J8" s="32" t="s">
        <v>19</v>
      </c>
      <c r="K8" s="32">
        <v>31.2</v>
      </c>
      <c r="L8" s="57">
        <v>50</v>
      </c>
      <c r="M8" s="30">
        <f t="shared" si="1"/>
        <v>1560</v>
      </c>
      <c r="N8" s="85"/>
      <c r="O8" s="11"/>
    </row>
    <row r="9" spans="1:18" s="10" customFormat="1" ht="23.25" x14ac:dyDescent="0.3">
      <c r="A9" s="26">
        <v>5</v>
      </c>
      <c r="B9" s="65" t="s">
        <v>355</v>
      </c>
      <c r="C9" s="32" t="s">
        <v>20</v>
      </c>
      <c r="D9" s="32">
        <v>33</v>
      </c>
      <c r="E9" s="57">
        <v>30</v>
      </c>
      <c r="F9" s="30">
        <f t="shared" si="0"/>
        <v>990</v>
      </c>
      <c r="H9" s="26">
        <v>5</v>
      </c>
      <c r="I9" s="65" t="s">
        <v>355</v>
      </c>
      <c r="J9" s="32" t="s">
        <v>20</v>
      </c>
      <c r="K9" s="115">
        <v>17</v>
      </c>
      <c r="L9" s="57">
        <v>30</v>
      </c>
      <c r="M9" s="30">
        <f t="shared" si="1"/>
        <v>510</v>
      </c>
      <c r="N9" s="85"/>
      <c r="O9" s="11"/>
    </row>
    <row r="10" spans="1:18" s="10" customFormat="1" ht="23.25" x14ac:dyDescent="0.3">
      <c r="A10" s="26">
        <v>6</v>
      </c>
      <c r="B10" s="65" t="s">
        <v>354</v>
      </c>
      <c r="C10" s="32" t="s">
        <v>19</v>
      </c>
      <c r="D10" s="88">
        <v>8.5</v>
      </c>
      <c r="E10" s="57">
        <v>50</v>
      </c>
      <c r="F10" s="30">
        <f t="shared" si="0"/>
        <v>425</v>
      </c>
      <c r="H10" s="26">
        <v>6</v>
      </c>
      <c r="I10" s="65" t="s">
        <v>354</v>
      </c>
      <c r="J10" s="32" t="s">
        <v>19</v>
      </c>
      <c r="K10" s="88">
        <v>8.5</v>
      </c>
      <c r="L10" s="57">
        <v>50</v>
      </c>
      <c r="M10" s="30">
        <f t="shared" si="1"/>
        <v>425</v>
      </c>
      <c r="N10" s="85"/>
      <c r="O10" s="11"/>
    </row>
    <row r="11" spans="1:18" s="10" customFormat="1" ht="23.25" x14ac:dyDescent="0.3">
      <c r="A11" s="26">
        <v>7</v>
      </c>
      <c r="B11" s="65" t="s">
        <v>122</v>
      </c>
      <c r="C11" s="32" t="s">
        <v>119</v>
      </c>
      <c r="D11" s="32">
        <v>0.24</v>
      </c>
      <c r="E11" s="57">
        <v>460</v>
      </c>
      <c r="F11" s="30">
        <f t="shared" si="0"/>
        <v>110.39999999999999</v>
      </c>
      <c r="H11" s="26">
        <v>7</v>
      </c>
      <c r="I11" s="65" t="s">
        <v>122</v>
      </c>
      <c r="J11" s="32" t="s">
        <v>119</v>
      </c>
      <c r="K11" s="32">
        <v>0.24</v>
      </c>
      <c r="L11" s="57">
        <v>460</v>
      </c>
      <c r="M11" s="30">
        <f t="shared" si="1"/>
        <v>110.39999999999999</v>
      </c>
      <c r="N11" s="85"/>
      <c r="O11" s="11"/>
    </row>
    <row r="12" spans="1:18" ht="24" thickBot="1" x14ac:dyDescent="0.3">
      <c r="A12" s="38"/>
      <c r="B12" s="39"/>
      <c r="C12" s="39"/>
      <c r="D12" s="39"/>
      <c r="E12" s="40" t="s">
        <v>16</v>
      </c>
      <c r="F12" s="35">
        <f>SUM(F5:F11)</f>
        <v>7255.4</v>
      </c>
      <c r="H12" s="38"/>
      <c r="I12" s="39"/>
      <c r="J12" s="39"/>
      <c r="K12" s="39"/>
      <c r="L12" s="40" t="s">
        <v>16</v>
      </c>
      <c r="M12" s="35">
        <f>SUM(M5:M11)</f>
        <v>6515.4</v>
      </c>
    </row>
    <row r="13" spans="1:18" ht="26.25" thickBot="1" x14ac:dyDescent="0.3">
      <c r="A13" s="76"/>
      <c r="B13" s="77"/>
      <c r="C13" s="77"/>
      <c r="D13" s="77"/>
      <c r="E13" s="78" t="s">
        <v>21</v>
      </c>
      <c r="F13" s="12">
        <f>SUMIF(E1:E19979,"CƏMİ",F1:F19979)</f>
        <v>7255.4</v>
      </c>
      <c r="H13" s="76"/>
      <c r="I13" s="77"/>
      <c r="J13" s="77"/>
      <c r="K13" s="77"/>
      <c r="L13" s="78" t="s">
        <v>21</v>
      </c>
      <c r="M13" s="12">
        <f>SUMIF(L1:L19979,"CƏMİ",M1:M19979)</f>
        <v>6515.4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D5AD1-FC55-4EB8-AD2F-C9C9AB400FFF}">
  <sheetPr>
    <tabColor rgb="FFFFFF00"/>
    <pageSetUpPr fitToPage="1"/>
  </sheetPr>
  <dimension ref="A1:R14"/>
  <sheetViews>
    <sheetView view="pageBreakPreview" zoomScale="55" zoomScaleNormal="55" zoomScaleSheetLayoutView="55" workbookViewId="0">
      <pane ySplit="3" topLeftCell="A4" activePane="bottomLeft" state="frozen"/>
      <selection activeCell="A4" sqref="A4:XFD10"/>
      <selection pane="bottomLeft" activeCell="K7" sqref="K7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353</v>
      </c>
      <c r="B1" s="175"/>
      <c r="C1" s="175"/>
      <c r="D1" s="175"/>
      <c r="E1" s="176" t="s">
        <v>0</v>
      </c>
      <c r="F1" s="177"/>
      <c r="H1" s="174" t="s">
        <v>353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F13</f>
        <v>5037.3999999999996</v>
      </c>
      <c r="O4" s="4"/>
    </row>
    <row r="5" spans="1:18" s="10" customFormat="1" ht="23.25" x14ac:dyDescent="0.3">
      <c r="A5" s="26">
        <v>1</v>
      </c>
      <c r="B5" s="65" t="s">
        <v>576</v>
      </c>
      <c r="C5" s="32" t="s">
        <v>19</v>
      </c>
      <c r="D5" s="32">
        <v>19</v>
      </c>
      <c r="E5" s="57">
        <v>80</v>
      </c>
      <c r="F5" s="30">
        <f>D5*E5</f>
        <v>1520</v>
      </c>
      <c r="H5" s="26">
        <v>1</v>
      </c>
      <c r="I5" s="65" t="s">
        <v>576</v>
      </c>
      <c r="J5" s="32" t="s">
        <v>19</v>
      </c>
      <c r="K5" s="32">
        <v>19</v>
      </c>
      <c r="L5" s="57">
        <v>80</v>
      </c>
      <c r="M5" s="30">
        <f>K5*L5</f>
        <v>1520</v>
      </c>
      <c r="N5" s="85"/>
      <c r="O5" s="11"/>
    </row>
    <row r="6" spans="1:18" s="10" customFormat="1" ht="23.25" x14ac:dyDescent="0.3">
      <c r="A6" s="26">
        <v>2</v>
      </c>
      <c r="B6" s="31" t="s">
        <v>355</v>
      </c>
      <c r="C6" s="32" t="s">
        <v>20</v>
      </c>
      <c r="D6" s="32">
        <v>25.2</v>
      </c>
      <c r="E6" s="57">
        <v>30</v>
      </c>
      <c r="F6" s="30">
        <f t="shared" ref="F6:F12" si="0">D6*E6</f>
        <v>756</v>
      </c>
      <c r="H6" s="26">
        <v>2</v>
      </c>
      <c r="I6" s="31" t="s">
        <v>355</v>
      </c>
      <c r="J6" s="32" t="s">
        <v>20</v>
      </c>
      <c r="K6" s="115">
        <v>12.6</v>
      </c>
      <c r="L6" s="57">
        <v>30</v>
      </c>
      <c r="M6" s="30">
        <f t="shared" ref="M6:M12" si="1">K6*L6</f>
        <v>378</v>
      </c>
      <c r="N6" s="85"/>
      <c r="O6" s="11"/>
    </row>
    <row r="7" spans="1:18" s="10" customFormat="1" ht="23.25" x14ac:dyDescent="0.3">
      <c r="A7" s="26">
        <v>3</v>
      </c>
      <c r="B7" s="31" t="s">
        <v>354</v>
      </c>
      <c r="C7" s="32" t="s">
        <v>19</v>
      </c>
      <c r="D7" s="32">
        <v>6.3</v>
      </c>
      <c r="E7" s="57">
        <v>50</v>
      </c>
      <c r="F7" s="30">
        <f t="shared" si="0"/>
        <v>315</v>
      </c>
      <c r="H7" s="26">
        <v>3</v>
      </c>
      <c r="I7" s="31" t="s">
        <v>354</v>
      </c>
      <c r="J7" s="32" t="s">
        <v>19</v>
      </c>
      <c r="K7" s="32">
        <v>6.3</v>
      </c>
      <c r="L7" s="57">
        <v>50</v>
      </c>
      <c r="M7" s="30">
        <f t="shared" si="1"/>
        <v>315</v>
      </c>
      <c r="N7" s="85"/>
      <c r="O7" s="11"/>
    </row>
    <row r="8" spans="1:18" s="10" customFormat="1" ht="23.25" x14ac:dyDescent="0.3">
      <c r="A8" s="26">
        <v>4</v>
      </c>
      <c r="B8" s="70" t="s">
        <v>559</v>
      </c>
      <c r="C8" s="32" t="s">
        <v>20</v>
      </c>
      <c r="D8" s="88">
        <v>32.5</v>
      </c>
      <c r="E8" s="57">
        <v>30</v>
      </c>
      <c r="F8" s="30">
        <f t="shared" si="0"/>
        <v>975</v>
      </c>
      <c r="H8" s="26">
        <v>4</v>
      </c>
      <c r="I8" s="70" t="s">
        <v>559</v>
      </c>
      <c r="J8" s="32" t="s">
        <v>20</v>
      </c>
      <c r="K8" s="88">
        <v>32.5</v>
      </c>
      <c r="L8" s="57">
        <v>30</v>
      </c>
      <c r="M8" s="30">
        <f t="shared" si="1"/>
        <v>975</v>
      </c>
      <c r="N8" s="85"/>
      <c r="O8" s="11"/>
    </row>
    <row r="9" spans="1:18" s="10" customFormat="1" ht="23.25" x14ac:dyDescent="0.3">
      <c r="A9" s="26">
        <v>5</v>
      </c>
      <c r="B9" s="65" t="s">
        <v>556</v>
      </c>
      <c r="C9" s="32" t="s">
        <v>19</v>
      </c>
      <c r="D9" s="32">
        <v>9.1</v>
      </c>
      <c r="E9" s="57">
        <v>50</v>
      </c>
      <c r="F9" s="30">
        <f t="shared" si="0"/>
        <v>455</v>
      </c>
      <c r="H9" s="26">
        <v>5</v>
      </c>
      <c r="I9" s="65" t="s">
        <v>556</v>
      </c>
      <c r="J9" s="32" t="s">
        <v>19</v>
      </c>
      <c r="K9" s="32">
        <v>9.1</v>
      </c>
      <c r="L9" s="57">
        <v>50</v>
      </c>
      <c r="M9" s="30">
        <f t="shared" si="1"/>
        <v>455</v>
      </c>
      <c r="N9" s="85"/>
      <c r="O9" s="11"/>
    </row>
    <row r="10" spans="1:18" s="10" customFormat="1" ht="23.25" x14ac:dyDescent="0.3">
      <c r="A10" s="26">
        <v>6</v>
      </c>
      <c r="B10" s="65" t="s">
        <v>319</v>
      </c>
      <c r="C10" s="32" t="s">
        <v>20</v>
      </c>
      <c r="D10" s="32">
        <v>15</v>
      </c>
      <c r="E10" s="57">
        <v>30</v>
      </c>
      <c r="F10" s="30">
        <f t="shared" si="0"/>
        <v>450</v>
      </c>
      <c r="H10" s="26">
        <v>6</v>
      </c>
      <c r="I10" s="65" t="s">
        <v>319</v>
      </c>
      <c r="J10" s="32" t="s">
        <v>20</v>
      </c>
      <c r="K10" s="32">
        <v>15</v>
      </c>
      <c r="L10" s="57">
        <v>30</v>
      </c>
      <c r="M10" s="30">
        <f t="shared" si="1"/>
        <v>450</v>
      </c>
      <c r="N10" s="85"/>
      <c r="O10" s="11"/>
    </row>
    <row r="11" spans="1:18" s="10" customFormat="1" ht="23.25" x14ac:dyDescent="0.3">
      <c r="A11" s="26">
        <v>7</v>
      </c>
      <c r="B11" s="31" t="s">
        <v>320</v>
      </c>
      <c r="C11" s="32" t="s">
        <v>19</v>
      </c>
      <c r="D11" s="32">
        <v>10.5</v>
      </c>
      <c r="E11" s="57">
        <v>50</v>
      </c>
      <c r="F11" s="30">
        <f t="shared" si="0"/>
        <v>525</v>
      </c>
      <c r="H11" s="26">
        <v>7</v>
      </c>
      <c r="I11" s="31" t="s">
        <v>320</v>
      </c>
      <c r="J11" s="32" t="s">
        <v>19</v>
      </c>
      <c r="K11" s="32">
        <v>10.5</v>
      </c>
      <c r="L11" s="57">
        <v>50</v>
      </c>
      <c r="M11" s="30">
        <f t="shared" si="1"/>
        <v>525</v>
      </c>
      <c r="N11" s="85"/>
      <c r="O11" s="11"/>
    </row>
    <row r="12" spans="1:18" s="10" customFormat="1" ht="23.25" x14ac:dyDescent="0.3">
      <c r="A12" s="26">
        <v>8</v>
      </c>
      <c r="B12" s="65" t="s">
        <v>122</v>
      </c>
      <c r="C12" s="32" t="s">
        <v>119</v>
      </c>
      <c r="D12" s="32">
        <v>0.09</v>
      </c>
      <c r="E12" s="57">
        <v>460</v>
      </c>
      <c r="F12" s="30">
        <f t="shared" si="0"/>
        <v>41.4</v>
      </c>
      <c r="H12" s="26">
        <v>8</v>
      </c>
      <c r="I12" s="65" t="s">
        <v>122</v>
      </c>
      <c r="J12" s="32" t="s">
        <v>119</v>
      </c>
      <c r="K12" s="32">
        <v>0.09</v>
      </c>
      <c r="L12" s="57">
        <v>460</v>
      </c>
      <c r="M12" s="30">
        <f t="shared" si="1"/>
        <v>41.4</v>
      </c>
      <c r="N12" s="85"/>
      <c r="O12" s="11"/>
    </row>
    <row r="13" spans="1:18" ht="24" thickBot="1" x14ac:dyDescent="0.3">
      <c r="A13" s="38"/>
      <c r="B13" s="39"/>
      <c r="C13" s="39"/>
      <c r="D13" s="39"/>
      <c r="E13" s="40" t="s">
        <v>16</v>
      </c>
      <c r="F13" s="35">
        <f>SUM(F5:F12)</f>
        <v>5037.3999999999996</v>
      </c>
      <c r="H13" s="38"/>
      <c r="I13" s="39"/>
      <c r="J13" s="39"/>
      <c r="K13" s="39"/>
      <c r="L13" s="40" t="s">
        <v>16</v>
      </c>
      <c r="M13" s="35">
        <f>SUM(M5:M12)</f>
        <v>4659.3999999999996</v>
      </c>
    </row>
    <row r="14" spans="1:18" ht="26.25" thickBot="1" x14ac:dyDescent="0.3">
      <c r="A14" s="76"/>
      <c r="B14" s="77"/>
      <c r="C14" s="77"/>
      <c r="D14" s="77"/>
      <c r="E14" s="78" t="s">
        <v>21</v>
      </c>
      <c r="F14" s="12">
        <f>SUMIF(E1:E19977,"CƏMİ",F1:F19977)</f>
        <v>5037.3999999999996</v>
      </c>
      <c r="H14" s="76"/>
      <c r="I14" s="77"/>
      <c r="J14" s="77"/>
      <c r="K14" s="77"/>
      <c r="L14" s="78" t="s">
        <v>21</v>
      </c>
      <c r="M14" s="12">
        <f>SUMIF(L1:L19977,"CƏMİ",M1:M19977)</f>
        <v>4659.3999999999996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E320-0E89-44D0-B397-8637F54DFFA3}">
  <sheetPr>
    <tabColor rgb="FFFFFF00"/>
    <pageSetUpPr fitToPage="1"/>
  </sheetPr>
  <dimension ref="A1:R18"/>
  <sheetViews>
    <sheetView view="pageBreakPreview" zoomScale="55" zoomScaleNormal="55" zoomScaleSheetLayoutView="55" workbookViewId="0">
      <pane ySplit="3" topLeftCell="A4" activePane="bottomLeft" state="frozen"/>
      <selection activeCell="A4" sqref="A4:XFD10"/>
      <selection pane="bottomLeft" activeCell="F31" sqref="F31"/>
    </sheetView>
  </sheetViews>
  <sheetFormatPr defaultColWidth="9.140625" defaultRowHeight="15" x14ac:dyDescent="0.25"/>
  <cols>
    <col min="1" max="1" width="6.42578125" style="5" bestFit="1" customWidth="1"/>
    <col min="2" max="2" width="109.8554687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09.8554687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345</v>
      </c>
      <c r="B1" s="175"/>
      <c r="C1" s="175"/>
      <c r="D1" s="175"/>
      <c r="E1" s="176" t="s">
        <v>0</v>
      </c>
      <c r="F1" s="177"/>
      <c r="H1" s="174" t="s">
        <v>345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F17</f>
        <v>28870.799999999999</v>
      </c>
      <c r="O4" s="4"/>
    </row>
    <row r="5" spans="1:18" s="10" customFormat="1" ht="23.25" x14ac:dyDescent="0.3">
      <c r="A5" s="26">
        <v>1</v>
      </c>
      <c r="B5" s="70" t="s">
        <v>559</v>
      </c>
      <c r="C5" s="32" t="s">
        <v>20</v>
      </c>
      <c r="D5" s="88">
        <v>41.6</v>
      </c>
      <c r="E5" s="57">
        <v>30</v>
      </c>
      <c r="F5" s="30">
        <f>D5*E5</f>
        <v>1248</v>
      </c>
      <c r="H5" s="26">
        <v>1</v>
      </c>
      <c r="I5" s="70" t="s">
        <v>559</v>
      </c>
      <c r="J5" s="32" t="s">
        <v>20</v>
      </c>
      <c r="K5" s="88">
        <v>41.6</v>
      </c>
      <c r="L5" s="57">
        <v>30</v>
      </c>
      <c r="M5" s="30">
        <f>K5*L5</f>
        <v>1248</v>
      </c>
      <c r="N5" s="85"/>
      <c r="O5" s="11"/>
    </row>
    <row r="6" spans="1:18" s="10" customFormat="1" ht="23.25" x14ac:dyDescent="0.3">
      <c r="A6" s="26">
        <v>2</v>
      </c>
      <c r="B6" s="70" t="s">
        <v>555</v>
      </c>
      <c r="C6" s="32" t="s">
        <v>19</v>
      </c>
      <c r="D6" s="32">
        <v>11</v>
      </c>
      <c r="E6" s="57">
        <v>50</v>
      </c>
      <c r="F6" s="30">
        <f t="shared" ref="F6:F15" si="0">D6*E6</f>
        <v>550</v>
      </c>
      <c r="H6" s="26">
        <v>2</v>
      </c>
      <c r="I6" s="70" t="s">
        <v>555</v>
      </c>
      <c r="J6" s="32" t="s">
        <v>19</v>
      </c>
      <c r="K6" s="32">
        <v>11</v>
      </c>
      <c r="L6" s="57">
        <v>50</v>
      </c>
      <c r="M6" s="30">
        <f t="shared" ref="M6:M16" si="1">K6*L6</f>
        <v>550</v>
      </c>
      <c r="N6" s="85"/>
      <c r="O6" s="11"/>
    </row>
    <row r="7" spans="1:18" s="10" customFormat="1" ht="23.25" x14ac:dyDescent="0.3">
      <c r="A7" s="26">
        <v>3</v>
      </c>
      <c r="B7" s="65" t="s">
        <v>346</v>
      </c>
      <c r="C7" s="32" t="s">
        <v>20</v>
      </c>
      <c r="D7" s="32">
        <v>21.4</v>
      </c>
      <c r="E7" s="57">
        <v>30</v>
      </c>
      <c r="F7" s="30">
        <f t="shared" si="0"/>
        <v>642</v>
      </c>
      <c r="H7" s="26">
        <v>3</v>
      </c>
      <c r="I7" s="65" t="s">
        <v>346</v>
      </c>
      <c r="J7" s="32" t="s">
        <v>20</v>
      </c>
      <c r="K7" s="32">
        <v>21.4</v>
      </c>
      <c r="L7" s="118">
        <v>25</v>
      </c>
      <c r="M7" s="30">
        <f t="shared" si="1"/>
        <v>535</v>
      </c>
      <c r="N7" s="85"/>
      <c r="O7" s="11"/>
    </row>
    <row r="8" spans="1:18" s="10" customFormat="1" ht="23.25" x14ac:dyDescent="0.3">
      <c r="A8" s="26">
        <v>4</v>
      </c>
      <c r="B8" s="65" t="s">
        <v>347</v>
      </c>
      <c r="C8" s="32" t="s">
        <v>19</v>
      </c>
      <c r="D8" s="32">
        <v>14</v>
      </c>
      <c r="E8" s="57">
        <v>50</v>
      </c>
      <c r="F8" s="30">
        <f t="shared" si="0"/>
        <v>700</v>
      </c>
      <c r="H8" s="26">
        <v>4</v>
      </c>
      <c r="I8" s="65" t="s">
        <v>347</v>
      </c>
      <c r="J8" s="32" t="s">
        <v>19</v>
      </c>
      <c r="K8" s="32">
        <v>14</v>
      </c>
      <c r="L8" s="57">
        <v>50</v>
      </c>
      <c r="M8" s="30">
        <f t="shared" si="1"/>
        <v>700</v>
      </c>
      <c r="N8" s="85"/>
      <c r="O8" s="11"/>
    </row>
    <row r="9" spans="1:18" s="10" customFormat="1" ht="23.25" x14ac:dyDescent="0.3">
      <c r="A9" s="26">
        <v>5</v>
      </c>
      <c r="B9" s="65" t="s">
        <v>297</v>
      </c>
      <c r="C9" s="32" t="s">
        <v>20</v>
      </c>
      <c r="D9" s="32">
        <v>29</v>
      </c>
      <c r="E9" s="57">
        <v>30</v>
      </c>
      <c r="F9" s="30">
        <f t="shared" si="0"/>
        <v>870</v>
      </c>
      <c r="H9" s="26">
        <v>5</v>
      </c>
      <c r="I9" s="65" t="s">
        <v>297</v>
      </c>
      <c r="J9" s="32" t="s">
        <v>20</v>
      </c>
      <c r="K9" s="115">
        <v>14.5</v>
      </c>
      <c r="L9" s="57">
        <v>30</v>
      </c>
      <c r="M9" s="30">
        <f t="shared" si="1"/>
        <v>435</v>
      </c>
      <c r="N9" s="85"/>
      <c r="O9" s="11"/>
    </row>
    <row r="10" spans="1:18" s="10" customFormat="1" ht="23.25" x14ac:dyDescent="0.3">
      <c r="A10" s="26">
        <v>6</v>
      </c>
      <c r="B10" s="65" t="s">
        <v>348</v>
      </c>
      <c r="C10" s="32" t="s">
        <v>19</v>
      </c>
      <c r="D10" s="32">
        <v>8</v>
      </c>
      <c r="E10" s="57">
        <v>50</v>
      </c>
      <c r="F10" s="30">
        <f t="shared" si="0"/>
        <v>400</v>
      </c>
      <c r="H10" s="26">
        <v>6</v>
      </c>
      <c r="I10" s="65" t="s">
        <v>348</v>
      </c>
      <c r="J10" s="32" t="s">
        <v>19</v>
      </c>
      <c r="K10" s="32">
        <v>8</v>
      </c>
      <c r="L10" s="57">
        <v>50</v>
      </c>
      <c r="M10" s="30">
        <f t="shared" si="1"/>
        <v>400</v>
      </c>
      <c r="N10" s="85"/>
      <c r="O10" s="11"/>
    </row>
    <row r="11" spans="1:18" s="10" customFormat="1" ht="23.25" x14ac:dyDescent="0.3">
      <c r="A11" s="26">
        <v>7</v>
      </c>
      <c r="B11" s="65" t="s">
        <v>349</v>
      </c>
      <c r="C11" s="32" t="s">
        <v>20</v>
      </c>
      <c r="D11" s="32">
        <v>64</v>
      </c>
      <c r="E11" s="57">
        <v>30</v>
      </c>
      <c r="F11" s="30">
        <f t="shared" si="0"/>
        <v>1920</v>
      </c>
      <c r="H11" s="26">
        <v>7</v>
      </c>
      <c r="I11" s="65" t="s">
        <v>349</v>
      </c>
      <c r="J11" s="32" t="s">
        <v>20</v>
      </c>
      <c r="K11" s="115">
        <v>32</v>
      </c>
      <c r="L11" s="57">
        <v>30</v>
      </c>
      <c r="M11" s="30">
        <f t="shared" si="1"/>
        <v>960</v>
      </c>
      <c r="N11" s="85"/>
      <c r="O11" s="11"/>
    </row>
    <row r="12" spans="1:18" s="10" customFormat="1" ht="23.25" x14ac:dyDescent="0.3">
      <c r="A12" s="26">
        <v>8</v>
      </c>
      <c r="B12" s="65" t="s">
        <v>350</v>
      </c>
      <c r="C12" s="32" t="s">
        <v>19</v>
      </c>
      <c r="D12" s="32">
        <v>33</v>
      </c>
      <c r="E12" s="57">
        <v>50</v>
      </c>
      <c r="F12" s="30">
        <f t="shared" si="0"/>
        <v>1650</v>
      </c>
      <c r="H12" s="26">
        <v>8</v>
      </c>
      <c r="I12" s="65" t="s">
        <v>350</v>
      </c>
      <c r="J12" s="32" t="s">
        <v>19</v>
      </c>
      <c r="K12" s="32">
        <v>33</v>
      </c>
      <c r="L12" s="57">
        <v>50</v>
      </c>
      <c r="M12" s="30">
        <f t="shared" si="1"/>
        <v>1650</v>
      </c>
      <c r="N12" s="85"/>
      <c r="O12" s="11"/>
    </row>
    <row r="13" spans="1:18" s="10" customFormat="1" ht="23.25" x14ac:dyDescent="0.3">
      <c r="A13" s="26">
        <v>9</v>
      </c>
      <c r="B13" s="65" t="s">
        <v>155</v>
      </c>
      <c r="C13" s="32" t="s">
        <v>20</v>
      </c>
      <c r="D13" s="32">
        <v>136.80000000000001</v>
      </c>
      <c r="E13" s="57">
        <v>150</v>
      </c>
      <c r="F13" s="30">
        <f t="shared" si="0"/>
        <v>20520</v>
      </c>
      <c r="H13" s="26">
        <v>9</v>
      </c>
      <c r="I13" s="65" t="s">
        <v>155</v>
      </c>
      <c r="J13" s="32" t="s">
        <v>20</v>
      </c>
      <c r="K13" s="115">
        <v>102.7</v>
      </c>
      <c r="L13" s="57">
        <v>150</v>
      </c>
      <c r="M13" s="30">
        <f t="shared" si="1"/>
        <v>15405</v>
      </c>
      <c r="N13" s="85"/>
      <c r="O13" s="11"/>
    </row>
    <row r="14" spans="1:18" s="10" customFormat="1" ht="23.25" x14ac:dyDescent="0.3">
      <c r="A14" s="26">
        <v>10</v>
      </c>
      <c r="B14" s="70" t="s">
        <v>351</v>
      </c>
      <c r="C14" s="32" t="s">
        <v>20</v>
      </c>
      <c r="D14" s="32">
        <v>5</v>
      </c>
      <c r="E14" s="57">
        <v>30</v>
      </c>
      <c r="F14" s="30">
        <f t="shared" si="0"/>
        <v>150</v>
      </c>
      <c r="H14" s="26">
        <v>10</v>
      </c>
      <c r="I14" s="70" t="s">
        <v>351</v>
      </c>
      <c r="J14" s="32" t="s">
        <v>20</v>
      </c>
      <c r="K14" s="32">
        <v>5</v>
      </c>
      <c r="L14" s="57">
        <v>30</v>
      </c>
      <c r="M14" s="30">
        <f t="shared" si="1"/>
        <v>150</v>
      </c>
      <c r="N14" s="85"/>
      <c r="O14" s="11"/>
    </row>
    <row r="15" spans="1:18" s="10" customFormat="1" ht="23.25" x14ac:dyDescent="0.3">
      <c r="A15" s="26">
        <v>11</v>
      </c>
      <c r="B15" s="65" t="s">
        <v>122</v>
      </c>
      <c r="C15" s="32" t="s">
        <v>119</v>
      </c>
      <c r="D15" s="32">
        <v>0.48</v>
      </c>
      <c r="E15" s="57">
        <v>460</v>
      </c>
      <c r="F15" s="30">
        <f t="shared" si="0"/>
        <v>220.79999999999998</v>
      </c>
      <c r="H15" s="26">
        <v>11</v>
      </c>
      <c r="I15" s="65" t="s">
        <v>122</v>
      </c>
      <c r="J15" s="32" t="s">
        <v>119</v>
      </c>
      <c r="K15" s="32">
        <v>0.48</v>
      </c>
      <c r="L15" s="57">
        <v>460</v>
      </c>
      <c r="M15" s="30">
        <f t="shared" si="1"/>
        <v>220.79999999999998</v>
      </c>
      <c r="N15" s="85"/>
      <c r="O15" s="11"/>
    </row>
    <row r="16" spans="1:18" s="10" customFormat="1" ht="23.25" x14ac:dyDescent="0.3">
      <c r="A16" s="157"/>
      <c r="B16" s="158"/>
      <c r="C16" s="90"/>
      <c r="D16" s="90"/>
      <c r="E16" s="91"/>
      <c r="F16" s="159"/>
      <c r="H16" s="160"/>
      <c r="I16" s="158" t="s">
        <v>846</v>
      </c>
      <c r="J16" s="90" t="s">
        <v>20</v>
      </c>
      <c r="K16" s="90">
        <v>34.4</v>
      </c>
      <c r="L16" s="91"/>
      <c r="M16" s="30">
        <f t="shared" si="1"/>
        <v>0</v>
      </c>
      <c r="N16" s="85"/>
      <c r="O16" s="11"/>
    </row>
    <row r="17" spans="1:13" ht="24" thickBot="1" x14ac:dyDescent="0.3">
      <c r="A17" s="38"/>
      <c r="B17" s="39"/>
      <c r="C17" s="39"/>
      <c r="D17" s="39"/>
      <c r="E17" s="40" t="s">
        <v>16</v>
      </c>
      <c r="F17" s="35">
        <f>SUM(F5:F15)</f>
        <v>28870.799999999999</v>
      </c>
      <c r="H17" s="38"/>
      <c r="I17" s="39"/>
      <c r="J17" s="39"/>
      <c r="K17" s="39"/>
      <c r="L17" s="40" t="s">
        <v>16</v>
      </c>
      <c r="M17" s="35">
        <f>SUM(M5:M16)</f>
        <v>22253.8</v>
      </c>
    </row>
    <row r="18" spans="1:13" ht="26.25" thickBot="1" x14ac:dyDescent="0.3">
      <c r="A18" s="71"/>
      <c r="B18" s="72"/>
      <c r="C18" s="72"/>
      <c r="D18" s="72"/>
      <c r="E18" s="73" t="s">
        <v>21</v>
      </c>
      <c r="F18" s="12">
        <f>SUMIF(E1:E19984,"CƏMİ",F1:F19984)</f>
        <v>28870.799999999999</v>
      </c>
      <c r="H18" s="71"/>
      <c r="I18" s="72"/>
      <c r="J18" s="72"/>
      <c r="K18" s="72"/>
      <c r="L18" s="73" t="s">
        <v>21</v>
      </c>
      <c r="M18" s="12">
        <f>SUMIF(L1:L19984,"CƏMİ",M1:M19984)</f>
        <v>22253.8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014E-C421-4B66-8EAA-8267F9A86E6E}">
  <sheetPr>
    <tabColor rgb="FFFFFF00"/>
    <pageSetUpPr fitToPage="1"/>
  </sheetPr>
  <dimension ref="A1:R13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G21" sqref="G20:G21"/>
    </sheetView>
  </sheetViews>
  <sheetFormatPr defaultColWidth="9.140625" defaultRowHeight="15" x14ac:dyDescent="0.25"/>
  <cols>
    <col min="1" max="1" width="6.42578125" style="5" bestFit="1" customWidth="1"/>
    <col min="2" max="2" width="112.5703125" style="2" bestFit="1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12.5703125" style="2" bestFit="1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98</v>
      </c>
      <c r="B1" s="175"/>
      <c r="C1" s="175"/>
      <c r="D1" s="175"/>
      <c r="E1" s="176" t="s">
        <v>0</v>
      </c>
      <c r="F1" s="177"/>
      <c r="H1" s="174" t="s">
        <v>98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45170</v>
      </c>
      <c r="H2" s="17"/>
      <c r="I2" s="18"/>
      <c r="J2" s="18"/>
      <c r="K2" s="19"/>
      <c r="L2" s="18"/>
      <c r="M2" s="46">
        <v>45170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123</v>
      </c>
      <c r="C4" s="24"/>
      <c r="D4" s="24"/>
      <c r="E4" s="24"/>
      <c r="F4" s="25"/>
      <c r="H4" s="23"/>
      <c r="I4" s="24" t="s">
        <v>123</v>
      </c>
      <c r="J4" s="24"/>
      <c r="K4" s="24"/>
      <c r="L4" s="24"/>
      <c r="M4" s="25"/>
      <c r="N4" s="84">
        <f>F12</f>
        <v>51400</v>
      </c>
      <c r="O4" s="4"/>
    </row>
    <row r="5" spans="1:18" s="10" customFormat="1" ht="23.25" x14ac:dyDescent="0.3">
      <c r="A5" s="26">
        <v>1</v>
      </c>
      <c r="B5" s="70" t="s">
        <v>780</v>
      </c>
      <c r="C5" s="178" t="s">
        <v>19</v>
      </c>
      <c r="D5" s="184">
        <f>57-5</f>
        <v>52</v>
      </c>
      <c r="E5" s="180">
        <v>50</v>
      </c>
      <c r="F5" s="182">
        <f t="shared" ref="F5:F10" si="0">D5*E5</f>
        <v>2600</v>
      </c>
      <c r="H5" s="26">
        <v>1</v>
      </c>
      <c r="I5" s="70" t="s">
        <v>780</v>
      </c>
      <c r="J5" s="178" t="s">
        <v>19</v>
      </c>
      <c r="K5" s="184">
        <f>57-5</f>
        <v>52</v>
      </c>
      <c r="L5" s="180">
        <v>50</v>
      </c>
      <c r="M5" s="182">
        <f t="shared" ref="M5" si="1">K5*L5</f>
        <v>2600</v>
      </c>
      <c r="N5" s="85"/>
      <c r="O5" s="11"/>
    </row>
    <row r="6" spans="1:18" s="10" customFormat="1" ht="23.25" x14ac:dyDescent="0.3">
      <c r="A6" s="26">
        <v>2</v>
      </c>
      <c r="B6" s="70" t="s">
        <v>751</v>
      </c>
      <c r="C6" s="179"/>
      <c r="D6" s="185"/>
      <c r="E6" s="181"/>
      <c r="F6" s="183"/>
      <c r="H6" s="26">
        <v>2</v>
      </c>
      <c r="I6" s="70" t="s">
        <v>751</v>
      </c>
      <c r="J6" s="179"/>
      <c r="K6" s="185"/>
      <c r="L6" s="181"/>
      <c r="M6" s="183"/>
      <c r="N6" s="85"/>
      <c r="O6" s="11"/>
    </row>
    <row r="7" spans="1:18" s="10" customFormat="1" ht="23.25" x14ac:dyDescent="0.3">
      <c r="A7" s="26">
        <v>3</v>
      </c>
      <c r="B7" s="70" t="s">
        <v>118</v>
      </c>
      <c r="C7" s="32" t="s">
        <v>20</v>
      </c>
      <c r="D7" s="32">
        <v>71</v>
      </c>
      <c r="E7" s="57">
        <v>150</v>
      </c>
      <c r="F7" s="30">
        <f t="shared" si="0"/>
        <v>10650</v>
      </c>
      <c r="H7" s="26">
        <v>3</v>
      </c>
      <c r="I7" s="70" t="s">
        <v>118</v>
      </c>
      <c r="J7" s="32" t="s">
        <v>20</v>
      </c>
      <c r="K7" s="32">
        <v>71</v>
      </c>
      <c r="L7" s="57">
        <v>150</v>
      </c>
      <c r="M7" s="30">
        <f t="shared" ref="M7:M11" si="2">K7*L7</f>
        <v>10650</v>
      </c>
      <c r="N7" s="85"/>
      <c r="O7" s="11"/>
    </row>
    <row r="8" spans="1:18" s="10" customFormat="1" ht="23.25" x14ac:dyDescent="0.3">
      <c r="A8" s="26">
        <v>4</v>
      </c>
      <c r="B8" s="65" t="s">
        <v>752</v>
      </c>
      <c r="C8" s="90" t="s">
        <v>19</v>
      </c>
      <c r="D8" s="93">
        <f>213-10</f>
        <v>203</v>
      </c>
      <c r="E8" s="91">
        <f>50+30</f>
        <v>80</v>
      </c>
      <c r="F8" s="92">
        <f t="shared" si="0"/>
        <v>16240</v>
      </c>
      <c r="H8" s="26">
        <v>4</v>
      </c>
      <c r="I8" s="65" t="s">
        <v>752</v>
      </c>
      <c r="J8" s="90" t="s">
        <v>19</v>
      </c>
      <c r="K8" s="93">
        <f>213-10</f>
        <v>203</v>
      </c>
      <c r="L8" s="91">
        <f>50+30</f>
        <v>80</v>
      </c>
      <c r="M8" s="92">
        <f t="shared" si="2"/>
        <v>16240</v>
      </c>
      <c r="N8" s="85"/>
      <c r="O8" s="11"/>
    </row>
    <row r="9" spans="1:18" s="10" customFormat="1" ht="23.25" x14ac:dyDescent="0.3">
      <c r="A9" s="26">
        <v>6</v>
      </c>
      <c r="B9" s="65" t="s">
        <v>781</v>
      </c>
      <c r="C9" s="90" t="s">
        <v>19</v>
      </c>
      <c r="D9" s="90">
        <v>225</v>
      </c>
      <c r="E9" s="91">
        <f>55+25</f>
        <v>80</v>
      </c>
      <c r="F9" s="92">
        <f t="shared" si="0"/>
        <v>18000</v>
      </c>
      <c r="H9" s="26">
        <v>6</v>
      </c>
      <c r="I9" s="65" t="s">
        <v>781</v>
      </c>
      <c r="J9" s="90" t="s">
        <v>19</v>
      </c>
      <c r="K9" s="90">
        <v>225</v>
      </c>
      <c r="L9" s="91">
        <f>55+25</f>
        <v>80</v>
      </c>
      <c r="M9" s="92">
        <f t="shared" si="2"/>
        <v>18000</v>
      </c>
      <c r="N9" s="85"/>
      <c r="O9" s="11"/>
    </row>
    <row r="10" spans="1:18" s="10" customFormat="1" ht="23.25" x14ac:dyDescent="0.3">
      <c r="A10" s="26">
        <v>8</v>
      </c>
      <c r="B10" s="65" t="s">
        <v>122</v>
      </c>
      <c r="C10" s="32" t="s">
        <v>119</v>
      </c>
      <c r="D10" s="32">
        <v>8.4</v>
      </c>
      <c r="E10" s="57">
        <v>460</v>
      </c>
      <c r="F10" s="30">
        <f t="shared" si="0"/>
        <v>3864</v>
      </c>
      <c r="H10" s="26">
        <v>8</v>
      </c>
      <c r="I10" s="65" t="s">
        <v>122</v>
      </c>
      <c r="J10" s="32" t="s">
        <v>119</v>
      </c>
      <c r="K10" s="32">
        <v>8.4</v>
      </c>
      <c r="L10" s="57">
        <v>460</v>
      </c>
      <c r="M10" s="30">
        <f t="shared" si="2"/>
        <v>3864</v>
      </c>
      <c r="N10" s="85"/>
      <c r="O10" s="11"/>
    </row>
    <row r="11" spans="1:18" s="10" customFormat="1" ht="23.25" x14ac:dyDescent="0.3">
      <c r="A11" s="26">
        <v>9</v>
      </c>
      <c r="B11" s="65" t="s">
        <v>223</v>
      </c>
      <c r="C11" s="32" t="s">
        <v>119</v>
      </c>
      <c r="D11" s="32">
        <v>0.1</v>
      </c>
      <c r="E11" s="57">
        <v>460</v>
      </c>
      <c r="F11" s="30">
        <f t="shared" ref="F11" si="3">D11*E11</f>
        <v>46</v>
      </c>
      <c r="H11" s="26">
        <v>9</v>
      </c>
      <c r="I11" s="65" t="s">
        <v>223</v>
      </c>
      <c r="J11" s="32" t="s">
        <v>119</v>
      </c>
      <c r="K11" s="32">
        <v>0.1</v>
      </c>
      <c r="L11" s="57">
        <v>460</v>
      </c>
      <c r="M11" s="30">
        <f t="shared" si="2"/>
        <v>46</v>
      </c>
      <c r="N11" s="85"/>
      <c r="O11" s="11"/>
    </row>
    <row r="12" spans="1:18" ht="24" thickBot="1" x14ac:dyDescent="0.3">
      <c r="A12" s="38"/>
      <c r="B12" s="39"/>
      <c r="C12" s="39"/>
      <c r="D12" s="39"/>
      <c r="E12" s="40" t="s">
        <v>16</v>
      </c>
      <c r="F12" s="35">
        <f>SUM(F5:F11)</f>
        <v>51400</v>
      </c>
      <c r="H12" s="38"/>
      <c r="I12" s="39"/>
      <c r="J12" s="39"/>
      <c r="K12" s="39"/>
      <c r="L12" s="40" t="s">
        <v>16</v>
      </c>
      <c r="M12" s="35">
        <f>SUM(M5:M11)</f>
        <v>51400</v>
      </c>
    </row>
    <row r="13" spans="1:18" ht="26.25" thickBot="1" x14ac:dyDescent="0.3">
      <c r="A13" s="76"/>
      <c r="B13" s="77"/>
      <c r="C13" s="77"/>
      <c r="D13" s="77"/>
      <c r="E13" s="78" t="s">
        <v>21</v>
      </c>
      <c r="F13" s="12">
        <f>SUMIF(E1:E19979,"CƏMİ",F1:F19979)</f>
        <v>51400</v>
      </c>
      <c r="H13" s="76"/>
      <c r="I13" s="77"/>
      <c r="J13" s="77"/>
      <c r="K13" s="77"/>
      <c r="L13" s="78" t="s">
        <v>21</v>
      </c>
      <c r="M13" s="12">
        <f>SUMIF(L1:L19979,"CƏMİ",M1:M19979)</f>
        <v>51400</v>
      </c>
    </row>
  </sheetData>
  <mergeCells count="12">
    <mergeCell ref="H1:K1"/>
    <mergeCell ref="L1:M1"/>
    <mergeCell ref="J5:J6"/>
    <mergeCell ref="K5:K6"/>
    <mergeCell ref="L5:L6"/>
    <mergeCell ref="M5:M6"/>
    <mergeCell ref="A1:D1"/>
    <mergeCell ref="E1:F1"/>
    <mergeCell ref="C5:C6"/>
    <mergeCell ref="D5:D6"/>
    <mergeCell ref="E5:E6"/>
    <mergeCell ref="F5:F6"/>
  </mergeCells>
  <phoneticPr fontId="19" type="noConversion"/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F799-0815-457B-B43C-7BE9B938DD1D}">
  <sheetPr>
    <tabColor rgb="FFFFFF00"/>
    <pageSetUpPr fitToPage="1"/>
  </sheetPr>
  <dimension ref="A1:R77"/>
  <sheetViews>
    <sheetView view="pageBreakPreview" zoomScale="55" zoomScaleNormal="55" zoomScaleSheetLayoutView="55" workbookViewId="0">
      <pane ySplit="3" topLeftCell="A42" activePane="bottomLeft" state="frozen"/>
      <selection activeCell="P33" sqref="P33"/>
      <selection pane="bottomLeft" activeCell="N72" sqref="N72"/>
    </sheetView>
  </sheetViews>
  <sheetFormatPr defaultColWidth="9.140625" defaultRowHeight="15" x14ac:dyDescent="0.25"/>
  <cols>
    <col min="1" max="1" width="6.42578125" style="5" bestFit="1" customWidth="1"/>
    <col min="2" max="2" width="120.710937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20.710937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103</v>
      </c>
      <c r="B1" s="175"/>
      <c r="C1" s="175"/>
      <c r="D1" s="175"/>
      <c r="E1" s="176" t="s">
        <v>0</v>
      </c>
      <c r="F1" s="177"/>
      <c r="H1" s="174" t="s">
        <v>103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45219</v>
      </c>
      <c r="H2" s="17"/>
      <c r="I2" s="18"/>
      <c r="J2" s="18"/>
      <c r="K2" s="19"/>
      <c r="L2" s="18"/>
      <c r="M2" s="46">
        <v>45219</v>
      </c>
      <c r="N2" s="82"/>
      <c r="O2" s="1"/>
      <c r="R2" s="2"/>
    </row>
    <row r="3" spans="1:18" s="3" customFormat="1" ht="45.75" thickBot="1" x14ac:dyDescent="0.4">
      <c r="A3" s="95" t="s">
        <v>1</v>
      </c>
      <c r="B3" s="96" t="s">
        <v>2</v>
      </c>
      <c r="C3" s="97" t="s">
        <v>3</v>
      </c>
      <c r="D3" s="96" t="s">
        <v>4</v>
      </c>
      <c r="E3" s="97" t="s">
        <v>5</v>
      </c>
      <c r="F3" s="98" t="s">
        <v>6</v>
      </c>
      <c r="H3" s="95" t="s">
        <v>1</v>
      </c>
      <c r="I3" s="96" t="s">
        <v>2</v>
      </c>
      <c r="J3" s="97" t="s">
        <v>3</v>
      </c>
      <c r="K3" s="96" t="s">
        <v>4</v>
      </c>
      <c r="L3" s="97" t="s">
        <v>5</v>
      </c>
      <c r="M3" s="98" t="s">
        <v>6</v>
      </c>
      <c r="N3" s="83"/>
      <c r="O3" s="4"/>
    </row>
    <row r="4" spans="1:18" s="3" customFormat="1" ht="23.25" x14ac:dyDescent="0.35">
      <c r="A4" s="99"/>
      <c r="B4" s="100" t="s">
        <v>138</v>
      </c>
      <c r="C4" s="100"/>
      <c r="D4" s="100"/>
      <c r="E4" s="100"/>
      <c r="F4" s="101"/>
      <c r="H4" s="99"/>
      <c r="I4" s="100" t="s">
        <v>138</v>
      </c>
      <c r="J4" s="100"/>
      <c r="K4" s="100"/>
      <c r="L4" s="100"/>
      <c r="M4" s="101"/>
      <c r="N4" s="84">
        <f>F8</f>
        <v>61245</v>
      </c>
      <c r="O4" s="4"/>
    </row>
    <row r="5" spans="1:18" s="10" customFormat="1" ht="23.25" x14ac:dyDescent="0.3">
      <c r="A5" s="26">
        <v>1</v>
      </c>
      <c r="B5" s="65" t="s">
        <v>137</v>
      </c>
      <c r="C5" s="32" t="s">
        <v>19</v>
      </c>
      <c r="D5" s="88">
        <f>149.1-3.6</f>
        <v>145.5</v>
      </c>
      <c r="E5" s="29">
        <v>350</v>
      </c>
      <c r="F5" s="30">
        <f t="shared" ref="F5:F7" si="0">D5*E5</f>
        <v>50925</v>
      </c>
      <c r="H5" s="26">
        <v>1</v>
      </c>
      <c r="I5" s="65" t="s">
        <v>137</v>
      </c>
      <c r="J5" s="32" t="s">
        <v>19</v>
      </c>
      <c r="K5" s="88">
        <f>149.1-3.6</f>
        <v>145.5</v>
      </c>
      <c r="L5" s="29">
        <v>350</v>
      </c>
      <c r="M5" s="30">
        <f t="shared" ref="M5:M7" si="1">K5*L5</f>
        <v>50925</v>
      </c>
      <c r="N5" s="85"/>
      <c r="O5" s="11"/>
    </row>
    <row r="6" spans="1:18" s="10" customFormat="1" ht="23.25" x14ac:dyDescent="0.3">
      <c r="A6" s="26">
        <v>2</v>
      </c>
      <c r="B6" s="65" t="s">
        <v>753</v>
      </c>
      <c r="C6" s="32" t="s">
        <v>19</v>
      </c>
      <c r="D6" s="32">
        <v>54</v>
      </c>
      <c r="E6" s="57">
        <v>80</v>
      </c>
      <c r="F6" s="30">
        <f t="shared" si="0"/>
        <v>4320</v>
      </c>
      <c r="H6" s="26">
        <v>2</v>
      </c>
      <c r="I6" s="65" t="s">
        <v>753</v>
      </c>
      <c r="J6" s="32" t="s">
        <v>19</v>
      </c>
      <c r="K6" s="32">
        <v>54</v>
      </c>
      <c r="L6" s="57">
        <v>80</v>
      </c>
      <c r="M6" s="30">
        <f t="shared" si="1"/>
        <v>4320</v>
      </c>
      <c r="N6" s="85"/>
      <c r="O6" s="11"/>
    </row>
    <row r="7" spans="1:18" s="10" customFormat="1" ht="46.5" x14ac:dyDescent="0.3">
      <c r="A7" s="26">
        <v>3</v>
      </c>
      <c r="B7" s="31" t="s">
        <v>759</v>
      </c>
      <c r="C7" s="32" t="s">
        <v>20</v>
      </c>
      <c r="D7" s="32">
        <v>40</v>
      </c>
      <c r="E7" s="57">
        <v>150</v>
      </c>
      <c r="F7" s="30">
        <f t="shared" si="0"/>
        <v>6000</v>
      </c>
      <c r="H7" s="26">
        <v>3</v>
      </c>
      <c r="I7" s="31" t="s">
        <v>759</v>
      </c>
      <c r="J7" s="32" t="s">
        <v>20</v>
      </c>
      <c r="K7" s="32">
        <v>40</v>
      </c>
      <c r="L7" s="57">
        <v>150</v>
      </c>
      <c r="M7" s="30">
        <f t="shared" si="1"/>
        <v>6000</v>
      </c>
      <c r="N7" s="85"/>
      <c r="O7" s="11"/>
    </row>
    <row r="8" spans="1:18" ht="23.25" x14ac:dyDescent="0.25">
      <c r="A8" s="69"/>
      <c r="B8" s="67"/>
      <c r="C8" s="67"/>
      <c r="D8" s="67"/>
      <c r="E8" s="68" t="s">
        <v>16</v>
      </c>
      <c r="F8" s="34">
        <f>SUM(F5:F7)</f>
        <v>61245</v>
      </c>
      <c r="H8" s="69"/>
      <c r="I8" s="67"/>
      <c r="J8" s="67"/>
      <c r="K8" s="67"/>
      <c r="L8" s="68" t="s">
        <v>16</v>
      </c>
      <c r="M8" s="34">
        <f>SUM(M5:M7)</f>
        <v>61245</v>
      </c>
    </row>
    <row r="9" spans="1:18" s="3" customFormat="1" ht="23.25" x14ac:dyDescent="0.35">
      <c r="A9" s="23"/>
      <c r="B9" s="24" t="s">
        <v>140</v>
      </c>
      <c r="C9" s="24"/>
      <c r="D9" s="24"/>
      <c r="E9" s="24"/>
      <c r="F9" s="25"/>
      <c r="H9" s="23"/>
      <c r="I9" s="24" t="s">
        <v>140</v>
      </c>
      <c r="J9" s="24"/>
      <c r="K9" s="24"/>
      <c r="L9" s="24"/>
      <c r="M9" s="25"/>
      <c r="N9" s="84">
        <f>F19</f>
        <v>32464.799999999999</v>
      </c>
      <c r="O9" s="4"/>
    </row>
    <row r="10" spans="1:18" s="10" customFormat="1" ht="23.25" x14ac:dyDescent="0.3">
      <c r="A10" s="26">
        <v>1</v>
      </c>
      <c r="B10" s="70" t="s">
        <v>118</v>
      </c>
      <c r="C10" s="32" t="s">
        <v>20</v>
      </c>
      <c r="D10" s="32">
        <v>62</v>
      </c>
      <c r="E10" s="57">
        <v>150</v>
      </c>
      <c r="F10" s="30">
        <f t="shared" ref="F10:F15" si="2">D10*E10</f>
        <v>9300</v>
      </c>
      <c r="H10" s="26">
        <v>1</v>
      </c>
      <c r="I10" s="70" t="s">
        <v>118</v>
      </c>
      <c r="J10" s="32" t="s">
        <v>20</v>
      </c>
      <c r="K10" s="32">
        <v>62</v>
      </c>
      <c r="L10" s="57">
        <v>150</v>
      </c>
      <c r="M10" s="30">
        <f t="shared" ref="M10" si="3">K10*L10</f>
        <v>9300</v>
      </c>
      <c r="N10" s="85"/>
      <c r="O10" s="11"/>
    </row>
    <row r="11" spans="1:18" s="10" customFormat="1" ht="23.25" x14ac:dyDescent="0.3">
      <c r="A11" s="26">
        <v>2</v>
      </c>
      <c r="B11" s="65" t="s">
        <v>754</v>
      </c>
      <c r="C11" s="32" t="s">
        <v>19</v>
      </c>
      <c r="D11" s="32">
        <v>167</v>
      </c>
      <c r="E11" s="57">
        <v>80</v>
      </c>
      <c r="F11" s="102">
        <f>D11*E11</f>
        <v>13360</v>
      </c>
      <c r="H11" s="26">
        <v>2</v>
      </c>
      <c r="I11" s="65" t="s">
        <v>754</v>
      </c>
      <c r="J11" s="32" t="s">
        <v>19</v>
      </c>
      <c r="K11" s="32">
        <v>167</v>
      </c>
      <c r="L11" s="57">
        <v>80</v>
      </c>
      <c r="M11" s="102">
        <f>K11*L11</f>
        <v>13360</v>
      </c>
      <c r="N11" s="85"/>
      <c r="O11" s="11"/>
    </row>
    <row r="12" spans="1:18" s="10" customFormat="1" ht="23.25" x14ac:dyDescent="0.3">
      <c r="A12" s="26">
        <v>4</v>
      </c>
      <c r="B12" s="70" t="s">
        <v>99</v>
      </c>
      <c r="C12" s="32" t="s">
        <v>19</v>
      </c>
      <c r="D12" s="32">
        <v>15</v>
      </c>
      <c r="E12" s="57">
        <f>80-30</f>
        <v>50</v>
      </c>
      <c r="F12" s="30">
        <f t="shared" si="2"/>
        <v>750</v>
      </c>
      <c r="H12" s="26">
        <v>4</v>
      </c>
      <c r="I12" s="70" t="s">
        <v>99</v>
      </c>
      <c r="J12" s="32" t="s">
        <v>19</v>
      </c>
      <c r="K12" s="32">
        <v>15</v>
      </c>
      <c r="L12" s="57">
        <f>80-30</f>
        <v>50</v>
      </c>
      <c r="M12" s="30">
        <f t="shared" ref="M12:M16" si="4">K12*L12</f>
        <v>750</v>
      </c>
      <c r="N12" s="85"/>
      <c r="O12" s="11"/>
    </row>
    <row r="13" spans="1:18" s="10" customFormat="1" ht="23.25" x14ac:dyDescent="0.3">
      <c r="A13" s="26">
        <v>5</v>
      </c>
      <c r="B13" s="65" t="s">
        <v>100</v>
      </c>
      <c r="C13" s="32" t="s">
        <v>20</v>
      </c>
      <c r="D13" s="32">
        <v>28</v>
      </c>
      <c r="E13" s="57">
        <v>30</v>
      </c>
      <c r="F13" s="30">
        <f t="shared" si="2"/>
        <v>840</v>
      </c>
      <c r="H13" s="26">
        <v>5</v>
      </c>
      <c r="I13" s="65" t="s">
        <v>100</v>
      </c>
      <c r="J13" s="32" t="s">
        <v>20</v>
      </c>
      <c r="K13" s="32">
        <v>28</v>
      </c>
      <c r="L13" s="57">
        <v>30</v>
      </c>
      <c r="M13" s="30">
        <f t="shared" si="4"/>
        <v>840</v>
      </c>
      <c r="N13" s="85"/>
      <c r="O13" s="11"/>
    </row>
    <row r="14" spans="1:18" s="10" customFormat="1" ht="23.25" x14ac:dyDescent="0.3">
      <c r="A14" s="26">
        <v>6</v>
      </c>
      <c r="B14" s="65" t="s">
        <v>102</v>
      </c>
      <c r="C14" s="32" t="s">
        <v>20</v>
      </c>
      <c r="D14" s="32">
        <v>52</v>
      </c>
      <c r="E14" s="57">
        <v>30</v>
      </c>
      <c r="F14" s="30">
        <f t="shared" si="2"/>
        <v>1560</v>
      </c>
      <c r="H14" s="26">
        <v>6</v>
      </c>
      <c r="I14" s="65" t="s">
        <v>102</v>
      </c>
      <c r="J14" s="32" t="s">
        <v>20</v>
      </c>
      <c r="K14" s="32">
        <v>52</v>
      </c>
      <c r="L14" s="57">
        <v>30</v>
      </c>
      <c r="M14" s="30">
        <f t="shared" si="4"/>
        <v>1560</v>
      </c>
      <c r="N14" s="85"/>
      <c r="O14" s="11"/>
    </row>
    <row r="15" spans="1:18" s="10" customFormat="1" ht="23.25" x14ac:dyDescent="0.3">
      <c r="A15" s="26">
        <v>7</v>
      </c>
      <c r="B15" s="65" t="s">
        <v>101</v>
      </c>
      <c r="C15" s="32" t="s">
        <v>19</v>
      </c>
      <c r="D15" s="32">
        <v>46</v>
      </c>
      <c r="E15" s="57">
        <v>50</v>
      </c>
      <c r="F15" s="30">
        <f t="shared" si="2"/>
        <v>2300</v>
      </c>
      <c r="H15" s="26">
        <v>7</v>
      </c>
      <c r="I15" s="65" t="s">
        <v>101</v>
      </c>
      <c r="J15" s="32" t="s">
        <v>19</v>
      </c>
      <c r="K15" s="32">
        <v>46</v>
      </c>
      <c r="L15" s="57">
        <v>50</v>
      </c>
      <c r="M15" s="30">
        <f t="shared" si="4"/>
        <v>2300</v>
      </c>
      <c r="N15" s="85"/>
      <c r="O15" s="11"/>
    </row>
    <row r="16" spans="1:18" s="10" customFormat="1" ht="23.25" x14ac:dyDescent="0.3">
      <c r="A16" s="26">
        <v>8</v>
      </c>
      <c r="B16" s="65" t="s">
        <v>594</v>
      </c>
      <c r="C16" s="32" t="s">
        <v>19</v>
      </c>
      <c r="D16" s="32">
        <v>35</v>
      </c>
      <c r="E16" s="57">
        <v>80</v>
      </c>
      <c r="F16" s="30">
        <f t="shared" ref="F16" si="5">D16*E16</f>
        <v>2800</v>
      </c>
      <c r="H16" s="26">
        <v>8</v>
      </c>
      <c r="I16" s="65" t="s">
        <v>594</v>
      </c>
      <c r="J16" s="32" t="s">
        <v>19</v>
      </c>
      <c r="K16" s="32">
        <v>35</v>
      </c>
      <c r="L16" s="57">
        <v>80</v>
      </c>
      <c r="M16" s="30">
        <f t="shared" si="4"/>
        <v>2800</v>
      </c>
      <c r="N16" s="85"/>
      <c r="O16" s="11"/>
    </row>
    <row r="17" spans="1:15" s="10" customFormat="1" ht="23.25" x14ac:dyDescent="0.3">
      <c r="A17" s="26">
        <v>9</v>
      </c>
      <c r="B17" s="65" t="s">
        <v>139</v>
      </c>
      <c r="C17" s="32" t="s">
        <v>119</v>
      </c>
      <c r="D17" s="32">
        <v>2.66</v>
      </c>
      <c r="E17" s="57">
        <v>460</v>
      </c>
      <c r="F17" s="30">
        <f>D17*E17</f>
        <v>1223.6000000000001</v>
      </c>
      <c r="H17" s="26">
        <v>9</v>
      </c>
      <c r="I17" s="65" t="s">
        <v>139</v>
      </c>
      <c r="J17" s="32" t="s">
        <v>119</v>
      </c>
      <c r="K17" s="32">
        <v>2.66</v>
      </c>
      <c r="L17" s="57">
        <v>460</v>
      </c>
      <c r="M17" s="30">
        <f>K17*L17</f>
        <v>1223.6000000000001</v>
      </c>
      <c r="N17" s="85"/>
      <c r="O17" s="11"/>
    </row>
    <row r="18" spans="1:15" s="10" customFormat="1" ht="23.25" x14ac:dyDescent="0.3">
      <c r="A18" s="26">
        <v>10</v>
      </c>
      <c r="B18" s="65" t="s">
        <v>122</v>
      </c>
      <c r="C18" s="32" t="s">
        <v>119</v>
      </c>
      <c r="D18" s="32">
        <v>0.72</v>
      </c>
      <c r="E18" s="57">
        <v>460</v>
      </c>
      <c r="F18" s="30">
        <f>D18*E18</f>
        <v>331.2</v>
      </c>
      <c r="H18" s="26">
        <v>10</v>
      </c>
      <c r="I18" s="65" t="s">
        <v>122</v>
      </c>
      <c r="J18" s="32" t="s">
        <v>119</v>
      </c>
      <c r="K18" s="32">
        <v>0.72</v>
      </c>
      <c r="L18" s="57">
        <v>460</v>
      </c>
      <c r="M18" s="30">
        <f>K18*L18</f>
        <v>331.2</v>
      </c>
      <c r="N18" s="85"/>
      <c r="O18" s="11"/>
    </row>
    <row r="19" spans="1:15" ht="23.25" x14ac:dyDescent="0.25">
      <c r="A19" s="69"/>
      <c r="B19" s="67"/>
      <c r="C19" s="67"/>
      <c r="D19" s="67"/>
      <c r="E19" s="68" t="s">
        <v>16</v>
      </c>
      <c r="F19" s="34">
        <f>SUM(F10:F18)</f>
        <v>32464.799999999999</v>
      </c>
      <c r="H19" s="69"/>
      <c r="I19" s="67"/>
      <c r="J19" s="67"/>
      <c r="K19" s="67"/>
      <c r="L19" s="68" t="s">
        <v>16</v>
      </c>
      <c r="M19" s="34">
        <f>SUM(M10:M18)</f>
        <v>32464.799999999999</v>
      </c>
    </row>
    <row r="20" spans="1:15" s="3" customFormat="1" ht="23.25" x14ac:dyDescent="0.35">
      <c r="A20" s="23"/>
      <c r="B20" s="24" t="s">
        <v>141</v>
      </c>
      <c r="C20" s="24"/>
      <c r="D20" s="24"/>
      <c r="E20" s="24"/>
      <c r="F20" s="25"/>
      <c r="H20" s="23"/>
      <c r="I20" s="24" t="s">
        <v>141</v>
      </c>
      <c r="J20" s="24"/>
      <c r="K20" s="24"/>
      <c r="L20" s="24"/>
      <c r="M20" s="25"/>
      <c r="N20" s="84">
        <f>F48</f>
        <v>89796.800000000003</v>
      </c>
      <c r="O20" s="4"/>
    </row>
    <row r="21" spans="1:15" s="10" customFormat="1" ht="23.25" x14ac:dyDescent="0.3">
      <c r="A21" s="26">
        <v>1</v>
      </c>
      <c r="B21" s="70" t="s">
        <v>69</v>
      </c>
      <c r="C21" s="32" t="s">
        <v>19</v>
      </c>
      <c r="D21" s="32">
        <v>35</v>
      </c>
      <c r="E21" s="57">
        <v>50</v>
      </c>
      <c r="F21" s="30">
        <f t="shared" ref="F21:F27" si="6">D21*E21</f>
        <v>1750</v>
      </c>
      <c r="H21" s="26">
        <v>1</v>
      </c>
      <c r="I21" s="70" t="s">
        <v>69</v>
      </c>
      <c r="J21" s="32" t="s">
        <v>19</v>
      </c>
      <c r="K21" s="32">
        <v>35</v>
      </c>
      <c r="L21" s="57">
        <v>50</v>
      </c>
      <c r="M21" s="30">
        <f t="shared" ref="M21:M28" si="7">K21*L21</f>
        <v>1750</v>
      </c>
      <c r="N21" s="85"/>
      <c r="O21" s="11"/>
    </row>
    <row r="22" spans="1:15" s="10" customFormat="1" ht="23.25" x14ac:dyDescent="0.3">
      <c r="A22" s="26">
        <v>2</v>
      </c>
      <c r="B22" s="70" t="s">
        <v>750</v>
      </c>
      <c r="C22" s="32" t="s">
        <v>20</v>
      </c>
      <c r="D22" s="32">
        <v>111</v>
      </c>
      <c r="E22" s="57">
        <v>30</v>
      </c>
      <c r="F22" s="30">
        <f t="shared" si="6"/>
        <v>3330</v>
      </c>
      <c r="H22" s="26">
        <v>2</v>
      </c>
      <c r="I22" s="70" t="s">
        <v>750</v>
      </c>
      <c r="J22" s="32" t="s">
        <v>20</v>
      </c>
      <c r="K22" s="32">
        <v>111</v>
      </c>
      <c r="L22" s="57">
        <v>30</v>
      </c>
      <c r="M22" s="30">
        <f t="shared" si="7"/>
        <v>3330</v>
      </c>
      <c r="N22" s="85"/>
      <c r="O22" s="11"/>
    </row>
    <row r="23" spans="1:15" s="10" customFormat="1" ht="23.25" x14ac:dyDescent="0.3">
      <c r="A23" s="26">
        <v>3</v>
      </c>
      <c r="B23" s="65" t="s">
        <v>755</v>
      </c>
      <c r="C23" s="32" t="s">
        <v>19</v>
      </c>
      <c r="D23" s="32">
        <v>86</v>
      </c>
      <c r="E23" s="57">
        <v>80</v>
      </c>
      <c r="F23" s="102">
        <f t="shared" si="6"/>
        <v>6880</v>
      </c>
      <c r="H23" s="26">
        <v>3</v>
      </c>
      <c r="I23" s="65" t="s">
        <v>755</v>
      </c>
      <c r="J23" s="32" t="s">
        <v>19</v>
      </c>
      <c r="K23" s="32">
        <v>86</v>
      </c>
      <c r="L23" s="57">
        <v>80</v>
      </c>
      <c r="M23" s="102">
        <f t="shared" si="7"/>
        <v>6880</v>
      </c>
      <c r="N23" s="85"/>
      <c r="O23" s="11"/>
    </row>
    <row r="24" spans="1:15" s="10" customFormat="1" ht="23.25" x14ac:dyDescent="0.3">
      <c r="A24" s="26">
        <v>5</v>
      </c>
      <c r="B24" s="70" t="s">
        <v>104</v>
      </c>
      <c r="C24" s="32" t="s">
        <v>19</v>
      </c>
      <c r="D24" s="88">
        <f>50+9.8</f>
        <v>59.8</v>
      </c>
      <c r="E24" s="57">
        <v>50</v>
      </c>
      <c r="F24" s="30">
        <f t="shared" si="6"/>
        <v>2990</v>
      </c>
      <c r="H24" s="26">
        <v>5</v>
      </c>
      <c r="I24" s="70" t="s">
        <v>104</v>
      </c>
      <c r="J24" s="32" t="s">
        <v>19</v>
      </c>
      <c r="K24" s="88">
        <f>50+9.8</f>
        <v>59.8</v>
      </c>
      <c r="L24" s="57">
        <v>50</v>
      </c>
      <c r="M24" s="30">
        <f t="shared" si="7"/>
        <v>2990</v>
      </c>
      <c r="N24" s="85"/>
      <c r="O24" s="11"/>
    </row>
    <row r="25" spans="1:15" s="10" customFormat="1" ht="23.25" x14ac:dyDescent="0.3">
      <c r="A25" s="26">
        <v>6</v>
      </c>
      <c r="B25" s="65" t="s">
        <v>105</v>
      </c>
      <c r="C25" s="32" t="s">
        <v>20</v>
      </c>
      <c r="D25" s="88">
        <f>170-21.6</f>
        <v>148.4</v>
      </c>
      <c r="E25" s="57">
        <v>30</v>
      </c>
      <c r="F25" s="30">
        <f t="shared" si="6"/>
        <v>4452</v>
      </c>
      <c r="H25" s="26">
        <v>6</v>
      </c>
      <c r="I25" s="65" t="s">
        <v>105</v>
      </c>
      <c r="J25" s="32" t="s">
        <v>20</v>
      </c>
      <c r="K25" s="88">
        <f>170-21.6</f>
        <v>148.4</v>
      </c>
      <c r="L25" s="57">
        <v>30</v>
      </c>
      <c r="M25" s="30">
        <f t="shared" si="7"/>
        <v>4452</v>
      </c>
      <c r="N25" s="85"/>
      <c r="O25" s="11"/>
    </row>
    <row r="26" spans="1:15" s="10" customFormat="1" ht="23.25" x14ac:dyDescent="0.3">
      <c r="A26" s="26">
        <v>7</v>
      </c>
      <c r="B26" s="31" t="s">
        <v>595</v>
      </c>
      <c r="C26" s="32" t="s">
        <v>19</v>
      </c>
      <c r="D26" s="32">
        <v>110</v>
      </c>
      <c r="E26" s="57">
        <v>80</v>
      </c>
      <c r="F26" s="30">
        <f t="shared" si="6"/>
        <v>8800</v>
      </c>
      <c r="H26" s="26">
        <v>7</v>
      </c>
      <c r="I26" s="31" t="s">
        <v>595</v>
      </c>
      <c r="J26" s="32" t="s">
        <v>19</v>
      </c>
      <c r="K26" s="32">
        <v>110</v>
      </c>
      <c r="L26" s="57">
        <v>80</v>
      </c>
      <c r="M26" s="30">
        <f t="shared" si="7"/>
        <v>8800</v>
      </c>
      <c r="N26" s="85"/>
      <c r="O26" s="11"/>
    </row>
    <row r="27" spans="1:15" s="10" customFormat="1" ht="23.25" x14ac:dyDescent="0.3">
      <c r="A27" s="26">
        <v>8</v>
      </c>
      <c r="B27" s="70" t="s">
        <v>106</v>
      </c>
      <c r="C27" s="32" t="s">
        <v>19</v>
      </c>
      <c r="D27" s="32">
        <v>98</v>
      </c>
      <c r="E27" s="57">
        <v>65</v>
      </c>
      <c r="F27" s="30">
        <f t="shared" si="6"/>
        <v>6370</v>
      </c>
      <c r="H27" s="26">
        <v>8</v>
      </c>
      <c r="I27" s="70" t="s">
        <v>106</v>
      </c>
      <c r="J27" s="32" t="s">
        <v>19</v>
      </c>
      <c r="K27" s="32">
        <v>98</v>
      </c>
      <c r="L27" s="57">
        <v>65</v>
      </c>
      <c r="M27" s="30">
        <f t="shared" si="7"/>
        <v>6370</v>
      </c>
      <c r="N27" s="85"/>
      <c r="O27" s="11"/>
    </row>
    <row r="28" spans="1:15" s="10" customFormat="1" ht="23.25" x14ac:dyDescent="0.3">
      <c r="A28" s="26">
        <v>9</v>
      </c>
      <c r="B28" s="31" t="s">
        <v>107</v>
      </c>
      <c r="C28" s="32" t="s">
        <v>19</v>
      </c>
      <c r="D28" s="32">
        <v>98</v>
      </c>
      <c r="E28" s="57">
        <v>30</v>
      </c>
      <c r="F28" s="30">
        <f t="shared" ref="F28" si="8">D28*E28</f>
        <v>2940</v>
      </c>
      <c r="H28" s="26">
        <v>9</v>
      </c>
      <c r="I28" s="31" t="s">
        <v>107</v>
      </c>
      <c r="J28" s="32" t="s">
        <v>19</v>
      </c>
      <c r="K28" s="32">
        <v>98</v>
      </c>
      <c r="L28" s="57">
        <v>30</v>
      </c>
      <c r="M28" s="30">
        <f t="shared" si="7"/>
        <v>2940</v>
      </c>
      <c r="N28" s="85"/>
      <c r="O28" s="11"/>
    </row>
    <row r="29" spans="1:15" s="10" customFormat="1" ht="23.25" x14ac:dyDescent="0.3">
      <c r="A29" s="26">
        <v>10</v>
      </c>
      <c r="B29" s="70" t="s">
        <v>109</v>
      </c>
      <c r="C29" s="32" t="s">
        <v>19</v>
      </c>
      <c r="D29" s="32">
        <v>15</v>
      </c>
      <c r="E29" s="57">
        <v>50</v>
      </c>
      <c r="F29" s="30">
        <f>D29*E29</f>
        <v>750</v>
      </c>
      <c r="H29" s="26">
        <v>10</v>
      </c>
      <c r="I29" s="70" t="s">
        <v>109</v>
      </c>
      <c r="J29" s="32" t="s">
        <v>19</v>
      </c>
      <c r="K29" s="32">
        <v>15</v>
      </c>
      <c r="L29" s="57">
        <v>50</v>
      </c>
      <c r="M29" s="30">
        <f>K29*L29</f>
        <v>750</v>
      </c>
      <c r="N29" s="85"/>
      <c r="O29" s="11"/>
    </row>
    <row r="30" spans="1:15" s="10" customFormat="1" ht="23.25" x14ac:dyDescent="0.3">
      <c r="A30" s="26">
        <v>11</v>
      </c>
      <c r="B30" s="31" t="s">
        <v>108</v>
      </c>
      <c r="C30" s="32" t="s">
        <v>20</v>
      </c>
      <c r="D30" s="32">
        <v>88</v>
      </c>
      <c r="E30" s="57">
        <v>30</v>
      </c>
      <c r="F30" s="30">
        <f t="shared" ref="F30" si="9">D30*E30</f>
        <v>2640</v>
      </c>
      <c r="H30" s="26">
        <v>11</v>
      </c>
      <c r="I30" s="31" t="s">
        <v>108</v>
      </c>
      <c r="J30" s="32" t="s">
        <v>20</v>
      </c>
      <c r="K30" s="32">
        <v>88</v>
      </c>
      <c r="L30" s="57">
        <v>30</v>
      </c>
      <c r="M30" s="30">
        <f t="shared" ref="M30" si="10">K30*L30</f>
        <v>2640</v>
      </c>
      <c r="N30" s="85"/>
      <c r="O30" s="11"/>
    </row>
    <row r="31" spans="1:15" s="10" customFormat="1" ht="23.25" x14ac:dyDescent="0.3">
      <c r="A31" s="26">
        <v>12</v>
      </c>
      <c r="B31" s="31" t="s">
        <v>596</v>
      </c>
      <c r="C31" s="32" t="s">
        <v>19</v>
      </c>
      <c r="D31" s="32">
        <v>102</v>
      </c>
      <c r="E31" s="57">
        <v>80</v>
      </c>
      <c r="F31" s="30">
        <f>D31*E31</f>
        <v>8160</v>
      </c>
      <c r="H31" s="26">
        <v>12</v>
      </c>
      <c r="I31" s="31" t="s">
        <v>596</v>
      </c>
      <c r="J31" s="32" t="s">
        <v>19</v>
      </c>
      <c r="K31" s="32">
        <v>102</v>
      </c>
      <c r="L31" s="57">
        <v>80</v>
      </c>
      <c r="M31" s="30">
        <f>K31*L31</f>
        <v>8160</v>
      </c>
      <c r="N31" s="85"/>
      <c r="O31" s="11"/>
    </row>
    <row r="32" spans="1:15" s="10" customFormat="1" ht="23.25" x14ac:dyDescent="0.3">
      <c r="A32" s="26">
        <v>13</v>
      </c>
      <c r="B32" s="70" t="s">
        <v>782</v>
      </c>
      <c r="C32" s="32" t="s">
        <v>19</v>
      </c>
      <c r="D32" s="32">
        <v>30</v>
      </c>
      <c r="E32" s="57">
        <v>50</v>
      </c>
      <c r="F32" s="30">
        <f>D32*E32</f>
        <v>1500</v>
      </c>
      <c r="H32" s="26">
        <v>13</v>
      </c>
      <c r="I32" s="70" t="s">
        <v>782</v>
      </c>
      <c r="J32" s="32" t="s">
        <v>19</v>
      </c>
      <c r="K32" s="32">
        <v>30</v>
      </c>
      <c r="L32" s="57">
        <v>50</v>
      </c>
      <c r="M32" s="30">
        <f>K32*L32</f>
        <v>1500</v>
      </c>
      <c r="N32" s="85"/>
      <c r="O32" s="11"/>
    </row>
    <row r="33" spans="1:15" s="10" customFormat="1" ht="23.25" x14ac:dyDescent="0.3">
      <c r="A33" s="26">
        <v>14</v>
      </c>
      <c r="B33" s="70" t="s">
        <v>783</v>
      </c>
      <c r="C33" s="32" t="s">
        <v>20</v>
      </c>
      <c r="D33" s="32">
        <v>66</v>
      </c>
      <c r="E33" s="57">
        <v>30</v>
      </c>
      <c r="F33" s="30">
        <f>D33*E33</f>
        <v>1980</v>
      </c>
      <c r="H33" s="26">
        <v>14</v>
      </c>
      <c r="I33" s="70" t="s">
        <v>783</v>
      </c>
      <c r="J33" s="32" t="s">
        <v>20</v>
      </c>
      <c r="K33" s="32">
        <v>66</v>
      </c>
      <c r="L33" s="57">
        <v>30</v>
      </c>
      <c r="M33" s="30">
        <f>K33*L33</f>
        <v>1980</v>
      </c>
      <c r="N33" s="85"/>
      <c r="O33" s="11"/>
    </row>
    <row r="34" spans="1:15" s="10" customFormat="1" ht="23.25" x14ac:dyDescent="0.3">
      <c r="A34" s="26">
        <v>15</v>
      </c>
      <c r="B34" s="65" t="s">
        <v>122</v>
      </c>
      <c r="C34" s="32" t="s">
        <v>119</v>
      </c>
      <c r="D34" s="32">
        <v>2.88</v>
      </c>
      <c r="E34" s="57">
        <v>460</v>
      </c>
      <c r="F34" s="30">
        <f>D34*E34</f>
        <v>1324.8</v>
      </c>
      <c r="H34" s="26">
        <v>15</v>
      </c>
      <c r="I34" s="65" t="s">
        <v>122</v>
      </c>
      <c r="J34" s="32" t="s">
        <v>119</v>
      </c>
      <c r="K34" s="32">
        <v>2.88</v>
      </c>
      <c r="L34" s="57">
        <v>460</v>
      </c>
      <c r="M34" s="30">
        <f>K34*L34</f>
        <v>1324.8</v>
      </c>
      <c r="N34" s="85"/>
      <c r="O34" s="11"/>
    </row>
    <row r="35" spans="1:15" s="10" customFormat="1" ht="23.25" x14ac:dyDescent="0.3">
      <c r="A35" s="26">
        <v>16</v>
      </c>
      <c r="B35" s="65" t="s">
        <v>155</v>
      </c>
      <c r="C35" s="32" t="s">
        <v>20</v>
      </c>
      <c r="D35" s="32">
        <v>12</v>
      </c>
      <c r="E35" s="57">
        <v>150</v>
      </c>
      <c r="F35" s="30">
        <f t="shared" ref="F35:F39" si="11">D35*E35</f>
        <v>1800</v>
      </c>
      <c r="H35" s="26">
        <v>16</v>
      </c>
      <c r="I35" s="65" t="s">
        <v>155</v>
      </c>
      <c r="J35" s="32" t="s">
        <v>20</v>
      </c>
      <c r="K35" s="32">
        <v>12</v>
      </c>
      <c r="L35" s="57">
        <v>150</v>
      </c>
      <c r="M35" s="30">
        <f t="shared" ref="M35:M39" si="12">K35*L35</f>
        <v>1800</v>
      </c>
      <c r="N35" s="85"/>
      <c r="O35" s="11"/>
    </row>
    <row r="36" spans="1:15" s="10" customFormat="1" ht="23.25" x14ac:dyDescent="0.3">
      <c r="A36" s="26">
        <v>17</v>
      </c>
      <c r="B36" s="65" t="s">
        <v>756</v>
      </c>
      <c r="C36" s="32" t="s">
        <v>20</v>
      </c>
      <c r="D36" s="32">
        <v>72</v>
      </c>
      <c r="E36" s="57"/>
      <c r="F36" s="30">
        <f t="shared" si="11"/>
        <v>0</v>
      </c>
      <c r="H36" s="26">
        <v>17</v>
      </c>
      <c r="I36" s="65" t="s">
        <v>756</v>
      </c>
      <c r="J36" s="32" t="s">
        <v>20</v>
      </c>
      <c r="K36" s="32">
        <v>72</v>
      </c>
      <c r="L36" s="57"/>
      <c r="M36" s="30">
        <f t="shared" si="12"/>
        <v>0</v>
      </c>
      <c r="N36" s="85"/>
      <c r="O36" s="11"/>
    </row>
    <row r="37" spans="1:15" s="10" customFormat="1" ht="23.25" x14ac:dyDescent="0.3">
      <c r="A37" s="26">
        <v>18</v>
      </c>
      <c r="B37" s="65" t="s">
        <v>757</v>
      </c>
      <c r="C37" s="32" t="s">
        <v>20</v>
      </c>
      <c r="D37" s="32">
        <v>146.4</v>
      </c>
      <c r="E37" s="57">
        <v>30</v>
      </c>
      <c r="F37" s="30">
        <f t="shared" si="11"/>
        <v>4392</v>
      </c>
      <c r="H37" s="26">
        <v>18</v>
      </c>
      <c r="I37" s="65" t="s">
        <v>757</v>
      </c>
      <c r="J37" s="32" t="s">
        <v>20</v>
      </c>
      <c r="K37" s="32">
        <v>146.4</v>
      </c>
      <c r="L37" s="57">
        <v>30</v>
      </c>
      <c r="M37" s="30">
        <f t="shared" si="12"/>
        <v>4392</v>
      </c>
      <c r="N37" s="85"/>
      <c r="O37" s="11"/>
    </row>
    <row r="38" spans="1:15" s="10" customFormat="1" ht="23.25" x14ac:dyDescent="0.3">
      <c r="A38" s="26">
        <v>19</v>
      </c>
      <c r="B38" s="65" t="s">
        <v>758</v>
      </c>
      <c r="C38" s="32" t="s">
        <v>19</v>
      </c>
      <c r="D38" s="32">
        <v>14.6</v>
      </c>
      <c r="E38" s="57">
        <v>50</v>
      </c>
      <c r="F38" s="30">
        <f t="shared" si="11"/>
        <v>730</v>
      </c>
      <c r="H38" s="26">
        <v>19</v>
      </c>
      <c r="I38" s="65" t="s">
        <v>758</v>
      </c>
      <c r="J38" s="32" t="s">
        <v>19</v>
      </c>
      <c r="K38" s="32">
        <v>14.6</v>
      </c>
      <c r="L38" s="57">
        <v>50</v>
      </c>
      <c r="M38" s="30">
        <f t="shared" si="12"/>
        <v>730</v>
      </c>
      <c r="N38" s="85"/>
      <c r="O38" s="11"/>
    </row>
    <row r="39" spans="1:15" s="10" customFormat="1" ht="23.25" x14ac:dyDescent="0.3">
      <c r="A39" s="26">
        <v>20</v>
      </c>
      <c r="B39" s="65" t="s">
        <v>597</v>
      </c>
      <c r="C39" s="32" t="s">
        <v>19</v>
      </c>
      <c r="D39" s="32">
        <v>102.8</v>
      </c>
      <c r="E39" s="57">
        <v>80</v>
      </c>
      <c r="F39" s="30">
        <f t="shared" si="11"/>
        <v>8224</v>
      </c>
      <c r="H39" s="26">
        <v>20</v>
      </c>
      <c r="I39" s="65" t="s">
        <v>597</v>
      </c>
      <c r="J39" s="32" t="s">
        <v>19</v>
      </c>
      <c r="K39" s="32">
        <v>102.8</v>
      </c>
      <c r="L39" s="57">
        <v>80</v>
      </c>
      <c r="M39" s="30">
        <f t="shared" si="12"/>
        <v>8224</v>
      </c>
      <c r="N39" s="85"/>
      <c r="O39" s="11"/>
    </row>
    <row r="40" spans="1:15" s="10" customFormat="1" ht="23.25" x14ac:dyDescent="0.3">
      <c r="A40" s="26"/>
      <c r="B40" s="116" t="s">
        <v>638</v>
      </c>
      <c r="C40" s="32"/>
      <c r="D40" s="32"/>
      <c r="E40" s="75"/>
      <c r="F40" s="108">
        <f>D40*E40</f>
        <v>0</v>
      </c>
      <c r="H40" s="26"/>
      <c r="I40" s="116" t="s">
        <v>638</v>
      </c>
      <c r="J40" s="32"/>
      <c r="K40" s="32"/>
      <c r="L40" s="75"/>
      <c r="M40" s="108">
        <f>K40*L40</f>
        <v>0</v>
      </c>
      <c r="N40" s="85"/>
      <c r="O40" s="11"/>
    </row>
    <row r="41" spans="1:15" s="10" customFormat="1" ht="23.25" x14ac:dyDescent="0.3">
      <c r="A41" s="26">
        <v>21</v>
      </c>
      <c r="B41" s="31" t="s">
        <v>639</v>
      </c>
      <c r="C41" s="32" t="s">
        <v>19</v>
      </c>
      <c r="D41" s="32">
        <v>143</v>
      </c>
      <c r="E41" s="57">
        <v>80</v>
      </c>
      <c r="F41" s="30">
        <f>D41*E41</f>
        <v>11440</v>
      </c>
      <c r="H41" s="26">
        <v>21</v>
      </c>
      <c r="I41" s="31" t="s">
        <v>639</v>
      </c>
      <c r="J41" s="32" t="s">
        <v>19</v>
      </c>
      <c r="K41" s="32">
        <v>143</v>
      </c>
      <c r="L41" s="57">
        <v>80</v>
      </c>
      <c r="M41" s="30">
        <f>K41*L41</f>
        <v>11440</v>
      </c>
      <c r="N41" s="85"/>
      <c r="O41" s="11"/>
    </row>
    <row r="42" spans="1:15" s="10" customFormat="1" ht="23.25" x14ac:dyDescent="0.3">
      <c r="A42" s="26">
        <v>22</v>
      </c>
      <c r="B42" s="31" t="s">
        <v>640</v>
      </c>
      <c r="C42" s="32" t="s">
        <v>19</v>
      </c>
      <c r="D42" s="32">
        <v>88</v>
      </c>
      <c r="E42" s="57">
        <v>80</v>
      </c>
      <c r="F42" s="30">
        <f>D42*E42</f>
        <v>7040</v>
      </c>
      <c r="H42" s="26">
        <v>22</v>
      </c>
      <c r="I42" s="31" t="s">
        <v>640</v>
      </c>
      <c r="J42" s="32" t="s">
        <v>19</v>
      </c>
      <c r="K42" s="32">
        <v>88</v>
      </c>
      <c r="L42" s="57">
        <v>80</v>
      </c>
      <c r="M42" s="30">
        <f>K42*L42</f>
        <v>7040</v>
      </c>
      <c r="N42" s="85"/>
      <c r="O42" s="11"/>
    </row>
    <row r="43" spans="1:15" s="10" customFormat="1" ht="23.25" x14ac:dyDescent="0.3">
      <c r="A43" s="26">
        <v>23</v>
      </c>
      <c r="B43" s="70" t="s">
        <v>346</v>
      </c>
      <c r="C43" s="32" t="s">
        <v>20</v>
      </c>
      <c r="D43" s="32">
        <v>12.2</v>
      </c>
      <c r="E43" s="57">
        <v>30</v>
      </c>
      <c r="F43" s="30">
        <f>D43*E43</f>
        <v>366</v>
      </c>
      <c r="H43" s="26">
        <v>23</v>
      </c>
      <c r="I43" s="70" t="s">
        <v>346</v>
      </c>
      <c r="J43" s="32" t="s">
        <v>20</v>
      </c>
      <c r="K43" s="32">
        <v>12.2</v>
      </c>
      <c r="L43" s="57">
        <v>30</v>
      </c>
      <c r="M43" s="30">
        <f>K43*L43</f>
        <v>366</v>
      </c>
      <c r="N43" s="85"/>
      <c r="O43" s="11"/>
    </row>
    <row r="44" spans="1:15" s="10" customFormat="1" ht="23.25" x14ac:dyDescent="0.3">
      <c r="A44" s="26">
        <v>24</v>
      </c>
      <c r="B44" s="70" t="s">
        <v>412</v>
      </c>
      <c r="C44" s="32" t="s">
        <v>19</v>
      </c>
      <c r="D44" s="32">
        <v>9</v>
      </c>
      <c r="E44" s="57">
        <v>50</v>
      </c>
      <c r="F44" s="30">
        <f t="shared" ref="F44" si="13">D44*E44</f>
        <v>450</v>
      </c>
      <c r="H44" s="26">
        <v>24</v>
      </c>
      <c r="I44" s="70" t="s">
        <v>412</v>
      </c>
      <c r="J44" s="32" t="s">
        <v>19</v>
      </c>
      <c r="K44" s="32">
        <v>9</v>
      </c>
      <c r="L44" s="57">
        <v>50</v>
      </c>
      <c r="M44" s="30">
        <f t="shared" ref="M44" si="14">K44*L44</f>
        <v>450</v>
      </c>
      <c r="N44" s="85"/>
      <c r="O44" s="11"/>
    </row>
    <row r="45" spans="1:15" s="10" customFormat="1" ht="23.25" x14ac:dyDescent="0.3">
      <c r="A45" s="26">
        <v>25</v>
      </c>
      <c r="B45" s="70" t="s">
        <v>761</v>
      </c>
      <c r="C45" s="32" t="s">
        <v>20</v>
      </c>
      <c r="D45" s="32">
        <v>13.6</v>
      </c>
      <c r="E45" s="57">
        <v>30</v>
      </c>
      <c r="F45" s="30">
        <f>D45*E45</f>
        <v>408</v>
      </c>
      <c r="H45" s="26">
        <v>25</v>
      </c>
      <c r="I45" s="70" t="s">
        <v>761</v>
      </c>
      <c r="J45" s="32" t="s">
        <v>20</v>
      </c>
      <c r="K45" s="32">
        <v>13.6</v>
      </c>
      <c r="L45" s="57">
        <v>30</v>
      </c>
      <c r="M45" s="30">
        <f>K45*L45</f>
        <v>408</v>
      </c>
      <c r="N45" s="85"/>
      <c r="O45" s="11"/>
    </row>
    <row r="46" spans="1:15" s="10" customFormat="1" ht="23.25" x14ac:dyDescent="0.3">
      <c r="A46" s="26">
        <v>26</v>
      </c>
      <c r="B46" s="70" t="s">
        <v>762</v>
      </c>
      <c r="C46" s="32" t="s">
        <v>19</v>
      </c>
      <c r="D46" s="32">
        <v>7.8</v>
      </c>
      <c r="E46" s="57">
        <v>50</v>
      </c>
      <c r="F46" s="30">
        <f t="shared" ref="F46" si="15">D46*E46</f>
        <v>390</v>
      </c>
      <c r="H46" s="26">
        <v>26</v>
      </c>
      <c r="I46" s="70" t="s">
        <v>762</v>
      </c>
      <c r="J46" s="32" t="s">
        <v>19</v>
      </c>
      <c r="K46" s="32">
        <v>7.8</v>
      </c>
      <c r="L46" s="57">
        <v>50</v>
      </c>
      <c r="M46" s="30">
        <f t="shared" ref="M46" si="16">K46*L46</f>
        <v>390</v>
      </c>
      <c r="N46" s="85"/>
      <c r="O46" s="11"/>
    </row>
    <row r="47" spans="1:15" s="10" customFormat="1" ht="23.25" x14ac:dyDescent="0.3">
      <c r="A47" s="26">
        <v>27</v>
      </c>
      <c r="B47" s="65" t="s">
        <v>122</v>
      </c>
      <c r="C47" s="32" t="s">
        <v>119</v>
      </c>
      <c r="D47" s="32">
        <v>1.5</v>
      </c>
      <c r="E47" s="57">
        <v>460</v>
      </c>
      <c r="F47" s="30">
        <f>D47*E47</f>
        <v>690</v>
      </c>
      <c r="H47" s="26">
        <v>27</v>
      </c>
      <c r="I47" s="65" t="s">
        <v>122</v>
      </c>
      <c r="J47" s="32" t="s">
        <v>119</v>
      </c>
      <c r="K47" s="32">
        <v>1.5</v>
      </c>
      <c r="L47" s="57">
        <v>460</v>
      </c>
      <c r="M47" s="30">
        <f>K47*L47</f>
        <v>690</v>
      </c>
      <c r="N47" s="85"/>
      <c r="O47" s="11"/>
    </row>
    <row r="48" spans="1:15" ht="23.25" x14ac:dyDescent="0.25">
      <c r="A48" s="69"/>
      <c r="B48" s="67"/>
      <c r="C48" s="67"/>
      <c r="D48" s="67"/>
      <c r="E48" s="68" t="s">
        <v>16</v>
      </c>
      <c r="F48" s="34">
        <f>SUM(F21:F47)</f>
        <v>89796.800000000003</v>
      </c>
      <c r="H48" s="69"/>
      <c r="I48" s="67"/>
      <c r="J48" s="67"/>
      <c r="K48" s="67"/>
      <c r="L48" s="68" t="s">
        <v>16</v>
      </c>
      <c r="M48" s="34">
        <f>SUM(M21:M47)</f>
        <v>89796.800000000003</v>
      </c>
    </row>
    <row r="49" spans="1:15" s="3" customFormat="1" ht="23.25" x14ac:dyDescent="0.35">
      <c r="A49" s="23"/>
      <c r="B49" s="24" t="s">
        <v>203</v>
      </c>
      <c r="C49" s="24"/>
      <c r="D49" s="24"/>
      <c r="E49" s="24"/>
      <c r="F49" s="25"/>
      <c r="H49" s="23"/>
      <c r="I49" s="24" t="s">
        <v>203</v>
      </c>
      <c r="J49" s="24"/>
      <c r="K49" s="24"/>
      <c r="L49" s="24"/>
      <c r="M49" s="25"/>
      <c r="N49" s="84">
        <f>F59</f>
        <v>30328</v>
      </c>
      <c r="O49" s="4"/>
    </row>
    <row r="50" spans="1:15" s="10" customFormat="1" ht="23.25" x14ac:dyDescent="0.3">
      <c r="A50" s="26">
        <v>1</v>
      </c>
      <c r="B50" s="65" t="s">
        <v>598</v>
      </c>
      <c r="C50" s="32" t="s">
        <v>19</v>
      </c>
      <c r="D50" s="32">
        <v>68</v>
      </c>
      <c r="E50" s="57">
        <v>80</v>
      </c>
      <c r="F50" s="30">
        <f t="shared" ref="F50:F58" si="17">D50*E50</f>
        <v>5440</v>
      </c>
      <c r="H50" s="26">
        <v>1</v>
      </c>
      <c r="I50" s="65" t="s">
        <v>598</v>
      </c>
      <c r="J50" s="32" t="s">
        <v>19</v>
      </c>
      <c r="K50" s="32">
        <v>68</v>
      </c>
      <c r="L50" s="57">
        <v>80</v>
      </c>
      <c r="M50" s="30">
        <f t="shared" ref="M50:M58" si="18">K50*L50</f>
        <v>5440</v>
      </c>
      <c r="N50" s="85"/>
      <c r="O50" s="11"/>
    </row>
    <row r="51" spans="1:15" s="10" customFormat="1" ht="23.25" x14ac:dyDescent="0.3">
      <c r="A51" s="26">
        <v>2</v>
      </c>
      <c r="B51" s="65" t="s">
        <v>760</v>
      </c>
      <c r="C51" s="32" t="s">
        <v>20</v>
      </c>
      <c r="D51" s="32">
        <v>60</v>
      </c>
      <c r="E51" s="57">
        <v>150</v>
      </c>
      <c r="F51" s="30">
        <f t="shared" si="17"/>
        <v>9000</v>
      </c>
      <c r="H51" s="26">
        <v>2</v>
      </c>
      <c r="I51" s="65" t="s">
        <v>760</v>
      </c>
      <c r="J51" s="32" t="s">
        <v>20</v>
      </c>
      <c r="K51" s="32">
        <v>60</v>
      </c>
      <c r="L51" s="57">
        <v>150</v>
      </c>
      <c r="M51" s="30">
        <f t="shared" si="18"/>
        <v>9000</v>
      </c>
      <c r="N51" s="85"/>
      <c r="O51" s="11"/>
    </row>
    <row r="52" spans="1:15" s="10" customFormat="1" ht="23.25" x14ac:dyDescent="0.3">
      <c r="A52" s="26">
        <v>3</v>
      </c>
      <c r="B52" s="65" t="s">
        <v>790</v>
      </c>
      <c r="C52" s="32" t="s">
        <v>20</v>
      </c>
      <c r="D52" s="32">
        <v>40</v>
      </c>
      <c r="E52" s="57">
        <v>30</v>
      </c>
      <c r="F52" s="30">
        <f t="shared" si="17"/>
        <v>1200</v>
      </c>
      <c r="H52" s="26">
        <v>3</v>
      </c>
      <c r="I52" s="65" t="s">
        <v>790</v>
      </c>
      <c r="J52" s="32" t="s">
        <v>20</v>
      </c>
      <c r="K52" s="32">
        <v>40</v>
      </c>
      <c r="L52" s="57">
        <v>30</v>
      </c>
      <c r="M52" s="30">
        <f t="shared" si="18"/>
        <v>1200</v>
      </c>
      <c r="N52" s="85"/>
      <c r="O52" s="11"/>
    </row>
    <row r="53" spans="1:15" s="10" customFormat="1" ht="23.25" x14ac:dyDescent="0.3">
      <c r="A53" s="26">
        <v>4</v>
      </c>
      <c r="B53" s="65" t="s">
        <v>791</v>
      </c>
      <c r="C53" s="32" t="s">
        <v>19</v>
      </c>
      <c r="D53" s="32">
        <v>24</v>
      </c>
      <c r="E53" s="57">
        <v>50</v>
      </c>
      <c r="F53" s="30">
        <f t="shared" si="17"/>
        <v>1200</v>
      </c>
      <c r="H53" s="26">
        <v>4</v>
      </c>
      <c r="I53" s="65" t="s">
        <v>791</v>
      </c>
      <c r="J53" s="32" t="s">
        <v>19</v>
      </c>
      <c r="K53" s="32">
        <v>24</v>
      </c>
      <c r="L53" s="57">
        <v>50</v>
      </c>
      <c r="M53" s="30">
        <f t="shared" si="18"/>
        <v>1200</v>
      </c>
      <c r="N53" s="85"/>
      <c r="O53" s="11"/>
    </row>
    <row r="54" spans="1:15" s="10" customFormat="1" ht="23.25" x14ac:dyDescent="0.3">
      <c r="A54" s="26">
        <v>5</v>
      </c>
      <c r="B54" s="65" t="s">
        <v>597</v>
      </c>
      <c r="C54" s="32" t="s">
        <v>19</v>
      </c>
      <c r="D54" s="32">
        <v>78</v>
      </c>
      <c r="E54" s="57">
        <v>80</v>
      </c>
      <c r="F54" s="30">
        <f t="shared" si="17"/>
        <v>6240</v>
      </c>
      <c r="H54" s="26">
        <v>5</v>
      </c>
      <c r="I54" s="65" t="s">
        <v>597</v>
      </c>
      <c r="J54" s="32" t="s">
        <v>19</v>
      </c>
      <c r="K54" s="32">
        <v>78</v>
      </c>
      <c r="L54" s="57">
        <v>80</v>
      </c>
      <c r="M54" s="30">
        <f t="shared" si="18"/>
        <v>6240</v>
      </c>
      <c r="N54" s="85"/>
      <c r="O54" s="11"/>
    </row>
    <row r="55" spans="1:15" s="10" customFormat="1" ht="23.25" x14ac:dyDescent="0.3">
      <c r="A55" s="26">
        <v>6</v>
      </c>
      <c r="B55" s="65" t="s">
        <v>593</v>
      </c>
      <c r="C55" s="32" t="s">
        <v>19</v>
      </c>
      <c r="D55" s="32">
        <v>66</v>
      </c>
      <c r="E55" s="57">
        <v>80</v>
      </c>
      <c r="F55" s="30">
        <f t="shared" si="17"/>
        <v>5280</v>
      </c>
      <c r="H55" s="26">
        <v>6</v>
      </c>
      <c r="I55" s="65" t="s">
        <v>593</v>
      </c>
      <c r="J55" s="32" t="s">
        <v>19</v>
      </c>
      <c r="K55" s="32">
        <v>66</v>
      </c>
      <c r="L55" s="57">
        <v>80</v>
      </c>
      <c r="M55" s="30">
        <f t="shared" si="18"/>
        <v>5280</v>
      </c>
      <c r="N55" s="85"/>
      <c r="O55" s="11"/>
    </row>
    <row r="56" spans="1:15" s="10" customFormat="1" ht="23.25" x14ac:dyDescent="0.3">
      <c r="A56" s="26">
        <v>7</v>
      </c>
      <c r="B56" s="65" t="s">
        <v>792</v>
      </c>
      <c r="C56" s="32" t="s">
        <v>20</v>
      </c>
      <c r="D56" s="32">
        <v>40</v>
      </c>
      <c r="E56" s="57">
        <v>30</v>
      </c>
      <c r="F56" s="30">
        <f t="shared" si="17"/>
        <v>1200</v>
      </c>
      <c r="H56" s="26">
        <v>7</v>
      </c>
      <c r="I56" s="65" t="s">
        <v>792</v>
      </c>
      <c r="J56" s="32" t="s">
        <v>20</v>
      </c>
      <c r="K56" s="115">
        <v>20</v>
      </c>
      <c r="L56" s="57">
        <v>30</v>
      </c>
      <c r="M56" s="30">
        <f t="shared" si="18"/>
        <v>600</v>
      </c>
      <c r="N56" s="85"/>
      <c r="O56" s="11"/>
    </row>
    <row r="57" spans="1:15" s="10" customFormat="1" ht="23.25" x14ac:dyDescent="0.3">
      <c r="A57" s="26">
        <v>8</v>
      </c>
      <c r="B57" s="65" t="s">
        <v>793</v>
      </c>
      <c r="C57" s="32" t="s">
        <v>19</v>
      </c>
      <c r="D57" s="32">
        <v>8</v>
      </c>
      <c r="E57" s="57">
        <v>50</v>
      </c>
      <c r="F57" s="30">
        <f t="shared" si="17"/>
        <v>400</v>
      </c>
      <c r="H57" s="26">
        <v>8</v>
      </c>
      <c r="I57" s="65" t="s">
        <v>793</v>
      </c>
      <c r="J57" s="32" t="s">
        <v>19</v>
      </c>
      <c r="K57" s="32">
        <v>8</v>
      </c>
      <c r="L57" s="57">
        <v>50</v>
      </c>
      <c r="M57" s="30">
        <f t="shared" si="18"/>
        <v>400</v>
      </c>
      <c r="N57" s="85"/>
      <c r="O57" s="11"/>
    </row>
    <row r="58" spans="1:15" s="10" customFormat="1" ht="23.25" x14ac:dyDescent="0.3">
      <c r="A58" s="26">
        <v>9</v>
      </c>
      <c r="B58" s="65" t="s">
        <v>139</v>
      </c>
      <c r="C58" s="32" t="s">
        <v>119</v>
      </c>
      <c r="D58" s="32">
        <v>0.8</v>
      </c>
      <c r="E58" s="57">
        <v>460</v>
      </c>
      <c r="F58" s="30">
        <f t="shared" si="17"/>
        <v>368</v>
      </c>
      <c r="H58" s="26">
        <v>9</v>
      </c>
      <c r="I58" s="65" t="s">
        <v>139</v>
      </c>
      <c r="J58" s="32" t="s">
        <v>119</v>
      </c>
      <c r="K58" s="32">
        <v>0.8</v>
      </c>
      <c r="L58" s="57">
        <v>460</v>
      </c>
      <c r="M58" s="30">
        <f t="shared" si="18"/>
        <v>368</v>
      </c>
      <c r="N58" s="85"/>
      <c r="O58" s="11"/>
    </row>
    <row r="59" spans="1:15" ht="23.25" x14ac:dyDescent="0.25">
      <c r="A59" s="69"/>
      <c r="B59" s="67"/>
      <c r="C59" s="67"/>
      <c r="D59" s="67"/>
      <c r="E59" s="68" t="s">
        <v>16</v>
      </c>
      <c r="F59" s="34">
        <f>SUM(F50:F58)</f>
        <v>30328</v>
      </c>
      <c r="H59" s="69"/>
      <c r="I59" s="67"/>
      <c r="J59" s="67"/>
      <c r="K59" s="67"/>
      <c r="L59" s="68" t="s">
        <v>16</v>
      </c>
      <c r="M59" s="34">
        <f>SUM(M50:M58)</f>
        <v>29728</v>
      </c>
    </row>
    <row r="60" spans="1:15" s="3" customFormat="1" ht="23.25" x14ac:dyDescent="0.35">
      <c r="A60" s="23"/>
      <c r="B60" s="24" t="s">
        <v>207</v>
      </c>
      <c r="C60" s="24"/>
      <c r="D60" s="24"/>
      <c r="E60" s="24"/>
      <c r="F60" s="25"/>
      <c r="H60" s="23"/>
      <c r="I60" s="24" t="s">
        <v>207</v>
      </c>
      <c r="J60" s="24"/>
      <c r="K60" s="24"/>
      <c r="L60" s="24"/>
      <c r="M60" s="25"/>
      <c r="N60" s="84">
        <f>F64</f>
        <v>129000</v>
      </c>
      <c r="O60" s="4"/>
    </row>
    <row r="61" spans="1:15" s="10" customFormat="1" ht="23.25" x14ac:dyDescent="0.3">
      <c r="A61" s="26">
        <v>1</v>
      </c>
      <c r="B61" s="65" t="s">
        <v>204</v>
      </c>
      <c r="C61" s="32" t="s">
        <v>113</v>
      </c>
      <c r="D61" s="32">
        <v>1</v>
      </c>
      <c r="E61" s="57">
        <v>32000</v>
      </c>
      <c r="F61" s="30">
        <f>D61*E61</f>
        <v>32000</v>
      </c>
      <c r="H61" s="26">
        <v>1</v>
      </c>
      <c r="I61" s="65" t="s">
        <v>204</v>
      </c>
      <c r="J61" s="32" t="s">
        <v>113</v>
      </c>
      <c r="K61" s="32">
        <v>1</v>
      </c>
      <c r="L61" s="57">
        <v>32000</v>
      </c>
      <c r="M61" s="30">
        <f>K61*L61</f>
        <v>32000</v>
      </c>
      <c r="N61" s="85"/>
      <c r="O61" s="11"/>
    </row>
    <row r="62" spans="1:15" s="10" customFormat="1" ht="23.25" x14ac:dyDescent="0.3">
      <c r="A62" s="26">
        <v>2</v>
      </c>
      <c r="B62" s="65" t="s">
        <v>205</v>
      </c>
      <c r="C62" s="32" t="s">
        <v>113</v>
      </c>
      <c r="D62" s="32">
        <v>1</v>
      </c>
      <c r="E62" s="57">
        <v>32000</v>
      </c>
      <c r="F62" s="30">
        <f>D62*E62</f>
        <v>32000</v>
      </c>
      <c r="H62" s="26">
        <v>2</v>
      </c>
      <c r="I62" s="65" t="s">
        <v>205</v>
      </c>
      <c r="J62" s="32" t="s">
        <v>113</v>
      </c>
      <c r="K62" s="32">
        <v>1</v>
      </c>
      <c r="L62" s="57">
        <v>32000</v>
      </c>
      <c r="M62" s="30">
        <f>K62*L62</f>
        <v>32000</v>
      </c>
      <c r="N62" s="85"/>
      <c r="O62" s="11"/>
    </row>
    <row r="63" spans="1:15" s="10" customFormat="1" ht="23.25" x14ac:dyDescent="0.3">
      <c r="A63" s="26">
        <v>3</v>
      </c>
      <c r="B63" s="65" t="s">
        <v>206</v>
      </c>
      <c r="C63" s="32" t="s">
        <v>113</v>
      </c>
      <c r="D63" s="32">
        <v>1</v>
      </c>
      <c r="E63" s="57">
        <v>65000</v>
      </c>
      <c r="F63" s="30">
        <f>D63*E63</f>
        <v>65000</v>
      </c>
      <c r="H63" s="26">
        <v>3</v>
      </c>
      <c r="I63" s="65" t="s">
        <v>206</v>
      </c>
      <c r="J63" s="32" t="s">
        <v>113</v>
      </c>
      <c r="K63" s="32">
        <v>1</v>
      </c>
      <c r="L63" s="57">
        <v>65000</v>
      </c>
      <c r="M63" s="30">
        <f>K63*L63</f>
        <v>65000</v>
      </c>
      <c r="N63" s="85"/>
      <c r="O63" s="11"/>
    </row>
    <row r="64" spans="1:15" ht="23.25" x14ac:dyDescent="0.25">
      <c r="A64" s="69"/>
      <c r="B64" s="67"/>
      <c r="C64" s="67"/>
      <c r="D64" s="67"/>
      <c r="E64" s="68" t="s">
        <v>16</v>
      </c>
      <c r="F64" s="34">
        <f>SUM(F61:F63)</f>
        <v>129000</v>
      </c>
      <c r="H64" s="69"/>
      <c r="I64" s="67"/>
      <c r="J64" s="67"/>
      <c r="K64" s="67"/>
      <c r="L64" s="68" t="s">
        <v>16</v>
      </c>
      <c r="M64" s="34">
        <f>SUM(M61:M63)</f>
        <v>129000</v>
      </c>
    </row>
    <row r="65" spans="1:15" s="3" customFormat="1" ht="23.25" x14ac:dyDescent="0.35">
      <c r="A65" s="23"/>
      <c r="B65" s="24" t="s">
        <v>208</v>
      </c>
      <c r="C65" s="24"/>
      <c r="D65" s="24"/>
      <c r="E65" s="24"/>
      <c r="F65" s="25"/>
      <c r="H65" s="23"/>
      <c r="I65" s="24" t="s">
        <v>208</v>
      </c>
      <c r="J65" s="24"/>
      <c r="K65" s="24"/>
      <c r="L65" s="24"/>
      <c r="M65" s="25"/>
      <c r="N65" s="84">
        <f>F70</f>
        <v>9224.7999999999993</v>
      </c>
      <c r="O65" s="4"/>
    </row>
    <row r="66" spans="1:15" s="10" customFormat="1" ht="23.25" x14ac:dyDescent="0.3">
      <c r="A66" s="26">
        <v>1</v>
      </c>
      <c r="B66" s="65" t="s">
        <v>794</v>
      </c>
      <c r="C66" s="32" t="s">
        <v>20</v>
      </c>
      <c r="D66" s="32">
        <v>117</v>
      </c>
      <c r="E66" s="57">
        <v>30</v>
      </c>
      <c r="F66" s="30">
        <f>D66*E66</f>
        <v>3510</v>
      </c>
      <c r="H66" s="26">
        <v>1</v>
      </c>
      <c r="I66" s="65" t="s">
        <v>794</v>
      </c>
      <c r="J66" s="32" t="s">
        <v>20</v>
      </c>
      <c r="K66" s="32">
        <v>117</v>
      </c>
      <c r="L66" s="57">
        <v>30</v>
      </c>
      <c r="M66" s="30">
        <f>K66*L66</f>
        <v>3510</v>
      </c>
      <c r="N66" s="85"/>
      <c r="O66" s="11"/>
    </row>
    <row r="67" spans="1:15" s="10" customFormat="1" ht="23.25" x14ac:dyDescent="0.3">
      <c r="A67" s="26">
        <v>2</v>
      </c>
      <c r="B67" s="65" t="s">
        <v>795</v>
      </c>
      <c r="C67" s="32" t="s">
        <v>19</v>
      </c>
      <c r="D67" s="32">
        <v>77.599999999999994</v>
      </c>
      <c r="E67" s="57">
        <v>50</v>
      </c>
      <c r="F67" s="30">
        <f>D67*E67</f>
        <v>3879.9999999999995</v>
      </c>
      <c r="H67" s="26">
        <v>2</v>
      </c>
      <c r="I67" s="65" t="s">
        <v>795</v>
      </c>
      <c r="J67" s="32" t="s">
        <v>19</v>
      </c>
      <c r="K67" s="32">
        <v>77.599999999999994</v>
      </c>
      <c r="L67" s="57">
        <v>50</v>
      </c>
      <c r="M67" s="30">
        <f>K67*L67</f>
        <v>3879.9999999999995</v>
      </c>
      <c r="N67" s="85"/>
      <c r="O67" s="11"/>
    </row>
    <row r="68" spans="1:15" s="10" customFormat="1" ht="23.25" x14ac:dyDescent="0.3">
      <c r="A68" s="26">
        <v>3</v>
      </c>
      <c r="B68" s="65" t="s">
        <v>599</v>
      </c>
      <c r="C68" s="32" t="s">
        <v>19</v>
      </c>
      <c r="D68" s="32">
        <v>16.5</v>
      </c>
      <c r="E68" s="57">
        <v>80</v>
      </c>
      <c r="F68" s="30">
        <f>D68*E68</f>
        <v>1320</v>
      </c>
      <c r="H68" s="26">
        <v>3</v>
      </c>
      <c r="I68" s="65" t="s">
        <v>599</v>
      </c>
      <c r="J68" s="32" t="s">
        <v>19</v>
      </c>
      <c r="K68" s="32">
        <v>16.5</v>
      </c>
      <c r="L68" s="57">
        <v>80</v>
      </c>
      <c r="M68" s="30">
        <f>K68*L68</f>
        <v>1320</v>
      </c>
      <c r="N68" s="85"/>
      <c r="O68" s="11"/>
    </row>
    <row r="69" spans="1:15" s="10" customFormat="1" ht="23.25" x14ac:dyDescent="0.3">
      <c r="A69" s="26">
        <v>4</v>
      </c>
      <c r="B69" s="65" t="s">
        <v>209</v>
      </c>
      <c r="C69" s="32" t="s">
        <v>20</v>
      </c>
      <c r="D69" s="32">
        <v>85.8</v>
      </c>
      <c r="E69" s="57">
        <v>6</v>
      </c>
      <c r="F69" s="30">
        <f>D69*E69</f>
        <v>514.79999999999995</v>
      </c>
      <c r="H69" s="26">
        <v>4</v>
      </c>
      <c r="I69" s="65" t="s">
        <v>209</v>
      </c>
      <c r="J69" s="32" t="s">
        <v>20</v>
      </c>
      <c r="K69" s="32">
        <v>85.8</v>
      </c>
      <c r="L69" s="57">
        <v>6</v>
      </c>
      <c r="M69" s="30">
        <f>K69*L69</f>
        <v>514.79999999999995</v>
      </c>
      <c r="N69" s="85"/>
      <c r="O69" s="11"/>
    </row>
    <row r="70" spans="1:15" ht="23.25" x14ac:dyDescent="0.25">
      <c r="A70" s="69"/>
      <c r="B70" s="67"/>
      <c r="C70" s="67"/>
      <c r="D70" s="67"/>
      <c r="E70" s="68" t="s">
        <v>16</v>
      </c>
      <c r="F70" s="34">
        <f>SUM(F66:F69)</f>
        <v>9224.7999999999993</v>
      </c>
      <c r="H70" s="69"/>
      <c r="I70" s="67"/>
      <c r="J70" s="67"/>
      <c r="K70" s="67"/>
      <c r="L70" s="68" t="s">
        <v>16</v>
      </c>
      <c r="M70" s="34">
        <f>SUM(M66:M69)</f>
        <v>9224.7999999999993</v>
      </c>
    </row>
    <row r="71" spans="1:15" s="3" customFormat="1" ht="23.25" x14ac:dyDescent="0.35">
      <c r="A71" s="23"/>
      <c r="B71" s="24" t="s">
        <v>291</v>
      </c>
      <c r="C71" s="24"/>
      <c r="D71" s="24"/>
      <c r="E71" s="24"/>
      <c r="F71" s="25"/>
      <c r="H71" s="23"/>
      <c r="I71" s="24" t="s">
        <v>291</v>
      </c>
      <c r="J71" s="24"/>
      <c r="K71" s="24"/>
      <c r="L71" s="24"/>
      <c r="M71" s="25"/>
      <c r="N71" s="84">
        <f>F76</f>
        <v>5494.8</v>
      </c>
      <c r="O71" s="4"/>
    </row>
    <row r="72" spans="1:15" s="10" customFormat="1" ht="23.25" x14ac:dyDescent="0.3">
      <c r="A72" s="26">
        <v>1</v>
      </c>
      <c r="B72" s="65" t="s">
        <v>600</v>
      </c>
      <c r="C72" s="32" t="s">
        <v>19</v>
      </c>
      <c r="D72" s="32">
        <v>57</v>
      </c>
      <c r="E72" s="57">
        <v>80</v>
      </c>
      <c r="F72" s="30">
        <f>D72*E72</f>
        <v>4560</v>
      </c>
      <c r="H72" s="26">
        <v>1</v>
      </c>
      <c r="I72" s="65" t="s">
        <v>600</v>
      </c>
      <c r="J72" s="32" t="s">
        <v>19</v>
      </c>
      <c r="K72" s="32">
        <v>57</v>
      </c>
      <c r="L72" s="57">
        <v>80</v>
      </c>
      <c r="M72" s="30">
        <f>K72*L72</f>
        <v>4560</v>
      </c>
      <c r="N72" s="85"/>
      <c r="O72" s="11"/>
    </row>
    <row r="73" spans="1:15" s="103" customFormat="1" ht="23.25" x14ac:dyDescent="0.3">
      <c r="A73" s="26">
        <v>2</v>
      </c>
      <c r="B73" s="65" t="s">
        <v>292</v>
      </c>
      <c r="C73" s="88" t="s">
        <v>20</v>
      </c>
      <c r="D73" s="88">
        <v>16.2</v>
      </c>
      <c r="E73" s="57">
        <v>30</v>
      </c>
      <c r="F73" s="106">
        <f t="shared" ref="F73" si="19">D73*E73</f>
        <v>486</v>
      </c>
      <c r="H73" s="26">
        <v>2</v>
      </c>
      <c r="I73" s="65" t="s">
        <v>292</v>
      </c>
      <c r="J73" s="88" t="s">
        <v>20</v>
      </c>
      <c r="K73" s="88">
        <v>16.2</v>
      </c>
      <c r="L73" s="57">
        <v>30</v>
      </c>
      <c r="M73" s="106">
        <f t="shared" ref="M73" si="20">K73*L73</f>
        <v>486</v>
      </c>
      <c r="N73" s="104"/>
      <c r="O73" s="105"/>
    </row>
    <row r="74" spans="1:15" s="10" customFormat="1" ht="23.25" x14ac:dyDescent="0.3">
      <c r="A74" s="26">
        <v>3</v>
      </c>
      <c r="B74" s="65" t="s">
        <v>293</v>
      </c>
      <c r="C74" s="32" t="s">
        <v>19</v>
      </c>
      <c r="D74" s="88">
        <v>6.4</v>
      </c>
      <c r="E74" s="57">
        <v>50</v>
      </c>
      <c r="F74" s="30">
        <f>D74*E74</f>
        <v>320</v>
      </c>
      <c r="H74" s="26">
        <v>3</v>
      </c>
      <c r="I74" s="65" t="s">
        <v>293</v>
      </c>
      <c r="J74" s="32" t="s">
        <v>19</v>
      </c>
      <c r="K74" s="88">
        <v>6.4</v>
      </c>
      <c r="L74" s="57">
        <v>50</v>
      </c>
      <c r="M74" s="30">
        <f>K74*L74</f>
        <v>320</v>
      </c>
      <c r="N74" s="85"/>
      <c r="O74" s="11"/>
    </row>
    <row r="75" spans="1:15" s="10" customFormat="1" ht="23.25" x14ac:dyDescent="0.3">
      <c r="A75" s="26">
        <v>4</v>
      </c>
      <c r="B75" s="65" t="s">
        <v>122</v>
      </c>
      <c r="C75" s="32" t="s">
        <v>119</v>
      </c>
      <c r="D75" s="32">
        <v>0.28000000000000003</v>
      </c>
      <c r="E75" s="57">
        <v>460</v>
      </c>
      <c r="F75" s="30">
        <f t="shared" ref="F75" si="21">D75*E75</f>
        <v>128.80000000000001</v>
      </c>
      <c r="H75" s="26">
        <v>4</v>
      </c>
      <c r="I75" s="65" t="s">
        <v>122</v>
      </c>
      <c r="J75" s="32" t="s">
        <v>119</v>
      </c>
      <c r="K75" s="32">
        <v>0.28000000000000003</v>
      </c>
      <c r="L75" s="57">
        <v>460</v>
      </c>
      <c r="M75" s="30">
        <f t="shared" ref="M75" si="22">K75*L75</f>
        <v>128.80000000000001</v>
      </c>
      <c r="N75" s="85"/>
      <c r="O75" s="11"/>
    </row>
    <row r="76" spans="1:15" ht="24" thickBot="1" x14ac:dyDescent="0.3">
      <c r="A76" s="38"/>
      <c r="B76" s="39"/>
      <c r="C76" s="39"/>
      <c r="D76" s="39"/>
      <c r="E76" s="40" t="s">
        <v>16</v>
      </c>
      <c r="F76" s="35">
        <f>SUM(F72:F75)</f>
        <v>5494.8</v>
      </c>
      <c r="H76" s="38"/>
      <c r="I76" s="39"/>
      <c r="J76" s="39"/>
      <c r="K76" s="39"/>
      <c r="L76" s="40" t="s">
        <v>16</v>
      </c>
      <c r="M76" s="35">
        <f>SUM(M72:M75)</f>
        <v>5494.8</v>
      </c>
    </row>
    <row r="77" spans="1:15" ht="26.25" thickBot="1" x14ac:dyDescent="0.3">
      <c r="A77" s="76"/>
      <c r="B77" s="77"/>
      <c r="C77" s="77"/>
      <c r="D77" s="77"/>
      <c r="E77" s="78" t="s">
        <v>21</v>
      </c>
      <c r="F77" s="12">
        <f>SUMIF(E1:E20043,"CƏMİ",F1:F20043)</f>
        <v>357554.19999999995</v>
      </c>
      <c r="H77" s="76"/>
      <c r="I77" s="77"/>
      <c r="J77" s="77"/>
      <c r="K77" s="77"/>
      <c r="L77" s="78" t="s">
        <v>21</v>
      </c>
      <c r="M77" s="12">
        <f>SUMIF(L1:L20043,"CƏMİ",M1:M20043)</f>
        <v>356954.19999999995</v>
      </c>
    </row>
  </sheetData>
  <mergeCells count="4">
    <mergeCell ref="A1:D1"/>
    <mergeCell ref="E1:F1"/>
    <mergeCell ref="H1:K1"/>
    <mergeCell ref="L1:M1"/>
  </mergeCells>
  <phoneticPr fontId="19" type="noConversion"/>
  <pageMargins left="0.23622047244094488" right="0.23622047244094488" top="0.24799978127734032" bottom="0.24803040244969379" header="0.31496062992125984" footer="0.31496062992125984"/>
  <pageSetup paperSize="9" scale="24" fitToHeight="0" orientation="portrait" r:id="rId1"/>
  <drawing r:id="rId2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B519-AFAB-4FE9-8692-3A488A1FF100}">
  <sheetPr>
    <tabColor rgb="FFFFFF00"/>
    <pageSetUpPr fitToPage="1"/>
  </sheetPr>
  <dimension ref="A1:R9"/>
  <sheetViews>
    <sheetView view="pageBreakPreview" zoomScale="55" zoomScaleNormal="55" zoomScaleSheetLayoutView="55" workbookViewId="0">
      <pane ySplit="3" topLeftCell="A4" activePane="bottomLeft" state="frozen"/>
      <selection activeCell="P33" sqref="P33"/>
      <selection pane="bottomLeft" activeCell="K7" sqref="K7"/>
    </sheetView>
  </sheetViews>
  <sheetFormatPr defaultColWidth="9.140625" defaultRowHeight="15" x14ac:dyDescent="0.25"/>
  <cols>
    <col min="1" max="1" width="6.42578125" style="5" bestFit="1" customWidth="1"/>
    <col min="2" max="2" width="108.4257812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08.4257812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61</v>
      </c>
      <c r="B1" s="175"/>
      <c r="C1" s="175"/>
      <c r="D1" s="175"/>
      <c r="E1" s="176" t="s">
        <v>0</v>
      </c>
      <c r="F1" s="177"/>
      <c r="H1" s="174" t="s">
        <v>61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45100</v>
      </c>
      <c r="H2" s="17"/>
      <c r="I2" s="18"/>
      <c r="J2" s="18"/>
      <c r="K2" s="19"/>
      <c r="L2" s="18"/>
      <c r="M2" s="46">
        <v>45100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7</v>
      </c>
      <c r="C4" s="24"/>
      <c r="D4" s="24"/>
      <c r="E4" s="24"/>
      <c r="F4" s="25"/>
      <c r="H4" s="23"/>
      <c r="I4" s="24" t="s">
        <v>7</v>
      </c>
      <c r="J4" s="24"/>
      <c r="K4" s="24"/>
      <c r="L4" s="24"/>
      <c r="M4" s="25"/>
      <c r="N4" s="84">
        <f>F8</f>
        <v>13304.6</v>
      </c>
      <c r="O4" s="4"/>
    </row>
    <row r="5" spans="1:18" s="10" customFormat="1" ht="23.25" x14ac:dyDescent="0.3">
      <c r="A5" s="26">
        <v>1</v>
      </c>
      <c r="B5" s="70" t="s">
        <v>796</v>
      </c>
      <c r="C5" s="32" t="s">
        <v>19</v>
      </c>
      <c r="D5" s="32">
        <v>133</v>
      </c>
      <c r="E5" s="57">
        <v>50</v>
      </c>
      <c r="F5" s="30">
        <f t="shared" ref="F5:F7" si="0">D5*E5</f>
        <v>6650</v>
      </c>
      <c r="H5" s="26">
        <v>1</v>
      </c>
      <c r="I5" s="70" t="s">
        <v>796</v>
      </c>
      <c r="J5" s="32" t="s">
        <v>19</v>
      </c>
      <c r="K5" s="32">
        <v>133</v>
      </c>
      <c r="L5" s="57">
        <v>50</v>
      </c>
      <c r="M5" s="30">
        <f t="shared" ref="M5:M7" si="1">K5*L5</f>
        <v>6650</v>
      </c>
      <c r="N5" s="85"/>
      <c r="O5" s="11"/>
    </row>
    <row r="6" spans="1:18" s="10" customFormat="1" ht="23.25" x14ac:dyDescent="0.3">
      <c r="A6" s="26">
        <v>2</v>
      </c>
      <c r="B6" s="36" t="s">
        <v>797</v>
      </c>
      <c r="C6" s="32" t="s">
        <v>20</v>
      </c>
      <c r="D6" s="32">
        <v>214</v>
      </c>
      <c r="E6" s="57">
        <v>30</v>
      </c>
      <c r="F6" s="30">
        <f t="shared" si="0"/>
        <v>6420</v>
      </c>
      <c r="H6" s="26">
        <v>2</v>
      </c>
      <c r="I6" s="36" t="s">
        <v>797</v>
      </c>
      <c r="J6" s="32" t="s">
        <v>20</v>
      </c>
      <c r="K6" s="115">
        <v>107</v>
      </c>
      <c r="L6" s="57">
        <v>30</v>
      </c>
      <c r="M6" s="30">
        <f t="shared" si="1"/>
        <v>3210</v>
      </c>
      <c r="N6" s="85"/>
      <c r="O6" s="11"/>
    </row>
    <row r="7" spans="1:18" s="10" customFormat="1" ht="23.25" x14ac:dyDescent="0.3">
      <c r="A7" s="26">
        <v>3</v>
      </c>
      <c r="B7" s="65" t="s">
        <v>122</v>
      </c>
      <c r="C7" s="32" t="s">
        <v>119</v>
      </c>
      <c r="D7" s="32">
        <v>0.51</v>
      </c>
      <c r="E7" s="57">
        <v>460</v>
      </c>
      <c r="F7" s="30">
        <f t="shared" si="0"/>
        <v>234.6</v>
      </c>
      <c r="H7" s="26">
        <v>3</v>
      </c>
      <c r="I7" s="65" t="s">
        <v>122</v>
      </c>
      <c r="J7" s="32" t="s">
        <v>119</v>
      </c>
      <c r="K7" s="32">
        <v>0.51</v>
      </c>
      <c r="L7" s="57">
        <v>460</v>
      </c>
      <c r="M7" s="30">
        <f t="shared" si="1"/>
        <v>234.6</v>
      </c>
      <c r="N7" s="85"/>
      <c r="O7" s="11"/>
    </row>
    <row r="8" spans="1:18" ht="24" thickBot="1" x14ac:dyDescent="0.3">
      <c r="A8" s="38"/>
      <c r="B8" s="39"/>
      <c r="C8" s="39"/>
      <c r="D8" s="39"/>
      <c r="E8" s="40" t="s">
        <v>16</v>
      </c>
      <c r="F8" s="35">
        <f>SUM(F5:F7)</f>
        <v>13304.6</v>
      </c>
      <c r="H8" s="38"/>
      <c r="I8" s="39"/>
      <c r="J8" s="39"/>
      <c r="K8" s="39"/>
      <c r="L8" s="40" t="s">
        <v>16</v>
      </c>
      <c r="M8" s="35">
        <f>SUM(M5:M7)</f>
        <v>10094.6</v>
      </c>
    </row>
    <row r="9" spans="1:18" ht="26.25" thickBot="1" x14ac:dyDescent="0.3">
      <c r="A9" s="76"/>
      <c r="B9" s="77"/>
      <c r="C9" s="77"/>
      <c r="D9" s="77"/>
      <c r="E9" s="78" t="s">
        <v>21</v>
      </c>
      <c r="F9" s="12">
        <f>SUMIF(E1:E19975,"CƏMİ",F1:F19975)</f>
        <v>13304.6</v>
      </c>
      <c r="H9" s="76"/>
      <c r="I9" s="77"/>
      <c r="J9" s="77"/>
      <c r="K9" s="77"/>
      <c r="L9" s="78" t="s">
        <v>21</v>
      </c>
      <c r="M9" s="12">
        <f>SUMIF(L1:L19975,"CƏMİ",M1:M19975)</f>
        <v>10094.6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5" fitToHeight="0" orientation="portrait" r:id="rId1"/>
  <drawing r:id="rId2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15022-C514-45B3-83D0-6140294D1203}">
  <sheetPr>
    <tabColor rgb="FFFFFF00"/>
    <pageSetUpPr fitToPage="1"/>
  </sheetPr>
  <dimension ref="A1:R232"/>
  <sheetViews>
    <sheetView view="pageBreakPreview" zoomScale="55" zoomScaleNormal="55" zoomScaleSheetLayoutView="55" workbookViewId="0">
      <pane ySplit="3" topLeftCell="A4" activePane="bottomLeft" state="frozen"/>
      <selection activeCell="B17" sqref="B17"/>
      <selection pane="bottomLeft" activeCell="F106" sqref="F106"/>
    </sheetView>
  </sheetViews>
  <sheetFormatPr defaultColWidth="9.140625" defaultRowHeight="15" x14ac:dyDescent="0.25"/>
  <cols>
    <col min="1" max="1" width="6.42578125" style="5" bestFit="1" customWidth="1"/>
    <col min="2" max="2" width="122.28515625" style="2" customWidth="1"/>
    <col min="3" max="3" width="13.140625" style="2" customWidth="1"/>
    <col min="4" max="4" width="14.85546875" style="2" customWidth="1"/>
    <col min="5" max="5" width="20" style="2" bestFit="1" customWidth="1"/>
    <col min="6" max="6" width="26.85546875" style="2" bestFit="1" customWidth="1"/>
    <col min="7" max="7" width="9.140625" style="2"/>
    <col min="8" max="8" width="6.42578125" style="5" bestFit="1" customWidth="1"/>
    <col min="9" max="9" width="122.28515625" style="2" customWidth="1"/>
    <col min="10" max="10" width="13.140625" style="2" customWidth="1"/>
    <col min="11" max="11" width="14.85546875" style="2" customWidth="1"/>
    <col min="12" max="12" width="20" style="2" bestFit="1" customWidth="1"/>
    <col min="13" max="13" width="26.85546875" style="2" bestFit="1" customWidth="1"/>
    <col min="14" max="14" width="20.28515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110</v>
      </c>
      <c r="B1" s="175"/>
      <c r="C1" s="175"/>
      <c r="D1" s="175"/>
      <c r="E1" s="176" t="s">
        <v>0</v>
      </c>
      <c r="F1" s="177"/>
      <c r="H1" s="174" t="s">
        <v>110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142</v>
      </c>
      <c r="C4" s="24"/>
      <c r="D4" s="24"/>
      <c r="E4" s="24"/>
      <c r="F4" s="25"/>
      <c r="H4" s="23"/>
      <c r="I4" s="24" t="s">
        <v>142</v>
      </c>
      <c r="J4" s="24"/>
      <c r="K4" s="24"/>
      <c r="L4" s="24"/>
      <c r="M4" s="25"/>
      <c r="N4" s="84">
        <f>F9</f>
        <v>59795</v>
      </c>
      <c r="O4" s="4"/>
    </row>
    <row r="5" spans="1:18" s="10" customFormat="1" ht="23.25" x14ac:dyDescent="0.3">
      <c r="A5" s="26">
        <v>1</v>
      </c>
      <c r="B5" s="65" t="s">
        <v>784</v>
      </c>
      <c r="C5" s="32" t="s">
        <v>19</v>
      </c>
      <c r="D5" s="88">
        <f>182+756</f>
        <v>938</v>
      </c>
      <c r="E5" s="57">
        <v>50</v>
      </c>
      <c r="F5" s="30">
        <f>D5*E5</f>
        <v>46900</v>
      </c>
      <c r="H5" s="26">
        <v>1</v>
      </c>
      <c r="I5" s="65" t="s">
        <v>784</v>
      </c>
      <c r="J5" s="32" t="s">
        <v>19</v>
      </c>
      <c r="K5" s="88">
        <f>182+756</f>
        <v>938</v>
      </c>
      <c r="L5" s="57">
        <v>50</v>
      </c>
      <c r="M5" s="30">
        <f>K5*L5</f>
        <v>46900</v>
      </c>
      <c r="N5" s="85"/>
      <c r="O5" s="11"/>
    </row>
    <row r="6" spans="1:18" s="10" customFormat="1" ht="23.25" x14ac:dyDescent="0.3">
      <c r="A6" s="26">
        <v>2</v>
      </c>
      <c r="B6" s="65" t="s">
        <v>785</v>
      </c>
      <c r="C6" s="32" t="s">
        <v>19</v>
      </c>
      <c r="D6" s="88">
        <f>45+40</f>
        <v>85</v>
      </c>
      <c r="E6" s="57">
        <v>55</v>
      </c>
      <c r="F6" s="30">
        <f>D6*E6</f>
        <v>4675</v>
      </c>
      <c r="H6" s="26">
        <v>2</v>
      </c>
      <c r="I6" s="65" t="s">
        <v>785</v>
      </c>
      <c r="J6" s="32" t="s">
        <v>19</v>
      </c>
      <c r="K6" s="88">
        <f>45+40</f>
        <v>85</v>
      </c>
      <c r="L6" s="57">
        <v>55</v>
      </c>
      <c r="M6" s="30">
        <f>K6*L6</f>
        <v>4675</v>
      </c>
      <c r="N6" s="85"/>
      <c r="O6" s="11"/>
    </row>
    <row r="7" spans="1:18" s="10" customFormat="1" ht="23.25" x14ac:dyDescent="0.3">
      <c r="A7" s="26">
        <v>3</v>
      </c>
      <c r="B7" s="65" t="s">
        <v>786</v>
      </c>
      <c r="C7" s="32" t="s">
        <v>19</v>
      </c>
      <c r="D7" s="88">
        <v>45</v>
      </c>
      <c r="E7" s="57">
        <v>80</v>
      </c>
      <c r="F7" s="30">
        <f>D7*E7</f>
        <v>3600</v>
      </c>
      <c r="H7" s="26">
        <v>3</v>
      </c>
      <c r="I7" s="65" t="s">
        <v>786</v>
      </c>
      <c r="J7" s="32" t="s">
        <v>19</v>
      </c>
      <c r="K7" s="88">
        <v>45</v>
      </c>
      <c r="L7" s="57">
        <v>80</v>
      </c>
      <c r="M7" s="30">
        <f>K7*L7</f>
        <v>3600</v>
      </c>
      <c r="N7" s="85"/>
      <c r="O7" s="11"/>
    </row>
    <row r="8" spans="1:18" s="10" customFormat="1" ht="23.25" x14ac:dyDescent="0.3">
      <c r="A8" s="26">
        <v>4</v>
      </c>
      <c r="B8" s="65" t="s">
        <v>190</v>
      </c>
      <c r="C8" s="32" t="s">
        <v>20</v>
      </c>
      <c r="D8" s="88">
        <f>300+470</f>
        <v>770</v>
      </c>
      <c r="E8" s="57">
        <v>6</v>
      </c>
      <c r="F8" s="30">
        <f>D8*E8</f>
        <v>4620</v>
      </c>
      <c r="H8" s="26">
        <v>4</v>
      </c>
      <c r="I8" s="65" t="s">
        <v>190</v>
      </c>
      <c r="J8" s="32" t="s">
        <v>20</v>
      </c>
      <c r="K8" s="88">
        <f>300+470</f>
        <v>770</v>
      </c>
      <c r="L8" s="57">
        <v>6</v>
      </c>
      <c r="M8" s="30">
        <f>K8*L8</f>
        <v>4620</v>
      </c>
      <c r="N8" s="85"/>
      <c r="O8" s="11"/>
    </row>
    <row r="9" spans="1:18" ht="23.25" x14ac:dyDescent="0.25">
      <c r="A9" s="69"/>
      <c r="B9" s="67"/>
      <c r="C9" s="67"/>
      <c r="D9" s="67"/>
      <c r="E9" s="68" t="s">
        <v>16</v>
      </c>
      <c r="F9" s="34">
        <f>SUM(F5:F8)</f>
        <v>59795</v>
      </c>
      <c r="H9" s="69"/>
      <c r="I9" s="67"/>
      <c r="J9" s="67"/>
      <c r="K9" s="67"/>
      <c r="L9" s="68" t="s">
        <v>16</v>
      </c>
      <c r="M9" s="34">
        <f>SUM(M5:M8)</f>
        <v>59795</v>
      </c>
    </row>
    <row r="10" spans="1:18" s="3" customFormat="1" ht="23.25" x14ac:dyDescent="0.35">
      <c r="A10" s="23"/>
      <c r="B10" s="24" t="s">
        <v>143</v>
      </c>
      <c r="C10" s="24"/>
      <c r="D10" s="24"/>
      <c r="E10" s="24"/>
      <c r="F10" s="25"/>
      <c r="H10" s="23"/>
      <c r="I10" s="24" t="s">
        <v>143</v>
      </c>
      <c r="J10" s="24"/>
      <c r="K10" s="24"/>
      <c r="L10" s="24"/>
      <c r="M10" s="25"/>
      <c r="N10" s="84">
        <f>F15</f>
        <v>6905.6</v>
      </c>
      <c r="O10" s="4"/>
    </row>
    <row r="11" spans="1:18" s="10" customFormat="1" ht="23.25" x14ac:dyDescent="0.3">
      <c r="A11" s="26">
        <v>1</v>
      </c>
      <c r="B11" s="70" t="s">
        <v>118</v>
      </c>
      <c r="C11" s="32" t="s">
        <v>20</v>
      </c>
      <c r="D11" s="32">
        <v>21.6</v>
      </c>
      <c r="E11" s="57">
        <v>150</v>
      </c>
      <c r="F11" s="30">
        <f>D11*E11</f>
        <v>3240</v>
      </c>
      <c r="H11" s="26">
        <v>1</v>
      </c>
      <c r="I11" s="70" t="s">
        <v>118</v>
      </c>
      <c r="J11" s="32" t="s">
        <v>20</v>
      </c>
      <c r="K11" s="32">
        <v>21.6</v>
      </c>
      <c r="L11" s="57">
        <v>150</v>
      </c>
      <c r="M11" s="30">
        <f>K11*L11</f>
        <v>3240</v>
      </c>
      <c r="N11" s="85"/>
      <c r="O11" s="11"/>
    </row>
    <row r="12" spans="1:18" s="10" customFormat="1" ht="23.25" x14ac:dyDescent="0.3">
      <c r="A12" s="26">
        <v>2</v>
      </c>
      <c r="B12" s="65" t="s">
        <v>802</v>
      </c>
      <c r="C12" s="32" t="s">
        <v>19</v>
      </c>
      <c r="D12" s="32">
        <v>67</v>
      </c>
      <c r="E12" s="57">
        <v>50</v>
      </c>
      <c r="F12" s="30">
        <f>D12*E12</f>
        <v>3350</v>
      </c>
      <c r="H12" s="26">
        <v>2</v>
      </c>
      <c r="I12" s="65" t="s">
        <v>802</v>
      </c>
      <c r="J12" s="32" t="s">
        <v>19</v>
      </c>
      <c r="K12" s="32">
        <v>67</v>
      </c>
      <c r="L12" s="57">
        <v>50</v>
      </c>
      <c r="M12" s="30">
        <f>K12*L12</f>
        <v>3350</v>
      </c>
      <c r="N12" s="85"/>
      <c r="O12" s="11"/>
    </row>
    <row r="13" spans="1:18" s="10" customFormat="1" ht="23.25" x14ac:dyDescent="0.3">
      <c r="A13" s="26">
        <v>3</v>
      </c>
      <c r="B13" s="65" t="s">
        <v>122</v>
      </c>
      <c r="C13" s="32" t="s">
        <v>119</v>
      </c>
      <c r="D13" s="32">
        <v>0.36</v>
      </c>
      <c r="E13" s="57">
        <v>460</v>
      </c>
      <c r="F13" s="30">
        <f>D13*E13</f>
        <v>165.6</v>
      </c>
      <c r="H13" s="26">
        <v>3</v>
      </c>
      <c r="I13" s="65" t="s">
        <v>122</v>
      </c>
      <c r="J13" s="32" t="s">
        <v>119</v>
      </c>
      <c r="K13" s="32">
        <v>0.36</v>
      </c>
      <c r="L13" s="57">
        <v>460</v>
      </c>
      <c r="M13" s="30">
        <f>K13*L13</f>
        <v>165.6</v>
      </c>
      <c r="N13" s="85"/>
      <c r="O13" s="11"/>
    </row>
    <row r="14" spans="1:18" s="10" customFormat="1" ht="23.25" x14ac:dyDescent="0.3">
      <c r="A14" s="26">
        <v>4</v>
      </c>
      <c r="B14" s="65" t="s">
        <v>111</v>
      </c>
      <c r="C14" s="32" t="s">
        <v>27</v>
      </c>
      <c r="D14" s="32">
        <v>1000</v>
      </c>
      <c r="E14" s="57">
        <v>0.15</v>
      </c>
      <c r="F14" s="30">
        <f>D14*E14</f>
        <v>150</v>
      </c>
      <c r="H14" s="26">
        <v>4</v>
      </c>
      <c r="I14" s="65" t="s">
        <v>111</v>
      </c>
      <c r="J14" s="32" t="s">
        <v>27</v>
      </c>
      <c r="K14" s="32">
        <v>1000</v>
      </c>
      <c r="L14" s="57">
        <v>0.15</v>
      </c>
      <c r="M14" s="30">
        <f>K14*L14</f>
        <v>150</v>
      </c>
      <c r="N14" s="85"/>
      <c r="O14" s="11"/>
    </row>
    <row r="15" spans="1:18" ht="23.25" x14ac:dyDescent="0.25">
      <c r="A15" s="69"/>
      <c r="B15" s="67"/>
      <c r="C15" s="67"/>
      <c r="D15" s="67"/>
      <c r="E15" s="68" t="s">
        <v>16</v>
      </c>
      <c r="F15" s="34">
        <f>SUM(F11:F14)</f>
        <v>6905.6</v>
      </c>
      <c r="H15" s="69"/>
      <c r="I15" s="67"/>
      <c r="J15" s="67"/>
      <c r="K15" s="67"/>
      <c r="L15" s="68" t="s">
        <v>16</v>
      </c>
      <c r="M15" s="34">
        <f>SUM(M11:M14)</f>
        <v>6905.6</v>
      </c>
    </row>
    <row r="16" spans="1:18" s="3" customFormat="1" ht="23.25" x14ac:dyDescent="0.35">
      <c r="A16" s="23"/>
      <c r="B16" s="24" t="s">
        <v>144</v>
      </c>
      <c r="C16" s="24"/>
      <c r="D16" s="24"/>
      <c r="E16" s="24"/>
      <c r="F16" s="25"/>
      <c r="H16" s="23"/>
      <c r="I16" s="24" t="s">
        <v>144</v>
      </c>
      <c r="J16" s="24"/>
      <c r="K16" s="24"/>
      <c r="L16" s="24"/>
      <c r="M16" s="25"/>
      <c r="N16" s="84">
        <f>F18</f>
        <v>230</v>
      </c>
      <c r="O16" s="4"/>
    </row>
    <row r="17" spans="1:15" s="10" customFormat="1" ht="23.25" x14ac:dyDescent="0.3">
      <c r="A17" s="26">
        <v>1</v>
      </c>
      <c r="B17" s="65" t="s">
        <v>122</v>
      </c>
      <c r="C17" s="32" t="s">
        <v>119</v>
      </c>
      <c r="D17" s="32">
        <v>0.5</v>
      </c>
      <c r="E17" s="57">
        <v>460</v>
      </c>
      <c r="F17" s="30">
        <f>D17*E17</f>
        <v>230</v>
      </c>
      <c r="H17" s="26">
        <v>1</v>
      </c>
      <c r="I17" s="65" t="s">
        <v>122</v>
      </c>
      <c r="J17" s="32" t="s">
        <v>119</v>
      </c>
      <c r="K17" s="32">
        <v>0.5</v>
      </c>
      <c r="L17" s="57">
        <v>460</v>
      </c>
      <c r="M17" s="30">
        <f>K17*L17</f>
        <v>230</v>
      </c>
      <c r="N17" s="85"/>
      <c r="O17" s="11"/>
    </row>
    <row r="18" spans="1:15" ht="23.25" x14ac:dyDescent="0.25">
      <c r="A18" s="69"/>
      <c r="B18" s="67"/>
      <c r="C18" s="67"/>
      <c r="D18" s="67"/>
      <c r="E18" s="68" t="s">
        <v>16</v>
      </c>
      <c r="F18" s="34">
        <f>SUM(F17:F17)</f>
        <v>230</v>
      </c>
      <c r="H18" s="69"/>
      <c r="I18" s="67"/>
      <c r="J18" s="67"/>
      <c r="K18" s="67"/>
      <c r="L18" s="68" t="s">
        <v>16</v>
      </c>
      <c r="M18" s="34">
        <f>SUM(M17:M17)</f>
        <v>230</v>
      </c>
    </row>
    <row r="19" spans="1:15" s="3" customFormat="1" ht="23.25" x14ac:dyDescent="0.35">
      <c r="A19" s="23"/>
      <c r="B19" s="24" t="s">
        <v>153</v>
      </c>
      <c r="C19" s="24"/>
      <c r="D19" s="24"/>
      <c r="E19" s="24"/>
      <c r="F19" s="25"/>
      <c r="H19" s="23"/>
      <c r="I19" s="24" t="s">
        <v>153</v>
      </c>
      <c r="J19" s="24"/>
      <c r="K19" s="24"/>
      <c r="L19" s="24"/>
      <c r="M19" s="25"/>
      <c r="N19" s="84">
        <f>F30</f>
        <v>14041</v>
      </c>
      <c r="O19" s="4"/>
    </row>
    <row r="20" spans="1:15" s="10" customFormat="1" ht="23.25" x14ac:dyDescent="0.3">
      <c r="A20" s="26">
        <v>1</v>
      </c>
      <c r="B20" s="65" t="s">
        <v>154</v>
      </c>
      <c r="C20" s="32" t="s">
        <v>119</v>
      </c>
      <c r="D20" s="32">
        <v>2.1</v>
      </c>
      <c r="E20" s="57"/>
      <c r="F20" s="30">
        <f t="shared" ref="F20:F29" si="0">D20*E20</f>
        <v>0</v>
      </c>
      <c r="H20" s="26">
        <v>1</v>
      </c>
      <c r="I20" s="65" t="s">
        <v>154</v>
      </c>
      <c r="J20" s="32" t="s">
        <v>119</v>
      </c>
      <c r="K20" s="32">
        <v>2.1</v>
      </c>
      <c r="L20" s="57"/>
      <c r="M20" s="30">
        <f t="shared" ref="M20:M29" si="1">K20*L20</f>
        <v>0</v>
      </c>
      <c r="N20" s="85"/>
      <c r="O20" s="11"/>
    </row>
    <row r="21" spans="1:15" s="10" customFormat="1" ht="23.25" x14ac:dyDescent="0.3">
      <c r="A21" s="26">
        <v>2</v>
      </c>
      <c r="B21" s="65" t="s">
        <v>798</v>
      </c>
      <c r="C21" s="32" t="s">
        <v>19</v>
      </c>
      <c r="D21" s="32">
        <v>88</v>
      </c>
      <c r="E21" s="57">
        <v>80</v>
      </c>
      <c r="F21" s="30">
        <f t="shared" si="0"/>
        <v>7040</v>
      </c>
      <c r="H21" s="26">
        <v>2</v>
      </c>
      <c r="I21" s="65" t="s">
        <v>798</v>
      </c>
      <c r="J21" s="32" t="s">
        <v>19</v>
      </c>
      <c r="K21" s="32">
        <v>88</v>
      </c>
      <c r="L21" s="57">
        <v>80</v>
      </c>
      <c r="M21" s="30">
        <f t="shared" si="1"/>
        <v>7040</v>
      </c>
      <c r="N21" s="85"/>
      <c r="O21" s="11"/>
    </row>
    <row r="22" spans="1:15" s="10" customFormat="1" ht="23.25" x14ac:dyDescent="0.3">
      <c r="A22" s="26">
        <v>3</v>
      </c>
      <c r="B22" s="65" t="s">
        <v>139</v>
      </c>
      <c r="C22" s="32" t="s">
        <v>119</v>
      </c>
      <c r="D22" s="32">
        <v>0.7</v>
      </c>
      <c r="E22" s="57">
        <v>460</v>
      </c>
      <c r="F22" s="30">
        <f t="shared" si="0"/>
        <v>322</v>
      </c>
      <c r="H22" s="26">
        <v>3</v>
      </c>
      <c r="I22" s="65" t="s">
        <v>139</v>
      </c>
      <c r="J22" s="32" t="s">
        <v>119</v>
      </c>
      <c r="K22" s="32">
        <v>0.7</v>
      </c>
      <c r="L22" s="57">
        <v>460</v>
      </c>
      <c r="M22" s="30">
        <f t="shared" si="1"/>
        <v>322</v>
      </c>
      <c r="N22" s="85"/>
      <c r="O22" s="11"/>
    </row>
    <row r="23" spans="1:15" s="10" customFormat="1" ht="23.25" x14ac:dyDescent="0.3">
      <c r="A23" s="26">
        <v>4</v>
      </c>
      <c r="B23" s="65" t="s">
        <v>155</v>
      </c>
      <c r="C23" s="32" t="s">
        <v>20</v>
      </c>
      <c r="D23" s="32">
        <v>27.6</v>
      </c>
      <c r="E23" s="57">
        <v>150</v>
      </c>
      <c r="F23" s="30">
        <f t="shared" si="0"/>
        <v>4140</v>
      </c>
      <c r="H23" s="26">
        <v>4</v>
      </c>
      <c r="I23" s="65" t="s">
        <v>155</v>
      </c>
      <c r="J23" s="32" t="s">
        <v>20</v>
      </c>
      <c r="K23" s="32">
        <v>27.6</v>
      </c>
      <c r="L23" s="57">
        <v>150</v>
      </c>
      <c r="M23" s="30">
        <f t="shared" si="1"/>
        <v>4140</v>
      </c>
      <c r="N23" s="85"/>
      <c r="O23" s="11"/>
    </row>
    <row r="24" spans="1:15" s="10" customFormat="1" ht="23.25" x14ac:dyDescent="0.3">
      <c r="A24" s="26">
        <v>5</v>
      </c>
      <c r="B24" s="65" t="s">
        <v>156</v>
      </c>
      <c r="C24" s="32" t="s">
        <v>27</v>
      </c>
      <c r="D24" s="32">
        <v>21</v>
      </c>
      <c r="E24" s="57">
        <v>35</v>
      </c>
      <c r="F24" s="30">
        <f t="shared" si="0"/>
        <v>735</v>
      </c>
      <c r="H24" s="26">
        <v>5</v>
      </c>
      <c r="I24" s="65" t="s">
        <v>156</v>
      </c>
      <c r="J24" s="32" t="s">
        <v>27</v>
      </c>
      <c r="K24" s="32">
        <v>21</v>
      </c>
      <c r="L24" s="57">
        <v>35</v>
      </c>
      <c r="M24" s="30">
        <f t="shared" si="1"/>
        <v>735</v>
      </c>
      <c r="N24" s="85"/>
      <c r="O24" s="11"/>
    </row>
    <row r="25" spans="1:15" s="10" customFormat="1" ht="23.25" x14ac:dyDescent="0.3">
      <c r="A25" s="26">
        <v>6</v>
      </c>
      <c r="B25" s="65" t="s">
        <v>157</v>
      </c>
      <c r="C25" s="32" t="s">
        <v>27</v>
      </c>
      <c r="D25" s="32">
        <v>21</v>
      </c>
      <c r="E25" s="57">
        <v>30</v>
      </c>
      <c r="F25" s="30">
        <f t="shared" si="0"/>
        <v>630</v>
      </c>
      <c r="H25" s="26">
        <v>6</v>
      </c>
      <c r="I25" s="65" t="s">
        <v>157</v>
      </c>
      <c r="J25" s="32" t="s">
        <v>27</v>
      </c>
      <c r="K25" s="32">
        <v>21</v>
      </c>
      <c r="L25" s="57">
        <v>30</v>
      </c>
      <c r="M25" s="30">
        <f t="shared" si="1"/>
        <v>630</v>
      </c>
      <c r="N25" s="85"/>
      <c r="O25" s="11"/>
    </row>
    <row r="26" spans="1:15" s="10" customFormat="1" ht="23.25" x14ac:dyDescent="0.3">
      <c r="A26" s="26">
        <v>7</v>
      </c>
      <c r="B26" s="65" t="s">
        <v>177</v>
      </c>
      <c r="C26" s="32" t="s">
        <v>20</v>
      </c>
      <c r="D26" s="32">
        <v>14.8</v>
      </c>
      <c r="E26" s="57">
        <v>30</v>
      </c>
      <c r="F26" s="30">
        <f t="shared" si="0"/>
        <v>444</v>
      </c>
      <c r="H26" s="26">
        <v>7</v>
      </c>
      <c r="I26" s="65" t="s">
        <v>177</v>
      </c>
      <c r="J26" s="32" t="s">
        <v>20</v>
      </c>
      <c r="K26" s="32">
        <v>14.8</v>
      </c>
      <c r="L26" s="57">
        <v>30</v>
      </c>
      <c r="M26" s="30">
        <f t="shared" si="1"/>
        <v>444</v>
      </c>
      <c r="N26" s="85"/>
      <c r="O26" s="11"/>
    </row>
    <row r="27" spans="1:15" s="10" customFormat="1" ht="23.25" x14ac:dyDescent="0.3">
      <c r="A27" s="26">
        <v>8</v>
      </c>
      <c r="B27" s="65" t="s">
        <v>178</v>
      </c>
      <c r="C27" s="32" t="s">
        <v>19</v>
      </c>
      <c r="D27" s="32">
        <v>8</v>
      </c>
      <c r="E27" s="57">
        <v>50</v>
      </c>
      <c r="F27" s="30">
        <f t="shared" si="0"/>
        <v>400</v>
      </c>
      <c r="H27" s="26">
        <v>8</v>
      </c>
      <c r="I27" s="65" t="s">
        <v>178</v>
      </c>
      <c r="J27" s="32" t="s">
        <v>19</v>
      </c>
      <c r="K27" s="32">
        <v>8</v>
      </c>
      <c r="L27" s="57">
        <v>50</v>
      </c>
      <c r="M27" s="30">
        <f t="shared" si="1"/>
        <v>400</v>
      </c>
      <c r="N27" s="85"/>
      <c r="O27" s="11"/>
    </row>
    <row r="28" spans="1:15" s="10" customFormat="1" ht="23.25" x14ac:dyDescent="0.3">
      <c r="A28" s="26">
        <v>9</v>
      </c>
      <c r="B28" s="65" t="s">
        <v>799</v>
      </c>
      <c r="C28" s="32" t="s">
        <v>20</v>
      </c>
      <c r="D28" s="32">
        <v>6</v>
      </c>
      <c r="E28" s="57">
        <v>30</v>
      </c>
      <c r="F28" s="30">
        <f t="shared" si="0"/>
        <v>180</v>
      </c>
      <c r="H28" s="26">
        <v>9</v>
      </c>
      <c r="I28" s="65" t="s">
        <v>799</v>
      </c>
      <c r="J28" s="32" t="s">
        <v>20</v>
      </c>
      <c r="K28" s="32">
        <v>6</v>
      </c>
      <c r="L28" s="57">
        <v>30</v>
      </c>
      <c r="M28" s="30">
        <f t="shared" si="1"/>
        <v>180</v>
      </c>
      <c r="N28" s="85"/>
      <c r="O28" s="11"/>
    </row>
    <row r="29" spans="1:15" s="10" customFormat="1" ht="23.25" x14ac:dyDescent="0.3">
      <c r="A29" s="26">
        <v>10</v>
      </c>
      <c r="B29" s="65" t="s">
        <v>800</v>
      </c>
      <c r="C29" s="32" t="s">
        <v>19</v>
      </c>
      <c r="D29" s="32">
        <v>3</v>
      </c>
      <c r="E29" s="57">
        <v>50</v>
      </c>
      <c r="F29" s="30">
        <f t="shared" si="0"/>
        <v>150</v>
      </c>
      <c r="H29" s="26">
        <v>10</v>
      </c>
      <c r="I29" s="65" t="s">
        <v>800</v>
      </c>
      <c r="J29" s="32" t="s">
        <v>19</v>
      </c>
      <c r="K29" s="32">
        <v>3</v>
      </c>
      <c r="L29" s="57">
        <v>50</v>
      </c>
      <c r="M29" s="30">
        <f t="shared" si="1"/>
        <v>150</v>
      </c>
      <c r="N29" s="85"/>
      <c r="O29" s="11"/>
    </row>
    <row r="30" spans="1:15" ht="23.25" x14ac:dyDescent="0.25">
      <c r="A30" s="69"/>
      <c r="B30" s="67"/>
      <c r="C30" s="67"/>
      <c r="D30" s="67"/>
      <c r="E30" s="68" t="s">
        <v>16</v>
      </c>
      <c r="F30" s="34">
        <f>SUM(F20:F29)</f>
        <v>14041</v>
      </c>
      <c r="H30" s="69"/>
      <c r="I30" s="67"/>
      <c r="J30" s="67"/>
      <c r="K30" s="67"/>
      <c r="L30" s="68" t="s">
        <v>16</v>
      </c>
      <c r="M30" s="34">
        <f>SUM(M20:M29)</f>
        <v>14041</v>
      </c>
    </row>
    <row r="31" spans="1:15" s="3" customFormat="1" ht="23.25" x14ac:dyDescent="0.35">
      <c r="A31" s="23"/>
      <c r="B31" s="24" t="s">
        <v>158</v>
      </c>
      <c r="C31" s="24"/>
      <c r="D31" s="24"/>
      <c r="E31" s="24"/>
      <c r="F31" s="25"/>
      <c r="H31" s="23"/>
      <c r="I31" s="24" t="s">
        <v>158</v>
      </c>
      <c r="J31" s="24"/>
      <c r="K31" s="24"/>
      <c r="L31" s="24"/>
      <c r="M31" s="25"/>
      <c r="N31" s="84">
        <f>F38</f>
        <v>6581.4</v>
      </c>
      <c r="O31" s="4"/>
    </row>
    <row r="32" spans="1:15" s="10" customFormat="1" ht="23.25" x14ac:dyDescent="0.3">
      <c r="A32" s="26">
        <v>1</v>
      </c>
      <c r="B32" s="65" t="s">
        <v>801</v>
      </c>
      <c r="C32" s="32" t="s">
        <v>19</v>
      </c>
      <c r="D32" s="32">
        <v>49.4</v>
      </c>
      <c r="E32" s="57">
        <v>30</v>
      </c>
      <c r="F32" s="30">
        <f t="shared" ref="F32:F37" si="2">D32*E32</f>
        <v>1482</v>
      </c>
      <c r="H32" s="26">
        <v>1</v>
      </c>
      <c r="I32" s="65" t="s">
        <v>801</v>
      </c>
      <c r="J32" s="32" t="s">
        <v>19</v>
      </c>
      <c r="K32" s="32">
        <v>49.4</v>
      </c>
      <c r="L32" s="57">
        <v>30</v>
      </c>
      <c r="M32" s="30">
        <f t="shared" ref="M32:M37" si="3">K32*L32</f>
        <v>1482</v>
      </c>
      <c r="N32" s="85"/>
      <c r="O32" s="11"/>
    </row>
    <row r="33" spans="1:15" s="10" customFormat="1" ht="23.25" x14ac:dyDescent="0.3">
      <c r="A33" s="26">
        <v>2</v>
      </c>
      <c r="B33" s="65" t="s">
        <v>139</v>
      </c>
      <c r="C33" s="32" t="s">
        <v>119</v>
      </c>
      <c r="D33" s="32">
        <v>0.7</v>
      </c>
      <c r="E33" s="57">
        <v>460</v>
      </c>
      <c r="F33" s="30">
        <f t="shared" si="2"/>
        <v>322</v>
      </c>
      <c r="H33" s="26">
        <v>2</v>
      </c>
      <c r="I33" s="65" t="s">
        <v>139</v>
      </c>
      <c r="J33" s="32" t="s">
        <v>119</v>
      </c>
      <c r="K33" s="32">
        <v>0.7</v>
      </c>
      <c r="L33" s="57">
        <v>460</v>
      </c>
      <c r="M33" s="30">
        <f t="shared" si="3"/>
        <v>322</v>
      </c>
      <c r="N33" s="85"/>
      <c r="O33" s="11"/>
    </row>
    <row r="34" spans="1:15" s="10" customFormat="1" ht="23.25" x14ac:dyDescent="0.3">
      <c r="A34" s="26">
        <v>3</v>
      </c>
      <c r="B34" s="65" t="s">
        <v>155</v>
      </c>
      <c r="C34" s="32" t="s">
        <v>20</v>
      </c>
      <c r="D34" s="32">
        <v>22.2</v>
      </c>
      <c r="E34" s="57">
        <v>150</v>
      </c>
      <c r="F34" s="30">
        <f t="shared" si="2"/>
        <v>3330</v>
      </c>
      <c r="H34" s="26">
        <v>3</v>
      </c>
      <c r="I34" s="65" t="s">
        <v>155</v>
      </c>
      <c r="J34" s="32" t="s">
        <v>20</v>
      </c>
      <c r="K34" s="32">
        <v>22.2</v>
      </c>
      <c r="L34" s="57">
        <v>150</v>
      </c>
      <c r="M34" s="30">
        <f t="shared" si="3"/>
        <v>3330</v>
      </c>
      <c r="N34" s="85"/>
      <c r="O34" s="11"/>
    </row>
    <row r="35" spans="1:15" s="10" customFormat="1" ht="23.25" x14ac:dyDescent="0.3">
      <c r="A35" s="26">
        <v>4</v>
      </c>
      <c r="B35" s="65" t="s">
        <v>160</v>
      </c>
      <c r="C35" s="32" t="s">
        <v>19</v>
      </c>
      <c r="D35" s="32">
        <v>8.5</v>
      </c>
      <c r="E35" s="57">
        <v>50</v>
      </c>
      <c r="F35" s="30">
        <f t="shared" si="2"/>
        <v>425</v>
      </c>
      <c r="H35" s="26">
        <v>4</v>
      </c>
      <c r="I35" s="65" t="s">
        <v>160</v>
      </c>
      <c r="J35" s="32" t="s">
        <v>19</v>
      </c>
      <c r="K35" s="32">
        <v>8.5</v>
      </c>
      <c r="L35" s="57">
        <v>50</v>
      </c>
      <c r="M35" s="30">
        <f t="shared" si="3"/>
        <v>425</v>
      </c>
      <c r="N35" s="85"/>
      <c r="O35" s="11"/>
    </row>
    <row r="36" spans="1:15" s="10" customFormat="1" ht="23.25" x14ac:dyDescent="0.3">
      <c r="A36" s="26">
        <v>5</v>
      </c>
      <c r="B36" s="65" t="s">
        <v>159</v>
      </c>
      <c r="C36" s="32" t="s">
        <v>20</v>
      </c>
      <c r="D36" s="32">
        <v>28.4</v>
      </c>
      <c r="E36" s="57">
        <v>30</v>
      </c>
      <c r="F36" s="30">
        <f t="shared" si="2"/>
        <v>852</v>
      </c>
      <c r="H36" s="26">
        <v>5</v>
      </c>
      <c r="I36" s="65" t="s">
        <v>159</v>
      </c>
      <c r="J36" s="32" t="s">
        <v>20</v>
      </c>
      <c r="K36" s="32">
        <v>28.4</v>
      </c>
      <c r="L36" s="57">
        <v>30</v>
      </c>
      <c r="M36" s="30">
        <f t="shared" si="3"/>
        <v>852</v>
      </c>
      <c r="N36" s="85"/>
      <c r="O36" s="11"/>
    </row>
    <row r="37" spans="1:15" s="10" customFormat="1" ht="23.25" x14ac:dyDescent="0.3">
      <c r="A37" s="26">
        <v>6</v>
      </c>
      <c r="B37" s="65" t="s">
        <v>161</v>
      </c>
      <c r="C37" s="32" t="s">
        <v>20</v>
      </c>
      <c r="D37" s="32">
        <v>28.4</v>
      </c>
      <c r="E37" s="57">
        <v>6</v>
      </c>
      <c r="F37" s="30">
        <f t="shared" si="2"/>
        <v>170.39999999999998</v>
      </c>
      <c r="H37" s="26">
        <v>6</v>
      </c>
      <c r="I37" s="65" t="s">
        <v>161</v>
      </c>
      <c r="J37" s="32" t="s">
        <v>20</v>
      </c>
      <c r="K37" s="32">
        <v>28.4</v>
      </c>
      <c r="L37" s="57">
        <v>6</v>
      </c>
      <c r="M37" s="30">
        <f t="shared" si="3"/>
        <v>170.39999999999998</v>
      </c>
      <c r="N37" s="85"/>
      <c r="O37" s="11"/>
    </row>
    <row r="38" spans="1:15" ht="23.25" x14ac:dyDescent="0.25">
      <c r="A38" s="69"/>
      <c r="B38" s="67"/>
      <c r="C38" s="67"/>
      <c r="D38" s="67"/>
      <c r="E38" s="68" t="s">
        <v>16</v>
      </c>
      <c r="F38" s="34">
        <f>SUM(F32:F37)</f>
        <v>6581.4</v>
      </c>
      <c r="H38" s="69"/>
      <c r="I38" s="67"/>
      <c r="J38" s="67"/>
      <c r="K38" s="67"/>
      <c r="L38" s="68" t="s">
        <v>16</v>
      </c>
      <c r="M38" s="34">
        <f>SUM(M32:M37)</f>
        <v>6581.4</v>
      </c>
    </row>
    <row r="39" spans="1:15" s="3" customFormat="1" ht="23.25" x14ac:dyDescent="0.35">
      <c r="A39" s="23"/>
      <c r="B39" s="24" t="s">
        <v>167</v>
      </c>
      <c r="C39" s="24"/>
      <c r="D39" s="24"/>
      <c r="E39" s="24"/>
      <c r="F39" s="25"/>
      <c r="H39" s="23"/>
      <c r="I39" s="24" t="s">
        <v>167</v>
      </c>
      <c r="J39" s="24"/>
      <c r="K39" s="24"/>
      <c r="L39" s="24"/>
      <c r="M39" s="25"/>
      <c r="N39" s="84">
        <f>F46</f>
        <v>5799.4</v>
      </c>
      <c r="O39" s="4"/>
    </row>
    <row r="40" spans="1:15" s="10" customFormat="1" ht="23.25" x14ac:dyDescent="0.3">
      <c r="A40" s="26">
        <v>1</v>
      </c>
      <c r="B40" s="65" t="s">
        <v>801</v>
      </c>
      <c r="C40" s="32" t="s">
        <v>19</v>
      </c>
      <c r="D40" s="32">
        <v>37.200000000000003</v>
      </c>
      <c r="E40" s="57">
        <v>30</v>
      </c>
      <c r="F40" s="30">
        <f t="shared" ref="F40:F45" si="4">D40*E40</f>
        <v>1116</v>
      </c>
      <c r="H40" s="26">
        <v>1</v>
      </c>
      <c r="I40" s="65" t="s">
        <v>801</v>
      </c>
      <c r="J40" s="32" t="s">
        <v>19</v>
      </c>
      <c r="K40" s="32">
        <v>37.200000000000003</v>
      </c>
      <c r="L40" s="57">
        <v>30</v>
      </c>
      <c r="M40" s="30">
        <f t="shared" ref="M40:M45" si="5">K40*L40</f>
        <v>1116</v>
      </c>
      <c r="N40" s="85"/>
      <c r="O40" s="11"/>
    </row>
    <row r="41" spans="1:15" s="10" customFormat="1" ht="23.25" x14ac:dyDescent="0.3">
      <c r="A41" s="26">
        <v>2</v>
      </c>
      <c r="B41" s="65" t="s">
        <v>139</v>
      </c>
      <c r="C41" s="32" t="s">
        <v>119</v>
      </c>
      <c r="D41" s="32">
        <v>0.5</v>
      </c>
      <c r="E41" s="57">
        <v>460</v>
      </c>
      <c r="F41" s="30">
        <f t="shared" si="4"/>
        <v>230</v>
      </c>
      <c r="H41" s="26">
        <v>2</v>
      </c>
      <c r="I41" s="65" t="s">
        <v>139</v>
      </c>
      <c r="J41" s="32" t="s">
        <v>119</v>
      </c>
      <c r="K41" s="32">
        <v>0.5</v>
      </c>
      <c r="L41" s="57">
        <v>460</v>
      </c>
      <c r="M41" s="30">
        <f t="shared" si="5"/>
        <v>230</v>
      </c>
      <c r="N41" s="85"/>
      <c r="O41" s="11"/>
    </row>
    <row r="42" spans="1:15" s="10" customFormat="1" ht="23.25" x14ac:dyDescent="0.3">
      <c r="A42" s="26">
        <v>3</v>
      </c>
      <c r="B42" s="65" t="s">
        <v>155</v>
      </c>
      <c r="C42" s="32" t="s">
        <v>20</v>
      </c>
      <c r="D42" s="32">
        <v>20.399999999999999</v>
      </c>
      <c r="E42" s="57">
        <v>150</v>
      </c>
      <c r="F42" s="30">
        <f t="shared" si="4"/>
        <v>3060</v>
      </c>
      <c r="H42" s="26">
        <v>3</v>
      </c>
      <c r="I42" s="65" t="s">
        <v>155</v>
      </c>
      <c r="J42" s="32" t="s">
        <v>20</v>
      </c>
      <c r="K42" s="32">
        <v>20.399999999999999</v>
      </c>
      <c r="L42" s="57">
        <v>150</v>
      </c>
      <c r="M42" s="30">
        <f t="shared" si="5"/>
        <v>3060</v>
      </c>
      <c r="N42" s="85"/>
      <c r="O42" s="11"/>
    </row>
    <row r="43" spans="1:15" s="10" customFormat="1" ht="23.25" x14ac:dyDescent="0.3">
      <c r="A43" s="26">
        <v>4</v>
      </c>
      <c r="B43" s="65" t="s">
        <v>168</v>
      </c>
      <c r="C43" s="32" t="s">
        <v>19</v>
      </c>
      <c r="D43" s="32">
        <v>10.3</v>
      </c>
      <c r="E43" s="57">
        <v>50</v>
      </c>
      <c r="F43" s="30">
        <f t="shared" si="4"/>
        <v>515</v>
      </c>
      <c r="H43" s="26">
        <v>4</v>
      </c>
      <c r="I43" s="65" t="s">
        <v>168</v>
      </c>
      <c r="J43" s="32" t="s">
        <v>19</v>
      </c>
      <c r="K43" s="32">
        <v>10.3</v>
      </c>
      <c r="L43" s="57">
        <v>50</v>
      </c>
      <c r="M43" s="30">
        <f t="shared" si="5"/>
        <v>515</v>
      </c>
      <c r="N43" s="85"/>
      <c r="O43" s="11"/>
    </row>
    <row r="44" spans="1:15" s="10" customFormat="1" ht="23.25" x14ac:dyDescent="0.3">
      <c r="A44" s="26">
        <v>5</v>
      </c>
      <c r="B44" s="65" t="s">
        <v>169</v>
      </c>
      <c r="C44" s="32" t="s">
        <v>20</v>
      </c>
      <c r="D44" s="32">
        <v>24.4</v>
      </c>
      <c r="E44" s="57">
        <v>30</v>
      </c>
      <c r="F44" s="30">
        <f t="shared" si="4"/>
        <v>732</v>
      </c>
      <c r="H44" s="26">
        <v>5</v>
      </c>
      <c r="I44" s="65" t="s">
        <v>169</v>
      </c>
      <c r="J44" s="32" t="s">
        <v>20</v>
      </c>
      <c r="K44" s="32">
        <v>24.4</v>
      </c>
      <c r="L44" s="57">
        <v>30</v>
      </c>
      <c r="M44" s="30">
        <f t="shared" si="5"/>
        <v>732</v>
      </c>
      <c r="N44" s="85"/>
      <c r="O44" s="11"/>
    </row>
    <row r="45" spans="1:15" s="10" customFormat="1" ht="23.25" x14ac:dyDescent="0.3">
      <c r="A45" s="26">
        <v>6</v>
      </c>
      <c r="B45" s="65" t="s">
        <v>161</v>
      </c>
      <c r="C45" s="32" t="s">
        <v>20</v>
      </c>
      <c r="D45" s="32">
        <v>24.4</v>
      </c>
      <c r="E45" s="57">
        <v>6</v>
      </c>
      <c r="F45" s="30">
        <f t="shared" si="4"/>
        <v>146.39999999999998</v>
      </c>
      <c r="H45" s="26">
        <v>6</v>
      </c>
      <c r="I45" s="65" t="s">
        <v>161</v>
      </c>
      <c r="J45" s="32" t="s">
        <v>20</v>
      </c>
      <c r="K45" s="32">
        <v>24.4</v>
      </c>
      <c r="L45" s="57">
        <v>6</v>
      </c>
      <c r="M45" s="30">
        <f t="shared" si="5"/>
        <v>146.39999999999998</v>
      </c>
      <c r="N45" s="85"/>
      <c r="O45" s="11"/>
    </row>
    <row r="46" spans="1:15" ht="23.25" x14ac:dyDescent="0.25">
      <c r="A46" s="69"/>
      <c r="B46" s="67"/>
      <c r="C46" s="67"/>
      <c r="D46" s="67"/>
      <c r="E46" s="68" t="s">
        <v>16</v>
      </c>
      <c r="F46" s="34">
        <f>SUM(F40:F45)</f>
        <v>5799.4</v>
      </c>
      <c r="H46" s="69"/>
      <c r="I46" s="67"/>
      <c r="J46" s="67"/>
      <c r="K46" s="67"/>
      <c r="L46" s="68" t="s">
        <v>16</v>
      </c>
      <c r="M46" s="34">
        <f>SUM(M40:M45)</f>
        <v>5799.4</v>
      </c>
    </row>
    <row r="47" spans="1:15" s="3" customFormat="1" ht="23.25" x14ac:dyDescent="0.35">
      <c r="A47" s="23"/>
      <c r="B47" s="24" t="s">
        <v>162</v>
      </c>
      <c r="C47" s="24"/>
      <c r="D47" s="24"/>
      <c r="E47" s="24"/>
      <c r="F47" s="25"/>
      <c r="H47" s="23"/>
      <c r="I47" s="24" t="s">
        <v>162</v>
      </c>
      <c r="J47" s="24"/>
      <c r="K47" s="24"/>
      <c r="L47" s="24"/>
      <c r="M47" s="25"/>
      <c r="N47" s="84">
        <f>F52</f>
        <v>1909</v>
      </c>
      <c r="O47" s="4"/>
    </row>
    <row r="48" spans="1:15" s="10" customFormat="1" ht="23.25" x14ac:dyDescent="0.3">
      <c r="A48" s="26">
        <v>1</v>
      </c>
      <c r="B48" s="65" t="s">
        <v>163</v>
      </c>
      <c r="C48" s="32" t="s">
        <v>20</v>
      </c>
      <c r="D48" s="32">
        <v>26</v>
      </c>
      <c r="E48" s="57">
        <v>30</v>
      </c>
      <c r="F48" s="30">
        <f>D48*E48</f>
        <v>780</v>
      </c>
      <c r="H48" s="26">
        <v>1</v>
      </c>
      <c r="I48" s="65" t="s">
        <v>163</v>
      </c>
      <c r="J48" s="32" t="s">
        <v>20</v>
      </c>
      <c r="K48" s="32">
        <v>26</v>
      </c>
      <c r="L48" s="57">
        <v>30</v>
      </c>
      <c r="M48" s="30">
        <f>K48*L48</f>
        <v>780</v>
      </c>
      <c r="N48" s="85"/>
      <c r="O48" s="11"/>
    </row>
    <row r="49" spans="1:15" s="10" customFormat="1" ht="23.25" x14ac:dyDescent="0.3">
      <c r="A49" s="26">
        <v>2</v>
      </c>
      <c r="B49" s="65" t="s">
        <v>164</v>
      </c>
      <c r="C49" s="32" t="s">
        <v>19</v>
      </c>
      <c r="D49" s="32">
        <v>12.8</v>
      </c>
      <c r="E49" s="57">
        <v>50</v>
      </c>
      <c r="F49" s="30">
        <f>D49*E49</f>
        <v>640</v>
      </c>
      <c r="H49" s="26">
        <v>2</v>
      </c>
      <c r="I49" s="65" t="s">
        <v>164</v>
      </c>
      <c r="J49" s="32" t="s">
        <v>19</v>
      </c>
      <c r="K49" s="32">
        <v>12.8</v>
      </c>
      <c r="L49" s="57">
        <v>50</v>
      </c>
      <c r="M49" s="30">
        <f>K49*L49</f>
        <v>640</v>
      </c>
      <c r="N49" s="85"/>
      <c r="O49" s="11"/>
    </row>
    <row r="50" spans="1:15" s="10" customFormat="1" ht="23.25" x14ac:dyDescent="0.3">
      <c r="A50" s="26">
        <v>3</v>
      </c>
      <c r="B50" s="65" t="s">
        <v>165</v>
      </c>
      <c r="C50" s="32" t="s">
        <v>20</v>
      </c>
      <c r="D50" s="32">
        <v>11.3</v>
      </c>
      <c r="E50" s="57">
        <v>30</v>
      </c>
      <c r="F50" s="30">
        <f>D50*E50</f>
        <v>339</v>
      </c>
      <c r="H50" s="26">
        <v>3</v>
      </c>
      <c r="I50" s="65" t="s">
        <v>165</v>
      </c>
      <c r="J50" s="32" t="s">
        <v>20</v>
      </c>
      <c r="K50" s="32">
        <v>11.3</v>
      </c>
      <c r="L50" s="57">
        <v>30</v>
      </c>
      <c r="M50" s="30">
        <f>K50*L50</f>
        <v>339</v>
      </c>
      <c r="N50" s="85"/>
      <c r="O50" s="11"/>
    </row>
    <row r="51" spans="1:15" s="10" customFormat="1" ht="23.25" x14ac:dyDescent="0.3">
      <c r="A51" s="26">
        <v>4</v>
      </c>
      <c r="B51" s="65" t="s">
        <v>166</v>
      </c>
      <c r="C51" s="32" t="s">
        <v>19</v>
      </c>
      <c r="D51" s="32">
        <v>3</v>
      </c>
      <c r="E51" s="57">
        <v>50</v>
      </c>
      <c r="F51" s="30">
        <f>D51*E51</f>
        <v>150</v>
      </c>
      <c r="H51" s="26">
        <v>4</v>
      </c>
      <c r="I51" s="65" t="s">
        <v>166</v>
      </c>
      <c r="J51" s="32" t="s">
        <v>19</v>
      </c>
      <c r="K51" s="32">
        <v>3</v>
      </c>
      <c r="L51" s="57">
        <v>50</v>
      </c>
      <c r="M51" s="30">
        <f>K51*L51</f>
        <v>150</v>
      </c>
      <c r="N51" s="85"/>
      <c r="O51" s="11"/>
    </row>
    <row r="52" spans="1:15" ht="23.25" x14ac:dyDescent="0.25">
      <c r="A52" s="69"/>
      <c r="B52" s="67"/>
      <c r="C52" s="67"/>
      <c r="D52" s="67"/>
      <c r="E52" s="68" t="s">
        <v>16</v>
      </c>
      <c r="F52" s="34">
        <f>SUM(F48:F51)</f>
        <v>1909</v>
      </c>
      <c r="H52" s="69"/>
      <c r="I52" s="67"/>
      <c r="J52" s="67"/>
      <c r="K52" s="67"/>
      <c r="L52" s="68" t="s">
        <v>16</v>
      </c>
      <c r="M52" s="34">
        <f>SUM(M48:M51)</f>
        <v>1909</v>
      </c>
    </row>
    <row r="53" spans="1:15" s="3" customFormat="1" ht="23.25" x14ac:dyDescent="0.35">
      <c r="A53" s="23"/>
      <c r="B53" s="24" t="s">
        <v>175</v>
      </c>
      <c r="C53" s="24"/>
      <c r="D53" s="24"/>
      <c r="E53" s="24"/>
      <c r="F53" s="25"/>
      <c r="H53" s="23"/>
      <c r="I53" s="24" t="s">
        <v>175</v>
      </c>
      <c r="J53" s="24"/>
      <c r="K53" s="24"/>
      <c r="L53" s="24"/>
      <c r="M53" s="25"/>
      <c r="N53" s="84">
        <f>F61</f>
        <v>26077</v>
      </c>
      <c r="O53" s="4"/>
    </row>
    <row r="54" spans="1:15" s="10" customFormat="1" ht="23.25" x14ac:dyDescent="0.3">
      <c r="A54" s="26">
        <v>1</v>
      </c>
      <c r="B54" s="65" t="s">
        <v>176</v>
      </c>
      <c r="C54" s="32" t="s">
        <v>19</v>
      </c>
      <c r="D54" s="32">
        <v>250.6</v>
      </c>
      <c r="E54" s="57">
        <v>5</v>
      </c>
      <c r="F54" s="30">
        <f t="shared" ref="F54:F60" si="6">D54*E54</f>
        <v>1253</v>
      </c>
      <c r="H54" s="26">
        <v>1</v>
      </c>
      <c r="I54" s="65" t="s">
        <v>176</v>
      </c>
      <c r="J54" s="32" t="s">
        <v>19</v>
      </c>
      <c r="K54" s="32">
        <v>250.6</v>
      </c>
      <c r="L54" s="57">
        <v>5</v>
      </c>
      <c r="M54" s="30">
        <f t="shared" ref="M54:M60" si="7">K54*L54</f>
        <v>1253</v>
      </c>
      <c r="N54" s="85"/>
      <c r="O54" s="11"/>
    </row>
    <row r="55" spans="1:15" s="10" customFormat="1" ht="23.25" x14ac:dyDescent="0.3">
      <c r="A55" s="26">
        <v>2</v>
      </c>
      <c r="B55" s="65" t="s">
        <v>803</v>
      </c>
      <c r="C55" s="32" t="s">
        <v>19</v>
      </c>
      <c r="D55" s="32">
        <v>269.3</v>
      </c>
      <c r="E55" s="57">
        <v>80</v>
      </c>
      <c r="F55" s="30">
        <f t="shared" si="6"/>
        <v>21544</v>
      </c>
      <c r="H55" s="26">
        <v>2</v>
      </c>
      <c r="I55" s="65" t="s">
        <v>803</v>
      </c>
      <c r="J55" s="32" t="s">
        <v>19</v>
      </c>
      <c r="K55" s="32">
        <v>269.3</v>
      </c>
      <c r="L55" s="57">
        <v>80</v>
      </c>
      <c r="M55" s="30">
        <f t="shared" si="7"/>
        <v>21544</v>
      </c>
      <c r="N55" s="85"/>
      <c r="O55" s="11"/>
    </row>
    <row r="56" spans="1:15" s="10" customFormat="1" ht="23.25" x14ac:dyDescent="0.3">
      <c r="A56" s="26">
        <v>3</v>
      </c>
      <c r="B56" s="65" t="s">
        <v>177</v>
      </c>
      <c r="C56" s="32" t="s">
        <v>20</v>
      </c>
      <c r="D56" s="32">
        <v>11.6</v>
      </c>
      <c r="E56" s="57">
        <v>30</v>
      </c>
      <c r="F56" s="30">
        <f t="shared" si="6"/>
        <v>348</v>
      </c>
      <c r="H56" s="26">
        <v>3</v>
      </c>
      <c r="I56" s="65" t="s">
        <v>177</v>
      </c>
      <c r="J56" s="32" t="s">
        <v>20</v>
      </c>
      <c r="K56" s="32">
        <v>11.6</v>
      </c>
      <c r="L56" s="57">
        <v>30</v>
      </c>
      <c r="M56" s="30">
        <f t="shared" si="7"/>
        <v>348</v>
      </c>
      <c r="N56" s="85"/>
      <c r="O56" s="11"/>
    </row>
    <row r="57" spans="1:15" s="10" customFormat="1" ht="23.25" x14ac:dyDescent="0.3">
      <c r="A57" s="26">
        <v>4</v>
      </c>
      <c r="B57" s="65" t="s">
        <v>178</v>
      </c>
      <c r="C57" s="32" t="s">
        <v>19</v>
      </c>
      <c r="D57" s="32">
        <v>4.5999999999999996</v>
      </c>
      <c r="E57" s="57">
        <v>50</v>
      </c>
      <c r="F57" s="30">
        <f t="shared" si="6"/>
        <v>229.99999999999997</v>
      </c>
      <c r="H57" s="26">
        <v>4</v>
      </c>
      <c r="I57" s="65" t="s">
        <v>178</v>
      </c>
      <c r="J57" s="32" t="s">
        <v>19</v>
      </c>
      <c r="K57" s="32">
        <v>4.5999999999999996</v>
      </c>
      <c r="L57" s="57">
        <v>50</v>
      </c>
      <c r="M57" s="30">
        <f t="shared" si="7"/>
        <v>229.99999999999997</v>
      </c>
      <c r="N57" s="85"/>
      <c r="O57" s="11"/>
    </row>
    <row r="58" spans="1:15" s="10" customFormat="1" ht="23.25" x14ac:dyDescent="0.3">
      <c r="A58" s="26">
        <v>5</v>
      </c>
      <c r="B58" s="65" t="s">
        <v>139</v>
      </c>
      <c r="C58" s="32" t="s">
        <v>119</v>
      </c>
      <c r="D58" s="32">
        <v>3.6</v>
      </c>
      <c r="E58" s="57">
        <v>460</v>
      </c>
      <c r="F58" s="30">
        <f t="shared" si="6"/>
        <v>1656</v>
      </c>
      <c r="H58" s="26">
        <v>5</v>
      </c>
      <c r="I58" s="65" t="s">
        <v>139</v>
      </c>
      <c r="J58" s="32" t="s">
        <v>119</v>
      </c>
      <c r="K58" s="32">
        <v>3.6</v>
      </c>
      <c r="L58" s="57">
        <v>460</v>
      </c>
      <c r="M58" s="30">
        <f t="shared" si="7"/>
        <v>1656</v>
      </c>
      <c r="N58" s="85"/>
      <c r="O58" s="11"/>
    </row>
    <row r="59" spans="1:15" s="10" customFormat="1" ht="23.25" x14ac:dyDescent="0.3">
      <c r="A59" s="26">
        <v>6</v>
      </c>
      <c r="B59" s="65" t="s">
        <v>805</v>
      </c>
      <c r="C59" s="32" t="s">
        <v>20</v>
      </c>
      <c r="D59" s="32">
        <v>18.2</v>
      </c>
      <c r="E59" s="57">
        <v>30</v>
      </c>
      <c r="F59" s="30">
        <f t="shared" si="6"/>
        <v>546</v>
      </c>
      <c r="H59" s="26">
        <v>6</v>
      </c>
      <c r="I59" s="65" t="s">
        <v>805</v>
      </c>
      <c r="J59" s="32" t="s">
        <v>20</v>
      </c>
      <c r="K59" s="32">
        <v>18.2</v>
      </c>
      <c r="L59" s="57">
        <v>30</v>
      </c>
      <c r="M59" s="30">
        <f t="shared" si="7"/>
        <v>546</v>
      </c>
      <c r="N59" s="85"/>
      <c r="O59" s="11"/>
    </row>
    <row r="60" spans="1:15" s="10" customFormat="1" ht="23.25" x14ac:dyDescent="0.3">
      <c r="A60" s="26">
        <v>7</v>
      </c>
      <c r="B60" s="65" t="s">
        <v>804</v>
      </c>
      <c r="C60" s="32" t="s">
        <v>19</v>
      </c>
      <c r="D60" s="32">
        <v>10</v>
      </c>
      <c r="E60" s="57">
        <v>50</v>
      </c>
      <c r="F60" s="30">
        <f t="shared" si="6"/>
        <v>500</v>
      </c>
      <c r="H60" s="26">
        <v>7</v>
      </c>
      <c r="I60" s="65" t="s">
        <v>804</v>
      </c>
      <c r="J60" s="32" t="s">
        <v>19</v>
      </c>
      <c r="K60" s="32">
        <v>10</v>
      </c>
      <c r="L60" s="57">
        <v>50</v>
      </c>
      <c r="M60" s="30">
        <f t="shared" si="7"/>
        <v>500</v>
      </c>
      <c r="N60" s="85"/>
      <c r="O60" s="11"/>
    </row>
    <row r="61" spans="1:15" ht="23.25" x14ac:dyDescent="0.25">
      <c r="A61" s="69"/>
      <c r="B61" s="67"/>
      <c r="C61" s="67"/>
      <c r="D61" s="67"/>
      <c r="E61" s="68" t="s">
        <v>16</v>
      </c>
      <c r="F61" s="34">
        <f>SUM(F54:F60)</f>
        <v>26077</v>
      </c>
      <c r="H61" s="69"/>
      <c r="I61" s="67"/>
      <c r="J61" s="67"/>
      <c r="K61" s="67"/>
      <c r="L61" s="68" t="s">
        <v>16</v>
      </c>
      <c r="M61" s="34">
        <f>SUM(M54:M60)</f>
        <v>26077</v>
      </c>
    </row>
    <row r="62" spans="1:15" s="3" customFormat="1" ht="23.25" x14ac:dyDescent="0.35">
      <c r="A62" s="23"/>
      <c r="B62" s="24" t="s">
        <v>179</v>
      </c>
      <c r="C62" s="24"/>
      <c r="D62" s="24"/>
      <c r="E62" s="24"/>
      <c r="F62" s="25"/>
      <c r="H62" s="23"/>
      <c r="I62" s="24" t="s">
        <v>179</v>
      </c>
      <c r="J62" s="24"/>
      <c r="K62" s="24"/>
      <c r="L62" s="24"/>
      <c r="M62" s="25"/>
      <c r="N62" s="84">
        <f>F67</f>
        <v>32015</v>
      </c>
      <c r="O62" s="4"/>
    </row>
    <row r="63" spans="1:15" s="10" customFormat="1" ht="23.25" x14ac:dyDescent="0.3">
      <c r="A63" s="26">
        <v>1</v>
      </c>
      <c r="B63" s="65" t="s">
        <v>180</v>
      </c>
      <c r="C63" s="32" t="s">
        <v>19</v>
      </c>
      <c r="D63" s="32">
        <v>440</v>
      </c>
      <c r="E63" s="57">
        <v>30</v>
      </c>
      <c r="F63" s="30">
        <f>D63*E63</f>
        <v>13200</v>
      </c>
      <c r="H63" s="26">
        <v>1</v>
      </c>
      <c r="I63" s="65" t="s">
        <v>180</v>
      </c>
      <c r="J63" s="32" t="s">
        <v>19</v>
      </c>
      <c r="K63" s="32">
        <v>440</v>
      </c>
      <c r="L63" s="57">
        <v>30</v>
      </c>
      <c r="M63" s="30">
        <f>K63*L63</f>
        <v>13200</v>
      </c>
      <c r="N63" s="85"/>
      <c r="O63" s="11"/>
    </row>
    <row r="64" spans="1:15" s="10" customFormat="1" ht="23.25" x14ac:dyDescent="0.3">
      <c r="A64" s="26">
        <v>2</v>
      </c>
      <c r="B64" s="65" t="s">
        <v>139</v>
      </c>
      <c r="C64" s="32" t="s">
        <v>119</v>
      </c>
      <c r="D64" s="32">
        <v>7.5</v>
      </c>
      <c r="E64" s="57">
        <v>460</v>
      </c>
      <c r="F64" s="30">
        <f>D64*E64</f>
        <v>3450</v>
      </c>
      <c r="H64" s="26">
        <v>2</v>
      </c>
      <c r="I64" s="65" t="s">
        <v>139</v>
      </c>
      <c r="J64" s="32" t="s">
        <v>119</v>
      </c>
      <c r="K64" s="32">
        <v>7.5</v>
      </c>
      <c r="L64" s="57">
        <v>460</v>
      </c>
      <c r="M64" s="30">
        <f>K64*L64</f>
        <v>3450</v>
      </c>
      <c r="N64" s="85"/>
      <c r="O64" s="11"/>
    </row>
    <row r="65" spans="1:15" s="10" customFormat="1" ht="23.25" x14ac:dyDescent="0.3">
      <c r="A65" s="26">
        <v>3</v>
      </c>
      <c r="B65" s="65" t="s">
        <v>806</v>
      </c>
      <c r="C65" s="32" t="s">
        <v>19</v>
      </c>
      <c r="D65" s="32">
        <v>135.69999999999999</v>
      </c>
      <c r="E65" s="57">
        <v>50</v>
      </c>
      <c r="F65" s="30">
        <f>D65*E65</f>
        <v>6784.9999999999991</v>
      </c>
      <c r="H65" s="26">
        <v>3</v>
      </c>
      <c r="I65" s="65" t="s">
        <v>806</v>
      </c>
      <c r="J65" s="32" t="s">
        <v>19</v>
      </c>
      <c r="K65" s="32">
        <v>135.69999999999999</v>
      </c>
      <c r="L65" s="57">
        <v>50</v>
      </c>
      <c r="M65" s="30">
        <f>K65*L65</f>
        <v>6784.9999999999991</v>
      </c>
      <c r="N65" s="85"/>
      <c r="O65" s="11"/>
    </row>
    <row r="66" spans="1:15" s="10" customFormat="1" ht="23.25" x14ac:dyDescent="0.3">
      <c r="A66" s="26">
        <v>4</v>
      </c>
      <c r="B66" s="65" t="s">
        <v>807</v>
      </c>
      <c r="C66" s="32" t="s">
        <v>20</v>
      </c>
      <c r="D66" s="32">
        <v>286</v>
      </c>
      <c r="E66" s="57">
        <v>30</v>
      </c>
      <c r="F66" s="30">
        <f>D66*E66</f>
        <v>8580</v>
      </c>
      <c r="H66" s="26">
        <v>4</v>
      </c>
      <c r="I66" s="65" t="s">
        <v>807</v>
      </c>
      <c r="J66" s="32" t="s">
        <v>20</v>
      </c>
      <c r="K66" s="32">
        <v>286</v>
      </c>
      <c r="L66" s="57">
        <v>30</v>
      </c>
      <c r="M66" s="30">
        <f>K66*L66</f>
        <v>8580</v>
      </c>
      <c r="N66" s="85"/>
      <c r="O66" s="11"/>
    </row>
    <row r="67" spans="1:15" ht="23.25" x14ac:dyDescent="0.25">
      <c r="A67" s="69"/>
      <c r="B67" s="67"/>
      <c r="C67" s="67"/>
      <c r="D67" s="67"/>
      <c r="E67" s="68" t="s">
        <v>16</v>
      </c>
      <c r="F67" s="34">
        <f>SUM(F63:F66)</f>
        <v>32015</v>
      </c>
      <c r="H67" s="69"/>
      <c r="I67" s="67"/>
      <c r="J67" s="67"/>
      <c r="K67" s="67"/>
      <c r="L67" s="68" t="s">
        <v>16</v>
      </c>
      <c r="M67" s="34">
        <f>SUM(M63:M66)</f>
        <v>32015</v>
      </c>
    </row>
    <row r="68" spans="1:15" s="3" customFormat="1" ht="23.25" x14ac:dyDescent="0.35">
      <c r="A68" s="23"/>
      <c r="B68" s="24" t="s">
        <v>181</v>
      </c>
      <c r="C68" s="24"/>
      <c r="D68" s="24"/>
      <c r="E68" s="24"/>
      <c r="F68" s="25"/>
      <c r="H68" s="23"/>
      <c r="I68" s="24" t="s">
        <v>181</v>
      </c>
      <c r="J68" s="24"/>
      <c r="K68" s="24"/>
      <c r="L68" s="24"/>
      <c r="M68" s="25"/>
      <c r="N68" s="84">
        <f>F70</f>
        <v>184050</v>
      </c>
      <c r="O68" s="4"/>
    </row>
    <row r="69" spans="1:15" s="10" customFormat="1" ht="46.5" x14ac:dyDescent="0.3">
      <c r="A69" s="26">
        <v>1</v>
      </c>
      <c r="B69" s="31" t="s">
        <v>182</v>
      </c>
      <c r="C69" s="32" t="s">
        <v>20</v>
      </c>
      <c r="D69" s="88">
        <f>63+550.5</f>
        <v>613.5</v>
      </c>
      <c r="E69" s="57">
        <v>300</v>
      </c>
      <c r="F69" s="30">
        <f>D69*E69</f>
        <v>184050</v>
      </c>
      <c r="H69" s="26">
        <v>1</v>
      </c>
      <c r="I69" s="31" t="s">
        <v>182</v>
      </c>
      <c r="J69" s="32" t="s">
        <v>20</v>
      </c>
      <c r="K69" s="88">
        <f>63+550.5</f>
        <v>613.5</v>
      </c>
      <c r="L69" s="57">
        <v>300</v>
      </c>
      <c r="M69" s="30">
        <f>K69*L69</f>
        <v>184050</v>
      </c>
      <c r="N69" s="85"/>
      <c r="O69" s="11"/>
    </row>
    <row r="70" spans="1:15" ht="23.25" x14ac:dyDescent="0.25">
      <c r="A70" s="69"/>
      <c r="B70" s="67"/>
      <c r="C70" s="67"/>
      <c r="D70" s="67"/>
      <c r="E70" s="68" t="s">
        <v>16</v>
      </c>
      <c r="F70" s="34">
        <f>SUM(F69:F69)</f>
        <v>184050</v>
      </c>
      <c r="H70" s="69"/>
      <c r="I70" s="67"/>
      <c r="J70" s="67"/>
      <c r="K70" s="67"/>
      <c r="L70" s="68" t="s">
        <v>16</v>
      </c>
      <c r="M70" s="34">
        <f>SUM(M69:M69)</f>
        <v>184050</v>
      </c>
    </row>
    <row r="71" spans="1:15" s="3" customFormat="1" ht="23.25" x14ac:dyDescent="0.35">
      <c r="A71" s="23"/>
      <c r="B71" s="24" t="s">
        <v>193</v>
      </c>
      <c r="C71" s="24"/>
      <c r="D71" s="24"/>
      <c r="E71" s="24"/>
      <c r="F71" s="25"/>
      <c r="H71" s="23"/>
      <c r="I71" s="24" t="s">
        <v>193</v>
      </c>
      <c r="J71" s="24"/>
      <c r="K71" s="24"/>
      <c r="L71" s="24"/>
      <c r="M71" s="25"/>
      <c r="N71" s="84">
        <f>F105</f>
        <v>122623.242</v>
      </c>
      <c r="O71" s="4"/>
    </row>
    <row r="72" spans="1:15" s="10" customFormat="1" ht="23.25" x14ac:dyDescent="0.3">
      <c r="A72" s="26">
        <v>1</v>
      </c>
      <c r="B72" s="65" t="s">
        <v>194</v>
      </c>
      <c r="C72" s="32" t="s">
        <v>20</v>
      </c>
      <c r="D72" s="32">
        <v>114.2</v>
      </c>
      <c r="E72" s="75">
        <v>9.5299999999999994</v>
      </c>
      <c r="F72" s="30">
        <f t="shared" ref="F72:F104" si="8">D72*E72</f>
        <v>1088.326</v>
      </c>
      <c r="H72" s="26">
        <v>1</v>
      </c>
      <c r="I72" s="65" t="s">
        <v>194</v>
      </c>
      <c r="J72" s="32" t="s">
        <v>20</v>
      </c>
      <c r="K72" s="32">
        <v>114.2</v>
      </c>
      <c r="L72" s="75">
        <v>9.5299999999999994</v>
      </c>
      <c r="M72" s="30">
        <f t="shared" ref="M72:M96" si="9">K72*L72</f>
        <v>1088.326</v>
      </c>
      <c r="N72" s="85"/>
      <c r="O72" s="11"/>
    </row>
    <row r="73" spans="1:15" s="10" customFormat="1" ht="23.25" x14ac:dyDescent="0.3">
      <c r="A73" s="26">
        <v>2</v>
      </c>
      <c r="B73" s="65" t="s">
        <v>808</v>
      </c>
      <c r="C73" s="32" t="s">
        <v>20</v>
      </c>
      <c r="D73" s="32">
        <v>44</v>
      </c>
      <c r="E73" s="57">
        <v>30</v>
      </c>
      <c r="F73" s="30">
        <f t="shared" si="8"/>
        <v>1320</v>
      </c>
      <c r="H73" s="26">
        <v>2</v>
      </c>
      <c r="I73" s="65" t="s">
        <v>808</v>
      </c>
      <c r="J73" s="32" t="s">
        <v>20</v>
      </c>
      <c r="K73" s="32">
        <v>44</v>
      </c>
      <c r="L73" s="57">
        <v>30</v>
      </c>
      <c r="M73" s="30">
        <f t="shared" si="9"/>
        <v>1320</v>
      </c>
      <c r="N73" s="85"/>
      <c r="O73" s="11"/>
    </row>
    <row r="74" spans="1:15" s="10" customFormat="1" ht="23.25" x14ac:dyDescent="0.3">
      <c r="A74" s="26">
        <v>3</v>
      </c>
      <c r="B74" s="65" t="s">
        <v>809</v>
      </c>
      <c r="C74" s="32" t="s">
        <v>19</v>
      </c>
      <c r="D74" s="32">
        <v>28.4</v>
      </c>
      <c r="E74" s="57">
        <v>50</v>
      </c>
      <c r="F74" s="30">
        <f t="shared" si="8"/>
        <v>1420</v>
      </c>
      <c r="H74" s="26">
        <v>3</v>
      </c>
      <c r="I74" s="65" t="s">
        <v>809</v>
      </c>
      <c r="J74" s="32" t="s">
        <v>19</v>
      </c>
      <c r="K74" s="32">
        <v>28.4</v>
      </c>
      <c r="L74" s="57">
        <v>50</v>
      </c>
      <c r="M74" s="30">
        <f t="shared" si="9"/>
        <v>1420</v>
      </c>
      <c r="N74" s="85"/>
      <c r="O74" s="11"/>
    </row>
    <row r="75" spans="1:15" s="10" customFormat="1" ht="23.25" x14ac:dyDescent="0.3">
      <c r="A75" s="26">
        <v>4</v>
      </c>
      <c r="B75" s="65" t="s">
        <v>810</v>
      </c>
      <c r="C75" s="32" t="s">
        <v>20</v>
      </c>
      <c r="D75" s="32">
        <v>4.2</v>
      </c>
      <c r="E75" s="57">
        <v>30</v>
      </c>
      <c r="F75" s="30">
        <f t="shared" si="8"/>
        <v>126</v>
      </c>
      <c r="H75" s="26">
        <v>4</v>
      </c>
      <c r="I75" s="65" t="s">
        <v>810</v>
      </c>
      <c r="J75" s="32" t="s">
        <v>20</v>
      </c>
      <c r="K75" s="32">
        <v>4.2</v>
      </c>
      <c r="L75" s="57">
        <v>30</v>
      </c>
      <c r="M75" s="30">
        <f t="shared" si="9"/>
        <v>126</v>
      </c>
      <c r="N75" s="85"/>
      <c r="O75" s="11"/>
    </row>
    <row r="76" spans="1:15" s="10" customFormat="1" ht="23.25" x14ac:dyDescent="0.3">
      <c r="A76" s="26">
        <v>5</v>
      </c>
      <c r="B76" s="65" t="s">
        <v>800</v>
      </c>
      <c r="C76" s="32" t="s">
        <v>19</v>
      </c>
      <c r="D76" s="32">
        <v>1.2</v>
      </c>
      <c r="E76" s="57">
        <v>50</v>
      </c>
      <c r="F76" s="30">
        <f t="shared" si="8"/>
        <v>60</v>
      </c>
      <c r="H76" s="26">
        <v>5</v>
      </c>
      <c r="I76" s="65" t="s">
        <v>800</v>
      </c>
      <c r="J76" s="32" t="s">
        <v>19</v>
      </c>
      <c r="K76" s="32">
        <v>1.2</v>
      </c>
      <c r="L76" s="57">
        <v>50</v>
      </c>
      <c r="M76" s="30">
        <f t="shared" si="9"/>
        <v>60</v>
      </c>
      <c r="N76" s="85"/>
      <c r="O76" s="11"/>
    </row>
    <row r="77" spans="1:15" s="10" customFormat="1" ht="23.25" x14ac:dyDescent="0.3">
      <c r="A77" s="26">
        <v>6</v>
      </c>
      <c r="B77" s="65" t="s">
        <v>155</v>
      </c>
      <c r="C77" s="32" t="s">
        <v>20</v>
      </c>
      <c r="D77" s="32">
        <v>251.8</v>
      </c>
      <c r="E77" s="57">
        <v>150</v>
      </c>
      <c r="F77" s="30">
        <f t="shared" si="8"/>
        <v>37770</v>
      </c>
      <c r="H77" s="26">
        <v>6</v>
      </c>
      <c r="I77" s="65" t="s">
        <v>155</v>
      </c>
      <c r="J77" s="32" t="s">
        <v>20</v>
      </c>
      <c r="K77" s="32">
        <v>251.8</v>
      </c>
      <c r="L77" s="57">
        <v>150</v>
      </c>
      <c r="M77" s="30">
        <f t="shared" si="9"/>
        <v>37770</v>
      </c>
      <c r="N77" s="85"/>
      <c r="O77" s="11"/>
    </row>
    <row r="78" spans="1:15" s="10" customFormat="1" ht="23.25" x14ac:dyDescent="0.3">
      <c r="A78" s="26">
        <v>7</v>
      </c>
      <c r="B78" s="65" t="s">
        <v>195</v>
      </c>
      <c r="C78" s="32" t="s">
        <v>113</v>
      </c>
      <c r="D78" s="32">
        <v>1</v>
      </c>
      <c r="E78" s="57">
        <v>44500</v>
      </c>
      <c r="F78" s="30">
        <f t="shared" si="8"/>
        <v>44500</v>
      </c>
      <c r="H78" s="26">
        <v>7</v>
      </c>
      <c r="I78" s="65" t="s">
        <v>195</v>
      </c>
      <c r="J78" s="32" t="s">
        <v>113</v>
      </c>
      <c r="K78" s="32">
        <v>1</v>
      </c>
      <c r="L78" s="57">
        <v>44500</v>
      </c>
      <c r="M78" s="30">
        <f t="shared" si="9"/>
        <v>44500</v>
      </c>
      <c r="N78" s="85"/>
      <c r="O78" s="11"/>
    </row>
    <row r="79" spans="1:15" s="10" customFormat="1" ht="23.25" x14ac:dyDescent="0.3">
      <c r="A79" s="26">
        <v>8</v>
      </c>
      <c r="B79" s="65" t="s">
        <v>196</v>
      </c>
      <c r="C79" s="32" t="s">
        <v>113</v>
      </c>
      <c r="D79" s="32">
        <v>1</v>
      </c>
      <c r="E79" s="57">
        <v>3500</v>
      </c>
      <c r="F79" s="30">
        <f t="shared" si="8"/>
        <v>3500</v>
      </c>
      <c r="H79" s="26">
        <v>8</v>
      </c>
      <c r="I79" s="65" t="s">
        <v>196</v>
      </c>
      <c r="J79" s="32" t="s">
        <v>113</v>
      </c>
      <c r="K79" s="32">
        <v>1</v>
      </c>
      <c r="L79" s="57">
        <v>3500</v>
      </c>
      <c r="M79" s="30">
        <f t="shared" si="9"/>
        <v>3500</v>
      </c>
      <c r="N79" s="85"/>
      <c r="O79" s="11"/>
    </row>
    <row r="80" spans="1:15" s="10" customFormat="1" ht="23.25" x14ac:dyDescent="0.3">
      <c r="A80" s="26">
        <v>9</v>
      </c>
      <c r="B80" s="65" t="s">
        <v>811</v>
      </c>
      <c r="C80" s="32" t="s">
        <v>20</v>
      </c>
      <c r="D80" s="32">
        <v>19</v>
      </c>
      <c r="E80" s="57">
        <v>30</v>
      </c>
      <c r="F80" s="30">
        <f t="shared" si="8"/>
        <v>570</v>
      </c>
      <c r="H80" s="26">
        <v>9</v>
      </c>
      <c r="I80" s="65" t="s">
        <v>811</v>
      </c>
      <c r="J80" s="32" t="s">
        <v>20</v>
      </c>
      <c r="K80" s="32">
        <v>19</v>
      </c>
      <c r="L80" s="57">
        <v>30</v>
      </c>
      <c r="M80" s="30">
        <f t="shared" si="9"/>
        <v>570</v>
      </c>
      <c r="N80" s="85"/>
      <c r="O80" s="11"/>
    </row>
    <row r="81" spans="1:15" s="10" customFormat="1" ht="23.25" x14ac:dyDescent="0.3">
      <c r="A81" s="26">
        <v>10</v>
      </c>
      <c r="B81" s="65" t="s">
        <v>812</v>
      </c>
      <c r="C81" s="32" t="s">
        <v>19</v>
      </c>
      <c r="D81" s="32">
        <v>12.4</v>
      </c>
      <c r="E81" s="57">
        <v>50</v>
      </c>
      <c r="F81" s="30">
        <f t="shared" si="8"/>
        <v>620</v>
      </c>
      <c r="H81" s="26">
        <v>10</v>
      </c>
      <c r="I81" s="65" t="s">
        <v>812</v>
      </c>
      <c r="J81" s="32" t="s">
        <v>19</v>
      </c>
      <c r="K81" s="32">
        <v>12.4</v>
      </c>
      <c r="L81" s="57">
        <v>50</v>
      </c>
      <c r="M81" s="30">
        <f t="shared" si="9"/>
        <v>620</v>
      </c>
      <c r="N81" s="85"/>
      <c r="O81" s="11"/>
    </row>
    <row r="82" spans="1:15" s="10" customFormat="1" ht="23.25" x14ac:dyDescent="0.3">
      <c r="A82" s="26">
        <v>11</v>
      </c>
      <c r="B82" s="65" t="s">
        <v>813</v>
      </c>
      <c r="C82" s="32" t="s">
        <v>20</v>
      </c>
      <c r="D82" s="32">
        <v>19</v>
      </c>
      <c r="E82" s="57">
        <v>30</v>
      </c>
      <c r="F82" s="30">
        <f t="shared" si="8"/>
        <v>570</v>
      </c>
      <c r="H82" s="26">
        <v>11</v>
      </c>
      <c r="I82" s="65" t="s">
        <v>813</v>
      </c>
      <c r="J82" s="32" t="s">
        <v>20</v>
      </c>
      <c r="K82" s="32">
        <v>19</v>
      </c>
      <c r="L82" s="57">
        <v>30</v>
      </c>
      <c r="M82" s="30">
        <f t="shared" si="9"/>
        <v>570</v>
      </c>
      <c r="N82" s="85"/>
      <c r="O82" s="11"/>
    </row>
    <row r="83" spans="1:15" s="10" customFormat="1" ht="23.25" x14ac:dyDescent="0.3">
      <c r="A83" s="26">
        <v>12</v>
      </c>
      <c r="B83" s="65" t="s">
        <v>814</v>
      </c>
      <c r="C83" s="32" t="s">
        <v>19</v>
      </c>
      <c r="D83" s="32">
        <v>9</v>
      </c>
      <c r="E83" s="57">
        <v>50</v>
      </c>
      <c r="F83" s="30">
        <f t="shared" si="8"/>
        <v>450</v>
      </c>
      <c r="H83" s="26">
        <v>12</v>
      </c>
      <c r="I83" s="65" t="s">
        <v>814</v>
      </c>
      <c r="J83" s="32" t="s">
        <v>19</v>
      </c>
      <c r="K83" s="32">
        <v>9</v>
      </c>
      <c r="L83" s="57">
        <v>50</v>
      </c>
      <c r="M83" s="30">
        <f t="shared" si="9"/>
        <v>450</v>
      </c>
      <c r="N83" s="85"/>
      <c r="O83" s="11"/>
    </row>
    <row r="84" spans="1:15" s="10" customFormat="1" ht="23.25" x14ac:dyDescent="0.3">
      <c r="A84" s="26">
        <v>13</v>
      </c>
      <c r="B84" s="65" t="s">
        <v>815</v>
      </c>
      <c r="C84" s="32" t="s">
        <v>20</v>
      </c>
      <c r="D84" s="32">
        <v>132</v>
      </c>
      <c r="E84" s="57">
        <v>30</v>
      </c>
      <c r="F84" s="30">
        <f t="shared" si="8"/>
        <v>3960</v>
      </c>
      <c r="H84" s="26">
        <v>13</v>
      </c>
      <c r="I84" s="65" t="s">
        <v>815</v>
      </c>
      <c r="J84" s="32" t="s">
        <v>20</v>
      </c>
      <c r="K84" s="32">
        <v>132</v>
      </c>
      <c r="L84" s="57">
        <v>30</v>
      </c>
      <c r="M84" s="30">
        <f t="shared" si="9"/>
        <v>3960</v>
      </c>
      <c r="N84" s="85"/>
      <c r="O84" s="11"/>
    </row>
    <row r="85" spans="1:15" s="10" customFormat="1" ht="23.25" x14ac:dyDescent="0.3">
      <c r="A85" s="26">
        <v>14</v>
      </c>
      <c r="B85" s="65" t="s">
        <v>816</v>
      </c>
      <c r="C85" s="32" t="s">
        <v>19</v>
      </c>
      <c r="D85" s="32">
        <v>70</v>
      </c>
      <c r="E85" s="57">
        <v>50</v>
      </c>
      <c r="F85" s="30">
        <f t="shared" si="8"/>
        <v>3500</v>
      </c>
      <c r="H85" s="26">
        <v>14</v>
      </c>
      <c r="I85" s="65" t="s">
        <v>816</v>
      </c>
      <c r="J85" s="32" t="s">
        <v>19</v>
      </c>
      <c r="K85" s="32">
        <v>70</v>
      </c>
      <c r="L85" s="57">
        <v>50</v>
      </c>
      <c r="M85" s="30">
        <f t="shared" si="9"/>
        <v>3500</v>
      </c>
      <c r="N85" s="85"/>
      <c r="O85" s="11"/>
    </row>
    <row r="86" spans="1:15" s="10" customFormat="1" ht="23.25" x14ac:dyDescent="0.3">
      <c r="A86" s="26">
        <v>15</v>
      </c>
      <c r="B86" s="65" t="s">
        <v>601</v>
      </c>
      <c r="C86" s="32" t="s">
        <v>19</v>
      </c>
      <c r="D86" s="32">
        <v>64.2</v>
      </c>
      <c r="E86" s="57">
        <v>80</v>
      </c>
      <c r="F86" s="30">
        <f t="shared" si="8"/>
        <v>5136</v>
      </c>
      <c r="H86" s="26">
        <v>15</v>
      </c>
      <c r="I86" s="65" t="s">
        <v>601</v>
      </c>
      <c r="J86" s="32" t="s">
        <v>19</v>
      </c>
      <c r="K86" s="32">
        <v>64.2</v>
      </c>
      <c r="L86" s="57">
        <v>80</v>
      </c>
      <c r="M86" s="30">
        <f t="shared" si="9"/>
        <v>5136</v>
      </c>
      <c r="N86" s="85"/>
      <c r="O86" s="11"/>
    </row>
    <row r="87" spans="1:15" s="10" customFormat="1" ht="23.25" x14ac:dyDescent="0.3">
      <c r="A87" s="26">
        <v>16</v>
      </c>
      <c r="B87" s="65" t="s">
        <v>817</v>
      </c>
      <c r="C87" s="32" t="s">
        <v>20</v>
      </c>
      <c r="D87" s="32">
        <v>24.6</v>
      </c>
      <c r="E87" s="57">
        <v>30</v>
      </c>
      <c r="F87" s="30">
        <f t="shared" si="8"/>
        <v>738</v>
      </c>
      <c r="H87" s="26">
        <v>16</v>
      </c>
      <c r="I87" s="65" t="s">
        <v>817</v>
      </c>
      <c r="J87" s="32" t="s">
        <v>20</v>
      </c>
      <c r="K87" s="32">
        <v>24.6</v>
      </c>
      <c r="L87" s="57">
        <v>30</v>
      </c>
      <c r="M87" s="30">
        <f t="shared" si="9"/>
        <v>738</v>
      </c>
      <c r="N87" s="85"/>
      <c r="O87" s="11"/>
    </row>
    <row r="88" spans="1:15" s="10" customFormat="1" ht="23.25" x14ac:dyDescent="0.3">
      <c r="A88" s="26">
        <v>17</v>
      </c>
      <c r="B88" s="65" t="s">
        <v>818</v>
      </c>
      <c r="C88" s="32" t="s">
        <v>19</v>
      </c>
      <c r="D88" s="32">
        <v>3.7</v>
      </c>
      <c r="E88" s="57">
        <v>80</v>
      </c>
      <c r="F88" s="30">
        <f t="shared" si="8"/>
        <v>296</v>
      </c>
      <c r="H88" s="26">
        <v>17</v>
      </c>
      <c r="I88" s="65" t="s">
        <v>818</v>
      </c>
      <c r="J88" s="32" t="s">
        <v>19</v>
      </c>
      <c r="K88" s="32">
        <v>3.7</v>
      </c>
      <c r="L88" s="57">
        <v>80</v>
      </c>
      <c r="M88" s="30">
        <f t="shared" si="9"/>
        <v>296</v>
      </c>
      <c r="N88" s="85"/>
      <c r="O88" s="11"/>
    </row>
    <row r="89" spans="1:15" s="10" customFormat="1" ht="23.25" x14ac:dyDescent="0.3">
      <c r="A89" s="26">
        <v>18</v>
      </c>
      <c r="B89" s="65" t="s">
        <v>819</v>
      </c>
      <c r="C89" s="32" t="s">
        <v>20</v>
      </c>
      <c r="D89" s="32">
        <v>33</v>
      </c>
      <c r="E89" s="57">
        <v>30</v>
      </c>
      <c r="F89" s="30">
        <f t="shared" si="8"/>
        <v>990</v>
      </c>
      <c r="H89" s="26">
        <v>18</v>
      </c>
      <c r="I89" s="65" t="s">
        <v>819</v>
      </c>
      <c r="J89" s="32" t="s">
        <v>20</v>
      </c>
      <c r="K89" s="32">
        <v>33</v>
      </c>
      <c r="L89" s="57">
        <v>30</v>
      </c>
      <c r="M89" s="30">
        <f t="shared" si="9"/>
        <v>990</v>
      </c>
      <c r="N89" s="85"/>
      <c r="O89" s="11"/>
    </row>
    <row r="90" spans="1:15" s="10" customFormat="1" ht="23.25" x14ac:dyDescent="0.3">
      <c r="A90" s="26">
        <v>19</v>
      </c>
      <c r="B90" s="65" t="s">
        <v>178</v>
      </c>
      <c r="C90" s="32" t="s">
        <v>19</v>
      </c>
      <c r="D90" s="32">
        <v>19.5</v>
      </c>
      <c r="E90" s="57">
        <v>50</v>
      </c>
      <c r="F90" s="30">
        <f t="shared" si="8"/>
        <v>975</v>
      </c>
      <c r="H90" s="26">
        <v>19</v>
      </c>
      <c r="I90" s="65" t="s">
        <v>178</v>
      </c>
      <c r="J90" s="32" t="s">
        <v>19</v>
      </c>
      <c r="K90" s="32">
        <v>19.5</v>
      </c>
      <c r="L90" s="57">
        <v>50</v>
      </c>
      <c r="M90" s="30">
        <f t="shared" si="9"/>
        <v>975</v>
      </c>
      <c r="N90" s="85"/>
      <c r="O90" s="11"/>
    </row>
    <row r="91" spans="1:15" s="10" customFormat="1" ht="23.25" x14ac:dyDescent="0.3">
      <c r="A91" s="26">
        <v>20</v>
      </c>
      <c r="B91" s="65" t="s">
        <v>197</v>
      </c>
      <c r="C91" s="32" t="s">
        <v>20</v>
      </c>
      <c r="D91" s="32">
        <v>87.2</v>
      </c>
      <c r="E91" s="75">
        <v>9.5299999999999994</v>
      </c>
      <c r="F91" s="30">
        <f t="shared" si="8"/>
        <v>831.01599999999996</v>
      </c>
      <c r="H91" s="26">
        <v>20</v>
      </c>
      <c r="I91" s="65" t="s">
        <v>197</v>
      </c>
      <c r="J91" s="32" t="s">
        <v>20</v>
      </c>
      <c r="K91" s="32">
        <v>87.2</v>
      </c>
      <c r="L91" s="75">
        <v>9.5299999999999994</v>
      </c>
      <c r="M91" s="30">
        <f t="shared" si="9"/>
        <v>831.01599999999996</v>
      </c>
      <c r="N91" s="85"/>
      <c r="O91" s="11"/>
    </row>
    <row r="92" spans="1:15" s="10" customFormat="1" ht="23.25" x14ac:dyDescent="0.3">
      <c r="A92" s="26">
        <v>21</v>
      </c>
      <c r="B92" s="65" t="s">
        <v>198</v>
      </c>
      <c r="C92" s="32" t="s">
        <v>20</v>
      </c>
      <c r="D92" s="32">
        <v>105</v>
      </c>
      <c r="E92" s="75">
        <v>6.78</v>
      </c>
      <c r="F92" s="30">
        <f t="shared" si="8"/>
        <v>711.9</v>
      </c>
      <c r="H92" s="26">
        <v>21</v>
      </c>
      <c r="I92" s="65" t="s">
        <v>198</v>
      </c>
      <c r="J92" s="32" t="s">
        <v>20</v>
      </c>
      <c r="K92" s="32">
        <v>105</v>
      </c>
      <c r="L92" s="75">
        <v>6.78</v>
      </c>
      <c r="M92" s="30">
        <f t="shared" si="9"/>
        <v>711.9</v>
      </c>
      <c r="N92" s="85"/>
      <c r="O92" s="11"/>
    </row>
    <row r="93" spans="1:15" s="10" customFormat="1" ht="23.25" x14ac:dyDescent="0.3">
      <c r="A93" s="26">
        <v>22</v>
      </c>
      <c r="B93" s="65" t="s">
        <v>159</v>
      </c>
      <c r="C93" s="32" t="s">
        <v>20</v>
      </c>
      <c r="D93" s="32">
        <v>73.8</v>
      </c>
      <c r="E93" s="57">
        <v>30</v>
      </c>
      <c r="F93" s="30">
        <f t="shared" si="8"/>
        <v>2214</v>
      </c>
      <c r="H93" s="26">
        <v>22</v>
      </c>
      <c r="I93" s="65" t="s">
        <v>159</v>
      </c>
      <c r="J93" s="32" t="s">
        <v>20</v>
      </c>
      <c r="K93" s="32">
        <v>73.8</v>
      </c>
      <c r="L93" s="57">
        <v>30</v>
      </c>
      <c r="M93" s="30">
        <f t="shared" si="9"/>
        <v>2214</v>
      </c>
      <c r="N93" s="85"/>
      <c r="O93" s="11"/>
    </row>
    <row r="94" spans="1:15" s="10" customFormat="1" ht="23.25" x14ac:dyDescent="0.3">
      <c r="A94" s="26">
        <v>23</v>
      </c>
      <c r="B94" s="65" t="s">
        <v>820</v>
      </c>
      <c r="C94" s="32" t="s">
        <v>19</v>
      </c>
      <c r="D94" s="32">
        <v>15</v>
      </c>
      <c r="E94" s="57">
        <v>50</v>
      </c>
      <c r="F94" s="30">
        <f t="shared" si="8"/>
        <v>750</v>
      </c>
      <c r="H94" s="26">
        <v>23</v>
      </c>
      <c r="I94" s="65" t="s">
        <v>820</v>
      </c>
      <c r="J94" s="32" t="s">
        <v>19</v>
      </c>
      <c r="K94" s="32">
        <v>15</v>
      </c>
      <c r="L94" s="57">
        <v>50</v>
      </c>
      <c r="M94" s="30">
        <f t="shared" si="9"/>
        <v>750</v>
      </c>
      <c r="N94" s="85"/>
      <c r="O94" s="11"/>
    </row>
    <row r="95" spans="1:15" s="10" customFormat="1" ht="23.25" x14ac:dyDescent="0.3">
      <c r="A95" s="26">
        <v>24</v>
      </c>
      <c r="B95" s="65" t="s">
        <v>821</v>
      </c>
      <c r="C95" s="32" t="s">
        <v>20</v>
      </c>
      <c r="D95" s="32">
        <v>35.4</v>
      </c>
      <c r="E95" s="57">
        <v>30</v>
      </c>
      <c r="F95" s="30">
        <f t="shared" si="8"/>
        <v>1062</v>
      </c>
      <c r="H95" s="26">
        <v>24</v>
      </c>
      <c r="I95" s="65" t="s">
        <v>821</v>
      </c>
      <c r="J95" s="32" t="s">
        <v>20</v>
      </c>
      <c r="K95" s="32">
        <v>35.4</v>
      </c>
      <c r="L95" s="57">
        <v>30</v>
      </c>
      <c r="M95" s="30">
        <f t="shared" si="9"/>
        <v>1062</v>
      </c>
      <c r="N95" s="85"/>
      <c r="O95" s="11"/>
    </row>
    <row r="96" spans="1:15" s="10" customFormat="1" ht="23.25" x14ac:dyDescent="0.3">
      <c r="A96" s="26">
        <v>25</v>
      </c>
      <c r="B96" s="65" t="s">
        <v>822</v>
      </c>
      <c r="C96" s="32" t="s">
        <v>19</v>
      </c>
      <c r="D96" s="32">
        <v>14</v>
      </c>
      <c r="E96" s="57">
        <v>50</v>
      </c>
      <c r="F96" s="30">
        <f t="shared" si="8"/>
        <v>700</v>
      </c>
      <c r="H96" s="26">
        <v>25</v>
      </c>
      <c r="I96" s="65" t="s">
        <v>822</v>
      </c>
      <c r="J96" s="32" t="s">
        <v>19</v>
      </c>
      <c r="K96" s="32">
        <v>14</v>
      </c>
      <c r="L96" s="57">
        <v>50</v>
      </c>
      <c r="M96" s="30">
        <f t="shared" si="9"/>
        <v>700</v>
      </c>
      <c r="N96" s="85"/>
      <c r="O96" s="11"/>
    </row>
    <row r="97" spans="1:15" s="10" customFormat="1" ht="23.25" x14ac:dyDescent="0.3">
      <c r="A97" s="114">
        <v>26</v>
      </c>
      <c r="B97" s="31" t="s">
        <v>823</v>
      </c>
      <c r="C97" s="32" t="s">
        <v>20</v>
      </c>
      <c r="D97" s="32">
        <v>18</v>
      </c>
      <c r="E97" s="57">
        <v>30</v>
      </c>
      <c r="F97" s="30">
        <f>D97*E97</f>
        <v>540</v>
      </c>
      <c r="H97" s="114">
        <v>26</v>
      </c>
      <c r="I97" s="31" t="s">
        <v>823</v>
      </c>
      <c r="J97" s="32" t="s">
        <v>20</v>
      </c>
      <c r="K97" s="32">
        <v>18</v>
      </c>
      <c r="L97" s="57">
        <v>30</v>
      </c>
      <c r="M97" s="30">
        <f>K97*L97</f>
        <v>540</v>
      </c>
      <c r="N97" s="85"/>
      <c r="O97" s="11"/>
    </row>
    <row r="98" spans="1:15" s="10" customFormat="1" ht="23.25" x14ac:dyDescent="0.3">
      <c r="A98" s="114">
        <v>27</v>
      </c>
      <c r="B98" s="31" t="s">
        <v>643</v>
      </c>
      <c r="C98" s="32" t="s">
        <v>20</v>
      </c>
      <c r="D98" s="32">
        <v>92.8</v>
      </c>
      <c r="E98" s="57">
        <v>30</v>
      </c>
      <c r="F98" s="30">
        <f>D98*E98</f>
        <v>2784</v>
      </c>
      <c r="H98" s="114">
        <v>27</v>
      </c>
      <c r="I98" s="31" t="s">
        <v>643</v>
      </c>
      <c r="J98" s="32" t="s">
        <v>20</v>
      </c>
      <c r="K98" s="115">
        <v>71.8</v>
      </c>
      <c r="L98" s="57">
        <v>30</v>
      </c>
      <c r="M98" s="30">
        <f>K98*L98</f>
        <v>2154</v>
      </c>
      <c r="N98" s="85"/>
      <c r="O98" s="11"/>
    </row>
    <row r="99" spans="1:15" s="10" customFormat="1" ht="23.25" x14ac:dyDescent="0.3">
      <c r="A99" s="114">
        <v>28</v>
      </c>
      <c r="B99" s="65" t="s">
        <v>644</v>
      </c>
      <c r="C99" s="32" t="s">
        <v>19</v>
      </c>
      <c r="D99" s="32">
        <v>28</v>
      </c>
      <c r="E99" s="57">
        <v>50</v>
      </c>
      <c r="F99" s="30">
        <f>D99*E99</f>
        <v>1400</v>
      </c>
      <c r="H99" s="114">
        <v>28</v>
      </c>
      <c r="I99" s="65" t="s">
        <v>644</v>
      </c>
      <c r="J99" s="32" t="s">
        <v>19</v>
      </c>
      <c r="K99" s="115">
        <v>23.5</v>
      </c>
      <c r="L99" s="57">
        <v>50</v>
      </c>
      <c r="M99" s="30">
        <f>K99*L99</f>
        <v>1175</v>
      </c>
      <c r="N99" s="85"/>
      <c r="O99" s="11"/>
    </row>
    <row r="100" spans="1:15" s="10" customFormat="1" ht="23.25" x14ac:dyDescent="0.3">
      <c r="A100" s="114">
        <v>29</v>
      </c>
      <c r="B100" s="70" t="s">
        <v>824</v>
      </c>
      <c r="C100" s="32" t="s">
        <v>20</v>
      </c>
      <c r="D100" s="32">
        <v>35.9</v>
      </c>
      <c r="E100" s="57">
        <v>30</v>
      </c>
      <c r="F100" s="30">
        <f t="shared" ref="F100" si="10">D100*E100</f>
        <v>1077</v>
      </c>
      <c r="H100" s="114">
        <v>29</v>
      </c>
      <c r="I100" s="70" t="s">
        <v>824</v>
      </c>
      <c r="J100" s="32" t="s">
        <v>20</v>
      </c>
      <c r="K100" s="32">
        <v>35.9</v>
      </c>
      <c r="L100" s="57">
        <v>30</v>
      </c>
      <c r="M100" s="30">
        <f t="shared" ref="M100" si="11">K100*L100</f>
        <v>1077</v>
      </c>
      <c r="N100" s="85"/>
      <c r="O100" s="11"/>
    </row>
    <row r="101" spans="1:15" s="10" customFormat="1" ht="23.25" x14ac:dyDescent="0.3">
      <c r="A101" s="114">
        <v>30</v>
      </c>
      <c r="B101" s="31" t="s">
        <v>645</v>
      </c>
      <c r="C101" s="32" t="s">
        <v>20</v>
      </c>
      <c r="D101" s="32">
        <v>39</v>
      </c>
      <c r="E101" s="57">
        <v>30</v>
      </c>
      <c r="F101" s="30">
        <f>D101*E101</f>
        <v>1170</v>
      </c>
      <c r="H101" s="114">
        <v>30</v>
      </c>
      <c r="I101" s="31" t="s">
        <v>645</v>
      </c>
      <c r="J101" s="32" t="s">
        <v>20</v>
      </c>
      <c r="K101" s="32">
        <v>39</v>
      </c>
      <c r="L101" s="57">
        <v>30</v>
      </c>
      <c r="M101" s="30">
        <f>K101*L101</f>
        <v>1170</v>
      </c>
      <c r="N101" s="85"/>
      <c r="O101" s="11"/>
    </row>
    <row r="102" spans="1:15" s="10" customFormat="1" ht="23.25" x14ac:dyDescent="0.3">
      <c r="A102" s="114">
        <v>31</v>
      </c>
      <c r="B102" s="65" t="s">
        <v>646</v>
      </c>
      <c r="C102" s="32" t="s">
        <v>19</v>
      </c>
      <c r="D102" s="32">
        <v>16.600000000000001</v>
      </c>
      <c r="E102" s="57">
        <v>50</v>
      </c>
      <c r="F102" s="30">
        <f t="shared" ref="F102" si="12">D102*E102</f>
        <v>830.00000000000011</v>
      </c>
      <c r="H102" s="114">
        <v>31</v>
      </c>
      <c r="I102" s="65" t="s">
        <v>646</v>
      </c>
      <c r="J102" s="32" t="s">
        <v>19</v>
      </c>
      <c r="K102" s="32">
        <v>16.600000000000001</v>
      </c>
      <c r="L102" s="57">
        <v>50</v>
      </c>
      <c r="M102" s="30">
        <f t="shared" ref="M102" si="13">K102*L102</f>
        <v>830.00000000000011</v>
      </c>
      <c r="N102" s="85"/>
      <c r="O102" s="11"/>
    </row>
    <row r="103" spans="1:15" s="10" customFormat="1" ht="23.25" x14ac:dyDescent="0.3">
      <c r="A103" s="114">
        <v>32</v>
      </c>
      <c r="B103" s="31" t="s">
        <v>647</v>
      </c>
      <c r="C103" s="32" t="s">
        <v>19</v>
      </c>
      <c r="D103" s="32">
        <v>4</v>
      </c>
      <c r="E103" s="57">
        <v>80</v>
      </c>
      <c r="F103" s="30">
        <f>D103*E103</f>
        <v>320</v>
      </c>
      <c r="H103" s="114">
        <v>32</v>
      </c>
      <c r="I103" s="31" t="s">
        <v>647</v>
      </c>
      <c r="J103" s="32" t="s">
        <v>19</v>
      </c>
      <c r="K103" s="32">
        <v>4</v>
      </c>
      <c r="L103" s="57">
        <v>80</v>
      </c>
      <c r="M103" s="30">
        <f>K103*L103</f>
        <v>320</v>
      </c>
      <c r="N103" s="85"/>
      <c r="O103" s="11"/>
    </row>
    <row r="104" spans="1:15" s="10" customFormat="1" ht="23.25" x14ac:dyDescent="0.3">
      <c r="A104" s="26">
        <v>33</v>
      </c>
      <c r="B104" s="65" t="s">
        <v>122</v>
      </c>
      <c r="C104" s="32" t="s">
        <v>119</v>
      </c>
      <c r="D104" s="32">
        <v>1.4</v>
      </c>
      <c r="E104" s="57">
        <v>460</v>
      </c>
      <c r="F104" s="30">
        <f t="shared" si="8"/>
        <v>644</v>
      </c>
      <c r="H104" s="26">
        <v>33</v>
      </c>
      <c r="I104" s="65" t="s">
        <v>122</v>
      </c>
      <c r="J104" s="32" t="s">
        <v>119</v>
      </c>
      <c r="K104" s="32">
        <v>1.4</v>
      </c>
      <c r="L104" s="57">
        <v>460</v>
      </c>
      <c r="M104" s="30">
        <f t="shared" ref="M104" si="14">K104*L104</f>
        <v>644</v>
      </c>
      <c r="N104" s="85"/>
      <c r="O104" s="11"/>
    </row>
    <row r="105" spans="1:15" ht="23.25" x14ac:dyDescent="0.25">
      <c r="A105" s="69"/>
      <c r="B105" s="67"/>
      <c r="C105" s="67"/>
      <c r="D105" s="67"/>
      <c r="E105" s="68" t="s">
        <v>16</v>
      </c>
      <c r="F105" s="34">
        <f>SUM(F72:F104)</f>
        <v>122623.242</v>
      </c>
      <c r="H105" s="69"/>
      <c r="I105" s="67"/>
      <c r="J105" s="67"/>
      <c r="K105" s="67"/>
      <c r="L105" s="68" t="s">
        <v>16</v>
      </c>
      <c r="M105" s="34">
        <f>SUM(M72:M104)</f>
        <v>121768.242</v>
      </c>
    </row>
    <row r="106" spans="1:15" s="3" customFormat="1" ht="23.25" x14ac:dyDescent="0.35">
      <c r="A106" s="23"/>
      <c r="B106" s="24" t="s">
        <v>199</v>
      </c>
      <c r="C106" s="24"/>
      <c r="D106" s="24"/>
      <c r="E106" s="24"/>
      <c r="F106" s="25"/>
      <c r="H106" s="23"/>
      <c r="I106" s="24" t="s">
        <v>199</v>
      </c>
      <c r="J106" s="24"/>
      <c r="K106" s="24"/>
      <c r="L106" s="24"/>
      <c r="M106" s="25"/>
      <c r="N106" s="84">
        <f>F108</f>
        <v>4280</v>
      </c>
      <c r="O106" s="4"/>
    </row>
    <row r="107" spans="1:15" s="10" customFormat="1" ht="23.25" x14ac:dyDescent="0.3">
      <c r="A107" s="26">
        <v>1</v>
      </c>
      <c r="B107" s="31" t="s">
        <v>602</v>
      </c>
      <c r="C107" s="32" t="s">
        <v>19</v>
      </c>
      <c r="D107" s="32">
        <v>53.5</v>
      </c>
      <c r="E107" s="57">
        <v>80</v>
      </c>
      <c r="F107" s="30">
        <f>D107*E107</f>
        <v>4280</v>
      </c>
      <c r="H107" s="26">
        <v>1</v>
      </c>
      <c r="I107" s="31" t="s">
        <v>602</v>
      </c>
      <c r="J107" s="32" t="s">
        <v>19</v>
      </c>
      <c r="K107" s="32">
        <v>53.5</v>
      </c>
      <c r="L107" s="57">
        <v>80</v>
      </c>
      <c r="M107" s="30">
        <f>K107*L107</f>
        <v>4280</v>
      </c>
      <c r="N107" s="85"/>
      <c r="O107" s="11"/>
    </row>
    <row r="108" spans="1:15" ht="23.25" x14ac:dyDescent="0.25">
      <c r="A108" s="69"/>
      <c r="B108" s="67"/>
      <c r="C108" s="67"/>
      <c r="D108" s="67"/>
      <c r="E108" s="68" t="s">
        <v>16</v>
      </c>
      <c r="F108" s="34">
        <f>SUM(F107:F107)</f>
        <v>4280</v>
      </c>
      <c r="H108" s="69"/>
      <c r="I108" s="67"/>
      <c r="J108" s="67"/>
      <c r="K108" s="67"/>
      <c r="L108" s="68" t="s">
        <v>16</v>
      </c>
      <c r="M108" s="34">
        <f>SUM(M107:M107)</f>
        <v>4280</v>
      </c>
    </row>
    <row r="109" spans="1:15" s="3" customFormat="1" ht="23.25" x14ac:dyDescent="0.35">
      <c r="A109" s="111"/>
      <c r="B109" s="112" t="s">
        <v>369</v>
      </c>
      <c r="C109" s="112"/>
      <c r="D109" s="112"/>
      <c r="E109" s="112"/>
      <c r="F109" s="113"/>
      <c r="H109" s="111"/>
      <c r="I109" s="112" t="s">
        <v>369</v>
      </c>
      <c r="J109" s="112"/>
      <c r="K109" s="112"/>
      <c r="L109" s="112"/>
      <c r="M109" s="113"/>
      <c r="N109" s="84">
        <f>F112</f>
        <v>6950</v>
      </c>
      <c r="O109" s="4"/>
    </row>
    <row r="110" spans="1:15" s="10" customFormat="1" ht="23.25" x14ac:dyDescent="0.3">
      <c r="A110" s="26">
        <v>1</v>
      </c>
      <c r="B110" s="65" t="s">
        <v>731</v>
      </c>
      <c r="C110" s="32" t="s">
        <v>19</v>
      </c>
      <c r="D110" s="32">
        <v>84</v>
      </c>
      <c r="E110" s="57">
        <v>80</v>
      </c>
      <c r="F110" s="30">
        <f>D110*E110</f>
        <v>6720</v>
      </c>
      <c r="H110" s="26">
        <v>1</v>
      </c>
      <c r="I110" s="65" t="s">
        <v>731</v>
      </c>
      <c r="J110" s="32" t="s">
        <v>19</v>
      </c>
      <c r="K110" s="32">
        <v>84</v>
      </c>
      <c r="L110" s="57">
        <v>80</v>
      </c>
      <c r="M110" s="30">
        <f>K110*L110</f>
        <v>6720</v>
      </c>
      <c r="N110" s="85"/>
      <c r="O110" s="11"/>
    </row>
    <row r="111" spans="1:15" s="10" customFormat="1" ht="23.25" x14ac:dyDescent="0.3">
      <c r="A111" s="26">
        <v>2</v>
      </c>
      <c r="B111" s="65" t="s">
        <v>122</v>
      </c>
      <c r="C111" s="32" t="s">
        <v>119</v>
      </c>
      <c r="D111" s="32">
        <v>0.5</v>
      </c>
      <c r="E111" s="57">
        <v>460</v>
      </c>
      <c r="F111" s="30">
        <f>D111*E111</f>
        <v>230</v>
      </c>
      <c r="H111" s="26">
        <v>2</v>
      </c>
      <c r="I111" s="65" t="s">
        <v>122</v>
      </c>
      <c r="J111" s="32" t="s">
        <v>119</v>
      </c>
      <c r="K111" s="32">
        <v>0.5</v>
      </c>
      <c r="L111" s="57">
        <v>460</v>
      </c>
      <c r="M111" s="30">
        <f>K111*L111</f>
        <v>230</v>
      </c>
      <c r="N111" s="85"/>
      <c r="O111" s="11"/>
    </row>
    <row r="112" spans="1:15" ht="23.25" x14ac:dyDescent="0.25">
      <c r="A112" s="69"/>
      <c r="B112" s="67"/>
      <c r="C112" s="67"/>
      <c r="D112" s="67"/>
      <c r="E112" s="68" t="s">
        <v>16</v>
      </c>
      <c r="F112" s="34">
        <f>SUM(F110:F111)</f>
        <v>6950</v>
      </c>
      <c r="H112" s="69"/>
      <c r="I112" s="67"/>
      <c r="J112" s="67"/>
      <c r="K112" s="67"/>
      <c r="L112" s="68" t="s">
        <v>16</v>
      </c>
      <c r="M112" s="34">
        <f>SUM(M110:M111)</f>
        <v>6950</v>
      </c>
    </row>
    <row r="113" spans="1:15" s="3" customFormat="1" ht="23.25" x14ac:dyDescent="0.35">
      <c r="A113" s="23"/>
      <c r="B113" s="24" t="s">
        <v>200</v>
      </c>
      <c r="C113" s="24"/>
      <c r="D113" s="24"/>
      <c r="E113" s="24"/>
      <c r="F113" s="25"/>
      <c r="H113" s="23"/>
      <c r="I113" s="24" t="s">
        <v>200</v>
      </c>
      <c r="J113" s="24"/>
      <c r="K113" s="24"/>
      <c r="L113" s="24"/>
      <c r="M113" s="25"/>
      <c r="N113" s="84">
        <f>F115</f>
        <v>14640</v>
      </c>
      <c r="O113" s="4"/>
    </row>
    <row r="114" spans="1:15" s="10" customFormat="1" ht="23.25" x14ac:dyDescent="0.3">
      <c r="A114" s="26">
        <v>1</v>
      </c>
      <c r="B114" s="31" t="s">
        <v>602</v>
      </c>
      <c r="C114" s="32" t="s">
        <v>19</v>
      </c>
      <c r="D114" s="32">
        <v>183</v>
      </c>
      <c r="E114" s="57">
        <v>80</v>
      </c>
      <c r="F114" s="30">
        <f>D114*E114</f>
        <v>14640</v>
      </c>
      <c r="H114" s="26">
        <v>1</v>
      </c>
      <c r="I114" s="31" t="s">
        <v>847</v>
      </c>
      <c r="J114" s="32" t="s">
        <v>19</v>
      </c>
      <c r="K114" s="115">
        <v>0</v>
      </c>
      <c r="L114" s="57">
        <v>80</v>
      </c>
      <c r="M114" s="30">
        <f>K114*L114</f>
        <v>0</v>
      </c>
      <c r="N114" s="85"/>
      <c r="O114" s="11"/>
    </row>
    <row r="115" spans="1:15" ht="23.25" x14ac:dyDescent="0.25">
      <c r="A115" s="69"/>
      <c r="B115" s="67"/>
      <c r="C115" s="67"/>
      <c r="D115" s="67"/>
      <c r="E115" s="68" t="s">
        <v>16</v>
      </c>
      <c r="F115" s="34">
        <f>SUM(F114:F114)</f>
        <v>14640</v>
      </c>
      <c r="H115" s="69"/>
      <c r="I115" s="67"/>
      <c r="J115" s="67"/>
      <c r="K115" s="67"/>
      <c r="L115" s="68" t="s">
        <v>16</v>
      </c>
      <c r="M115" s="34">
        <f>SUM(M114:M114)</f>
        <v>0</v>
      </c>
    </row>
    <row r="116" spans="1:15" s="3" customFormat="1" ht="23.25" x14ac:dyDescent="0.35">
      <c r="A116" s="23"/>
      <c r="B116" s="24" t="s">
        <v>201</v>
      </c>
      <c r="C116" s="24"/>
      <c r="D116" s="24"/>
      <c r="E116" s="24"/>
      <c r="F116" s="25"/>
      <c r="H116" s="23"/>
      <c r="I116" s="24" t="s">
        <v>201</v>
      </c>
      <c r="J116" s="24"/>
      <c r="K116" s="24"/>
      <c r="L116" s="24"/>
      <c r="M116" s="25"/>
      <c r="N116" s="84">
        <f>F122</f>
        <v>69312</v>
      </c>
      <c r="O116" s="4"/>
    </row>
    <row r="117" spans="1:15" s="10" customFormat="1" ht="23.25" x14ac:dyDescent="0.3">
      <c r="A117" s="26">
        <v>1</v>
      </c>
      <c r="B117" s="65" t="s">
        <v>603</v>
      </c>
      <c r="C117" s="32" t="s">
        <v>19</v>
      </c>
      <c r="D117" s="32">
        <v>225</v>
      </c>
      <c r="E117" s="57">
        <v>80</v>
      </c>
      <c r="F117" s="30">
        <f>D117*E117</f>
        <v>18000</v>
      </c>
      <c r="H117" s="26">
        <v>1</v>
      </c>
      <c r="I117" s="65" t="s">
        <v>603</v>
      </c>
      <c r="J117" s="32" t="s">
        <v>19</v>
      </c>
      <c r="K117" s="32">
        <v>225</v>
      </c>
      <c r="L117" s="57">
        <v>80</v>
      </c>
      <c r="M117" s="30">
        <f>K117*L117</f>
        <v>18000</v>
      </c>
      <c r="N117" s="85"/>
      <c r="O117" s="11"/>
    </row>
    <row r="118" spans="1:15" s="10" customFormat="1" ht="23.25" x14ac:dyDescent="0.3">
      <c r="A118" s="26">
        <v>2</v>
      </c>
      <c r="B118" s="65" t="s">
        <v>825</v>
      </c>
      <c r="C118" s="32" t="s">
        <v>20</v>
      </c>
      <c r="D118" s="32">
        <v>123.4</v>
      </c>
      <c r="E118" s="57">
        <v>30</v>
      </c>
      <c r="F118" s="30">
        <f>D118*E118</f>
        <v>3702</v>
      </c>
      <c r="H118" s="26">
        <v>2</v>
      </c>
      <c r="I118" s="65" t="s">
        <v>825</v>
      </c>
      <c r="J118" s="32" t="s">
        <v>20</v>
      </c>
      <c r="K118" s="32">
        <v>123.4</v>
      </c>
      <c r="L118" s="57">
        <v>30</v>
      </c>
      <c r="M118" s="30">
        <f>K118*L118</f>
        <v>3702</v>
      </c>
      <c r="N118" s="85"/>
      <c r="O118" s="11"/>
    </row>
    <row r="119" spans="1:15" s="10" customFormat="1" ht="23.25" x14ac:dyDescent="0.3">
      <c r="A119" s="26">
        <v>3</v>
      </c>
      <c r="B119" s="65" t="s">
        <v>826</v>
      </c>
      <c r="C119" s="32" t="s">
        <v>19</v>
      </c>
      <c r="D119" s="32">
        <v>27</v>
      </c>
      <c r="E119" s="57">
        <v>50</v>
      </c>
      <c r="F119" s="30">
        <f>D119*E119</f>
        <v>1350</v>
      </c>
      <c r="H119" s="26">
        <v>3</v>
      </c>
      <c r="I119" s="65" t="s">
        <v>826</v>
      </c>
      <c r="J119" s="32" t="s">
        <v>19</v>
      </c>
      <c r="K119" s="32">
        <v>27</v>
      </c>
      <c r="L119" s="57">
        <v>50</v>
      </c>
      <c r="M119" s="30">
        <f>K119*L119</f>
        <v>1350</v>
      </c>
      <c r="N119" s="85"/>
      <c r="O119" s="11"/>
    </row>
    <row r="120" spans="1:15" s="103" customFormat="1" ht="23.25" x14ac:dyDescent="0.3">
      <c r="A120" s="26">
        <v>4</v>
      </c>
      <c r="B120" s="65" t="s">
        <v>258</v>
      </c>
      <c r="C120" s="88" t="s">
        <v>20</v>
      </c>
      <c r="D120" s="88">
        <v>97.2</v>
      </c>
      <c r="E120" s="75">
        <v>150</v>
      </c>
      <c r="F120" s="106">
        <f t="shared" ref="F120" si="15">D120*E120</f>
        <v>14580</v>
      </c>
      <c r="H120" s="26">
        <v>4</v>
      </c>
      <c r="I120" s="65" t="s">
        <v>258</v>
      </c>
      <c r="J120" s="88" t="s">
        <v>20</v>
      </c>
      <c r="K120" s="88">
        <v>97.2</v>
      </c>
      <c r="L120" s="75">
        <v>150</v>
      </c>
      <c r="M120" s="106">
        <f t="shared" ref="M120:M121" si="16">K120*L120</f>
        <v>14580</v>
      </c>
      <c r="N120" s="104"/>
      <c r="O120" s="105"/>
    </row>
    <row r="121" spans="1:15" s="103" customFormat="1" ht="23.25" x14ac:dyDescent="0.3">
      <c r="A121" s="26">
        <v>5</v>
      </c>
      <c r="B121" s="65" t="s">
        <v>582</v>
      </c>
      <c r="C121" s="88" t="s">
        <v>20</v>
      </c>
      <c r="D121" s="88">
        <v>396</v>
      </c>
      <c r="E121" s="57">
        <v>80</v>
      </c>
      <c r="F121" s="106">
        <f t="shared" ref="F121" si="17">D121*E121</f>
        <v>31680</v>
      </c>
      <c r="H121" s="26">
        <v>5</v>
      </c>
      <c r="I121" s="65" t="s">
        <v>582</v>
      </c>
      <c r="J121" s="88" t="s">
        <v>20</v>
      </c>
      <c r="K121" s="88">
        <v>396</v>
      </c>
      <c r="L121" s="57">
        <v>80</v>
      </c>
      <c r="M121" s="106">
        <f t="shared" si="16"/>
        <v>31680</v>
      </c>
      <c r="N121" s="104"/>
      <c r="O121" s="105"/>
    </row>
    <row r="122" spans="1:15" ht="23.25" x14ac:dyDescent="0.25">
      <c r="A122" s="109"/>
      <c r="B122" s="27"/>
      <c r="C122" s="67"/>
      <c r="D122" s="67"/>
      <c r="E122" s="68" t="s">
        <v>16</v>
      </c>
      <c r="F122" s="34">
        <f>SUM(F117:F121)</f>
        <v>69312</v>
      </c>
      <c r="H122" s="109"/>
      <c r="I122" s="27"/>
      <c r="J122" s="67"/>
      <c r="K122" s="67"/>
      <c r="L122" s="68" t="s">
        <v>16</v>
      </c>
      <c r="M122" s="34">
        <f>SUM(M117:M121)</f>
        <v>69312</v>
      </c>
    </row>
    <row r="123" spans="1:15" s="3" customFormat="1" ht="23.25" x14ac:dyDescent="0.35">
      <c r="A123" s="23"/>
      <c r="B123" s="24" t="s">
        <v>202</v>
      </c>
      <c r="C123" s="24"/>
      <c r="D123" s="24"/>
      <c r="E123" s="24"/>
      <c r="F123" s="25"/>
      <c r="H123" s="23"/>
      <c r="I123" s="24" t="s">
        <v>202</v>
      </c>
      <c r="J123" s="24"/>
      <c r="K123" s="24"/>
      <c r="L123" s="24"/>
      <c r="M123" s="25"/>
      <c r="N123" s="84">
        <f>F130</f>
        <v>14115</v>
      </c>
      <c r="O123" s="4"/>
    </row>
    <row r="124" spans="1:15" s="10" customFormat="1" ht="23.25" x14ac:dyDescent="0.3">
      <c r="A124" s="26">
        <v>1</v>
      </c>
      <c r="B124" s="65" t="s">
        <v>604</v>
      </c>
      <c r="C124" s="32" t="s">
        <v>19</v>
      </c>
      <c r="D124" s="32">
        <v>100.9</v>
      </c>
      <c r="E124" s="57">
        <v>80</v>
      </c>
      <c r="F124" s="30">
        <f t="shared" ref="F124:F129" si="18">D124*E124</f>
        <v>8072</v>
      </c>
      <c r="H124" s="26">
        <v>1</v>
      </c>
      <c r="I124" s="65" t="s">
        <v>604</v>
      </c>
      <c r="J124" s="32" t="s">
        <v>19</v>
      </c>
      <c r="K124" s="32">
        <v>100.9</v>
      </c>
      <c r="L124" s="57">
        <v>80</v>
      </c>
      <c r="M124" s="30">
        <f t="shared" ref="M124:M129" si="19">K124*L124</f>
        <v>8072</v>
      </c>
      <c r="N124" s="85"/>
      <c r="O124" s="11"/>
    </row>
    <row r="125" spans="1:15" s="10" customFormat="1" ht="23.25" x14ac:dyDescent="0.3">
      <c r="A125" s="26">
        <v>2</v>
      </c>
      <c r="B125" s="65" t="s">
        <v>827</v>
      </c>
      <c r="C125" s="32" t="s">
        <v>20</v>
      </c>
      <c r="D125" s="32">
        <v>28.2</v>
      </c>
      <c r="E125" s="57">
        <v>30</v>
      </c>
      <c r="F125" s="30">
        <f t="shared" si="18"/>
        <v>846</v>
      </c>
      <c r="H125" s="26">
        <v>2</v>
      </c>
      <c r="I125" s="65" t="s">
        <v>827</v>
      </c>
      <c r="J125" s="32" t="s">
        <v>20</v>
      </c>
      <c r="K125" s="32">
        <v>28.2</v>
      </c>
      <c r="L125" s="57">
        <v>30</v>
      </c>
      <c r="M125" s="30">
        <f t="shared" si="19"/>
        <v>846</v>
      </c>
      <c r="N125" s="85"/>
      <c r="O125" s="11"/>
    </row>
    <row r="126" spans="1:15" s="10" customFormat="1" ht="23.25" x14ac:dyDescent="0.3">
      <c r="A126" s="26">
        <v>3</v>
      </c>
      <c r="B126" s="65" t="s">
        <v>828</v>
      </c>
      <c r="C126" s="32" t="s">
        <v>19</v>
      </c>
      <c r="D126" s="32">
        <v>3.9</v>
      </c>
      <c r="E126" s="57">
        <v>50</v>
      </c>
      <c r="F126" s="30">
        <f t="shared" si="18"/>
        <v>195</v>
      </c>
      <c r="H126" s="26">
        <v>3</v>
      </c>
      <c r="I126" s="65" t="s">
        <v>828</v>
      </c>
      <c r="J126" s="32" t="s">
        <v>19</v>
      </c>
      <c r="K126" s="32">
        <v>3.9</v>
      </c>
      <c r="L126" s="57">
        <v>50</v>
      </c>
      <c r="M126" s="30">
        <f t="shared" si="19"/>
        <v>195</v>
      </c>
      <c r="N126" s="85"/>
      <c r="O126" s="11"/>
    </row>
    <row r="127" spans="1:15" s="10" customFormat="1" ht="23.25" x14ac:dyDescent="0.3">
      <c r="A127" s="26">
        <v>4</v>
      </c>
      <c r="B127" s="65" t="s">
        <v>155</v>
      </c>
      <c r="C127" s="32" t="s">
        <v>20</v>
      </c>
      <c r="D127" s="32">
        <v>29</v>
      </c>
      <c r="E127" s="57">
        <v>150</v>
      </c>
      <c r="F127" s="30">
        <f t="shared" si="18"/>
        <v>4350</v>
      </c>
      <c r="H127" s="26">
        <v>4</v>
      </c>
      <c r="I127" s="65" t="s">
        <v>155</v>
      </c>
      <c r="J127" s="32" t="s">
        <v>20</v>
      </c>
      <c r="K127" s="32">
        <v>29</v>
      </c>
      <c r="L127" s="57">
        <v>150</v>
      </c>
      <c r="M127" s="30">
        <f t="shared" si="19"/>
        <v>4350</v>
      </c>
      <c r="N127" s="85"/>
      <c r="O127" s="11"/>
    </row>
    <row r="128" spans="1:15" s="10" customFormat="1" ht="23.25" x14ac:dyDescent="0.3">
      <c r="A128" s="26">
        <v>5</v>
      </c>
      <c r="B128" s="65" t="s">
        <v>829</v>
      </c>
      <c r="C128" s="32" t="s">
        <v>20</v>
      </c>
      <c r="D128" s="32">
        <v>10.4</v>
      </c>
      <c r="E128" s="57">
        <v>30</v>
      </c>
      <c r="F128" s="30">
        <f t="shared" si="18"/>
        <v>312</v>
      </c>
      <c r="H128" s="26">
        <v>5</v>
      </c>
      <c r="I128" s="65" t="s">
        <v>829</v>
      </c>
      <c r="J128" s="32" t="s">
        <v>20</v>
      </c>
      <c r="K128" s="32">
        <v>10.4</v>
      </c>
      <c r="L128" s="57">
        <v>30</v>
      </c>
      <c r="M128" s="30">
        <f t="shared" si="19"/>
        <v>312</v>
      </c>
      <c r="N128" s="85"/>
      <c r="O128" s="11"/>
    </row>
    <row r="129" spans="1:15" s="10" customFormat="1" ht="23.25" x14ac:dyDescent="0.3">
      <c r="A129" s="26">
        <v>6</v>
      </c>
      <c r="B129" s="65" t="s">
        <v>178</v>
      </c>
      <c r="C129" s="32" t="s">
        <v>19</v>
      </c>
      <c r="D129" s="32">
        <v>6.8</v>
      </c>
      <c r="E129" s="57">
        <v>50</v>
      </c>
      <c r="F129" s="30">
        <f t="shared" si="18"/>
        <v>340</v>
      </c>
      <c r="H129" s="26">
        <v>6</v>
      </c>
      <c r="I129" s="65" t="s">
        <v>178</v>
      </c>
      <c r="J129" s="32" t="s">
        <v>19</v>
      </c>
      <c r="K129" s="32">
        <v>6.8</v>
      </c>
      <c r="L129" s="57">
        <v>50</v>
      </c>
      <c r="M129" s="30">
        <f t="shared" si="19"/>
        <v>340</v>
      </c>
      <c r="N129" s="85"/>
      <c r="O129" s="11"/>
    </row>
    <row r="130" spans="1:15" ht="23.25" x14ac:dyDescent="0.25">
      <c r="A130" s="69"/>
      <c r="B130" s="67"/>
      <c r="C130" s="67"/>
      <c r="D130" s="67"/>
      <c r="E130" s="68" t="s">
        <v>16</v>
      </c>
      <c r="F130" s="34">
        <f>SUM(F124:F129)</f>
        <v>14115</v>
      </c>
      <c r="H130" s="69"/>
      <c r="I130" s="67"/>
      <c r="J130" s="67"/>
      <c r="K130" s="67"/>
      <c r="L130" s="68" t="s">
        <v>16</v>
      </c>
      <c r="M130" s="34">
        <f>SUM(M124:M129)</f>
        <v>14115</v>
      </c>
    </row>
    <row r="131" spans="1:15" s="3" customFormat="1" ht="23.25" x14ac:dyDescent="0.35">
      <c r="A131" s="23"/>
      <c r="B131" s="24" t="s">
        <v>210</v>
      </c>
      <c r="C131" s="24"/>
      <c r="D131" s="24"/>
      <c r="E131" s="24"/>
      <c r="F131" s="25"/>
      <c r="H131" s="23"/>
      <c r="I131" s="24" t="s">
        <v>210</v>
      </c>
      <c r="J131" s="24"/>
      <c r="K131" s="24"/>
      <c r="L131" s="24"/>
      <c r="M131" s="25"/>
      <c r="N131" s="84">
        <f>F134</f>
        <v>542</v>
      </c>
      <c r="O131" s="4"/>
    </row>
    <row r="132" spans="1:15" s="10" customFormat="1" ht="23.25" x14ac:dyDescent="0.3">
      <c r="A132" s="26">
        <v>1</v>
      </c>
      <c r="B132" s="65" t="s">
        <v>830</v>
      </c>
      <c r="C132" s="32" t="s">
        <v>20</v>
      </c>
      <c r="D132" s="32">
        <v>14.4</v>
      </c>
      <c r="E132" s="57">
        <v>30</v>
      </c>
      <c r="F132" s="30">
        <f>D132*E132</f>
        <v>432</v>
      </c>
      <c r="H132" s="26">
        <v>1</v>
      </c>
      <c r="I132" s="65" t="s">
        <v>830</v>
      </c>
      <c r="J132" s="32" t="s">
        <v>20</v>
      </c>
      <c r="K132" s="32">
        <v>14.4</v>
      </c>
      <c r="L132" s="57">
        <v>30</v>
      </c>
      <c r="M132" s="30">
        <f>K132*L132</f>
        <v>432</v>
      </c>
      <c r="N132" s="85"/>
      <c r="O132" s="11"/>
    </row>
    <row r="133" spans="1:15" s="10" customFormat="1" ht="23.25" x14ac:dyDescent="0.3">
      <c r="A133" s="26">
        <v>2</v>
      </c>
      <c r="B133" s="65" t="s">
        <v>831</v>
      </c>
      <c r="C133" s="32" t="s">
        <v>19</v>
      </c>
      <c r="D133" s="32">
        <v>2.2000000000000002</v>
      </c>
      <c r="E133" s="57">
        <v>50</v>
      </c>
      <c r="F133" s="30">
        <f>D133*E133</f>
        <v>110.00000000000001</v>
      </c>
      <c r="H133" s="26">
        <v>2</v>
      </c>
      <c r="I133" s="65" t="s">
        <v>831</v>
      </c>
      <c r="J133" s="32" t="s">
        <v>19</v>
      </c>
      <c r="K133" s="32">
        <v>2.2000000000000002</v>
      </c>
      <c r="L133" s="57">
        <v>50</v>
      </c>
      <c r="M133" s="30">
        <f>K133*L133</f>
        <v>110.00000000000001</v>
      </c>
      <c r="N133" s="85"/>
      <c r="O133" s="11"/>
    </row>
    <row r="134" spans="1:15" ht="23.25" x14ac:dyDescent="0.25">
      <c r="A134" s="69"/>
      <c r="B134" s="67"/>
      <c r="C134" s="67"/>
      <c r="D134" s="67"/>
      <c r="E134" s="68" t="s">
        <v>16</v>
      </c>
      <c r="F134" s="34">
        <f>SUM(F132:F133)</f>
        <v>542</v>
      </c>
      <c r="H134" s="69"/>
      <c r="I134" s="67"/>
      <c r="J134" s="67"/>
      <c r="K134" s="67"/>
      <c r="L134" s="68" t="s">
        <v>16</v>
      </c>
      <c r="M134" s="34">
        <f>SUM(M132:M133)</f>
        <v>542</v>
      </c>
    </row>
    <row r="135" spans="1:15" s="3" customFormat="1" ht="23.25" x14ac:dyDescent="0.35">
      <c r="A135" s="23"/>
      <c r="B135" s="24" t="s">
        <v>211</v>
      </c>
      <c r="C135" s="24"/>
      <c r="D135" s="24"/>
      <c r="E135" s="24"/>
      <c r="F135" s="25"/>
      <c r="H135" s="23"/>
      <c r="I135" s="24" t="s">
        <v>211</v>
      </c>
      <c r="J135" s="24"/>
      <c r="K135" s="24"/>
      <c r="L135" s="24"/>
      <c r="M135" s="25"/>
      <c r="N135" s="84">
        <f>F138</f>
        <v>2779</v>
      </c>
      <c r="O135" s="4"/>
    </row>
    <row r="136" spans="1:15" s="10" customFormat="1" ht="23.25" x14ac:dyDescent="0.3">
      <c r="A136" s="26">
        <v>1</v>
      </c>
      <c r="B136" s="65" t="s">
        <v>830</v>
      </c>
      <c r="C136" s="32" t="s">
        <v>20</v>
      </c>
      <c r="D136" s="32">
        <v>64.3</v>
      </c>
      <c r="E136" s="57">
        <v>30</v>
      </c>
      <c r="F136" s="30">
        <f>D136*E136</f>
        <v>1929</v>
      </c>
      <c r="H136" s="26">
        <v>1</v>
      </c>
      <c r="I136" s="65" t="s">
        <v>830</v>
      </c>
      <c r="J136" s="32" t="s">
        <v>20</v>
      </c>
      <c r="K136" s="32">
        <v>64.3</v>
      </c>
      <c r="L136" s="57">
        <v>30</v>
      </c>
      <c r="M136" s="30">
        <f>K136*L136</f>
        <v>1929</v>
      </c>
      <c r="N136" s="85"/>
      <c r="O136" s="11"/>
    </row>
    <row r="137" spans="1:15" s="10" customFormat="1" ht="23.25" x14ac:dyDescent="0.3">
      <c r="A137" s="26">
        <v>2</v>
      </c>
      <c r="B137" s="65" t="s">
        <v>831</v>
      </c>
      <c r="C137" s="32" t="s">
        <v>19</v>
      </c>
      <c r="D137" s="32">
        <v>17</v>
      </c>
      <c r="E137" s="57">
        <v>50</v>
      </c>
      <c r="F137" s="30">
        <f>D137*E137</f>
        <v>850</v>
      </c>
      <c r="H137" s="26">
        <v>2</v>
      </c>
      <c r="I137" s="65" t="s">
        <v>831</v>
      </c>
      <c r="J137" s="32" t="s">
        <v>19</v>
      </c>
      <c r="K137" s="32">
        <v>17</v>
      </c>
      <c r="L137" s="57">
        <v>50</v>
      </c>
      <c r="M137" s="30">
        <f>K137*L137</f>
        <v>850</v>
      </c>
      <c r="N137" s="85"/>
      <c r="O137" s="11"/>
    </row>
    <row r="138" spans="1:15" ht="23.25" x14ac:dyDescent="0.25">
      <c r="A138" s="69"/>
      <c r="B138" s="67"/>
      <c r="C138" s="67"/>
      <c r="D138" s="67"/>
      <c r="E138" s="68" t="s">
        <v>16</v>
      </c>
      <c r="F138" s="34">
        <f>SUM(F136:F137)</f>
        <v>2779</v>
      </c>
      <c r="H138" s="69"/>
      <c r="I138" s="67"/>
      <c r="J138" s="67"/>
      <c r="K138" s="67"/>
      <c r="L138" s="68" t="s">
        <v>16</v>
      </c>
      <c r="M138" s="34">
        <f>SUM(M136:M137)</f>
        <v>2779</v>
      </c>
    </row>
    <row r="139" spans="1:15" s="3" customFormat="1" ht="23.25" x14ac:dyDescent="0.35">
      <c r="A139" s="23"/>
      <c r="B139" s="24" t="s">
        <v>212</v>
      </c>
      <c r="C139" s="24"/>
      <c r="D139" s="24"/>
      <c r="E139" s="24"/>
      <c r="F139" s="25"/>
      <c r="H139" s="23"/>
      <c r="I139" s="24" t="s">
        <v>212</v>
      </c>
      <c r="J139" s="24"/>
      <c r="K139" s="24"/>
      <c r="L139" s="24"/>
      <c r="M139" s="25"/>
      <c r="N139" s="84">
        <f>F144</f>
        <v>71120</v>
      </c>
      <c r="O139" s="4"/>
    </row>
    <row r="140" spans="1:15" s="10" customFormat="1" ht="23.25" x14ac:dyDescent="0.3">
      <c r="A140" s="26">
        <v>1</v>
      </c>
      <c r="B140" s="65" t="s">
        <v>213</v>
      </c>
      <c r="C140" s="32" t="s">
        <v>27</v>
      </c>
      <c r="D140" s="32">
        <v>50</v>
      </c>
      <c r="E140" s="57">
        <v>480</v>
      </c>
      <c r="F140" s="30">
        <f>D140*E140</f>
        <v>24000</v>
      </c>
      <c r="H140" s="26">
        <v>1</v>
      </c>
      <c r="I140" s="65" t="s">
        <v>213</v>
      </c>
      <c r="J140" s="32" t="s">
        <v>27</v>
      </c>
      <c r="K140" s="32">
        <v>50</v>
      </c>
      <c r="L140" s="57">
        <v>480</v>
      </c>
      <c r="M140" s="30">
        <f>K140*L140</f>
        <v>24000</v>
      </c>
      <c r="N140" s="85"/>
      <c r="O140" s="11"/>
    </row>
    <row r="141" spans="1:15" s="10" customFormat="1" ht="23.25" x14ac:dyDescent="0.3">
      <c r="A141" s="26">
        <v>2</v>
      </c>
      <c r="B141" s="65" t="s">
        <v>214</v>
      </c>
      <c r="C141" s="32" t="s">
        <v>27</v>
      </c>
      <c r="D141" s="32">
        <v>50</v>
      </c>
      <c r="E141" s="57">
        <v>220</v>
      </c>
      <c r="F141" s="30">
        <f>D141*E141</f>
        <v>11000</v>
      </c>
      <c r="H141" s="26">
        <v>2</v>
      </c>
      <c r="I141" s="65" t="s">
        <v>214</v>
      </c>
      <c r="J141" s="32" t="s">
        <v>27</v>
      </c>
      <c r="K141" s="32">
        <v>50</v>
      </c>
      <c r="L141" s="57">
        <v>220</v>
      </c>
      <c r="M141" s="30">
        <f>K141*L141</f>
        <v>11000</v>
      </c>
      <c r="N141" s="85"/>
      <c r="O141" s="11"/>
    </row>
    <row r="142" spans="1:15" s="10" customFormat="1" ht="46.5" x14ac:dyDescent="0.3">
      <c r="A142" s="26">
        <v>3</v>
      </c>
      <c r="B142" s="31" t="s">
        <v>312</v>
      </c>
      <c r="C142" s="32" t="s">
        <v>27</v>
      </c>
      <c r="D142" s="32">
        <v>36</v>
      </c>
      <c r="E142" s="57">
        <v>920</v>
      </c>
      <c r="F142" s="30">
        <f>D142*E142</f>
        <v>33120</v>
      </c>
      <c r="H142" s="26">
        <v>3</v>
      </c>
      <c r="I142" s="31" t="s">
        <v>312</v>
      </c>
      <c r="J142" s="32" t="s">
        <v>27</v>
      </c>
      <c r="K142" s="32">
        <v>36</v>
      </c>
      <c r="L142" s="57">
        <v>920</v>
      </c>
      <c r="M142" s="30">
        <f>K142*L142</f>
        <v>33120</v>
      </c>
      <c r="N142" s="85"/>
      <c r="O142" s="11"/>
    </row>
    <row r="143" spans="1:15" s="10" customFormat="1" ht="23.25" x14ac:dyDescent="0.3">
      <c r="A143" s="26">
        <v>4</v>
      </c>
      <c r="B143" s="31" t="s">
        <v>313</v>
      </c>
      <c r="C143" s="32" t="s">
        <v>27</v>
      </c>
      <c r="D143" s="32">
        <v>2</v>
      </c>
      <c r="E143" s="57">
        <v>1500</v>
      </c>
      <c r="F143" s="30">
        <f>D143*E143</f>
        <v>3000</v>
      </c>
      <c r="H143" s="26">
        <v>4</v>
      </c>
      <c r="I143" s="31" t="s">
        <v>313</v>
      </c>
      <c r="J143" s="32" t="s">
        <v>27</v>
      </c>
      <c r="K143" s="32">
        <v>2</v>
      </c>
      <c r="L143" s="57">
        <v>1500</v>
      </c>
      <c r="M143" s="30">
        <f>K143*L143</f>
        <v>3000</v>
      </c>
      <c r="N143" s="85"/>
      <c r="O143" s="11"/>
    </row>
    <row r="144" spans="1:15" ht="23.25" x14ac:dyDescent="0.25">
      <c r="A144" s="109"/>
      <c r="B144" s="67"/>
      <c r="C144" s="67"/>
      <c r="D144" s="67"/>
      <c r="E144" s="68" t="s">
        <v>16</v>
      </c>
      <c r="F144" s="34">
        <f>SUM(F140:F143)</f>
        <v>71120</v>
      </c>
      <c r="H144" s="109"/>
      <c r="I144" s="67"/>
      <c r="J144" s="67"/>
      <c r="K144" s="67"/>
      <c r="L144" s="68" t="s">
        <v>16</v>
      </c>
      <c r="M144" s="34">
        <f>SUM(M140:M143)</f>
        <v>71120</v>
      </c>
    </row>
    <row r="145" spans="1:15" s="3" customFormat="1" ht="23.25" x14ac:dyDescent="0.35">
      <c r="A145" s="23"/>
      <c r="B145" s="24" t="s">
        <v>215</v>
      </c>
      <c r="C145" s="24"/>
      <c r="D145" s="24"/>
      <c r="E145" s="24"/>
      <c r="F145" s="25"/>
      <c r="H145" s="23"/>
      <c r="I145" s="24" t="s">
        <v>215</v>
      </c>
      <c r="J145" s="24"/>
      <c r="K145" s="24"/>
      <c r="L145" s="24"/>
      <c r="M145" s="25"/>
      <c r="N145" s="84">
        <f>F148</f>
        <v>3044</v>
      </c>
      <c r="O145" s="4"/>
    </row>
    <row r="146" spans="1:15" s="10" customFormat="1" ht="23.25" x14ac:dyDescent="0.3">
      <c r="A146" s="26">
        <v>1</v>
      </c>
      <c r="B146" s="65" t="s">
        <v>830</v>
      </c>
      <c r="C146" s="32" t="s">
        <v>20</v>
      </c>
      <c r="D146" s="32">
        <v>79.8</v>
      </c>
      <c r="E146" s="57">
        <v>30</v>
      </c>
      <c r="F146" s="30">
        <f>D146*E146</f>
        <v>2394</v>
      </c>
      <c r="H146" s="26">
        <v>1</v>
      </c>
      <c r="I146" s="65" t="s">
        <v>830</v>
      </c>
      <c r="J146" s="32" t="s">
        <v>20</v>
      </c>
      <c r="K146" s="32">
        <v>79.8</v>
      </c>
      <c r="L146" s="57">
        <v>30</v>
      </c>
      <c r="M146" s="30">
        <f>K146*L146</f>
        <v>2394</v>
      </c>
      <c r="N146" s="85"/>
      <c r="O146" s="11"/>
    </row>
    <row r="147" spans="1:15" s="10" customFormat="1" ht="23.25" x14ac:dyDescent="0.3">
      <c r="A147" s="26">
        <v>2</v>
      </c>
      <c r="B147" s="65" t="s">
        <v>832</v>
      </c>
      <c r="C147" s="32" t="s">
        <v>19</v>
      </c>
      <c r="D147" s="32">
        <v>13</v>
      </c>
      <c r="E147" s="57">
        <v>50</v>
      </c>
      <c r="F147" s="30">
        <f>D147*E147</f>
        <v>650</v>
      </c>
      <c r="H147" s="26">
        <v>2</v>
      </c>
      <c r="I147" s="65" t="s">
        <v>832</v>
      </c>
      <c r="J147" s="32" t="s">
        <v>19</v>
      </c>
      <c r="K147" s="32">
        <v>13</v>
      </c>
      <c r="L147" s="57">
        <v>50</v>
      </c>
      <c r="M147" s="30">
        <f>K147*L147</f>
        <v>650</v>
      </c>
      <c r="N147" s="85"/>
      <c r="O147" s="11"/>
    </row>
    <row r="148" spans="1:15" ht="23.25" x14ac:dyDescent="0.25">
      <c r="A148" s="69"/>
      <c r="B148" s="67"/>
      <c r="C148" s="67"/>
      <c r="D148" s="67"/>
      <c r="E148" s="68" t="s">
        <v>16</v>
      </c>
      <c r="F148" s="34">
        <f>SUM(F146:F147)</f>
        <v>3044</v>
      </c>
      <c r="H148" s="69"/>
      <c r="I148" s="67"/>
      <c r="J148" s="67"/>
      <c r="K148" s="67"/>
      <c r="L148" s="68" t="s">
        <v>16</v>
      </c>
      <c r="M148" s="34">
        <f>SUM(M146:M147)</f>
        <v>3044</v>
      </c>
    </row>
    <row r="149" spans="1:15" s="3" customFormat="1" ht="23.25" x14ac:dyDescent="0.35">
      <c r="A149" s="23"/>
      <c r="B149" s="24" t="s">
        <v>288</v>
      </c>
      <c r="C149" s="24"/>
      <c r="D149" s="24"/>
      <c r="E149" s="24"/>
      <c r="F149" s="25"/>
      <c r="H149" s="23"/>
      <c r="I149" s="24" t="s">
        <v>288</v>
      </c>
      <c r="J149" s="24"/>
      <c r="K149" s="24"/>
      <c r="L149" s="24"/>
      <c r="M149" s="25"/>
      <c r="N149" s="84">
        <f>F157</f>
        <v>35520</v>
      </c>
      <c r="O149" s="4"/>
    </row>
    <row r="150" spans="1:15" s="103" customFormat="1" ht="23.25" x14ac:dyDescent="0.3">
      <c r="A150" s="26">
        <v>1</v>
      </c>
      <c r="B150" s="65" t="s">
        <v>258</v>
      </c>
      <c r="C150" s="88" t="s">
        <v>20</v>
      </c>
      <c r="D150" s="88">
        <v>129.1</v>
      </c>
      <c r="E150" s="75">
        <v>150</v>
      </c>
      <c r="F150" s="106">
        <f t="shared" ref="F150" si="20">D150*E150</f>
        <v>19365</v>
      </c>
      <c r="H150" s="26">
        <v>1</v>
      </c>
      <c r="I150" s="65" t="s">
        <v>258</v>
      </c>
      <c r="J150" s="88" t="s">
        <v>20</v>
      </c>
      <c r="K150" s="88">
        <v>129.1</v>
      </c>
      <c r="L150" s="75">
        <v>150</v>
      </c>
      <c r="M150" s="106">
        <f t="shared" ref="M150:M156" si="21">K150*L150</f>
        <v>19365</v>
      </c>
      <c r="N150" s="104"/>
      <c r="O150" s="105"/>
    </row>
    <row r="151" spans="1:15" s="10" customFormat="1" ht="23.25" x14ac:dyDescent="0.3">
      <c r="A151" s="26">
        <v>2</v>
      </c>
      <c r="B151" s="70" t="s">
        <v>750</v>
      </c>
      <c r="C151" s="32" t="s">
        <v>20</v>
      </c>
      <c r="D151" s="88">
        <v>77</v>
      </c>
      <c r="E151" s="57">
        <v>30</v>
      </c>
      <c r="F151" s="30">
        <f t="shared" ref="F151:F156" si="22">D151*E151</f>
        <v>2310</v>
      </c>
      <c r="H151" s="26">
        <v>2</v>
      </c>
      <c r="I151" s="70" t="s">
        <v>750</v>
      </c>
      <c r="J151" s="32" t="s">
        <v>20</v>
      </c>
      <c r="K151" s="88">
        <v>77</v>
      </c>
      <c r="L151" s="57">
        <v>30</v>
      </c>
      <c r="M151" s="30">
        <f t="shared" si="21"/>
        <v>2310</v>
      </c>
      <c r="N151" s="85"/>
      <c r="O151" s="11"/>
    </row>
    <row r="152" spans="1:15" s="10" customFormat="1" ht="23.25" x14ac:dyDescent="0.3">
      <c r="A152" s="26">
        <v>3</v>
      </c>
      <c r="B152" s="65" t="s">
        <v>776</v>
      </c>
      <c r="C152" s="32" t="s">
        <v>19</v>
      </c>
      <c r="D152" s="32">
        <v>23.1</v>
      </c>
      <c r="E152" s="57">
        <v>50</v>
      </c>
      <c r="F152" s="30">
        <f t="shared" si="22"/>
        <v>1155</v>
      </c>
      <c r="H152" s="26">
        <v>3</v>
      </c>
      <c r="I152" s="65" t="s">
        <v>776</v>
      </c>
      <c r="J152" s="32" t="s">
        <v>19</v>
      </c>
      <c r="K152" s="32">
        <v>23.1</v>
      </c>
      <c r="L152" s="57">
        <v>50</v>
      </c>
      <c r="M152" s="30">
        <f t="shared" si="21"/>
        <v>1155</v>
      </c>
      <c r="N152" s="85"/>
      <c r="O152" s="11"/>
    </row>
    <row r="153" spans="1:15" s="10" customFormat="1" ht="23.25" x14ac:dyDescent="0.3">
      <c r="A153" s="26">
        <v>4</v>
      </c>
      <c r="B153" s="65" t="s">
        <v>289</v>
      </c>
      <c r="C153" s="32" t="s">
        <v>20</v>
      </c>
      <c r="D153" s="32">
        <v>104</v>
      </c>
      <c r="E153" s="57">
        <v>30</v>
      </c>
      <c r="F153" s="30">
        <f t="shared" si="22"/>
        <v>3120</v>
      </c>
      <c r="H153" s="26">
        <v>4</v>
      </c>
      <c r="I153" s="65" t="s">
        <v>289</v>
      </c>
      <c r="J153" s="32" t="s">
        <v>20</v>
      </c>
      <c r="K153" s="32">
        <v>104</v>
      </c>
      <c r="L153" s="57">
        <v>30</v>
      </c>
      <c r="M153" s="30">
        <f t="shared" si="21"/>
        <v>3120</v>
      </c>
      <c r="N153" s="85"/>
      <c r="O153" s="11"/>
    </row>
    <row r="154" spans="1:15" s="10" customFormat="1" ht="23.25" x14ac:dyDescent="0.3">
      <c r="A154" s="26">
        <v>5</v>
      </c>
      <c r="B154" s="65" t="s">
        <v>290</v>
      </c>
      <c r="C154" s="32" t="s">
        <v>19</v>
      </c>
      <c r="D154" s="88">
        <v>33.799999999999997</v>
      </c>
      <c r="E154" s="57">
        <v>50</v>
      </c>
      <c r="F154" s="30">
        <f t="shared" si="22"/>
        <v>1689.9999999999998</v>
      </c>
      <c r="H154" s="26">
        <v>5</v>
      </c>
      <c r="I154" s="65" t="s">
        <v>290</v>
      </c>
      <c r="J154" s="32" t="s">
        <v>19</v>
      </c>
      <c r="K154" s="88">
        <v>33.799999999999997</v>
      </c>
      <c r="L154" s="57">
        <v>50</v>
      </c>
      <c r="M154" s="30">
        <f t="shared" si="21"/>
        <v>1689.9999999999998</v>
      </c>
      <c r="N154" s="85"/>
      <c r="O154" s="11"/>
    </row>
    <row r="155" spans="1:15" s="10" customFormat="1" ht="23.25" x14ac:dyDescent="0.3">
      <c r="A155" s="26">
        <v>6</v>
      </c>
      <c r="B155" s="65" t="s">
        <v>605</v>
      </c>
      <c r="C155" s="32" t="s">
        <v>19</v>
      </c>
      <c r="D155" s="32">
        <v>46.5</v>
      </c>
      <c r="E155" s="57">
        <v>80</v>
      </c>
      <c r="F155" s="30">
        <f t="shared" si="22"/>
        <v>3720</v>
      </c>
      <c r="H155" s="26">
        <v>6</v>
      </c>
      <c r="I155" s="65" t="s">
        <v>605</v>
      </c>
      <c r="J155" s="32" t="s">
        <v>19</v>
      </c>
      <c r="K155" s="32">
        <v>46.5</v>
      </c>
      <c r="L155" s="57">
        <v>80</v>
      </c>
      <c r="M155" s="30">
        <f t="shared" si="21"/>
        <v>3720</v>
      </c>
      <c r="N155" s="85"/>
      <c r="O155" s="11"/>
    </row>
    <row r="156" spans="1:15" s="10" customFormat="1" ht="23.25" x14ac:dyDescent="0.3">
      <c r="A156" s="26">
        <v>7</v>
      </c>
      <c r="B156" s="65" t="s">
        <v>606</v>
      </c>
      <c r="C156" s="32" t="s">
        <v>19</v>
      </c>
      <c r="D156" s="88">
        <v>52</v>
      </c>
      <c r="E156" s="57">
        <v>80</v>
      </c>
      <c r="F156" s="30">
        <f t="shared" si="22"/>
        <v>4160</v>
      </c>
      <c r="H156" s="26">
        <v>7</v>
      </c>
      <c r="I156" s="65" t="s">
        <v>606</v>
      </c>
      <c r="J156" s="32" t="s">
        <v>19</v>
      </c>
      <c r="K156" s="88">
        <v>52</v>
      </c>
      <c r="L156" s="57">
        <v>80</v>
      </c>
      <c r="M156" s="30">
        <f t="shared" si="21"/>
        <v>4160</v>
      </c>
      <c r="N156" s="85"/>
      <c r="O156" s="11"/>
    </row>
    <row r="157" spans="1:15" ht="23.25" x14ac:dyDescent="0.25">
      <c r="A157" s="69"/>
      <c r="B157" s="67"/>
      <c r="C157" s="67"/>
      <c r="D157" s="67"/>
      <c r="E157" s="68" t="s">
        <v>16</v>
      </c>
      <c r="F157" s="34">
        <f>SUM(F150:F156)</f>
        <v>35520</v>
      </c>
      <c r="H157" s="69"/>
      <c r="I157" s="67"/>
      <c r="J157" s="67"/>
      <c r="K157" s="67"/>
      <c r="L157" s="68" t="s">
        <v>16</v>
      </c>
      <c r="M157" s="34">
        <f>SUM(M150:M156)</f>
        <v>35520</v>
      </c>
    </row>
    <row r="158" spans="1:15" s="3" customFormat="1" ht="23.25" x14ac:dyDescent="0.35">
      <c r="A158" s="23"/>
      <c r="B158" s="24" t="s">
        <v>294</v>
      </c>
      <c r="C158" s="24"/>
      <c r="D158" s="24"/>
      <c r="E158" s="24"/>
      <c r="F158" s="25"/>
      <c r="H158" s="23"/>
      <c r="I158" s="24" t="s">
        <v>294</v>
      </c>
      <c r="J158" s="24"/>
      <c r="K158" s="24"/>
      <c r="L158" s="24"/>
      <c r="M158" s="25"/>
      <c r="N158" s="84">
        <f>F176</f>
        <v>72768</v>
      </c>
      <c r="O158" s="4"/>
    </row>
    <row r="159" spans="1:15" s="103" customFormat="1" ht="23.25" x14ac:dyDescent="0.3">
      <c r="A159" s="26"/>
      <c r="B159" s="107" t="s">
        <v>315</v>
      </c>
      <c r="C159" s="88"/>
      <c r="D159" s="88"/>
      <c r="E159" s="75"/>
      <c r="F159" s="108">
        <f t="shared" ref="F159" si="23">D159*E159</f>
        <v>0</v>
      </c>
      <c r="H159" s="26"/>
      <c r="I159" s="107" t="s">
        <v>315</v>
      </c>
      <c r="J159" s="88"/>
      <c r="K159" s="88"/>
      <c r="L159" s="75"/>
      <c r="M159" s="108">
        <f t="shared" ref="M159" si="24">K159*L159</f>
        <v>0</v>
      </c>
      <c r="N159" s="104"/>
      <c r="O159" s="105"/>
    </row>
    <row r="160" spans="1:15" s="10" customFormat="1" ht="23.25" x14ac:dyDescent="0.3">
      <c r="A160" s="26">
        <v>1</v>
      </c>
      <c r="B160" s="70" t="s">
        <v>607</v>
      </c>
      <c r="C160" s="32" t="s">
        <v>19</v>
      </c>
      <c r="D160" s="88">
        <v>140.19999999999999</v>
      </c>
      <c r="E160" s="57">
        <v>80</v>
      </c>
      <c r="F160" s="30">
        <f>D160*E160</f>
        <v>11216</v>
      </c>
      <c r="H160" s="26">
        <v>1</v>
      </c>
      <c r="I160" s="70" t="s">
        <v>607</v>
      </c>
      <c r="J160" s="32" t="s">
        <v>19</v>
      </c>
      <c r="K160" s="88">
        <v>140.19999999999999</v>
      </c>
      <c r="L160" s="57">
        <v>80</v>
      </c>
      <c r="M160" s="30">
        <f>K160*L160</f>
        <v>11216</v>
      </c>
      <c r="N160" s="85"/>
      <c r="O160" s="11"/>
    </row>
    <row r="161" spans="1:15" s="10" customFormat="1" ht="23.25" x14ac:dyDescent="0.3">
      <c r="A161" s="26">
        <v>2</v>
      </c>
      <c r="B161" s="31" t="s">
        <v>295</v>
      </c>
      <c r="C161" s="32" t="s">
        <v>20</v>
      </c>
      <c r="D161" s="32">
        <v>56.6</v>
      </c>
      <c r="E161" s="57">
        <v>30</v>
      </c>
      <c r="F161" s="30">
        <f>D161*E161</f>
        <v>1698</v>
      </c>
      <c r="H161" s="26">
        <v>2</v>
      </c>
      <c r="I161" s="31" t="s">
        <v>295</v>
      </c>
      <c r="J161" s="32" t="s">
        <v>20</v>
      </c>
      <c r="K161" s="32">
        <v>56.6</v>
      </c>
      <c r="L161" s="57">
        <v>30</v>
      </c>
      <c r="M161" s="30">
        <f>K161*L161</f>
        <v>1698</v>
      </c>
      <c r="N161" s="85"/>
      <c r="O161" s="11"/>
    </row>
    <row r="162" spans="1:15" s="10" customFormat="1" ht="23.25" x14ac:dyDescent="0.3">
      <c r="A162" s="26">
        <v>3</v>
      </c>
      <c r="B162" s="65" t="s">
        <v>296</v>
      </c>
      <c r="C162" s="32" t="s">
        <v>19</v>
      </c>
      <c r="D162" s="32">
        <v>30.3</v>
      </c>
      <c r="E162" s="57">
        <v>50</v>
      </c>
      <c r="F162" s="30">
        <f>D162*E162</f>
        <v>1515</v>
      </c>
      <c r="H162" s="26">
        <v>3</v>
      </c>
      <c r="I162" s="65" t="s">
        <v>296</v>
      </c>
      <c r="J162" s="32" t="s">
        <v>19</v>
      </c>
      <c r="K162" s="32">
        <v>30.3</v>
      </c>
      <c r="L162" s="57">
        <v>50</v>
      </c>
      <c r="M162" s="30">
        <f>K162*L162</f>
        <v>1515</v>
      </c>
      <c r="N162" s="85"/>
      <c r="O162" s="11"/>
    </row>
    <row r="163" spans="1:15" s="10" customFormat="1" ht="23.25" x14ac:dyDescent="0.3">
      <c r="A163" s="26">
        <v>4</v>
      </c>
      <c r="B163" s="65" t="s">
        <v>297</v>
      </c>
      <c r="C163" s="32" t="s">
        <v>20</v>
      </c>
      <c r="D163" s="88">
        <v>235</v>
      </c>
      <c r="E163" s="57">
        <v>30</v>
      </c>
      <c r="F163" s="30">
        <f>D163*E163</f>
        <v>7050</v>
      </c>
      <c r="H163" s="26">
        <v>4</v>
      </c>
      <c r="I163" s="65" t="s">
        <v>297</v>
      </c>
      <c r="J163" s="32" t="s">
        <v>20</v>
      </c>
      <c r="K163" s="115">
        <v>118</v>
      </c>
      <c r="L163" s="57">
        <v>30</v>
      </c>
      <c r="M163" s="30">
        <f>K163*L163</f>
        <v>3540</v>
      </c>
      <c r="N163" s="85"/>
      <c r="O163" s="11"/>
    </row>
    <row r="164" spans="1:15" s="10" customFormat="1" ht="23.25" x14ac:dyDescent="0.3">
      <c r="A164" s="26">
        <v>5</v>
      </c>
      <c r="B164" s="65" t="s">
        <v>298</v>
      </c>
      <c r="C164" s="32" t="s">
        <v>19</v>
      </c>
      <c r="D164" s="32">
        <v>50.2</v>
      </c>
      <c r="E164" s="57">
        <v>50</v>
      </c>
      <c r="F164" s="30">
        <f>D164*E164</f>
        <v>2510</v>
      </c>
      <c r="H164" s="26">
        <v>5</v>
      </c>
      <c r="I164" s="65" t="s">
        <v>298</v>
      </c>
      <c r="J164" s="32" t="s">
        <v>19</v>
      </c>
      <c r="K164" s="32">
        <v>50.2</v>
      </c>
      <c r="L164" s="57">
        <v>50</v>
      </c>
      <c r="M164" s="30">
        <f>K164*L164</f>
        <v>2510</v>
      </c>
      <c r="N164" s="85"/>
      <c r="O164" s="11"/>
    </row>
    <row r="165" spans="1:15" s="103" customFormat="1" ht="23.25" x14ac:dyDescent="0.3">
      <c r="A165" s="26"/>
      <c r="B165" s="107" t="s">
        <v>316</v>
      </c>
      <c r="C165" s="88"/>
      <c r="D165" s="88"/>
      <c r="E165" s="75"/>
      <c r="F165" s="108">
        <f t="shared" ref="F165:F174" si="25">D165*E165</f>
        <v>0</v>
      </c>
      <c r="H165" s="26"/>
      <c r="I165" s="107" t="s">
        <v>316</v>
      </c>
      <c r="J165" s="88"/>
      <c r="K165" s="88"/>
      <c r="L165" s="75"/>
      <c r="M165" s="108">
        <f t="shared" ref="M165:M175" si="26">K165*L165</f>
        <v>0</v>
      </c>
      <c r="N165" s="104"/>
      <c r="O165" s="105"/>
    </row>
    <row r="166" spans="1:15" s="10" customFormat="1" ht="23.25" x14ac:dyDescent="0.3">
      <c r="A166" s="26">
        <v>6</v>
      </c>
      <c r="B166" s="70" t="s">
        <v>608</v>
      </c>
      <c r="C166" s="32" t="s">
        <v>19</v>
      </c>
      <c r="D166" s="88">
        <v>90.3</v>
      </c>
      <c r="E166" s="57">
        <v>80</v>
      </c>
      <c r="F166" s="30">
        <f t="shared" si="25"/>
        <v>7224</v>
      </c>
      <c r="H166" s="26">
        <v>6</v>
      </c>
      <c r="I166" s="70" t="s">
        <v>608</v>
      </c>
      <c r="J166" s="32" t="s">
        <v>19</v>
      </c>
      <c r="K166" s="88">
        <v>90.3</v>
      </c>
      <c r="L166" s="57">
        <v>80</v>
      </c>
      <c r="M166" s="30">
        <f t="shared" si="26"/>
        <v>7224</v>
      </c>
      <c r="N166" s="85"/>
      <c r="O166" s="11"/>
    </row>
    <row r="167" spans="1:15" s="10" customFormat="1" ht="23.25" x14ac:dyDescent="0.3">
      <c r="A167" s="26">
        <v>7</v>
      </c>
      <c r="B167" s="70" t="s">
        <v>609</v>
      </c>
      <c r="C167" s="32" t="s">
        <v>19</v>
      </c>
      <c r="D167" s="32">
        <v>170.2</v>
      </c>
      <c r="E167" s="57">
        <v>80</v>
      </c>
      <c r="F167" s="30">
        <f t="shared" si="25"/>
        <v>13616</v>
      </c>
      <c r="H167" s="26">
        <v>7</v>
      </c>
      <c r="I167" s="70" t="s">
        <v>609</v>
      </c>
      <c r="J167" s="32" t="s">
        <v>19</v>
      </c>
      <c r="K167" s="32">
        <v>170.2</v>
      </c>
      <c r="L167" s="57">
        <v>80</v>
      </c>
      <c r="M167" s="30">
        <f t="shared" si="26"/>
        <v>13616</v>
      </c>
      <c r="N167" s="85"/>
      <c r="O167" s="11"/>
    </row>
    <row r="168" spans="1:15" s="10" customFormat="1" ht="23.25" x14ac:dyDescent="0.3">
      <c r="A168" s="26">
        <v>8</v>
      </c>
      <c r="B168" s="65" t="s">
        <v>299</v>
      </c>
      <c r="C168" s="32" t="s">
        <v>20</v>
      </c>
      <c r="D168" s="32">
        <v>370.8</v>
      </c>
      <c r="E168" s="57">
        <v>30</v>
      </c>
      <c r="F168" s="30">
        <f t="shared" si="25"/>
        <v>11124</v>
      </c>
      <c r="H168" s="26">
        <v>8</v>
      </c>
      <c r="I168" s="65" t="s">
        <v>299</v>
      </c>
      <c r="J168" s="32" t="s">
        <v>20</v>
      </c>
      <c r="K168" s="115">
        <v>185.4</v>
      </c>
      <c r="L168" s="57">
        <v>30</v>
      </c>
      <c r="M168" s="30">
        <f t="shared" si="26"/>
        <v>5562</v>
      </c>
      <c r="N168" s="85"/>
      <c r="O168" s="11"/>
    </row>
    <row r="169" spans="1:15" s="10" customFormat="1" ht="23.25" x14ac:dyDescent="0.3">
      <c r="A169" s="26">
        <v>9</v>
      </c>
      <c r="B169" s="65" t="s">
        <v>300</v>
      </c>
      <c r="C169" s="32" t="s">
        <v>19</v>
      </c>
      <c r="D169" s="88">
        <v>80.2</v>
      </c>
      <c r="E169" s="57">
        <v>50</v>
      </c>
      <c r="F169" s="30">
        <f t="shared" si="25"/>
        <v>4010</v>
      </c>
      <c r="H169" s="26">
        <v>9</v>
      </c>
      <c r="I169" s="65" t="s">
        <v>300</v>
      </c>
      <c r="J169" s="32" t="s">
        <v>19</v>
      </c>
      <c r="K169" s="88">
        <v>80.2</v>
      </c>
      <c r="L169" s="57">
        <v>50</v>
      </c>
      <c r="M169" s="30">
        <f t="shared" si="26"/>
        <v>4010</v>
      </c>
      <c r="N169" s="85"/>
      <c r="O169" s="11"/>
    </row>
    <row r="170" spans="1:15" s="10" customFormat="1" ht="23.25" x14ac:dyDescent="0.3">
      <c r="A170" s="26">
        <v>10</v>
      </c>
      <c r="B170" s="65" t="s">
        <v>301</v>
      </c>
      <c r="C170" s="32" t="s">
        <v>20</v>
      </c>
      <c r="D170" s="32">
        <v>78.8</v>
      </c>
      <c r="E170" s="57">
        <v>30</v>
      </c>
      <c r="F170" s="30">
        <f t="shared" si="25"/>
        <v>2364</v>
      </c>
      <c r="H170" s="26">
        <v>10</v>
      </c>
      <c r="I170" s="65" t="s">
        <v>301</v>
      </c>
      <c r="J170" s="32" t="s">
        <v>20</v>
      </c>
      <c r="K170" s="32">
        <v>78.8</v>
      </c>
      <c r="L170" s="57">
        <v>30</v>
      </c>
      <c r="M170" s="30">
        <f t="shared" si="26"/>
        <v>2364</v>
      </c>
      <c r="N170" s="85"/>
      <c r="O170" s="11"/>
    </row>
    <row r="171" spans="1:15" s="10" customFormat="1" ht="23.25" x14ac:dyDescent="0.3">
      <c r="A171" s="26">
        <v>11</v>
      </c>
      <c r="B171" s="65" t="s">
        <v>302</v>
      </c>
      <c r="C171" s="32" t="s">
        <v>19</v>
      </c>
      <c r="D171" s="88">
        <v>36.700000000000003</v>
      </c>
      <c r="E171" s="57">
        <v>50</v>
      </c>
      <c r="F171" s="30">
        <f t="shared" si="25"/>
        <v>1835.0000000000002</v>
      </c>
      <c r="H171" s="26">
        <v>11</v>
      </c>
      <c r="I171" s="65" t="s">
        <v>302</v>
      </c>
      <c r="J171" s="32" t="s">
        <v>19</v>
      </c>
      <c r="K171" s="88">
        <v>36.700000000000003</v>
      </c>
      <c r="L171" s="57">
        <v>50</v>
      </c>
      <c r="M171" s="30">
        <f t="shared" si="26"/>
        <v>1835.0000000000002</v>
      </c>
      <c r="N171" s="85"/>
      <c r="O171" s="11"/>
    </row>
    <row r="172" spans="1:15" s="10" customFormat="1" ht="23.25" x14ac:dyDescent="0.3">
      <c r="A172" s="26">
        <v>12</v>
      </c>
      <c r="B172" s="70" t="s">
        <v>610</v>
      </c>
      <c r="C172" s="32" t="s">
        <v>19</v>
      </c>
      <c r="D172" s="32">
        <v>33.799999999999997</v>
      </c>
      <c r="E172" s="57">
        <v>80</v>
      </c>
      <c r="F172" s="30">
        <f t="shared" si="25"/>
        <v>2704</v>
      </c>
      <c r="H172" s="26">
        <v>12</v>
      </c>
      <c r="I172" s="70" t="s">
        <v>610</v>
      </c>
      <c r="J172" s="32" t="s">
        <v>19</v>
      </c>
      <c r="K172" s="32">
        <v>33.799999999999997</v>
      </c>
      <c r="L172" s="57">
        <v>80</v>
      </c>
      <c r="M172" s="30">
        <f t="shared" si="26"/>
        <v>2704</v>
      </c>
      <c r="N172" s="85"/>
      <c r="O172" s="11"/>
    </row>
    <row r="173" spans="1:15" s="10" customFormat="1" ht="23.25" x14ac:dyDescent="0.3">
      <c r="A173" s="26">
        <v>13</v>
      </c>
      <c r="B173" s="65" t="s">
        <v>303</v>
      </c>
      <c r="C173" s="32" t="s">
        <v>20</v>
      </c>
      <c r="D173" s="32">
        <v>114</v>
      </c>
      <c r="E173" s="57">
        <v>30</v>
      </c>
      <c r="F173" s="30">
        <f t="shared" si="25"/>
        <v>3420</v>
      </c>
      <c r="H173" s="26">
        <v>13</v>
      </c>
      <c r="I173" s="65" t="s">
        <v>303</v>
      </c>
      <c r="J173" s="32" t="s">
        <v>20</v>
      </c>
      <c r="K173" s="115">
        <v>57</v>
      </c>
      <c r="L173" s="57">
        <v>30</v>
      </c>
      <c r="M173" s="30">
        <f t="shared" si="26"/>
        <v>1710</v>
      </c>
      <c r="N173" s="85"/>
      <c r="O173" s="11"/>
    </row>
    <row r="174" spans="1:15" s="10" customFormat="1" ht="23.25" x14ac:dyDescent="0.3">
      <c r="A174" s="26">
        <v>14</v>
      </c>
      <c r="B174" s="65" t="s">
        <v>304</v>
      </c>
      <c r="C174" s="32" t="s">
        <v>19</v>
      </c>
      <c r="D174" s="32">
        <v>24.8</v>
      </c>
      <c r="E174" s="57">
        <v>50</v>
      </c>
      <c r="F174" s="30">
        <f t="shared" si="25"/>
        <v>1240</v>
      </c>
      <c r="H174" s="26">
        <v>14</v>
      </c>
      <c r="I174" s="65" t="s">
        <v>304</v>
      </c>
      <c r="J174" s="32" t="s">
        <v>19</v>
      </c>
      <c r="K174" s="32">
        <v>24.8</v>
      </c>
      <c r="L174" s="57">
        <v>50</v>
      </c>
      <c r="M174" s="30">
        <f t="shared" si="26"/>
        <v>1240</v>
      </c>
      <c r="N174" s="85"/>
      <c r="O174" s="11"/>
    </row>
    <row r="175" spans="1:15" s="10" customFormat="1" ht="23.25" x14ac:dyDescent="0.3">
      <c r="A175" s="26">
        <v>15</v>
      </c>
      <c r="B175" s="65" t="s">
        <v>122</v>
      </c>
      <c r="C175" s="32" t="s">
        <v>119</v>
      </c>
      <c r="D175" s="32">
        <v>2.7</v>
      </c>
      <c r="E175" s="57">
        <v>460</v>
      </c>
      <c r="F175" s="30">
        <f t="shared" ref="F175" si="27">D175*E175</f>
        <v>1242</v>
      </c>
      <c r="H175" s="26">
        <v>15</v>
      </c>
      <c r="I175" s="65" t="s">
        <v>122</v>
      </c>
      <c r="J175" s="32" t="s">
        <v>119</v>
      </c>
      <c r="K175" s="32">
        <v>2.7</v>
      </c>
      <c r="L175" s="57">
        <v>460</v>
      </c>
      <c r="M175" s="30">
        <f t="shared" si="26"/>
        <v>1242</v>
      </c>
      <c r="N175" s="85"/>
      <c r="O175" s="11"/>
    </row>
    <row r="176" spans="1:15" ht="23.25" x14ac:dyDescent="0.25">
      <c r="A176" s="69"/>
      <c r="B176" s="67"/>
      <c r="C176" s="67"/>
      <c r="D176" s="67"/>
      <c r="E176" s="68" t="s">
        <v>16</v>
      </c>
      <c r="F176" s="34">
        <f>SUM(F160:F175)</f>
        <v>72768</v>
      </c>
      <c r="H176" s="69"/>
      <c r="I176" s="67"/>
      <c r="J176" s="67"/>
      <c r="K176" s="67"/>
      <c r="L176" s="68" t="s">
        <v>16</v>
      </c>
      <c r="M176" s="34">
        <f>SUM(M160:M175)</f>
        <v>61986</v>
      </c>
    </row>
    <row r="177" spans="1:15" s="3" customFormat="1" ht="23.25" x14ac:dyDescent="0.35">
      <c r="A177" s="23"/>
      <c r="B177" s="24" t="s">
        <v>314</v>
      </c>
      <c r="C177" s="24"/>
      <c r="D177" s="24"/>
      <c r="E177" s="24"/>
      <c r="F177" s="25"/>
      <c r="H177" s="23"/>
      <c r="I177" s="24" t="s">
        <v>314</v>
      </c>
      <c r="J177" s="24"/>
      <c r="K177" s="24"/>
      <c r="L177" s="24"/>
      <c r="M177" s="25"/>
      <c r="N177" s="84">
        <f>F184</f>
        <v>30850</v>
      </c>
      <c r="O177" s="4"/>
    </row>
    <row r="178" spans="1:15" s="10" customFormat="1" ht="23.25" x14ac:dyDescent="0.3">
      <c r="A178" s="26">
        <v>1</v>
      </c>
      <c r="B178" s="65" t="s">
        <v>600</v>
      </c>
      <c r="C178" s="32" t="s">
        <v>19</v>
      </c>
      <c r="D178" s="32">
        <v>236.4</v>
      </c>
      <c r="E178" s="57">
        <v>80</v>
      </c>
      <c r="F178" s="30">
        <f>D178*E178</f>
        <v>18912</v>
      </c>
      <c r="H178" s="26">
        <v>1</v>
      </c>
      <c r="I178" s="65" t="s">
        <v>600</v>
      </c>
      <c r="J178" s="32" t="s">
        <v>19</v>
      </c>
      <c r="K178" s="32">
        <v>236.4</v>
      </c>
      <c r="L178" s="57">
        <v>80</v>
      </c>
      <c r="M178" s="30">
        <f>K178*L178</f>
        <v>18912</v>
      </c>
      <c r="N178" s="85"/>
      <c r="O178" s="11"/>
    </row>
    <row r="179" spans="1:15" s="10" customFormat="1" ht="23.25" x14ac:dyDescent="0.3">
      <c r="A179" s="26">
        <v>2</v>
      </c>
      <c r="B179" s="65" t="s">
        <v>305</v>
      </c>
      <c r="C179" s="32" t="s">
        <v>20</v>
      </c>
      <c r="D179" s="32">
        <v>126</v>
      </c>
      <c r="E179" s="57">
        <v>30</v>
      </c>
      <c r="F179" s="30">
        <f>D179*E179</f>
        <v>3780</v>
      </c>
      <c r="H179" s="26">
        <v>2</v>
      </c>
      <c r="I179" s="65" t="s">
        <v>305</v>
      </c>
      <c r="J179" s="32" t="s">
        <v>20</v>
      </c>
      <c r="K179" s="32">
        <v>126</v>
      </c>
      <c r="L179" s="57">
        <v>30</v>
      </c>
      <c r="M179" s="30">
        <f>K179*L179</f>
        <v>3780</v>
      </c>
      <c r="N179" s="85"/>
      <c r="O179" s="11"/>
    </row>
    <row r="180" spans="1:15" s="103" customFormat="1" ht="23.25" x14ac:dyDescent="0.3">
      <c r="A180" s="26">
        <v>3</v>
      </c>
      <c r="B180" s="65" t="s">
        <v>306</v>
      </c>
      <c r="C180" s="88" t="s">
        <v>19</v>
      </c>
      <c r="D180" s="88">
        <v>100</v>
      </c>
      <c r="E180" s="57">
        <v>50</v>
      </c>
      <c r="F180" s="106">
        <f t="shared" ref="F180" si="28">D180*E180</f>
        <v>5000</v>
      </c>
      <c r="H180" s="26">
        <v>3</v>
      </c>
      <c r="I180" s="65" t="s">
        <v>306</v>
      </c>
      <c r="J180" s="88" t="s">
        <v>19</v>
      </c>
      <c r="K180" s="88">
        <v>100</v>
      </c>
      <c r="L180" s="57">
        <v>50</v>
      </c>
      <c r="M180" s="106">
        <f t="shared" ref="M180" si="29">K180*L180</f>
        <v>5000</v>
      </c>
      <c r="N180" s="104"/>
      <c r="O180" s="105"/>
    </row>
    <row r="181" spans="1:15" s="10" customFormat="1" ht="23.25" x14ac:dyDescent="0.3">
      <c r="A181" s="26">
        <v>4</v>
      </c>
      <c r="B181" s="70" t="s">
        <v>787</v>
      </c>
      <c r="C181" s="32" t="s">
        <v>20</v>
      </c>
      <c r="D181" s="88">
        <v>43.2</v>
      </c>
      <c r="E181" s="57">
        <v>30</v>
      </c>
      <c r="F181" s="30">
        <f>D181*E181</f>
        <v>1296</v>
      </c>
      <c r="H181" s="26">
        <v>4</v>
      </c>
      <c r="I181" s="70" t="s">
        <v>787</v>
      </c>
      <c r="J181" s="32" t="s">
        <v>20</v>
      </c>
      <c r="K181" s="88">
        <v>43.2</v>
      </c>
      <c r="L181" s="57">
        <v>30</v>
      </c>
      <c r="M181" s="30">
        <f>K181*L181</f>
        <v>1296</v>
      </c>
      <c r="N181" s="85"/>
      <c r="O181" s="11"/>
    </row>
    <row r="182" spans="1:15" s="10" customFormat="1" ht="23.25" x14ac:dyDescent="0.3">
      <c r="A182" s="26">
        <v>5</v>
      </c>
      <c r="B182" s="70" t="s">
        <v>788</v>
      </c>
      <c r="C182" s="32" t="s">
        <v>19</v>
      </c>
      <c r="D182" s="32">
        <v>21.6</v>
      </c>
      <c r="E182" s="57">
        <v>50</v>
      </c>
      <c r="F182" s="30">
        <f>D182*E182</f>
        <v>1080</v>
      </c>
      <c r="H182" s="26">
        <v>5</v>
      </c>
      <c r="I182" s="70" t="s">
        <v>788</v>
      </c>
      <c r="J182" s="32" t="s">
        <v>19</v>
      </c>
      <c r="K182" s="32">
        <v>21.6</v>
      </c>
      <c r="L182" s="57">
        <v>50</v>
      </c>
      <c r="M182" s="30">
        <f>K182*L182</f>
        <v>1080</v>
      </c>
      <c r="N182" s="85"/>
      <c r="O182" s="11"/>
    </row>
    <row r="183" spans="1:15" s="10" customFormat="1" ht="23.25" x14ac:dyDescent="0.3">
      <c r="A183" s="26">
        <v>6</v>
      </c>
      <c r="B183" s="65" t="s">
        <v>122</v>
      </c>
      <c r="C183" s="32" t="s">
        <v>119</v>
      </c>
      <c r="D183" s="32">
        <v>1.7</v>
      </c>
      <c r="E183" s="57">
        <v>460</v>
      </c>
      <c r="F183" s="30">
        <f t="shared" ref="F183" si="30">D183*E183</f>
        <v>782</v>
      </c>
      <c r="H183" s="26">
        <v>6</v>
      </c>
      <c r="I183" s="65" t="s">
        <v>122</v>
      </c>
      <c r="J183" s="32" t="s">
        <v>119</v>
      </c>
      <c r="K183" s="32">
        <v>1.7</v>
      </c>
      <c r="L183" s="57">
        <v>460</v>
      </c>
      <c r="M183" s="30">
        <f t="shared" ref="M183" si="31">K183*L183</f>
        <v>782</v>
      </c>
      <c r="N183" s="85"/>
      <c r="O183" s="11"/>
    </row>
    <row r="184" spans="1:15" ht="23.25" x14ac:dyDescent="0.25">
      <c r="A184" s="69"/>
      <c r="B184" s="67"/>
      <c r="C184" s="67"/>
      <c r="D184" s="67"/>
      <c r="E184" s="68" t="s">
        <v>16</v>
      </c>
      <c r="F184" s="34">
        <f>SUM(F178:F183)</f>
        <v>30850</v>
      </c>
      <c r="H184" s="69"/>
      <c r="I184" s="67"/>
      <c r="J184" s="67"/>
      <c r="K184" s="67"/>
      <c r="L184" s="68" t="s">
        <v>16</v>
      </c>
      <c r="M184" s="34">
        <f>SUM(M178:M183)</f>
        <v>30850</v>
      </c>
    </row>
    <row r="185" spans="1:15" s="3" customFormat="1" ht="23.25" x14ac:dyDescent="0.35">
      <c r="A185" s="111"/>
      <c r="B185" s="112" t="s">
        <v>390</v>
      </c>
      <c r="C185" s="112"/>
      <c r="D185" s="112"/>
      <c r="E185" s="112"/>
      <c r="F185" s="113"/>
      <c r="H185" s="111"/>
      <c r="I185" s="112" t="s">
        <v>390</v>
      </c>
      <c r="J185" s="112"/>
      <c r="K185" s="112"/>
      <c r="L185" s="112"/>
      <c r="M185" s="113"/>
      <c r="N185" s="84">
        <f>F188</f>
        <v>4298</v>
      </c>
      <c r="O185" s="4"/>
    </row>
    <row r="186" spans="1:15" s="10" customFormat="1" ht="23.25" x14ac:dyDescent="0.3">
      <c r="A186" s="26">
        <v>1</v>
      </c>
      <c r="B186" s="65" t="s">
        <v>611</v>
      </c>
      <c r="C186" s="32" t="s">
        <v>19</v>
      </c>
      <c r="D186" s="32">
        <v>52</v>
      </c>
      <c r="E186" s="57">
        <v>80</v>
      </c>
      <c r="F186" s="30">
        <f>D186*E186</f>
        <v>4160</v>
      </c>
      <c r="H186" s="26">
        <v>1</v>
      </c>
      <c r="I186" s="65" t="s">
        <v>611</v>
      </c>
      <c r="J186" s="32" t="s">
        <v>19</v>
      </c>
      <c r="K186" s="32">
        <v>52</v>
      </c>
      <c r="L186" s="57">
        <v>80</v>
      </c>
      <c r="M186" s="30">
        <f>K186*L186</f>
        <v>4160</v>
      </c>
      <c r="N186" s="85"/>
      <c r="O186" s="11"/>
    </row>
    <row r="187" spans="1:15" s="10" customFormat="1" ht="23.25" x14ac:dyDescent="0.3">
      <c r="A187" s="26">
        <v>2</v>
      </c>
      <c r="B187" s="65" t="s">
        <v>122</v>
      </c>
      <c r="C187" s="32" t="s">
        <v>119</v>
      </c>
      <c r="D187" s="32">
        <v>0.3</v>
      </c>
      <c r="E187" s="57">
        <v>460</v>
      </c>
      <c r="F187" s="30">
        <f t="shared" ref="F187" si="32">D187*E187</f>
        <v>138</v>
      </c>
      <c r="H187" s="26">
        <v>2</v>
      </c>
      <c r="I187" s="65" t="s">
        <v>122</v>
      </c>
      <c r="J187" s="32" t="s">
        <v>119</v>
      </c>
      <c r="K187" s="32">
        <v>0.3</v>
      </c>
      <c r="L187" s="57">
        <v>460</v>
      </c>
      <c r="M187" s="30">
        <f t="shared" ref="M187" si="33">K187*L187</f>
        <v>138</v>
      </c>
      <c r="N187" s="85"/>
      <c r="O187" s="11"/>
    </row>
    <row r="188" spans="1:15" ht="23.25" x14ac:dyDescent="0.25">
      <c r="A188" s="69"/>
      <c r="B188" s="67"/>
      <c r="C188" s="67"/>
      <c r="D188" s="67"/>
      <c r="E188" s="68" t="s">
        <v>16</v>
      </c>
      <c r="F188" s="34">
        <f>SUM(F186:F187)</f>
        <v>4298</v>
      </c>
      <c r="H188" s="69"/>
      <c r="I188" s="67"/>
      <c r="J188" s="67"/>
      <c r="K188" s="67"/>
      <c r="L188" s="68" t="s">
        <v>16</v>
      </c>
      <c r="M188" s="34">
        <f>SUM(M186:M187)</f>
        <v>4298</v>
      </c>
    </row>
    <row r="189" spans="1:15" s="3" customFormat="1" ht="23.25" x14ac:dyDescent="0.35">
      <c r="A189" s="23"/>
      <c r="B189" s="24" t="s">
        <v>648</v>
      </c>
      <c r="C189" s="24"/>
      <c r="D189" s="24"/>
      <c r="E189" s="24"/>
      <c r="F189" s="25"/>
      <c r="H189" s="23"/>
      <c r="I189" s="24" t="s">
        <v>648</v>
      </c>
      <c r="J189" s="24"/>
      <c r="K189" s="24"/>
      <c r="L189" s="24"/>
      <c r="M189" s="25"/>
      <c r="N189" s="84">
        <f>F191</f>
        <v>13200</v>
      </c>
      <c r="O189" s="4"/>
    </row>
    <row r="190" spans="1:15" s="10" customFormat="1" ht="23.25" x14ac:dyDescent="0.3">
      <c r="A190" s="26">
        <v>1</v>
      </c>
      <c r="B190" s="65" t="s">
        <v>317</v>
      </c>
      <c r="C190" s="32" t="s">
        <v>27</v>
      </c>
      <c r="D190" s="115">
        <f>5+1</f>
        <v>6</v>
      </c>
      <c r="E190" s="57">
        <v>2200</v>
      </c>
      <c r="F190" s="30">
        <f>D190*E190</f>
        <v>13200</v>
      </c>
      <c r="H190" s="26">
        <v>1</v>
      </c>
      <c r="I190" s="65" t="s">
        <v>317</v>
      </c>
      <c r="J190" s="32" t="s">
        <v>27</v>
      </c>
      <c r="K190" s="115">
        <f>5+1</f>
        <v>6</v>
      </c>
      <c r="L190" s="57">
        <v>2200</v>
      </c>
      <c r="M190" s="30">
        <f>K190*L190</f>
        <v>13200</v>
      </c>
      <c r="N190" s="85"/>
      <c r="O190" s="11"/>
    </row>
    <row r="191" spans="1:15" ht="23.25" x14ac:dyDescent="0.25">
      <c r="A191" s="69"/>
      <c r="B191" s="67"/>
      <c r="C191" s="67"/>
      <c r="D191" s="67"/>
      <c r="E191" s="68" t="s">
        <v>16</v>
      </c>
      <c r="F191" s="34">
        <f>SUM(F190:F190)</f>
        <v>13200</v>
      </c>
      <c r="H191" s="69"/>
      <c r="I191" s="67"/>
      <c r="J191" s="67"/>
      <c r="K191" s="67"/>
      <c r="L191" s="68" t="s">
        <v>16</v>
      </c>
      <c r="M191" s="34">
        <f>SUM(M190:M190)</f>
        <v>13200</v>
      </c>
    </row>
    <row r="192" spans="1:15" s="3" customFormat="1" ht="23.25" x14ac:dyDescent="0.35">
      <c r="A192" s="23"/>
      <c r="B192" s="24" t="s">
        <v>310</v>
      </c>
      <c r="C192" s="24"/>
      <c r="D192" s="24"/>
      <c r="E192" s="24"/>
      <c r="F192" s="25"/>
      <c r="H192" s="23"/>
      <c r="I192" s="24" t="s">
        <v>310</v>
      </c>
      <c r="J192" s="24"/>
      <c r="K192" s="24"/>
      <c r="L192" s="24"/>
      <c r="M192" s="25"/>
      <c r="N192" s="84">
        <f>F194</f>
        <v>450</v>
      </c>
      <c r="O192" s="4"/>
    </row>
    <row r="193" spans="1:15" s="10" customFormat="1" ht="23.25" x14ac:dyDescent="0.3">
      <c r="A193" s="26">
        <v>1</v>
      </c>
      <c r="B193" s="65" t="s">
        <v>311</v>
      </c>
      <c r="C193" s="32" t="s">
        <v>27</v>
      </c>
      <c r="D193" s="32">
        <v>1</v>
      </c>
      <c r="E193" s="57">
        <v>450</v>
      </c>
      <c r="F193" s="30">
        <f>D193*E193</f>
        <v>450</v>
      </c>
      <c r="H193" s="26">
        <v>1</v>
      </c>
      <c r="I193" s="65" t="s">
        <v>311</v>
      </c>
      <c r="J193" s="32" t="s">
        <v>27</v>
      </c>
      <c r="K193" s="32">
        <v>1</v>
      </c>
      <c r="L193" s="57">
        <v>450</v>
      </c>
      <c r="M193" s="30">
        <f>K193*L193</f>
        <v>450</v>
      </c>
      <c r="N193" s="85"/>
      <c r="O193" s="11"/>
    </row>
    <row r="194" spans="1:15" ht="23.25" x14ac:dyDescent="0.25">
      <c r="A194" s="69"/>
      <c r="B194" s="67"/>
      <c r="C194" s="67"/>
      <c r="D194" s="67"/>
      <c r="E194" s="68" t="s">
        <v>16</v>
      </c>
      <c r="F194" s="34">
        <f>SUM(F193:F193)</f>
        <v>450</v>
      </c>
      <c r="H194" s="69"/>
      <c r="I194" s="67"/>
      <c r="J194" s="67"/>
      <c r="K194" s="67"/>
      <c r="L194" s="68" t="s">
        <v>16</v>
      </c>
      <c r="M194" s="34">
        <f>SUM(M193:M193)</f>
        <v>450</v>
      </c>
    </row>
    <row r="195" spans="1:15" s="3" customFormat="1" ht="23.25" x14ac:dyDescent="0.35">
      <c r="A195" s="111"/>
      <c r="B195" s="112" t="s">
        <v>649</v>
      </c>
      <c r="C195" s="112"/>
      <c r="D195" s="112"/>
      <c r="E195" s="112"/>
      <c r="F195" s="113"/>
      <c r="H195" s="111"/>
      <c r="I195" s="112" t="s">
        <v>649</v>
      </c>
      <c r="J195" s="112"/>
      <c r="K195" s="112"/>
      <c r="L195" s="112"/>
      <c r="M195" s="113"/>
      <c r="N195" s="84">
        <f>F197</f>
        <v>3200</v>
      </c>
      <c r="O195" s="4"/>
    </row>
    <row r="196" spans="1:15" s="10" customFormat="1" ht="23.25" x14ac:dyDescent="0.3">
      <c r="A196" s="26">
        <v>1</v>
      </c>
      <c r="B196" s="65" t="s">
        <v>650</v>
      </c>
      <c r="C196" s="32" t="s">
        <v>27</v>
      </c>
      <c r="D196" s="32">
        <v>2</v>
      </c>
      <c r="E196" s="57">
        <v>1600</v>
      </c>
      <c r="F196" s="30">
        <f>D196*E196</f>
        <v>3200</v>
      </c>
      <c r="H196" s="26">
        <v>1</v>
      </c>
      <c r="I196" s="65" t="s">
        <v>650</v>
      </c>
      <c r="J196" s="32" t="s">
        <v>27</v>
      </c>
      <c r="K196" s="32">
        <v>2</v>
      </c>
      <c r="L196" s="57">
        <v>1600</v>
      </c>
      <c r="M196" s="30">
        <f>K196*L196</f>
        <v>3200</v>
      </c>
      <c r="N196" s="85"/>
      <c r="O196" s="11"/>
    </row>
    <row r="197" spans="1:15" ht="23.25" x14ac:dyDescent="0.25">
      <c r="A197" s="69"/>
      <c r="B197" s="67"/>
      <c r="C197" s="67"/>
      <c r="D197" s="67"/>
      <c r="E197" s="68" t="s">
        <v>16</v>
      </c>
      <c r="F197" s="34">
        <f>SUM(F196:F196)</f>
        <v>3200</v>
      </c>
      <c r="H197" s="69"/>
      <c r="I197" s="67"/>
      <c r="J197" s="67"/>
      <c r="K197" s="67"/>
      <c r="L197" s="68" t="s">
        <v>16</v>
      </c>
      <c r="M197" s="34">
        <f>SUM(M196:M196)</f>
        <v>3200</v>
      </c>
    </row>
    <row r="198" spans="1:15" s="3" customFormat="1" ht="23.25" x14ac:dyDescent="0.35">
      <c r="A198" s="111"/>
      <c r="B198" s="112" t="s">
        <v>386</v>
      </c>
      <c r="C198" s="112"/>
      <c r="D198" s="112"/>
      <c r="E198" s="112"/>
      <c r="F198" s="113"/>
      <c r="H198" s="111"/>
      <c r="I198" s="112" t="s">
        <v>386</v>
      </c>
      <c r="J198" s="112"/>
      <c r="K198" s="112"/>
      <c r="L198" s="112"/>
      <c r="M198" s="113"/>
      <c r="N198" s="84">
        <f>F206</f>
        <v>19266</v>
      </c>
      <c r="O198" s="4"/>
    </row>
    <row r="199" spans="1:15" s="10" customFormat="1" ht="23.25" x14ac:dyDescent="0.3">
      <c r="A199" s="26">
        <v>1</v>
      </c>
      <c r="B199" s="65" t="s">
        <v>585</v>
      </c>
      <c r="C199" s="32" t="s">
        <v>19</v>
      </c>
      <c r="D199" s="32">
        <v>89</v>
      </c>
      <c r="E199" s="57">
        <v>80</v>
      </c>
      <c r="F199" s="30">
        <f>D199*E199</f>
        <v>7120</v>
      </c>
      <c r="H199" s="26">
        <v>1</v>
      </c>
      <c r="I199" s="65" t="s">
        <v>585</v>
      </c>
      <c r="J199" s="32" t="s">
        <v>19</v>
      </c>
      <c r="K199" s="32">
        <v>89</v>
      </c>
      <c r="L199" s="57">
        <v>80</v>
      </c>
      <c r="M199" s="30">
        <f>K199*L199</f>
        <v>7120</v>
      </c>
      <c r="N199" s="85"/>
      <c r="O199" s="11"/>
    </row>
    <row r="200" spans="1:15" s="10" customFormat="1" ht="23.25" x14ac:dyDescent="0.3">
      <c r="A200" s="26">
        <v>2</v>
      </c>
      <c r="B200" s="65" t="s">
        <v>387</v>
      </c>
      <c r="C200" s="32" t="s">
        <v>20</v>
      </c>
      <c r="D200" s="32">
        <v>44</v>
      </c>
      <c r="E200" s="57">
        <v>30</v>
      </c>
      <c r="F200" s="30">
        <f t="shared" ref="F200:F205" si="34">D200*E200</f>
        <v>1320</v>
      </c>
      <c r="H200" s="26">
        <v>2</v>
      </c>
      <c r="I200" s="65" t="s">
        <v>387</v>
      </c>
      <c r="J200" s="32" t="s">
        <v>20</v>
      </c>
      <c r="K200" s="32">
        <v>44</v>
      </c>
      <c r="L200" s="57">
        <v>30</v>
      </c>
      <c r="M200" s="30">
        <f t="shared" ref="M200:M205" si="35">K200*L200</f>
        <v>1320</v>
      </c>
      <c r="N200" s="85"/>
      <c r="O200" s="11"/>
    </row>
    <row r="201" spans="1:15" s="103" customFormat="1" ht="23.25" x14ac:dyDescent="0.3">
      <c r="A201" s="26">
        <v>3</v>
      </c>
      <c r="B201" s="65" t="s">
        <v>388</v>
      </c>
      <c r="C201" s="88" t="s">
        <v>19</v>
      </c>
      <c r="D201" s="88">
        <v>16.399999999999999</v>
      </c>
      <c r="E201" s="57">
        <v>50</v>
      </c>
      <c r="F201" s="30">
        <f t="shared" si="34"/>
        <v>819.99999999999989</v>
      </c>
      <c r="H201" s="26">
        <v>3</v>
      </c>
      <c r="I201" s="65" t="s">
        <v>388</v>
      </c>
      <c r="J201" s="88" t="s">
        <v>19</v>
      </c>
      <c r="K201" s="88">
        <v>16.399999999999999</v>
      </c>
      <c r="L201" s="57">
        <v>50</v>
      </c>
      <c r="M201" s="30">
        <f t="shared" si="35"/>
        <v>819.99999999999989</v>
      </c>
      <c r="N201" s="104"/>
      <c r="O201" s="105"/>
    </row>
    <row r="202" spans="1:15" s="10" customFormat="1" ht="23.25" x14ac:dyDescent="0.3">
      <c r="A202" s="26">
        <v>4</v>
      </c>
      <c r="B202" s="70" t="s">
        <v>567</v>
      </c>
      <c r="C202" s="32" t="s">
        <v>20</v>
      </c>
      <c r="D202" s="88">
        <v>49</v>
      </c>
      <c r="E202" s="57">
        <v>30</v>
      </c>
      <c r="F202" s="30">
        <f t="shared" si="34"/>
        <v>1470</v>
      </c>
      <c r="H202" s="26">
        <v>4</v>
      </c>
      <c r="I202" s="70" t="s">
        <v>567</v>
      </c>
      <c r="J202" s="32" t="s">
        <v>20</v>
      </c>
      <c r="K202" s="88">
        <v>49</v>
      </c>
      <c r="L202" s="57">
        <v>30</v>
      </c>
      <c r="M202" s="30">
        <f t="shared" si="35"/>
        <v>1470</v>
      </c>
      <c r="N202" s="85"/>
      <c r="O202" s="11"/>
    </row>
    <row r="203" spans="1:15" s="10" customFormat="1" ht="23.25" x14ac:dyDescent="0.3">
      <c r="A203" s="26">
        <v>5</v>
      </c>
      <c r="B203" s="70" t="s">
        <v>568</v>
      </c>
      <c r="C203" s="32" t="s">
        <v>19</v>
      </c>
      <c r="D203" s="32">
        <v>15.2</v>
      </c>
      <c r="E203" s="57">
        <v>50</v>
      </c>
      <c r="F203" s="30">
        <f t="shared" si="34"/>
        <v>760</v>
      </c>
      <c r="H203" s="26">
        <v>5</v>
      </c>
      <c r="I203" s="70" t="s">
        <v>568</v>
      </c>
      <c r="J203" s="32" t="s">
        <v>19</v>
      </c>
      <c r="K203" s="32">
        <v>15.2</v>
      </c>
      <c r="L203" s="57">
        <v>50</v>
      </c>
      <c r="M203" s="30">
        <f t="shared" si="35"/>
        <v>760</v>
      </c>
      <c r="N203" s="85"/>
      <c r="O203" s="11"/>
    </row>
    <row r="204" spans="1:15" s="10" customFormat="1" ht="23.25" customHeight="1" x14ac:dyDescent="0.3">
      <c r="A204" s="26">
        <v>6</v>
      </c>
      <c r="B204" s="36" t="s">
        <v>389</v>
      </c>
      <c r="C204" s="32" t="s">
        <v>20</v>
      </c>
      <c r="D204" s="32">
        <v>50</v>
      </c>
      <c r="E204" s="57">
        <v>150</v>
      </c>
      <c r="F204" s="30">
        <f t="shared" si="34"/>
        <v>7500</v>
      </c>
      <c r="H204" s="26">
        <v>6</v>
      </c>
      <c r="I204" s="36" t="s">
        <v>389</v>
      </c>
      <c r="J204" s="32" t="s">
        <v>20</v>
      </c>
      <c r="K204" s="32">
        <v>50</v>
      </c>
      <c r="L204" s="57">
        <v>150</v>
      </c>
      <c r="M204" s="30">
        <f t="shared" si="35"/>
        <v>7500</v>
      </c>
      <c r="N204" s="85"/>
      <c r="O204" s="11"/>
    </row>
    <row r="205" spans="1:15" s="10" customFormat="1" ht="23.25" x14ac:dyDescent="0.3">
      <c r="A205" s="26">
        <v>7</v>
      </c>
      <c r="B205" s="65" t="s">
        <v>122</v>
      </c>
      <c r="C205" s="32" t="s">
        <v>119</v>
      </c>
      <c r="D205" s="32">
        <v>0.6</v>
      </c>
      <c r="E205" s="57">
        <v>460</v>
      </c>
      <c r="F205" s="30">
        <f t="shared" si="34"/>
        <v>276</v>
      </c>
      <c r="H205" s="26">
        <v>7</v>
      </c>
      <c r="I205" s="65" t="s">
        <v>122</v>
      </c>
      <c r="J205" s="32" t="s">
        <v>119</v>
      </c>
      <c r="K205" s="32">
        <v>0.6</v>
      </c>
      <c r="L205" s="57">
        <v>460</v>
      </c>
      <c r="M205" s="30">
        <f t="shared" si="35"/>
        <v>276</v>
      </c>
      <c r="N205" s="85"/>
      <c r="O205" s="11"/>
    </row>
    <row r="206" spans="1:15" ht="23.25" x14ac:dyDescent="0.25">
      <c r="A206" s="69"/>
      <c r="B206" s="67"/>
      <c r="C206" s="67"/>
      <c r="D206" s="67"/>
      <c r="E206" s="68" t="s">
        <v>16</v>
      </c>
      <c r="F206" s="34">
        <f>SUM(F199:F205)</f>
        <v>19266</v>
      </c>
      <c r="H206" s="69"/>
      <c r="I206" s="67"/>
      <c r="J206" s="67"/>
      <c r="K206" s="67"/>
      <c r="L206" s="68" t="s">
        <v>16</v>
      </c>
      <c r="M206" s="34">
        <f>SUM(M199:M205)</f>
        <v>19266</v>
      </c>
    </row>
    <row r="207" spans="1:15" s="3" customFormat="1" ht="23.25" x14ac:dyDescent="0.35">
      <c r="A207" s="111"/>
      <c r="B207" s="112" t="s">
        <v>455</v>
      </c>
      <c r="C207" s="112"/>
      <c r="D207" s="112"/>
      <c r="E207" s="112"/>
      <c r="F207" s="113"/>
      <c r="H207" s="111"/>
      <c r="I207" s="112" t="s">
        <v>455</v>
      </c>
      <c r="J207" s="112"/>
      <c r="K207" s="112"/>
      <c r="L207" s="112"/>
      <c r="M207" s="113"/>
      <c r="N207" s="84">
        <f>F210</f>
        <v>2996</v>
      </c>
      <c r="O207" s="4"/>
    </row>
    <row r="208" spans="1:15" s="10" customFormat="1" ht="23.25" x14ac:dyDescent="0.3">
      <c r="A208" s="26">
        <v>1</v>
      </c>
      <c r="B208" s="65" t="s">
        <v>394</v>
      </c>
      <c r="C208" s="32" t="s">
        <v>19</v>
      </c>
      <c r="D208" s="32">
        <v>48.2</v>
      </c>
      <c r="E208" s="57">
        <v>30</v>
      </c>
      <c r="F208" s="30">
        <f>D208*E208</f>
        <v>1446</v>
      </c>
      <c r="H208" s="26">
        <v>1</v>
      </c>
      <c r="I208" s="65" t="s">
        <v>394</v>
      </c>
      <c r="J208" s="32" t="s">
        <v>20</v>
      </c>
      <c r="K208" s="32">
        <v>48.2</v>
      </c>
      <c r="L208" s="118">
        <v>25</v>
      </c>
      <c r="M208" s="30">
        <f>K208*L208</f>
        <v>1205</v>
      </c>
      <c r="N208" s="85"/>
      <c r="O208" s="11"/>
    </row>
    <row r="209" spans="1:15" s="10" customFormat="1" ht="23.25" x14ac:dyDescent="0.3">
      <c r="A209" s="26">
        <v>2</v>
      </c>
      <c r="B209" s="65" t="s">
        <v>412</v>
      </c>
      <c r="C209" s="32" t="s">
        <v>119</v>
      </c>
      <c r="D209" s="32">
        <v>31</v>
      </c>
      <c r="E209" s="57">
        <v>50</v>
      </c>
      <c r="F209" s="30">
        <f>D209*E209</f>
        <v>1550</v>
      </c>
      <c r="H209" s="26">
        <v>2</v>
      </c>
      <c r="I209" s="65" t="s">
        <v>412</v>
      </c>
      <c r="J209" s="32" t="s">
        <v>19</v>
      </c>
      <c r="K209" s="32">
        <v>31</v>
      </c>
      <c r="L209" s="57">
        <v>50</v>
      </c>
      <c r="M209" s="30">
        <f>K209*L209</f>
        <v>1550</v>
      </c>
      <c r="N209" s="85"/>
      <c r="O209" s="11"/>
    </row>
    <row r="210" spans="1:15" ht="23.25" x14ac:dyDescent="0.25">
      <c r="A210" s="69"/>
      <c r="B210" s="67"/>
      <c r="C210" s="67"/>
      <c r="D210" s="67"/>
      <c r="E210" s="68" t="s">
        <v>16</v>
      </c>
      <c r="F210" s="34">
        <f>SUM(F208:F209)</f>
        <v>2996</v>
      </c>
      <c r="H210" s="69"/>
      <c r="I210" s="67"/>
      <c r="J210" s="67"/>
      <c r="K210" s="67"/>
      <c r="L210" s="68" t="s">
        <v>16</v>
      </c>
      <c r="M210" s="34">
        <f>SUM(M208:M209)</f>
        <v>2755</v>
      </c>
    </row>
    <row r="211" spans="1:15" s="3" customFormat="1" ht="23.25" x14ac:dyDescent="0.35">
      <c r="A211" s="111"/>
      <c r="B211" s="112" t="s">
        <v>468</v>
      </c>
      <c r="C211" s="112"/>
      <c r="D211" s="112"/>
      <c r="E211" s="112"/>
      <c r="F211" s="113"/>
      <c r="H211" s="111"/>
      <c r="I211" s="112" t="s">
        <v>468</v>
      </c>
      <c r="J211" s="112"/>
      <c r="K211" s="112"/>
      <c r="L211" s="112"/>
      <c r="M211" s="113"/>
      <c r="N211" s="84">
        <f>F214</f>
        <v>4567.8</v>
      </c>
      <c r="O211" s="4"/>
    </row>
    <row r="212" spans="1:15" s="10" customFormat="1" ht="23.25" x14ac:dyDescent="0.3">
      <c r="A212" s="26">
        <v>1</v>
      </c>
      <c r="B212" s="65" t="s">
        <v>612</v>
      </c>
      <c r="C212" s="32" t="s">
        <v>19</v>
      </c>
      <c r="D212" s="32">
        <v>55.2</v>
      </c>
      <c r="E212" s="57">
        <v>80</v>
      </c>
      <c r="F212" s="30">
        <f>D212*E212</f>
        <v>4416</v>
      </c>
      <c r="H212" s="26">
        <v>1</v>
      </c>
      <c r="I212" s="65" t="s">
        <v>612</v>
      </c>
      <c r="J212" s="32" t="s">
        <v>19</v>
      </c>
      <c r="K212" s="32">
        <v>55.2</v>
      </c>
      <c r="L212" s="57">
        <v>80</v>
      </c>
      <c r="M212" s="30">
        <f>K212*L212</f>
        <v>4416</v>
      </c>
      <c r="N212" s="85"/>
      <c r="O212" s="11"/>
    </row>
    <row r="213" spans="1:15" s="10" customFormat="1" ht="23.25" x14ac:dyDescent="0.3">
      <c r="A213" s="26">
        <v>2</v>
      </c>
      <c r="B213" s="65" t="s">
        <v>122</v>
      </c>
      <c r="C213" s="32" t="s">
        <v>119</v>
      </c>
      <c r="D213" s="32">
        <v>0.33</v>
      </c>
      <c r="E213" s="57">
        <v>460</v>
      </c>
      <c r="F213" s="30">
        <f t="shared" ref="F213" si="36">D213*E213</f>
        <v>151.80000000000001</v>
      </c>
      <c r="H213" s="26">
        <v>2</v>
      </c>
      <c r="I213" s="65" t="s">
        <v>122</v>
      </c>
      <c r="J213" s="32" t="s">
        <v>119</v>
      </c>
      <c r="K213" s="32">
        <v>0.33</v>
      </c>
      <c r="L213" s="57">
        <v>460</v>
      </c>
      <c r="M213" s="30">
        <f t="shared" ref="M213" si="37">K213*L213</f>
        <v>151.80000000000001</v>
      </c>
      <c r="N213" s="85"/>
      <c r="O213" s="11"/>
    </row>
    <row r="214" spans="1:15" ht="23.25" x14ac:dyDescent="0.25">
      <c r="A214" s="69"/>
      <c r="B214" s="67"/>
      <c r="C214" s="67"/>
      <c r="D214" s="67"/>
      <c r="E214" s="68" t="s">
        <v>16</v>
      </c>
      <c r="F214" s="34">
        <f>SUM(F212:F213)</f>
        <v>4567.8</v>
      </c>
      <c r="H214" s="69"/>
      <c r="I214" s="67"/>
      <c r="J214" s="67"/>
      <c r="K214" s="67"/>
      <c r="L214" s="68" t="s">
        <v>16</v>
      </c>
      <c r="M214" s="34">
        <f>SUM(M212:M213)</f>
        <v>4567.8</v>
      </c>
    </row>
    <row r="215" spans="1:15" s="3" customFormat="1" ht="23.25" x14ac:dyDescent="0.35">
      <c r="A215" s="111"/>
      <c r="B215" s="112" t="s">
        <v>540</v>
      </c>
      <c r="C215" s="112"/>
      <c r="D215" s="112"/>
      <c r="E215" s="112"/>
      <c r="F215" s="113"/>
      <c r="H215" s="111"/>
      <c r="I215" s="112" t="s">
        <v>540</v>
      </c>
      <c r="J215" s="112"/>
      <c r="K215" s="112"/>
      <c r="L215" s="112"/>
      <c r="M215" s="113"/>
      <c r="N215" s="84">
        <f>F223</f>
        <v>6778.7</v>
      </c>
      <c r="O215" s="4"/>
    </row>
    <row r="216" spans="1:15" s="10" customFormat="1" ht="23.25" x14ac:dyDescent="0.3">
      <c r="A216" s="26">
        <v>1</v>
      </c>
      <c r="B216" s="70" t="s">
        <v>567</v>
      </c>
      <c r="C216" s="32" t="s">
        <v>20</v>
      </c>
      <c r="D216" s="88">
        <v>98.4</v>
      </c>
      <c r="E216" s="57">
        <v>30</v>
      </c>
      <c r="F216" s="30">
        <f>D216*E216</f>
        <v>2952</v>
      </c>
      <c r="H216" s="26">
        <v>1</v>
      </c>
      <c r="I216" s="70" t="s">
        <v>567</v>
      </c>
      <c r="J216" s="32" t="s">
        <v>20</v>
      </c>
      <c r="K216" s="88">
        <v>98.4</v>
      </c>
      <c r="L216" s="57">
        <v>30</v>
      </c>
      <c r="M216" s="30">
        <f>K216*L216</f>
        <v>2952</v>
      </c>
      <c r="N216" s="85"/>
      <c r="O216" s="11"/>
    </row>
    <row r="217" spans="1:15" s="10" customFormat="1" ht="23.25" x14ac:dyDescent="0.3">
      <c r="A217" s="26">
        <v>2</v>
      </c>
      <c r="B217" s="70" t="s">
        <v>568</v>
      </c>
      <c r="C217" s="32" t="s">
        <v>19</v>
      </c>
      <c r="D217" s="32">
        <v>32</v>
      </c>
      <c r="E217" s="57">
        <v>50</v>
      </c>
      <c r="F217" s="30">
        <f t="shared" ref="F217:F222" si="38">D217*E217</f>
        <v>1600</v>
      </c>
      <c r="H217" s="26">
        <v>2</v>
      </c>
      <c r="I217" s="70" t="s">
        <v>568</v>
      </c>
      <c r="J217" s="32" t="s">
        <v>19</v>
      </c>
      <c r="K217" s="32">
        <v>32</v>
      </c>
      <c r="L217" s="57">
        <v>50</v>
      </c>
      <c r="M217" s="30">
        <f t="shared" ref="M217:M222" si="39">K217*L217</f>
        <v>1600</v>
      </c>
      <c r="N217" s="85"/>
      <c r="O217" s="11"/>
    </row>
    <row r="218" spans="1:15" s="10" customFormat="1" ht="23.25" x14ac:dyDescent="0.3">
      <c r="A218" s="26">
        <v>3</v>
      </c>
      <c r="B218" s="65" t="s">
        <v>355</v>
      </c>
      <c r="C218" s="32" t="s">
        <v>20</v>
      </c>
      <c r="D218" s="32">
        <v>18</v>
      </c>
      <c r="E218" s="57">
        <v>30</v>
      </c>
      <c r="F218" s="30">
        <f t="shared" si="38"/>
        <v>540</v>
      </c>
      <c r="H218" s="26">
        <v>3</v>
      </c>
      <c r="I218" s="65" t="s">
        <v>355</v>
      </c>
      <c r="J218" s="32" t="s">
        <v>20</v>
      </c>
      <c r="K218" s="115">
        <v>9</v>
      </c>
      <c r="L218" s="57">
        <v>30</v>
      </c>
      <c r="M218" s="30">
        <f t="shared" si="39"/>
        <v>270</v>
      </c>
      <c r="N218" s="85"/>
      <c r="O218" s="11"/>
    </row>
    <row r="219" spans="1:15" s="103" customFormat="1" ht="23.25" x14ac:dyDescent="0.3">
      <c r="A219" s="26">
        <v>4</v>
      </c>
      <c r="B219" s="65" t="s">
        <v>354</v>
      </c>
      <c r="C219" s="88" t="s">
        <v>19</v>
      </c>
      <c r="D219" s="88">
        <v>8</v>
      </c>
      <c r="E219" s="57">
        <v>50</v>
      </c>
      <c r="F219" s="30">
        <f t="shared" si="38"/>
        <v>400</v>
      </c>
      <c r="H219" s="26">
        <v>4</v>
      </c>
      <c r="I219" s="65" t="s">
        <v>354</v>
      </c>
      <c r="J219" s="88" t="s">
        <v>19</v>
      </c>
      <c r="K219" s="88">
        <v>8</v>
      </c>
      <c r="L219" s="57">
        <v>50</v>
      </c>
      <c r="M219" s="30">
        <f t="shared" si="39"/>
        <v>400</v>
      </c>
      <c r="N219" s="104"/>
      <c r="O219" s="105"/>
    </row>
    <row r="220" spans="1:15" s="10" customFormat="1" ht="23.25" x14ac:dyDescent="0.3">
      <c r="A220" s="26">
        <v>5</v>
      </c>
      <c r="B220" s="70" t="s">
        <v>789</v>
      </c>
      <c r="C220" s="32" t="s">
        <v>19</v>
      </c>
      <c r="D220" s="32">
        <v>12.3</v>
      </c>
      <c r="E220" s="57">
        <v>80</v>
      </c>
      <c r="F220" s="30">
        <f t="shared" si="38"/>
        <v>984</v>
      </c>
      <c r="H220" s="26">
        <v>5</v>
      </c>
      <c r="I220" s="70" t="s">
        <v>789</v>
      </c>
      <c r="J220" s="32" t="s">
        <v>19</v>
      </c>
      <c r="K220" s="32">
        <v>12.3</v>
      </c>
      <c r="L220" s="57">
        <v>80</v>
      </c>
      <c r="M220" s="30">
        <f t="shared" si="39"/>
        <v>984</v>
      </c>
      <c r="N220" s="85"/>
      <c r="O220" s="11"/>
    </row>
    <row r="221" spans="1:15" s="10" customFormat="1" ht="23.25" customHeight="1" x14ac:dyDescent="0.3">
      <c r="A221" s="26">
        <v>6</v>
      </c>
      <c r="B221" s="36" t="s">
        <v>389</v>
      </c>
      <c r="C221" s="32" t="s">
        <v>20</v>
      </c>
      <c r="D221" s="32">
        <v>1.65</v>
      </c>
      <c r="E221" s="57">
        <v>150</v>
      </c>
      <c r="F221" s="30">
        <f t="shared" si="38"/>
        <v>247.5</v>
      </c>
      <c r="H221" s="26">
        <v>6</v>
      </c>
      <c r="I221" s="36" t="s">
        <v>389</v>
      </c>
      <c r="J221" s="32" t="s">
        <v>20</v>
      </c>
      <c r="K221" s="32">
        <v>1.65</v>
      </c>
      <c r="L221" s="57">
        <v>150</v>
      </c>
      <c r="M221" s="30">
        <f t="shared" si="39"/>
        <v>247.5</v>
      </c>
      <c r="N221" s="85"/>
      <c r="O221" s="11"/>
    </row>
    <row r="222" spans="1:15" s="10" customFormat="1" ht="23.25" x14ac:dyDescent="0.3">
      <c r="A222" s="26">
        <v>7</v>
      </c>
      <c r="B222" s="65" t="s">
        <v>122</v>
      </c>
      <c r="C222" s="32" t="s">
        <v>119</v>
      </c>
      <c r="D222" s="32">
        <v>0.12</v>
      </c>
      <c r="E222" s="57">
        <v>460</v>
      </c>
      <c r="F222" s="30">
        <f t="shared" si="38"/>
        <v>55.199999999999996</v>
      </c>
      <c r="H222" s="26">
        <v>7</v>
      </c>
      <c r="I222" s="65" t="s">
        <v>122</v>
      </c>
      <c r="J222" s="32" t="s">
        <v>119</v>
      </c>
      <c r="K222" s="32">
        <v>0.12</v>
      </c>
      <c r="L222" s="57">
        <v>460</v>
      </c>
      <c r="M222" s="30">
        <f t="shared" si="39"/>
        <v>55.199999999999996</v>
      </c>
      <c r="N222" s="85"/>
      <c r="O222" s="11"/>
    </row>
    <row r="223" spans="1:15" ht="23.25" x14ac:dyDescent="0.25">
      <c r="A223" s="69"/>
      <c r="B223" s="67"/>
      <c r="C223" s="67"/>
      <c r="D223" s="67"/>
      <c r="E223" s="68" t="s">
        <v>16</v>
      </c>
      <c r="F223" s="34">
        <f>SUM(F216:F222)</f>
        <v>6778.7</v>
      </c>
      <c r="H223" s="69"/>
      <c r="I223" s="67"/>
      <c r="J223" s="67"/>
      <c r="K223" s="67"/>
      <c r="L223" s="68" t="s">
        <v>16</v>
      </c>
      <c r="M223" s="34">
        <f>SUM(M216:M222)</f>
        <v>6508.7</v>
      </c>
    </row>
    <row r="224" spans="1:15" s="3" customFormat="1" ht="23.25" x14ac:dyDescent="0.35">
      <c r="A224" s="111"/>
      <c r="B224" s="112" t="s">
        <v>544</v>
      </c>
      <c r="C224" s="112"/>
      <c r="D224" s="112"/>
      <c r="E224" s="112"/>
      <c r="F224" s="113"/>
      <c r="H224" s="111"/>
      <c r="I224" s="112" t="s">
        <v>544</v>
      </c>
      <c r="J224" s="112"/>
      <c r="K224" s="112"/>
      <c r="L224" s="112"/>
      <c r="M224" s="113"/>
      <c r="N224" s="84">
        <f>F227</f>
        <v>35680</v>
      </c>
      <c r="O224" s="4"/>
    </row>
    <row r="225" spans="1:15" s="10" customFormat="1" ht="46.5" x14ac:dyDescent="0.3">
      <c r="A225" s="26">
        <v>1</v>
      </c>
      <c r="B225" s="36" t="s">
        <v>614</v>
      </c>
      <c r="C225" s="32" t="s">
        <v>20</v>
      </c>
      <c r="D225" s="88">
        <v>464</v>
      </c>
      <c r="E225" s="57">
        <v>70</v>
      </c>
      <c r="F225" s="30">
        <f>D225*E225</f>
        <v>32480</v>
      </c>
      <c r="H225" s="26">
        <v>1</v>
      </c>
      <c r="I225" s="36" t="s">
        <v>614</v>
      </c>
      <c r="J225" s="32" t="s">
        <v>20</v>
      </c>
      <c r="K225" s="88">
        <v>464</v>
      </c>
      <c r="L225" s="57">
        <v>70</v>
      </c>
      <c r="M225" s="30">
        <f>K225*L225</f>
        <v>32480</v>
      </c>
      <c r="N225" s="85"/>
      <c r="O225" s="11"/>
    </row>
    <row r="226" spans="1:15" s="10" customFormat="1" ht="23.25" x14ac:dyDescent="0.3">
      <c r="A226" s="26">
        <v>2</v>
      </c>
      <c r="B226" s="70" t="s">
        <v>545</v>
      </c>
      <c r="C226" s="32" t="s">
        <v>27</v>
      </c>
      <c r="D226" s="32">
        <v>4</v>
      </c>
      <c r="E226" s="57">
        <v>800</v>
      </c>
      <c r="F226" s="30">
        <f>D226*E226</f>
        <v>3200</v>
      </c>
      <c r="H226" s="26">
        <v>2</v>
      </c>
      <c r="I226" s="70" t="s">
        <v>545</v>
      </c>
      <c r="J226" s="32" t="s">
        <v>27</v>
      </c>
      <c r="K226" s="32">
        <v>4</v>
      </c>
      <c r="L226" s="57">
        <v>800</v>
      </c>
      <c r="M226" s="30">
        <f>K226*L226</f>
        <v>3200</v>
      </c>
      <c r="N226" s="85"/>
      <c r="O226" s="11"/>
    </row>
    <row r="227" spans="1:15" ht="23.25" x14ac:dyDescent="0.25">
      <c r="A227" s="69"/>
      <c r="B227" s="67"/>
      <c r="C227" s="67"/>
      <c r="D227" s="67"/>
      <c r="E227" s="68" t="s">
        <v>16</v>
      </c>
      <c r="F227" s="34">
        <f>SUM(F225:F226)</f>
        <v>35680</v>
      </c>
      <c r="H227" s="69"/>
      <c r="I227" s="67"/>
      <c r="J227" s="67"/>
      <c r="K227" s="67"/>
      <c r="L227" s="68" t="s">
        <v>16</v>
      </c>
      <c r="M227" s="34">
        <f>SUM(M225:M226)</f>
        <v>35680</v>
      </c>
    </row>
    <row r="228" spans="1:15" s="3" customFormat="1" ht="23.25" x14ac:dyDescent="0.35">
      <c r="A228" s="111"/>
      <c r="B228" s="112" t="s">
        <v>661</v>
      </c>
      <c r="C228" s="112"/>
      <c r="D228" s="112"/>
      <c r="E228" s="112"/>
      <c r="F228" s="113"/>
      <c r="H228" s="111"/>
      <c r="I228" s="112" t="s">
        <v>661</v>
      </c>
      <c r="J228" s="112"/>
      <c r="K228" s="112"/>
      <c r="L228" s="112"/>
      <c r="M228" s="113"/>
      <c r="N228" s="84">
        <f>F231</f>
        <v>2608</v>
      </c>
      <c r="O228" s="4"/>
    </row>
    <row r="229" spans="1:15" s="10" customFormat="1" ht="23.25" x14ac:dyDescent="0.3">
      <c r="A229" s="26">
        <v>1</v>
      </c>
      <c r="B229" s="70" t="s">
        <v>641</v>
      </c>
      <c r="C229" s="32" t="s">
        <v>20</v>
      </c>
      <c r="D229" s="88">
        <v>71.099999999999994</v>
      </c>
      <c r="E229" s="57">
        <v>30</v>
      </c>
      <c r="F229" s="30">
        <f>D229*E229</f>
        <v>2133</v>
      </c>
      <c r="H229" s="26">
        <v>1</v>
      </c>
      <c r="I229" s="70" t="s">
        <v>641</v>
      </c>
      <c r="J229" s="32" t="s">
        <v>20</v>
      </c>
      <c r="K229" s="88">
        <v>71.099999999999994</v>
      </c>
      <c r="L229" s="57">
        <v>30</v>
      </c>
      <c r="M229" s="30">
        <f>K229*L229</f>
        <v>2133</v>
      </c>
      <c r="N229" s="85"/>
      <c r="O229" s="11"/>
    </row>
    <row r="230" spans="1:15" s="10" customFormat="1" ht="23.25" x14ac:dyDescent="0.3">
      <c r="A230" s="26">
        <v>2</v>
      </c>
      <c r="B230" s="70" t="s">
        <v>642</v>
      </c>
      <c r="C230" s="32" t="s">
        <v>19</v>
      </c>
      <c r="D230" s="32">
        <v>9.5</v>
      </c>
      <c r="E230" s="57">
        <v>50</v>
      </c>
      <c r="F230" s="30">
        <f t="shared" ref="F230" si="40">D230*E230</f>
        <v>475</v>
      </c>
      <c r="H230" s="26">
        <v>2</v>
      </c>
      <c r="I230" s="70" t="s">
        <v>642</v>
      </c>
      <c r="J230" s="32" t="s">
        <v>19</v>
      </c>
      <c r="K230" s="32">
        <v>9.5</v>
      </c>
      <c r="L230" s="57">
        <v>50</v>
      </c>
      <c r="M230" s="30">
        <f t="shared" ref="M230" si="41">K230*L230</f>
        <v>475</v>
      </c>
      <c r="N230" s="85"/>
      <c r="O230" s="11"/>
    </row>
    <row r="231" spans="1:15" ht="24" thickBot="1" x14ac:dyDescent="0.3">
      <c r="A231" s="38"/>
      <c r="B231" s="39"/>
      <c r="C231" s="39"/>
      <c r="D231" s="39"/>
      <c r="E231" s="40" t="s">
        <v>16</v>
      </c>
      <c r="F231" s="35">
        <f>SUM(F229:F230)</f>
        <v>2608</v>
      </c>
      <c r="H231" s="38"/>
      <c r="I231" s="39"/>
      <c r="J231" s="39"/>
      <c r="K231" s="39"/>
      <c r="L231" s="40" t="s">
        <v>16</v>
      </c>
      <c r="M231" s="35">
        <f>SUM(M229:M230)</f>
        <v>2608</v>
      </c>
    </row>
    <row r="232" spans="1:15" ht="26.25" thickBot="1" x14ac:dyDescent="0.3">
      <c r="A232" s="76"/>
      <c r="B232" s="77"/>
      <c r="C232" s="77"/>
      <c r="D232" s="77"/>
      <c r="E232" s="78" t="s">
        <v>21</v>
      </c>
      <c r="F232" s="12">
        <f>SUMIF(E1:E20198,"CƏMİ",F1:F20198)</f>
        <v>878991.14199999999</v>
      </c>
      <c r="H232" s="76"/>
      <c r="I232" s="77"/>
      <c r="J232" s="77"/>
      <c r="K232" s="77"/>
      <c r="L232" s="78" t="s">
        <v>21</v>
      </c>
      <c r="M232" s="12">
        <f>SUMIF(L1:L20198,"CƏMİ",M1:M20198)</f>
        <v>852203.14199999999</v>
      </c>
    </row>
  </sheetData>
  <mergeCells count="4">
    <mergeCell ref="A1:D1"/>
    <mergeCell ref="E1:F1"/>
    <mergeCell ref="H1:K1"/>
    <mergeCell ref="L1:M1"/>
  </mergeCells>
  <pageMargins left="0.23622047244094488" right="0.23622047244094488" top="0.24799978127734032" bottom="0.24803040244969379" header="0.31496062992125984" footer="0.31496062992125984"/>
  <pageSetup paperSize="9" scale="23" fitToHeight="0" orientation="portrait" r:id="rId1"/>
  <drawing r:id="rId2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DAB2-231B-4170-9FDD-FB44F7CB7647}">
  <sheetPr>
    <tabColor rgb="FFFFFF00"/>
    <pageSetUpPr fitToPage="1"/>
  </sheetPr>
  <dimension ref="A1:R70"/>
  <sheetViews>
    <sheetView view="pageBreakPreview" zoomScale="55" zoomScaleNormal="55" zoomScaleSheetLayoutView="55" workbookViewId="0">
      <pane ySplit="3" topLeftCell="A40" activePane="bottomLeft" state="frozen"/>
      <selection activeCell="E20" sqref="E20"/>
      <selection pane="bottomLeft" activeCell="D48" sqref="D48"/>
    </sheetView>
  </sheetViews>
  <sheetFormatPr defaultColWidth="9.140625" defaultRowHeight="15" x14ac:dyDescent="0.25"/>
  <cols>
    <col min="1" max="1" width="7.28515625" style="5" bestFit="1" customWidth="1"/>
    <col min="2" max="2" width="109.5703125" style="2" customWidth="1"/>
    <col min="3" max="3" width="13.140625" style="2" customWidth="1"/>
    <col min="4" max="4" width="14.85546875" style="2" customWidth="1"/>
    <col min="5" max="5" width="24" style="2" customWidth="1"/>
    <col min="6" max="6" width="31.5703125" style="2" customWidth="1"/>
    <col min="7" max="7" width="9.140625" style="2"/>
    <col min="8" max="8" width="7.28515625" style="5" bestFit="1" customWidth="1"/>
    <col min="9" max="9" width="109.5703125" style="2" customWidth="1"/>
    <col min="10" max="10" width="13.140625" style="2" customWidth="1"/>
    <col min="11" max="11" width="14.85546875" style="2" customWidth="1"/>
    <col min="12" max="12" width="24" style="2" customWidth="1"/>
    <col min="13" max="13" width="31.5703125" style="2" customWidth="1"/>
    <col min="14" max="14" width="22.140625" style="86" bestFit="1" customWidth="1"/>
    <col min="15" max="15" width="9.140625" style="6"/>
    <col min="16" max="16384" width="9.140625" style="2"/>
  </cols>
  <sheetData>
    <row r="1" spans="1:18" customFormat="1" ht="140.25" customHeight="1" thickBot="1" x14ac:dyDescent="0.3">
      <c r="A1" s="174" t="s">
        <v>41</v>
      </c>
      <c r="B1" s="175"/>
      <c r="C1" s="175"/>
      <c r="D1" s="175"/>
      <c r="E1" s="176" t="s">
        <v>0</v>
      </c>
      <c r="F1" s="177"/>
      <c r="H1" s="174" t="s">
        <v>41</v>
      </c>
      <c r="I1" s="175"/>
      <c r="J1" s="175"/>
      <c r="K1" s="175"/>
      <c r="L1" s="176" t="s">
        <v>0</v>
      </c>
      <c r="M1" s="177"/>
      <c r="N1" s="82"/>
      <c r="O1" s="1"/>
    </row>
    <row r="2" spans="1:18" customFormat="1" ht="22.5" customHeight="1" thickBot="1" x14ac:dyDescent="0.4">
      <c r="A2" s="17"/>
      <c r="B2" s="18"/>
      <c r="C2" s="18"/>
      <c r="D2" s="19"/>
      <c r="E2" s="18"/>
      <c r="F2" s="46">
        <v>45282</v>
      </c>
      <c r="H2" s="17"/>
      <c r="I2" s="18"/>
      <c r="J2" s="18"/>
      <c r="K2" s="19"/>
      <c r="L2" s="18"/>
      <c r="M2" s="46">
        <v>45282</v>
      </c>
      <c r="N2" s="82"/>
      <c r="O2" s="1"/>
      <c r="R2" s="2"/>
    </row>
    <row r="3" spans="1:18" s="3" customFormat="1" ht="45" x14ac:dyDescent="0.35">
      <c r="A3" s="13" t="s">
        <v>1</v>
      </c>
      <c r="B3" s="14" t="s">
        <v>2</v>
      </c>
      <c r="C3" s="15" t="s">
        <v>3</v>
      </c>
      <c r="D3" s="14" t="s">
        <v>4</v>
      </c>
      <c r="E3" s="15" t="s">
        <v>5</v>
      </c>
      <c r="F3" s="16" t="s">
        <v>6</v>
      </c>
      <c r="H3" s="13" t="s">
        <v>1</v>
      </c>
      <c r="I3" s="14" t="s">
        <v>2</v>
      </c>
      <c r="J3" s="15" t="s">
        <v>3</v>
      </c>
      <c r="K3" s="14" t="s">
        <v>4</v>
      </c>
      <c r="L3" s="15" t="s">
        <v>5</v>
      </c>
      <c r="M3" s="16" t="s">
        <v>6</v>
      </c>
      <c r="N3" s="83"/>
      <c r="O3" s="4"/>
    </row>
    <row r="4" spans="1:18" s="3" customFormat="1" ht="23.25" x14ac:dyDescent="0.35">
      <c r="A4" s="23"/>
      <c r="B4" s="24" t="s">
        <v>23</v>
      </c>
      <c r="C4" s="24"/>
      <c r="D4" s="24"/>
      <c r="E4" s="24"/>
      <c r="F4" s="25"/>
      <c r="H4" s="23"/>
      <c r="I4" s="24" t="s">
        <v>23</v>
      </c>
      <c r="J4" s="24"/>
      <c r="K4" s="24"/>
      <c r="L4" s="24"/>
      <c r="M4" s="25"/>
      <c r="N4" s="84">
        <f>F11</f>
        <v>208.33333333333334</v>
      </c>
      <c r="O4" s="4"/>
    </row>
    <row r="5" spans="1:18" s="10" customFormat="1" ht="23.25" x14ac:dyDescent="0.3">
      <c r="A5" s="26">
        <v>1</v>
      </c>
      <c r="B5" s="27" t="s">
        <v>145</v>
      </c>
      <c r="C5" s="32" t="s">
        <v>22</v>
      </c>
      <c r="D5" s="33">
        <v>1</v>
      </c>
      <c r="E5" s="29">
        <v>250</v>
      </c>
      <c r="F5" s="30">
        <f>D5*E5</f>
        <v>250</v>
      </c>
      <c r="H5" s="26">
        <v>1</v>
      </c>
      <c r="I5" s="27" t="s">
        <v>145</v>
      </c>
      <c r="J5" s="32" t="s">
        <v>22</v>
      </c>
      <c r="K5" s="33">
        <v>1</v>
      </c>
      <c r="L5" s="29">
        <v>250</v>
      </c>
      <c r="M5" s="30">
        <f>K5*L5</f>
        <v>250</v>
      </c>
      <c r="N5" s="85"/>
      <c r="O5" s="11"/>
    </row>
    <row r="6" spans="1:18" s="10" customFormat="1" ht="23.25" x14ac:dyDescent="0.3">
      <c r="A6" s="26"/>
      <c r="B6" s="56" t="s">
        <v>216</v>
      </c>
      <c r="C6" s="28"/>
      <c r="D6" s="28"/>
      <c r="E6" s="51"/>
      <c r="F6" s="60">
        <f t="shared" ref="F6:F8" si="0">D6*E6</f>
        <v>0</v>
      </c>
      <c r="H6" s="26"/>
      <c r="I6" s="56" t="s">
        <v>216</v>
      </c>
      <c r="J6" s="28"/>
      <c r="K6" s="28"/>
      <c r="L6" s="51"/>
      <c r="M6" s="60">
        <f t="shared" ref="M6:M8" si="1">K6*L6</f>
        <v>0</v>
      </c>
      <c r="N6" s="85"/>
      <c r="O6" s="11"/>
    </row>
    <row r="7" spans="1:18" s="10" customFormat="1" ht="23.25" x14ac:dyDescent="0.3">
      <c r="A7" s="26">
        <v>2</v>
      </c>
      <c r="B7" s="27" t="s">
        <v>217</v>
      </c>
      <c r="C7" s="28" t="s">
        <v>22</v>
      </c>
      <c r="D7" s="33">
        <v>132</v>
      </c>
      <c r="E7" s="57"/>
      <c r="F7" s="30">
        <f t="shared" si="0"/>
        <v>0</v>
      </c>
      <c r="H7" s="26">
        <v>2</v>
      </c>
      <c r="I7" s="27" t="s">
        <v>217</v>
      </c>
      <c r="J7" s="28" t="s">
        <v>22</v>
      </c>
      <c r="K7" s="161">
        <v>112</v>
      </c>
      <c r="L7" s="57"/>
      <c r="M7" s="30">
        <f t="shared" si="1"/>
        <v>0</v>
      </c>
      <c r="N7" s="85"/>
      <c r="O7" s="11"/>
    </row>
    <row r="8" spans="1:18" s="10" customFormat="1" ht="23.25" x14ac:dyDescent="0.3">
      <c r="A8" s="26">
        <v>3</v>
      </c>
      <c r="B8" s="27" t="s">
        <v>218</v>
      </c>
      <c r="C8" s="28" t="s">
        <v>22</v>
      </c>
      <c r="D8" s="33">
        <v>80</v>
      </c>
      <c r="E8" s="57"/>
      <c r="F8" s="30">
        <f t="shared" si="0"/>
        <v>0</v>
      </c>
      <c r="H8" s="26">
        <v>3</v>
      </c>
      <c r="I8" s="27" t="s">
        <v>218</v>
      </c>
      <c r="J8" s="28" t="s">
        <v>22</v>
      </c>
      <c r="K8" s="161">
        <v>70</v>
      </c>
      <c r="L8" s="57"/>
      <c r="M8" s="30">
        <f t="shared" si="1"/>
        <v>0</v>
      </c>
      <c r="N8" s="85"/>
      <c r="O8" s="11"/>
    </row>
    <row r="9" spans="1:18" ht="23.25" x14ac:dyDescent="0.25">
      <c r="A9" s="44"/>
      <c r="B9" s="42"/>
      <c r="C9" s="42"/>
      <c r="D9" s="42"/>
      <c r="E9" s="43" t="s">
        <v>15</v>
      </c>
      <c r="F9" s="34">
        <f>SUM(F5:F8)</f>
        <v>250</v>
      </c>
      <c r="H9" s="44"/>
      <c r="I9" s="42"/>
      <c r="J9" s="42"/>
      <c r="K9" s="42"/>
      <c r="L9" s="43" t="s">
        <v>15</v>
      </c>
      <c r="M9" s="34">
        <f>SUM(M5:M8)</f>
        <v>250</v>
      </c>
    </row>
    <row r="10" spans="1:18" ht="23.25" x14ac:dyDescent="0.25">
      <c r="A10" s="44"/>
      <c r="B10" s="42"/>
      <c r="C10" s="42"/>
      <c r="D10" s="42"/>
      <c r="E10" s="80">
        <v>-0.2</v>
      </c>
      <c r="F10" s="34">
        <f>F9-F11</f>
        <v>41.666666666666657</v>
      </c>
      <c r="H10" s="44"/>
      <c r="I10" s="42"/>
      <c r="J10" s="42"/>
      <c r="K10" s="42"/>
      <c r="L10" s="80">
        <v>-0.2</v>
      </c>
      <c r="M10" s="34">
        <f>M9-M11</f>
        <v>41.666666666666657</v>
      </c>
    </row>
    <row r="11" spans="1:18" ht="23.25" x14ac:dyDescent="0.25">
      <c r="A11" s="44"/>
      <c r="B11" s="42"/>
      <c r="C11" s="42"/>
      <c r="D11" s="42"/>
      <c r="E11" s="43" t="s">
        <v>16</v>
      </c>
      <c r="F11" s="34">
        <f>F9/1.2</f>
        <v>208.33333333333334</v>
      </c>
      <c r="H11" s="44"/>
      <c r="I11" s="42"/>
      <c r="J11" s="42"/>
      <c r="K11" s="42"/>
      <c r="L11" s="43" t="s">
        <v>16</v>
      </c>
      <c r="M11" s="34">
        <f>M9/1.2</f>
        <v>208.33333333333334</v>
      </c>
    </row>
    <row r="12" spans="1:18" s="3" customFormat="1" ht="23.25" x14ac:dyDescent="0.35">
      <c r="A12" s="23"/>
      <c r="B12" s="24" t="s">
        <v>29</v>
      </c>
      <c r="C12" s="24"/>
      <c r="D12" s="24"/>
      <c r="E12" s="24"/>
      <c r="F12" s="25"/>
      <c r="H12" s="23"/>
      <c r="I12" s="24" t="s">
        <v>29</v>
      </c>
      <c r="J12" s="24"/>
      <c r="K12" s="24"/>
      <c r="L12" s="24"/>
      <c r="M12" s="25"/>
      <c r="N12" s="84">
        <f>F38</f>
        <v>88900</v>
      </c>
      <c r="O12" s="4"/>
    </row>
    <row r="13" spans="1:18" s="10" customFormat="1" ht="23.25" x14ac:dyDescent="0.3">
      <c r="A13" s="26"/>
      <c r="B13" s="56" t="s">
        <v>148</v>
      </c>
      <c r="C13" s="28"/>
      <c r="D13" s="28"/>
      <c r="E13" s="51"/>
      <c r="F13" s="60">
        <f t="shared" ref="F13" si="2">D13*E13</f>
        <v>0</v>
      </c>
      <c r="H13" s="26"/>
      <c r="I13" s="56" t="s">
        <v>148</v>
      </c>
      <c r="J13" s="28"/>
      <c r="K13" s="28"/>
      <c r="L13" s="51"/>
      <c r="M13" s="60">
        <f t="shared" ref="M13" si="3">K13*L13</f>
        <v>0</v>
      </c>
      <c r="N13" s="85"/>
      <c r="O13" s="11"/>
    </row>
    <row r="14" spans="1:18" s="10" customFormat="1" ht="23.25" x14ac:dyDescent="0.3">
      <c r="A14" s="26">
        <v>1</v>
      </c>
      <c r="B14" s="27" t="s">
        <v>30</v>
      </c>
      <c r="C14" s="28" t="s">
        <v>24</v>
      </c>
      <c r="D14" s="33">
        <v>4</v>
      </c>
      <c r="E14" s="75">
        <f>1500-380</f>
        <v>1120</v>
      </c>
      <c r="F14" s="30">
        <f>D14*E14</f>
        <v>4480</v>
      </c>
      <c r="H14" s="26">
        <v>1</v>
      </c>
      <c r="I14" s="27" t="s">
        <v>30</v>
      </c>
      <c r="J14" s="28" t="s">
        <v>24</v>
      </c>
      <c r="K14" s="33">
        <v>4</v>
      </c>
      <c r="L14" s="75">
        <f>1500-380</f>
        <v>1120</v>
      </c>
      <c r="M14" s="30">
        <f>K14*L14</f>
        <v>4480</v>
      </c>
      <c r="N14" s="85"/>
      <c r="O14" s="11"/>
    </row>
    <row r="15" spans="1:18" s="10" customFormat="1" ht="23.25" x14ac:dyDescent="0.3">
      <c r="A15" s="26">
        <v>2</v>
      </c>
      <c r="B15" s="27" t="s">
        <v>146</v>
      </c>
      <c r="C15" s="28" t="s">
        <v>24</v>
      </c>
      <c r="D15" s="33">
        <f>11+6</f>
        <v>17</v>
      </c>
      <c r="E15" s="75">
        <f>1300-180</f>
        <v>1120</v>
      </c>
      <c r="F15" s="30">
        <f t="shared" ref="F15:F17" si="4">D15*E15</f>
        <v>19040</v>
      </c>
      <c r="H15" s="26">
        <v>2</v>
      </c>
      <c r="I15" s="27" t="s">
        <v>146</v>
      </c>
      <c r="J15" s="28" t="s">
        <v>24</v>
      </c>
      <c r="K15" s="33">
        <f>11+6</f>
        <v>17</v>
      </c>
      <c r="L15" s="75">
        <f>1300-180</f>
        <v>1120</v>
      </c>
      <c r="M15" s="30">
        <f t="shared" ref="M15:M32" si="5">K15*L15</f>
        <v>19040</v>
      </c>
      <c r="N15" s="85"/>
      <c r="O15" s="11"/>
    </row>
    <row r="16" spans="1:18" s="10" customFormat="1" ht="23.25" x14ac:dyDescent="0.3">
      <c r="A16" s="26">
        <v>3</v>
      </c>
      <c r="B16" s="31" t="s">
        <v>31</v>
      </c>
      <c r="C16" s="28" t="s">
        <v>24</v>
      </c>
      <c r="D16" s="33">
        <v>5</v>
      </c>
      <c r="E16" s="75">
        <f>1000-400</f>
        <v>600</v>
      </c>
      <c r="F16" s="30">
        <f t="shared" si="4"/>
        <v>3000</v>
      </c>
      <c r="H16" s="26">
        <v>3</v>
      </c>
      <c r="I16" s="31" t="s">
        <v>31</v>
      </c>
      <c r="J16" s="28" t="s">
        <v>24</v>
      </c>
      <c r="K16" s="33">
        <v>5</v>
      </c>
      <c r="L16" s="75">
        <f>1000-400</f>
        <v>600</v>
      </c>
      <c r="M16" s="30">
        <f t="shared" si="5"/>
        <v>3000</v>
      </c>
      <c r="N16" s="85"/>
      <c r="O16" s="11"/>
    </row>
    <row r="17" spans="1:15" s="10" customFormat="1" ht="23.25" x14ac:dyDescent="0.3">
      <c r="A17" s="26">
        <v>4</v>
      </c>
      <c r="B17" s="27" t="s">
        <v>147</v>
      </c>
      <c r="C17" s="28" t="s">
        <v>24</v>
      </c>
      <c r="D17" s="33">
        <v>2</v>
      </c>
      <c r="E17" s="29">
        <v>800</v>
      </c>
      <c r="F17" s="30">
        <f t="shared" si="4"/>
        <v>1600</v>
      </c>
      <c r="H17" s="26">
        <v>4</v>
      </c>
      <c r="I17" s="27" t="s">
        <v>147</v>
      </c>
      <c r="J17" s="28" t="s">
        <v>24</v>
      </c>
      <c r="K17" s="33">
        <v>2</v>
      </c>
      <c r="L17" s="29">
        <v>800</v>
      </c>
      <c r="M17" s="30">
        <f t="shared" si="5"/>
        <v>1600</v>
      </c>
      <c r="N17" s="85"/>
      <c r="O17" s="11"/>
    </row>
    <row r="18" spans="1:15" s="10" customFormat="1" ht="23.25" x14ac:dyDescent="0.3">
      <c r="A18" s="26"/>
      <c r="B18" s="56" t="s">
        <v>660</v>
      </c>
      <c r="C18" s="28"/>
      <c r="D18" s="28"/>
      <c r="E18" s="51"/>
      <c r="F18" s="60">
        <f t="shared" ref="F18:F19" si="6">D18*E18</f>
        <v>0</v>
      </c>
      <c r="H18" s="26"/>
      <c r="I18" s="56" t="s">
        <v>660</v>
      </c>
      <c r="J18" s="28"/>
      <c r="K18" s="28"/>
      <c r="L18" s="51"/>
      <c r="M18" s="60">
        <f t="shared" si="5"/>
        <v>0</v>
      </c>
      <c r="N18" s="85"/>
      <c r="O18" s="11"/>
    </row>
    <row r="19" spans="1:15" s="10" customFormat="1" ht="23.25" x14ac:dyDescent="0.3">
      <c r="A19" s="26">
        <v>5</v>
      </c>
      <c r="B19" s="27" t="s">
        <v>637</v>
      </c>
      <c r="C19" s="28" t="s">
        <v>24</v>
      </c>
      <c r="D19" s="33">
        <v>5</v>
      </c>
      <c r="E19" s="29">
        <v>800</v>
      </c>
      <c r="F19" s="30">
        <f t="shared" si="6"/>
        <v>4000</v>
      </c>
      <c r="H19" s="26">
        <v>5</v>
      </c>
      <c r="I19" s="27" t="s">
        <v>637</v>
      </c>
      <c r="J19" s="28" t="s">
        <v>24</v>
      </c>
      <c r="K19" s="33">
        <v>5</v>
      </c>
      <c r="L19" s="29">
        <v>800</v>
      </c>
      <c r="M19" s="30">
        <f t="shared" si="5"/>
        <v>4000</v>
      </c>
      <c r="N19" s="85"/>
      <c r="O19" s="11"/>
    </row>
    <row r="20" spans="1:15" s="10" customFormat="1" ht="23.25" x14ac:dyDescent="0.3">
      <c r="A20" s="26">
        <v>6</v>
      </c>
      <c r="B20" s="27" t="s">
        <v>308</v>
      </c>
      <c r="C20" s="28" t="s">
        <v>24</v>
      </c>
      <c r="D20" s="33">
        <v>4</v>
      </c>
      <c r="E20" s="75">
        <f>1300-180</f>
        <v>1120</v>
      </c>
      <c r="F20" s="30">
        <f t="shared" ref="F20" si="7">D20*E20</f>
        <v>4480</v>
      </c>
      <c r="H20" s="26">
        <v>6</v>
      </c>
      <c r="I20" s="27" t="s">
        <v>308</v>
      </c>
      <c r="J20" s="28" t="s">
        <v>24</v>
      </c>
      <c r="K20" s="33">
        <v>4</v>
      </c>
      <c r="L20" s="75">
        <f>1300-180</f>
        <v>1120</v>
      </c>
      <c r="M20" s="30">
        <f t="shared" si="5"/>
        <v>4480</v>
      </c>
      <c r="N20" s="85"/>
      <c r="O20" s="11"/>
    </row>
    <row r="21" spans="1:15" s="10" customFormat="1" ht="23.25" x14ac:dyDescent="0.3">
      <c r="A21" s="26"/>
      <c r="B21" s="56" t="s">
        <v>183</v>
      </c>
      <c r="C21" s="28"/>
      <c r="D21" s="28"/>
      <c r="E21" s="51"/>
      <c r="F21" s="60">
        <f t="shared" ref="F21:F24" si="8">D21*E21</f>
        <v>0</v>
      </c>
      <c r="H21" s="26"/>
      <c r="I21" s="56" t="s">
        <v>183</v>
      </c>
      <c r="J21" s="28"/>
      <c r="K21" s="28"/>
      <c r="L21" s="51"/>
      <c r="M21" s="60">
        <f t="shared" si="5"/>
        <v>0</v>
      </c>
      <c r="N21" s="85"/>
      <c r="O21" s="11"/>
    </row>
    <row r="22" spans="1:15" s="10" customFormat="1" ht="23.25" x14ac:dyDescent="0.3">
      <c r="A22" s="26">
        <v>7</v>
      </c>
      <c r="B22" s="27" t="s">
        <v>146</v>
      </c>
      <c r="C22" s="28" t="s">
        <v>24</v>
      </c>
      <c r="D22" s="33">
        <v>7</v>
      </c>
      <c r="E22" s="75">
        <f>1300-180</f>
        <v>1120</v>
      </c>
      <c r="F22" s="30">
        <f t="shared" si="8"/>
        <v>7840</v>
      </c>
      <c r="H22" s="26">
        <v>7</v>
      </c>
      <c r="I22" s="27" t="s">
        <v>146</v>
      </c>
      <c r="J22" s="28" t="s">
        <v>24</v>
      </c>
      <c r="K22" s="33">
        <v>7</v>
      </c>
      <c r="L22" s="75">
        <f>1300-180</f>
        <v>1120</v>
      </c>
      <c r="M22" s="30">
        <f t="shared" si="5"/>
        <v>7840</v>
      </c>
      <c r="N22" s="85"/>
      <c r="O22" s="11"/>
    </row>
    <row r="23" spans="1:15" s="10" customFormat="1" ht="23.25" x14ac:dyDescent="0.3">
      <c r="A23" s="26">
        <v>8</v>
      </c>
      <c r="B23" s="31" t="s">
        <v>184</v>
      </c>
      <c r="C23" s="28" t="s">
        <v>24</v>
      </c>
      <c r="D23" s="33">
        <v>2</v>
      </c>
      <c r="E23" s="75">
        <f>680-80</f>
        <v>600</v>
      </c>
      <c r="F23" s="30">
        <f t="shared" si="8"/>
        <v>1200</v>
      </c>
      <c r="H23" s="26">
        <v>8</v>
      </c>
      <c r="I23" s="31" t="s">
        <v>184</v>
      </c>
      <c r="J23" s="28" t="s">
        <v>24</v>
      </c>
      <c r="K23" s="33">
        <v>2</v>
      </c>
      <c r="L23" s="75">
        <f>680-80</f>
        <v>600</v>
      </c>
      <c r="M23" s="30">
        <f t="shared" si="5"/>
        <v>1200</v>
      </c>
      <c r="N23" s="85"/>
      <c r="O23" s="11"/>
    </row>
    <row r="24" spans="1:15" s="10" customFormat="1" ht="23.25" x14ac:dyDescent="0.3">
      <c r="A24" s="26">
        <v>9</v>
      </c>
      <c r="B24" s="27" t="s">
        <v>147</v>
      </c>
      <c r="C24" s="28" t="s">
        <v>24</v>
      </c>
      <c r="D24" s="33">
        <v>3</v>
      </c>
      <c r="E24" s="29">
        <v>800</v>
      </c>
      <c r="F24" s="30">
        <f t="shared" si="8"/>
        <v>2400</v>
      </c>
      <c r="H24" s="26">
        <v>9</v>
      </c>
      <c r="I24" s="27" t="s">
        <v>147</v>
      </c>
      <c r="J24" s="28" t="s">
        <v>24</v>
      </c>
      <c r="K24" s="33">
        <v>3</v>
      </c>
      <c r="L24" s="29">
        <v>800</v>
      </c>
      <c r="M24" s="30">
        <f t="shared" si="5"/>
        <v>2400</v>
      </c>
      <c r="N24" s="85"/>
      <c r="O24" s="11"/>
    </row>
    <row r="25" spans="1:15" s="10" customFormat="1" ht="23.25" x14ac:dyDescent="0.3">
      <c r="A25" s="26"/>
      <c r="B25" s="56" t="s">
        <v>219</v>
      </c>
      <c r="C25" s="28"/>
      <c r="D25" s="28"/>
      <c r="E25" s="51"/>
      <c r="F25" s="60">
        <f t="shared" ref="F25:F28" si="9">D25*E25</f>
        <v>0</v>
      </c>
      <c r="H25" s="26"/>
      <c r="I25" s="56" t="s">
        <v>219</v>
      </c>
      <c r="J25" s="28"/>
      <c r="K25" s="28"/>
      <c r="L25" s="51"/>
      <c r="M25" s="60">
        <f t="shared" si="5"/>
        <v>0</v>
      </c>
      <c r="N25" s="85"/>
      <c r="O25" s="11"/>
    </row>
    <row r="26" spans="1:15" s="10" customFormat="1" ht="23.25" x14ac:dyDescent="0.3">
      <c r="A26" s="26">
        <v>10</v>
      </c>
      <c r="B26" s="27" t="s">
        <v>146</v>
      </c>
      <c r="C26" s="28" t="s">
        <v>24</v>
      </c>
      <c r="D26" s="33">
        <v>17</v>
      </c>
      <c r="E26" s="75">
        <f>1300-180</f>
        <v>1120</v>
      </c>
      <c r="F26" s="30">
        <f t="shared" si="9"/>
        <v>19040</v>
      </c>
      <c r="H26" s="26">
        <v>10</v>
      </c>
      <c r="I26" s="27" t="s">
        <v>146</v>
      </c>
      <c r="J26" s="28" t="s">
        <v>24</v>
      </c>
      <c r="K26" s="33">
        <v>17</v>
      </c>
      <c r="L26" s="75">
        <f>1300-180</f>
        <v>1120</v>
      </c>
      <c r="M26" s="30">
        <f t="shared" si="5"/>
        <v>19040</v>
      </c>
      <c r="N26" s="85"/>
      <c r="O26" s="11"/>
    </row>
    <row r="27" spans="1:15" s="10" customFormat="1" ht="23.25" x14ac:dyDescent="0.3">
      <c r="A27" s="26">
        <v>11</v>
      </c>
      <c r="B27" s="31" t="s">
        <v>184</v>
      </c>
      <c r="C27" s="28" t="s">
        <v>24</v>
      </c>
      <c r="D27" s="33">
        <v>6</v>
      </c>
      <c r="E27" s="75">
        <f>680-80</f>
        <v>600</v>
      </c>
      <c r="F27" s="30">
        <f t="shared" si="9"/>
        <v>3600</v>
      </c>
      <c r="H27" s="26">
        <v>11</v>
      </c>
      <c r="I27" s="31" t="s">
        <v>184</v>
      </c>
      <c r="J27" s="28" t="s">
        <v>24</v>
      </c>
      <c r="K27" s="33">
        <v>6</v>
      </c>
      <c r="L27" s="75">
        <f>680-80</f>
        <v>600</v>
      </c>
      <c r="M27" s="30">
        <f t="shared" si="5"/>
        <v>3600</v>
      </c>
      <c r="N27" s="85"/>
      <c r="O27" s="11"/>
    </row>
    <row r="28" spans="1:15" s="10" customFormat="1" ht="23.25" x14ac:dyDescent="0.3">
      <c r="A28" s="26">
        <v>12</v>
      </c>
      <c r="B28" s="27" t="s">
        <v>147</v>
      </c>
      <c r="C28" s="28" t="s">
        <v>24</v>
      </c>
      <c r="D28" s="33">
        <v>7</v>
      </c>
      <c r="E28" s="29">
        <v>800</v>
      </c>
      <c r="F28" s="30">
        <f t="shared" si="9"/>
        <v>5600</v>
      </c>
      <c r="H28" s="26">
        <v>12</v>
      </c>
      <c r="I28" s="27" t="s">
        <v>147</v>
      </c>
      <c r="J28" s="28" t="s">
        <v>24</v>
      </c>
      <c r="K28" s="33">
        <v>7</v>
      </c>
      <c r="L28" s="29">
        <v>800</v>
      </c>
      <c r="M28" s="30">
        <f t="shared" si="5"/>
        <v>5600</v>
      </c>
      <c r="N28" s="85"/>
      <c r="O28" s="11"/>
    </row>
    <row r="29" spans="1:15" s="10" customFormat="1" ht="23.25" x14ac:dyDescent="0.3">
      <c r="A29" s="26"/>
      <c r="B29" s="56" t="s">
        <v>307</v>
      </c>
      <c r="C29" s="28"/>
      <c r="D29" s="28"/>
      <c r="E29" s="51"/>
      <c r="F29" s="60">
        <f t="shared" ref="F29:F31" si="10">D29*E29</f>
        <v>0</v>
      </c>
      <c r="H29" s="26"/>
      <c r="I29" s="56" t="s">
        <v>307</v>
      </c>
      <c r="J29" s="28"/>
      <c r="K29" s="28"/>
      <c r="L29" s="51"/>
      <c r="M29" s="60">
        <f t="shared" si="5"/>
        <v>0</v>
      </c>
      <c r="N29" s="85"/>
      <c r="O29" s="11"/>
    </row>
    <row r="30" spans="1:15" s="10" customFormat="1" ht="23.25" x14ac:dyDescent="0.3">
      <c r="A30" s="26">
        <v>13</v>
      </c>
      <c r="B30" s="27" t="s">
        <v>308</v>
      </c>
      <c r="C30" s="28" t="s">
        <v>24</v>
      </c>
      <c r="D30" s="33">
        <v>10</v>
      </c>
      <c r="E30" s="75">
        <f>1300-180</f>
        <v>1120</v>
      </c>
      <c r="F30" s="30">
        <f t="shared" si="10"/>
        <v>11200</v>
      </c>
      <c r="H30" s="26">
        <v>13</v>
      </c>
      <c r="I30" s="27" t="s">
        <v>308</v>
      </c>
      <c r="J30" s="28" t="s">
        <v>24</v>
      </c>
      <c r="K30" s="33">
        <v>10</v>
      </c>
      <c r="L30" s="75">
        <f>1300-180</f>
        <v>1120</v>
      </c>
      <c r="M30" s="30">
        <f t="shared" si="5"/>
        <v>11200</v>
      </c>
      <c r="N30" s="85"/>
      <c r="O30" s="11"/>
    </row>
    <row r="31" spans="1:15" s="10" customFormat="1" ht="23.25" x14ac:dyDescent="0.3">
      <c r="A31" s="26">
        <v>14</v>
      </c>
      <c r="B31" s="27" t="s">
        <v>147</v>
      </c>
      <c r="C31" s="28" t="s">
        <v>24</v>
      </c>
      <c r="D31" s="33">
        <v>3</v>
      </c>
      <c r="E31" s="29">
        <v>800</v>
      </c>
      <c r="F31" s="30">
        <f t="shared" si="10"/>
        <v>2400</v>
      </c>
      <c r="H31" s="26">
        <v>14</v>
      </c>
      <c r="I31" s="27" t="s">
        <v>147</v>
      </c>
      <c r="J31" s="28" t="s">
        <v>24</v>
      </c>
      <c r="K31" s="33">
        <v>3</v>
      </c>
      <c r="L31" s="29">
        <v>800</v>
      </c>
      <c r="M31" s="30">
        <f t="shared" si="5"/>
        <v>2400</v>
      </c>
      <c r="N31" s="85"/>
      <c r="O31" s="11"/>
    </row>
    <row r="32" spans="1:15" s="10" customFormat="1" ht="23.25" x14ac:dyDescent="0.3">
      <c r="A32" s="26"/>
      <c r="B32" s="56" t="s">
        <v>550</v>
      </c>
      <c r="C32" s="28"/>
      <c r="D32" s="28"/>
      <c r="E32" s="51"/>
      <c r="F32" s="60">
        <f t="shared" ref="F32" si="11">D32*E32</f>
        <v>0</v>
      </c>
      <c r="H32" s="26"/>
      <c r="I32" s="56" t="s">
        <v>550</v>
      </c>
      <c r="J32" s="28"/>
      <c r="K32" s="28"/>
      <c r="L32" s="51"/>
      <c r="M32" s="60">
        <f t="shared" si="5"/>
        <v>0</v>
      </c>
      <c r="N32" s="85"/>
      <c r="O32" s="11"/>
    </row>
    <row r="33" spans="1:15" s="10" customFormat="1" ht="23.25" x14ac:dyDescent="0.3">
      <c r="A33" s="26">
        <v>15</v>
      </c>
      <c r="B33" s="27" t="s">
        <v>308</v>
      </c>
      <c r="C33" s="28" t="s">
        <v>24</v>
      </c>
      <c r="D33" s="33">
        <v>9</v>
      </c>
      <c r="E33" s="75">
        <f>1300-180</f>
        <v>1120</v>
      </c>
      <c r="F33" s="30">
        <f>D33*E33</f>
        <v>10080</v>
      </c>
      <c r="H33" s="26">
        <v>15</v>
      </c>
      <c r="I33" s="27" t="s">
        <v>308</v>
      </c>
      <c r="J33" s="28" t="s">
        <v>24</v>
      </c>
      <c r="K33" s="33">
        <v>9</v>
      </c>
      <c r="L33" s="75">
        <f>1300-180</f>
        <v>1120</v>
      </c>
      <c r="M33" s="30">
        <f>K33*L33</f>
        <v>10080</v>
      </c>
      <c r="N33" s="85"/>
      <c r="O33" s="11"/>
    </row>
    <row r="34" spans="1:15" s="10" customFormat="1" ht="23.25" x14ac:dyDescent="0.3">
      <c r="A34" s="26"/>
      <c r="B34" s="56" t="s">
        <v>551</v>
      </c>
      <c r="C34" s="28"/>
      <c r="D34" s="28"/>
      <c r="E34" s="51"/>
      <c r="F34" s="60">
        <f t="shared" ref="F34" si="12">D34*E34</f>
        <v>0</v>
      </c>
      <c r="H34" s="26"/>
      <c r="I34" s="56" t="s">
        <v>551</v>
      </c>
      <c r="J34" s="28"/>
      <c r="K34" s="28"/>
      <c r="L34" s="51"/>
      <c r="M34" s="60">
        <f t="shared" ref="M34" si="13">K34*L34</f>
        <v>0</v>
      </c>
      <c r="N34" s="85"/>
      <c r="O34" s="11"/>
    </row>
    <row r="35" spans="1:15" s="10" customFormat="1" ht="23.25" x14ac:dyDescent="0.3">
      <c r="A35" s="26">
        <v>16</v>
      </c>
      <c r="B35" s="27" t="s">
        <v>308</v>
      </c>
      <c r="C35" s="28" t="s">
        <v>24</v>
      </c>
      <c r="D35" s="33">
        <v>6</v>
      </c>
      <c r="E35" s="75">
        <f>1300-180</f>
        <v>1120</v>
      </c>
      <c r="F35" s="30">
        <f>D35*E35</f>
        <v>6720</v>
      </c>
      <c r="H35" s="26">
        <v>16</v>
      </c>
      <c r="I35" s="27" t="s">
        <v>308</v>
      </c>
      <c r="J35" s="28" t="s">
        <v>24</v>
      </c>
      <c r="K35" s="33">
        <v>6</v>
      </c>
      <c r="L35" s="75">
        <f>1300-180</f>
        <v>1120</v>
      </c>
      <c r="M35" s="30">
        <f>K35*L35</f>
        <v>6720</v>
      </c>
      <c r="N35" s="85"/>
      <c r="O35" s="11"/>
    </row>
    <row r="36" spans="1:15" ht="23.25" x14ac:dyDescent="0.25">
      <c r="A36" s="110"/>
      <c r="B36" s="42"/>
      <c r="C36" s="42"/>
      <c r="D36" s="42"/>
      <c r="E36" s="43" t="s">
        <v>15</v>
      </c>
      <c r="F36" s="34">
        <f>SUM(F13:F35)</f>
        <v>106680</v>
      </c>
      <c r="H36" s="110"/>
      <c r="I36" s="42"/>
      <c r="J36" s="42"/>
      <c r="K36" s="42"/>
      <c r="L36" s="43" t="s">
        <v>15</v>
      </c>
      <c r="M36" s="34">
        <f>SUM(M13:M35)</f>
        <v>106680</v>
      </c>
    </row>
    <row r="37" spans="1:15" ht="23.25" x14ac:dyDescent="0.25">
      <c r="A37" s="44"/>
      <c r="B37" s="42"/>
      <c r="C37" s="42"/>
      <c r="D37" s="42"/>
      <c r="E37" s="80">
        <v>-0.2</v>
      </c>
      <c r="F37" s="34">
        <f>F36-F38</f>
        <v>17780</v>
      </c>
      <c r="H37" s="44"/>
      <c r="I37" s="42"/>
      <c r="J37" s="42"/>
      <c r="K37" s="42"/>
      <c r="L37" s="80">
        <v>-0.2</v>
      </c>
      <c r="M37" s="34">
        <f>M36-M38</f>
        <v>17780</v>
      </c>
    </row>
    <row r="38" spans="1:15" ht="23.25" x14ac:dyDescent="0.25">
      <c r="A38" s="44"/>
      <c r="B38" s="42"/>
      <c r="C38" s="42"/>
      <c r="D38" s="42"/>
      <c r="E38" s="43" t="s">
        <v>16</v>
      </c>
      <c r="F38" s="34">
        <f>F36/1.2</f>
        <v>88900</v>
      </c>
      <c r="H38" s="44"/>
      <c r="I38" s="42"/>
      <c r="J38" s="42"/>
      <c r="K38" s="42"/>
      <c r="L38" s="43" t="s">
        <v>16</v>
      </c>
      <c r="M38" s="34">
        <f>M36/1.2</f>
        <v>88900</v>
      </c>
    </row>
    <row r="39" spans="1:15" s="3" customFormat="1" ht="23.25" x14ac:dyDescent="0.35">
      <c r="A39" s="23"/>
      <c r="B39" s="24" t="s">
        <v>121</v>
      </c>
      <c r="C39" s="24"/>
      <c r="D39" s="24"/>
      <c r="E39" s="24"/>
      <c r="F39" s="25"/>
      <c r="H39" s="23"/>
      <c r="I39" s="24" t="s">
        <v>121</v>
      </c>
      <c r="J39" s="24"/>
      <c r="K39" s="24"/>
      <c r="L39" s="24"/>
      <c r="M39" s="25"/>
      <c r="N39" s="84">
        <f>F59</f>
        <v>58395</v>
      </c>
      <c r="O39" s="4"/>
    </row>
    <row r="40" spans="1:15" s="10" customFormat="1" ht="23.25" x14ac:dyDescent="0.3">
      <c r="A40" s="26">
        <v>1</v>
      </c>
      <c r="B40" s="49" t="s">
        <v>185</v>
      </c>
      <c r="C40" s="48" t="s">
        <v>26</v>
      </c>
      <c r="D40" s="59">
        <f>770+368</f>
        <v>1138</v>
      </c>
      <c r="E40" s="51">
        <v>10</v>
      </c>
      <c r="F40" s="30">
        <f>D40*E40</f>
        <v>11380</v>
      </c>
      <c r="H40" s="26">
        <v>1</v>
      </c>
      <c r="I40" s="49" t="s">
        <v>185</v>
      </c>
      <c r="J40" s="48" t="s">
        <v>26</v>
      </c>
      <c r="K40" s="59">
        <f>770+368</f>
        <v>1138</v>
      </c>
      <c r="L40" s="51">
        <v>10</v>
      </c>
      <c r="M40" s="30">
        <f>K40*L40</f>
        <v>11380</v>
      </c>
      <c r="N40" s="85"/>
      <c r="O40" s="11"/>
    </row>
    <row r="41" spans="1:15" s="10" customFormat="1" ht="23.25" x14ac:dyDescent="0.3">
      <c r="A41" s="26">
        <v>2</v>
      </c>
      <c r="B41" s="49" t="s">
        <v>186</v>
      </c>
      <c r="C41" s="48" t="s">
        <v>26</v>
      </c>
      <c r="D41" s="59">
        <v>1190</v>
      </c>
      <c r="E41" s="51">
        <v>10</v>
      </c>
      <c r="F41" s="30">
        <f t="shared" ref="F41:F56" si="14">D41*E41</f>
        <v>11900</v>
      </c>
      <c r="H41" s="26">
        <v>2</v>
      </c>
      <c r="I41" s="49" t="s">
        <v>186</v>
      </c>
      <c r="J41" s="48" t="s">
        <v>26</v>
      </c>
      <c r="K41" s="59">
        <v>1190</v>
      </c>
      <c r="L41" s="51">
        <v>10</v>
      </c>
      <c r="M41" s="30">
        <f t="shared" ref="M41:M56" si="15">K41*L41</f>
        <v>11900</v>
      </c>
      <c r="N41" s="85"/>
      <c r="O41" s="11"/>
    </row>
    <row r="42" spans="1:15" s="10" customFormat="1" ht="23.25" x14ac:dyDescent="0.3">
      <c r="A42" s="26">
        <v>3</v>
      </c>
      <c r="B42" s="49" t="s">
        <v>187</v>
      </c>
      <c r="C42" s="48" t="s">
        <v>26</v>
      </c>
      <c r="D42" s="59">
        <v>736</v>
      </c>
      <c r="E42" s="51">
        <v>10</v>
      </c>
      <c r="F42" s="30">
        <f t="shared" si="14"/>
        <v>7360</v>
      </c>
      <c r="H42" s="26">
        <v>3</v>
      </c>
      <c r="I42" s="49" t="s">
        <v>187</v>
      </c>
      <c r="J42" s="48" t="s">
        <v>26</v>
      </c>
      <c r="K42" s="59">
        <v>736</v>
      </c>
      <c r="L42" s="51">
        <v>10</v>
      </c>
      <c r="M42" s="30">
        <f t="shared" si="15"/>
        <v>7360</v>
      </c>
      <c r="N42" s="85"/>
      <c r="O42" s="11"/>
    </row>
    <row r="43" spans="1:15" s="10" customFormat="1" ht="23.25" x14ac:dyDescent="0.3">
      <c r="A43" s="26">
        <v>4</v>
      </c>
      <c r="B43" s="49" t="s">
        <v>220</v>
      </c>
      <c r="C43" s="48" t="s">
        <v>26</v>
      </c>
      <c r="D43" s="59">
        <v>992</v>
      </c>
      <c r="E43" s="51">
        <v>10</v>
      </c>
      <c r="F43" s="30">
        <f t="shared" si="14"/>
        <v>9920</v>
      </c>
      <c r="H43" s="26">
        <v>4</v>
      </c>
      <c r="I43" s="49" t="s">
        <v>220</v>
      </c>
      <c r="J43" s="48" t="s">
        <v>26</v>
      </c>
      <c r="K43" s="59">
        <v>992</v>
      </c>
      <c r="L43" s="51">
        <v>10</v>
      </c>
      <c r="M43" s="30">
        <f t="shared" si="15"/>
        <v>9920</v>
      </c>
      <c r="N43" s="85"/>
      <c r="O43" s="11"/>
    </row>
    <row r="44" spans="1:15" s="10" customFormat="1" ht="23.25" x14ac:dyDescent="0.3">
      <c r="A44" s="26">
        <v>5</v>
      </c>
      <c r="B44" s="49" t="s">
        <v>309</v>
      </c>
      <c r="C44" s="48" t="s">
        <v>26</v>
      </c>
      <c r="D44" s="59">
        <v>720</v>
      </c>
      <c r="E44" s="51">
        <v>10</v>
      </c>
      <c r="F44" s="30">
        <f t="shared" si="14"/>
        <v>7200</v>
      </c>
      <c r="H44" s="26">
        <v>5</v>
      </c>
      <c r="I44" s="49" t="s">
        <v>309</v>
      </c>
      <c r="J44" s="48" t="s">
        <v>26</v>
      </c>
      <c r="K44" s="59">
        <v>720</v>
      </c>
      <c r="L44" s="51">
        <v>10</v>
      </c>
      <c r="M44" s="30">
        <f t="shared" si="15"/>
        <v>7200</v>
      </c>
      <c r="N44" s="85"/>
      <c r="O44" s="11"/>
    </row>
    <row r="45" spans="1:15" s="10" customFormat="1" ht="23.25" x14ac:dyDescent="0.3">
      <c r="A45" s="26">
        <v>6</v>
      </c>
      <c r="B45" s="49" t="s">
        <v>552</v>
      </c>
      <c r="C45" s="48" t="s">
        <v>26</v>
      </c>
      <c r="D45" s="59">
        <v>558</v>
      </c>
      <c r="E45" s="51">
        <v>10</v>
      </c>
      <c r="F45" s="30">
        <f t="shared" si="14"/>
        <v>5580</v>
      </c>
      <c r="H45" s="26">
        <v>6</v>
      </c>
      <c r="I45" s="49" t="s">
        <v>552</v>
      </c>
      <c r="J45" s="48" t="s">
        <v>26</v>
      </c>
      <c r="K45" s="59">
        <v>558</v>
      </c>
      <c r="L45" s="51">
        <v>10</v>
      </c>
      <c r="M45" s="30">
        <f t="shared" si="15"/>
        <v>5580</v>
      </c>
      <c r="N45" s="85"/>
      <c r="O45" s="11"/>
    </row>
    <row r="46" spans="1:15" s="10" customFormat="1" ht="23.25" x14ac:dyDescent="0.3">
      <c r="A46" s="26">
        <v>7</v>
      </c>
      <c r="B46" s="49" t="s">
        <v>553</v>
      </c>
      <c r="C46" s="48" t="s">
        <v>26</v>
      </c>
      <c r="D46" s="59">
        <v>570</v>
      </c>
      <c r="E46" s="51">
        <v>10</v>
      </c>
      <c r="F46" s="30">
        <f t="shared" ref="F46" si="16">D46*E46</f>
        <v>5700</v>
      </c>
      <c r="H46" s="26">
        <v>7</v>
      </c>
      <c r="I46" s="49" t="s">
        <v>553</v>
      </c>
      <c r="J46" s="48" t="s">
        <v>26</v>
      </c>
      <c r="K46" s="59">
        <v>570</v>
      </c>
      <c r="L46" s="51">
        <v>10</v>
      </c>
      <c r="M46" s="30">
        <f t="shared" si="15"/>
        <v>5700</v>
      </c>
      <c r="N46" s="85"/>
      <c r="O46" s="11"/>
    </row>
    <row r="47" spans="1:15" s="10" customFormat="1" ht="23.25" x14ac:dyDescent="0.3">
      <c r="A47" s="26">
        <v>8</v>
      </c>
      <c r="B47" s="49" t="s">
        <v>221</v>
      </c>
      <c r="C47" s="48" t="s">
        <v>22</v>
      </c>
      <c r="D47" s="59">
        <v>15</v>
      </c>
      <c r="E47" s="51">
        <v>30</v>
      </c>
      <c r="F47" s="30">
        <f t="shared" si="14"/>
        <v>450</v>
      </c>
      <c r="H47" s="26">
        <v>8</v>
      </c>
      <c r="I47" s="49" t="s">
        <v>221</v>
      </c>
      <c r="J47" s="48" t="s">
        <v>22</v>
      </c>
      <c r="K47" s="59">
        <v>15</v>
      </c>
      <c r="L47" s="51">
        <v>30</v>
      </c>
      <c r="M47" s="30">
        <f t="shared" si="15"/>
        <v>450</v>
      </c>
      <c r="N47" s="85"/>
      <c r="O47" s="11"/>
    </row>
    <row r="48" spans="1:15" s="10" customFormat="1" ht="23.25" x14ac:dyDescent="0.3">
      <c r="A48" s="26">
        <v>9</v>
      </c>
      <c r="B48" s="27" t="s">
        <v>40</v>
      </c>
      <c r="C48" s="28" t="s">
        <v>27</v>
      </c>
      <c r="D48" s="146">
        <f>2+2-4</f>
        <v>0</v>
      </c>
      <c r="E48" s="51">
        <f>6*2.4*500*1.2</f>
        <v>8639.9999999999982</v>
      </c>
      <c r="F48" s="30">
        <f t="shared" si="14"/>
        <v>0</v>
      </c>
      <c r="H48" s="26">
        <v>9</v>
      </c>
      <c r="I48" s="27" t="s">
        <v>40</v>
      </c>
      <c r="J48" s="28" t="s">
        <v>27</v>
      </c>
      <c r="K48" s="146">
        <f>2+2-4</f>
        <v>0</v>
      </c>
      <c r="L48" s="51">
        <f>6*2.4*500*1.2</f>
        <v>8639.9999999999982</v>
      </c>
      <c r="M48" s="30">
        <f t="shared" si="15"/>
        <v>0</v>
      </c>
      <c r="N48" s="85"/>
      <c r="O48" s="11"/>
    </row>
    <row r="49" spans="1:15" s="10" customFormat="1" ht="23.25" x14ac:dyDescent="0.3">
      <c r="A49" s="26">
        <v>10</v>
      </c>
      <c r="B49" s="27" t="s">
        <v>149</v>
      </c>
      <c r="C49" s="28" t="s">
        <v>27</v>
      </c>
      <c r="D49" s="146">
        <f>3-2+3-4</f>
        <v>0</v>
      </c>
      <c r="E49" s="51">
        <f>6*2.4*360*1.2</f>
        <v>6220.7999999999984</v>
      </c>
      <c r="F49" s="30">
        <f t="shared" si="14"/>
        <v>0</v>
      </c>
      <c r="H49" s="26">
        <v>10</v>
      </c>
      <c r="I49" s="27" t="s">
        <v>149</v>
      </c>
      <c r="J49" s="28" t="s">
        <v>27</v>
      </c>
      <c r="K49" s="146">
        <f>3-2+3-4</f>
        <v>0</v>
      </c>
      <c r="L49" s="51">
        <f>6*2.4*360*1.2</f>
        <v>6220.7999999999984</v>
      </c>
      <c r="M49" s="30">
        <f t="shared" si="15"/>
        <v>0</v>
      </c>
      <c r="N49" s="85"/>
      <c r="O49" s="11"/>
    </row>
    <row r="50" spans="1:15" s="10" customFormat="1" ht="23.25" x14ac:dyDescent="0.3">
      <c r="A50" s="26">
        <v>11</v>
      </c>
      <c r="B50" s="27" t="s">
        <v>116</v>
      </c>
      <c r="C50" s="28" t="s">
        <v>27</v>
      </c>
      <c r="D50" s="59">
        <f>2+2</f>
        <v>4</v>
      </c>
      <c r="E50" s="33">
        <f>1300-1300</f>
        <v>0</v>
      </c>
      <c r="F50" s="30">
        <f t="shared" si="14"/>
        <v>0</v>
      </c>
      <c r="H50" s="26">
        <v>11</v>
      </c>
      <c r="I50" s="27" t="s">
        <v>116</v>
      </c>
      <c r="J50" s="28" t="s">
        <v>27</v>
      </c>
      <c r="K50" s="146">
        <v>0</v>
      </c>
      <c r="L50" s="33">
        <f>1300-1300</f>
        <v>0</v>
      </c>
      <c r="M50" s="30">
        <f t="shared" si="15"/>
        <v>0</v>
      </c>
      <c r="N50" s="85"/>
      <c r="O50" s="11"/>
    </row>
    <row r="51" spans="1:15" s="10" customFormat="1" ht="23.25" x14ac:dyDescent="0.3">
      <c r="A51" s="26">
        <v>12</v>
      </c>
      <c r="B51" s="27" t="s">
        <v>115</v>
      </c>
      <c r="C51" s="28" t="s">
        <v>27</v>
      </c>
      <c r="D51" s="59">
        <f>4+4</f>
        <v>8</v>
      </c>
      <c r="E51" s="33">
        <f>1650-1650</f>
        <v>0</v>
      </c>
      <c r="F51" s="30">
        <f t="shared" si="14"/>
        <v>0</v>
      </c>
      <c r="H51" s="26">
        <v>12</v>
      </c>
      <c r="I51" s="27" t="s">
        <v>115</v>
      </c>
      <c r="J51" s="28" t="s">
        <v>27</v>
      </c>
      <c r="K51" s="146">
        <v>0</v>
      </c>
      <c r="L51" s="33">
        <f>1650-1650</f>
        <v>0</v>
      </c>
      <c r="M51" s="30">
        <f t="shared" si="15"/>
        <v>0</v>
      </c>
      <c r="N51" s="85"/>
      <c r="O51" s="11"/>
    </row>
    <row r="52" spans="1:15" s="10" customFormat="1" ht="23.25" x14ac:dyDescent="0.3">
      <c r="A52" s="26">
        <v>13</v>
      </c>
      <c r="B52" s="27" t="s">
        <v>150</v>
      </c>
      <c r="C52" s="28" t="s">
        <v>27</v>
      </c>
      <c r="D52" s="59">
        <v>4</v>
      </c>
      <c r="E52" s="33">
        <f>1650-1650</f>
        <v>0</v>
      </c>
      <c r="F52" s="30">
        <f t="shared" si="14"/>
        <v>0</v>
      </c>
      <c r="H52" s="26">
        <v>13</v>
      </c>
      <c r="I52" s="27" t="s">
        <v>150</v>
      </c>
      <c r="J52" s="28" t="s">
        <v>27</v>
      </c>
      <c r="K52" s="146">
        <v>0</v>
      </c>
      <c r="L52" s="33">
        <f>1650-1650</f>
        <v>0</v>
      </c>
      <c r="M52" s="30">
        <f t="shared" si="15"/>
        <v>0</v>
      </c>
      <c r="N52" s="85"/>
      <c r="O52" s="11"/>
    </row>
    <row r="53" spans="1:15" s="10" customFormat="1" ht="23.25" x14ac:dyDescent="0.3">
      <c r="A53" s="26">
        <v>14</v>
      </c>
      <c r="B53" s="27" t="s">
        <v>151</v>
      </c>
      <c r="C53" s="28" t="s">
        <v>114</v>
      </c>
      <c r="D53" s="59">
        <v>2980</v>
      </c>
      <c r="E53" s="29">
        <v>0.8</v>
      </c>
      <c r="F53" s="30">
        <f t="shared" si="14"/>
        <v>2384</v>
      </c>
      <c r="H53" s="26">
        <v>14</v>
      </c>
      <c r="I53" s="27" t="s">
        <v>151</v>
      </c>
      <c r="J53" s="28" t="s">
        <v>114</v>
      </c>
      <c r="K53" s="146">
        <v>0</v>
      </c>
      <c r="L53" s="29">
        <v>0.8</v>
      </c>
      <c r="M53" s="30">
        <f t="shared" si="15"/>
        <v>0</v>
      </c>
      <c r="N53" s="85"/>
      <c r="O53" s="11"/>
    </row>
    <row r="54" spans="1:15" s="10" customFormat="1" ht="23.25" x14ac:dyDescent="0.3">
      <c r="A54" s="26">
        <v>15</v>
      </c>
      <c r="B54" s="42" t="s">
        <v>152</v>
      </c>
      <c r="C54" s="48" t="s">
        <v>112</v>
      </c>
      <c r="D54" s="50">
        <v>1</v>
      </c>
      <c r="E54" s="79">
        <v>4000</v>
      </c>
      <c r="F54" s="30">
        <f t="shared" si="14"/>
        <v>4000</v>
      </c>
      <c r="H54" s="26">
        <v>15</v>
      </c>
      <c r="I54" s="42" t="s">
        <v>152</v>
      </c>
      <c r="J54" s="48" t="s">
        <v>112</v>
      </c>
      <c r="K54" s="50">
        <v>1</v>
      </c>
      <c r="L54" s="79">
        <v>4000</v>
      </c>
      <c r="M54" s="30">
        <f t="shared" si="15"/>
        <v>4000</v>
      </c>
      <c r="N54" s="85"/>
      <c r="O54" s="11"/>
    </row>
    <row r="55" spans="1:15" s="10" customFormat="1" ht="23.25" x14ac:dyDescent="0.3">
      <c r="A55" s="26">
        <v>16</v>
      </c>
      <c r="B55" s="42" t="s">
        <v>546</v>
      </c>
      <c r="C55" s="48" t="s">
        <v>27</v>
      </c>
      <c r="D55" s="50">
        <v>2</v>
      </c>
      <c r="E55" s="79">
        <v>2000</v>
      </c>
      <c r="F55" s="30">
        <f t="shared" ref="F55" si="17">D55*E55</f>
        <v>4000</v>
      </c>
      <c r="H55" s="26">
        <v>16</v>
      </c>
      <c r="I55" s="42" t="s">
        <v>546</v>
      </c>
      <c r="J55" s="48" t="s">
        <v>27</v>
      </c>
      <c r="K55" s="50">
        <v>2</v>
      </c>
      <c r="L55" s="79">
        <v>2000</v>
      </c>
      <c r="M55" s="30">
        <f t="shared" si="15"/>
        <v>4000</v>
      </c>
      <c r="N55" s="85"/>
      <c r="O55" s="11"/>
    </row>
    <row r="56" spans="1:15" s="10" customFormat="1" ht="23.25" x14ac:dyDescent="0.3">
      <c r="A56" s="26">
        <v>17</v>
      </c>
      <c r="B56" s="42" t="s">
        <v>636</v>
      </c>
      <c r="C56" s="48" t="s">
        <v>27</v>
      </c>
      <c r="D56" s="50">
        <v>2</v>
      </c>
      <c r="E56" s="79">
        <v>100</v>
      </c>
      <c r="F56" s="30">
        <f t="shared" si="14"/>
        <v>200</v>
      </c>
      <c r="H56" s="26">
        <v>17</v>
      </c>
      <c r="I56" s="42" t="s">
        <v>636</v>
      </c>
      <c r="J56" s="48" t="s">
        <v>27</v>
      </c>
      <c r="K56" s="162">
        <v>0</v>
      </c>
      <c r="L56" s="79">
        <v>100</v>
      </c>
      <c r="M56" s="30">
        <f t="shared" si="15"/>
        <v>0</v>
      </c>
      <c r="N56" s="85"/>
      <c r="O56" s="11"/>
    </row>
    <row r="57" spans="1:15" ht="23.25" x14ac:dyDescent="0.25">
      <c r="A57" s="44"/>
      <c r="B57" s="42"/>
      <c r="C57" s="42"/>
      <c r="D57" s="42"/>
      <c r="E57" s="43" t="s">
        <v>15</v>
      </c>
      <c r="F57" s="34">
        <f>SUM(F40:F56)</f>
        <v>70074</v>
      </c>
      <c r="H57" s="44"/>
      <c r="I57" s="42"/>
      <c r="J57" s="42"/>
      <c r="K57" s="42"/>
      <c r="L57" s="43" t="s">
        <v>15</v>
      </c>
      <c r="M57" s="34">
        <f>SUM(M40:M56)</f>
        <v>67490</v>
      </c>
    </row>
    <row r="58" spans="1:15" ht="23.25" x14ac:dyDescent="0.25">
      <c r="A58" s="44"/>
      <c r="B58" s="42"/>
      <c r="C58" s="42"/>
      <c r="D58" s="42"/>
      <c r="E58" s="80">
        <v>-0.2</v>
      </c>
      <c r="F58" s="34">
        <f>F57-F59</f>
        <v>11679</v>
      </c>
      <c r="H58" s="44"/>
      <c r="I58" s="42"/>
      <c r="J58" s="42"/>
      <c r="K58" s="42"/>
      <c r="L58" s="80">
        <v>-0.2</v>
      </c>
      <c r="M58" s="34">
        <f>M57-M59</f>
        <v>11248.333333333328</v>
      </c>
    </row>
    <row r="59" spans="1:15" ht="23.25" x14ac:dyDescent="0.25">
      <c r="A59" s="44"/>
      <c r="B59" s="42"/>
      <c r="C59" s="42"/>
      <c r="D59" s="42"/>
      <c r="E59" s="43" t="s">
        <v>16</v>
      </c>
      <c r="F59" s="34">
        <f>F57/1.2</f>
        <v>58395</v>
      </c>
      <c r="H59" s="44"/>
      <c r="I59" s="42"/>
      <c r="J59" s="42"/>
      <c r="K59" s="42"/>
      <c r="L59" s="43" t="s">
        <v>16</v>
      </c>
      <c r="M59" s="34">
        <f>M57/1.2</f>
        <v>56241.666666666672</v>
      </c>
    </row>
    <row r="60" spans="1:15" s="3" customFormat="1" ht="23.25" x14ac:dyDescent="0.35">
      <c r="A60" s="23"/>
      <c r="B60" s="24" t="s">
        <v>120</v>
      </c>
      <c r="C60" s="24"/>
      <c r="D60" s="24"/>
      <c r="E60" s="24"/>
      <c r="F60" s="25"/>
      <c r="H60" s="23"/>
      <c r="I60" s="24" t="s">
        <v>120</v>
      </c>
      <c r="J60" s="24"/>
      <c r="K60" s="24"/>
      <c r="L60" s="24"/>
      <c r="M60" s="25"/>
      <c r="N60" s="84">
        <f>F69</f>
        <v>1209595</v>
      </c>
      <c r="O60" s="4"/>
    </row>
    <row r="61" spans="1:15" s="10" customFormat="1" ht="23.25" x14ac:dyDescent="0.3">
      <c r="A61" s="26">
        <v>1</v>
      </c>
      <c r="B61" s="94" t="s">
        <v>191</v>
      </c>
      <c r="C61" s="48" t="s">
        <v>19</v>
      </c>
      <c r="D61" s="89">
        <f>250+900</f>
        <v>1150</v>
      </c>
      <c r="E61" s="79">
        <f>2.5-1</f>
        <v>1.5</v>
      </c>
      <c r="F61" s="30">
        <f>D61*E61</f>
        <v>1725</v>
      </c>
      <c r="H61" s="26">
        <v>1</v>
      </c>
      <c r="I61" s="94" t="s">
        <v>191</v>
      </c>
      <c r="J61" s="48" t="s">
        <v>19</v>
      </c>
      <c r="K61" s="89">
        <f>250+900</f>
        <v>1150</v>
      </c>
      <c r="L61" s="79">
        <f>2.5-1</f>
        <v>1.5</v>
      </c>
      <c r="M61" s="30">
        <f>K61*L61</f>
        <v>1725</v>
      </c>
      <c r="N61" s="85"/>
      <c r="O61" s="11"/>
    </row>
    <row r="62" spans="1:15" s="10" customFormat="1" ht="46.5" x14ac:dyDescent="0.3">
      <c r="A62" s="26">
        <v>2</v>
      </c>
      <c r="B62" s="94" t="s">
        <v>192</v>
      </c>
      <c r="C62" s="48" t="s">
        <v>27</v>
      </c>
      <c r="D62" s="89">
        <f>60+40+50+85</f>
        <v>235</v>
      </c>
      <c r="E62" s="79">
        <v>4350</v>
      </c>
      <c r="F62" s="30">
        <f t="shared" ref="F62:F68" si="18">D62*E62</f>
        <v>1022250</v>
      </c>
      <c r="H62" s="26">
        <v>2</v>
      </c>
      <c r="I62" s="94" t="s">
        <v>192</v>
      </c>
      <c r="J62" s="48" t="s">
        <v>27</v>
      </c>
      <c r="K62" s="162">
        <v>0</v>
      </c>
      <c r="L62" s="79">
        <v>4350</v>
      </c>
      <c r="M62" s="30">
        <f t="shared" ref="M62:M68" si="19">K62*L62</f>
        <v>0</v>
      </c>
      <c r="N62" s="85"/>
      <c r="O62" s="11"/>
    </row>
    <row r="63" spans="1:15" s="10" customFormat="1" ht="23.25" x14ac:dyDescent="0.3">
      <c r="A63" s="26">
        <v>3</v>
      </c>
      <c r="B63" s="42" t="s">
        <v>188</v>
      </c>
      <c r="C63" s="48" t="s">
        <v>113</v>
      </c>
      <c r="D63" s="89">
        <f>15+20+11</f>
        <v>46</v>
      </c>
      <c r="E63" s="79">
        <v>3000</v>
      </c>
      <c r="F63" s="30">
        <f t="shared" si="18"/>
        <v>138000</v>
      </c>
      <c r="H63" s="26">
        <v>3</v>
      </c>
      <c r="I63" s="42" t="s">
        <v>188</v>
      </c>
      <c r="J63" s="48" t="s">
        <v>113</v>
      </c>
      <c r="K63" s="162">
        <v>0</v>
      </c>
      <c r="L63" s="79">
        <v>3000</v>
      </c>
      <c r="M63" s="30">
        <f t="shared" si="19"/>
        <v>0</v>
      </c>
      <c r="N63" s="85"/>
      <c r="O63" s="11"/>
    </row>
    <row r="64" spans="1:15" s="10" customFormat="1" ht="23.25" x14ac:dyDescent="0.3">
      <c r="A64" s="26">
        <v>4</v>
      </c>
      <c r="B64" s="42" t="s">
        <v>189</v>
      </c>
      <c r="C64" s="48" t="s">
        <v>113</v>
      </c>
      <c r="D64" s="89">
        <f>10+20+10</f>
        <v>40</v>
      </c>
      <c r="E64" s="79">
        <v>1000</v>
      </c>
      <c r="F64" s="30">
        <f t="shared" si="18"/>
        <v>40000</v>
      </c>
      <c r="H64" s="26">
        <v>4</v>
      </c>
      <c r="I64" s="42" t="s">
        <v>189</v>
      </c>
      <c r="J64" s="48" t="s">
        <v>113</v>
      </c>
      <c r="K64" s="162">
        <v>0</v>
      </c>
      <c r="L64" s="79">
        <v>1000</v>
      </c>
      <c r="M64" s="30">
        <f t="shared" si="19"/>
        <v>0</v>
      </c>
      <c r="N64" s="85"/>
      <c r="O64" s="11"/>
    </row>
    <row r="65" spans="1:15" s="10" customFormat="1" ht="23.25" x14ac:dyDescent="0.3">
      <c r="A65" s="26">
        <v>5</v>
      </c>
      <c r="B65" s="42" t="s">
        <v>224</v>
      </c>
      <c r="C65" s="48" t="s">
        <v>27</v>
      </c>
      <c r="D65" s="59">
        <v>24</v>
      </c>
      <c r="E65" s="79"/>
      <c r="F65" s="30">
        <f t="shared" si="18"/>
        <v>0</v>
      </c>
      <c r="H65" s="26">
        <v>5</v>
      </c>
      <c r="I65" s="42" t="s">
        <v>224</v>
      </c>
      <c r="J65" s="48" t="s">
        <v>27</v>
      </c>
      <c r="K65" s="146">
        <v>0</v>
      </c>
      <c r="L65" s="79"/>
      <c r="M65" s="30">
        <f t="shared" si="19"/>
        <v>0</v>
      </c>
      <c r="N65" s="85"/>
      <c r="O65" s="11"/>
    </row>
    <row r="66" spans="1:15" s="10" customFormat="1" ht="23.25" x14ac:dyDescent="0.3">
      <c r="A66" s="26">
        <v>6</v>
      </c>
      <c r="B66" s="49" t="s">
        <v>222</v>
      </c>
      <c r="C66" s="48" t="s">
        <v>113</v>
      </c>
      <c r="D66" s="59">
        <v>15</v>
      </c>
      <c r="E66" s="79"/>
      <c r="F66" s="30">
        <f t="shared" si="18"/>
        <v>0</v>
      </c>
      <c r="H66" s="26">
        <v>6</v>
      </c>
      <c r="I66" s="49" t="s">
        <v>222</v>
      </c>
      <c r="J66" s="48" t="s">
        <v>113</v>
      </c>
      <c r="K66" s="146">
        <v>0</v>
      </c>
      <c r="L66" s="79"/>
      <c r="M66" s="30">
        <f t="shared" si="19"/>
        <v>0</v>
      </c>
      <c r="N66" s="85"/>
      <c r="O66" s="11"/>
    </row>
    <row r="67" spans="1:15" s="10" customFormat="1" ht="46.5" x14ac:dyDescent="0.3">
      <c r="A67" s="26">
        <v>7</v>
      </c>
      <c r="B67" s="42" t="s">
        <v>613</v>
      </c>
      <c r="C67" s="48" t="s">
        <v>19</v>
      </c>
      <c r="D67" s="59">
        <v>119.2</v>
      </c>
      <c r="E67" s="79">
        <v>50</v>
      </c>
      <c r="F67" s="30">
        <f t="shared" si="18"/>
        <v>5960</v>
      </c>
      <c r="H67" s="26">
        <v>7</v>
      </c>
      <c r="I67" s="42" t="s">
        <v>613</v>
      </c>
      <c r="J67" s="48" t="s">
        <v>19</v>
      </c>
      <c r="K67" s="59">
        <v>119.2</v>
      </c>
      <c r="L67" s="79">
        <v>50</v>
      </c>
      <c r="M67" s="30">
        <f t="shared" si="19"/>
        <v>5960</v>
      </c>
      <c r="N67" s="85"/>
      <c r="O67" s="11"/>
    </row>
    <row r="68" spans="1:15" s="10" customFormat="1" ht="46.5" x14ac:dyDescent="0.3">
      <c r="A68" s="26">
        <v>8</v>
      </c>
      <c r="B68" s="42" t="s">
        <v>554</v>
      </c>
      <c r="C68" s="48" t="s">
        <v>19</v>
      </c>
      <c r="D68" s="59">
        <v>33.200000000000003</v>
      </c>
      <c r="E68" s="79">
        <v>50</v>
      </c>
      <c r="F68" s="30">
        <f t="shared" si="18"/>
        <v>1660.0000000000002</v>
      </c>
      <c r="H68" s="26">
        <v>8</v>
      </c>
      <c r="I68" s="42" t="s">
        <v>554</v>
      </c>
      <c r="J68" s="48" t="s">
        <v>19</v>
      </c>
      <c r="K68" s="59">
        <v>33.200000000000003</v>
      </c>
      <c r="L68" s="79">
        <v>50</v>
      </c>
      <c r="M68" s="30">
        <f t="shared" si="19"/>
        <v>1660.0000000000002</v>
      </c>
      <c r="N68" s="85"/>
      <c r="O68" s="11"/>
    </row>
    <row r="69" spans="1:15" ht="24" thickBot="1" x14ac:dyDescent="0.3">
      <c r="A69" s="26"/>
      <c r="B69" s="39"/>
      <c r="C69" s="39"/>
      <c r="D69" s="39"/>
      <c r="E69" s="40" t="s">
        <v>16</v>
      </c>
      <c r="F69" s="35">
        <f>SUM(F61:F68)</f>
        <v>1209595</v>
      </c>
      <c r="H69" s="26"/>
      <c r="I69" s="39"/>
      <c r="J69" s="39"/>
      <c r="K69" s="39"/>
      <c r="L69" s="40" t="s">
        <v>16</v>
      </c>
      <c r="M69" s="35">
        <f>SUM(M61:M68)</f>
        <v>9345</v>
      </c>
    </row>
    <row r="70" spans="1:15" ht="26.25" thickBot="1" x14ac:dyDescent="0.3">
      <c r="A70" s="76"/>
      <c r="B70" s="77"/>
      <c r="C70" s="77"/>
      <c r="D70" s="77"/>
      <c r="E70" s="78" t="s">
        <v>21</v>
      </c>
      <c r="F70" s="12">
        <f>SUMIF(E1:E20036,"CƏMİ",F1:F20036)</f>
        <v>1357098.3333333333</v>
      </c>
      <c r="H70" s="76"/>
      <c r="I70" s="77"/>
      <c r="J70" s="77"/>
      <c r="K70" s="77"/>
      <c r="L70" s="78" t="s">
        <v>21</v>
      </c>
      <c r="M70" s="12">
        <f>SUMIF(L1:L20036,"CƏMİ",M1:M20036)</f>
        <v>154695</v>
      </c>
    </row>
  </sheetData>
  <mergeCells count="4">
    <mergeCell ref="A1:D1"/>
    <mergeCell ref="E1:F1"/>
    <mergeCell ref="H1:K1"/>
    <mergeCell ref="L1:M1"/>
  </mergeCells>
  <phoneticPr fontId="19" type="noConversion"/>
  <pageMargins left="0.23622047244094488" right="0.23622047244094488" top="0.24799978127734032" bottom="0.24803040244969379" header="0.31496062992125984" footer="0.31496062992125984"/>
  <pageSetup paperSize="9" scale="24" fitToHeight="0" orientation="portrait" r:id="rId1"/>
  <drawing r:id="rId2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855B-1173-437A-BDC7-394823E2C9BD}">
  <sheetPr>
    <tabColor theme="5"/>
    <pageSetUpPr fitToPage="1"/>
  </sheetPr>
  <dimension ref="A1:J26"/>
  <sheetViews>
    <sheetView view="pageBreakPreview" zoomScale="55" zoomScaleNormal="55" zoomScaleSheetLayoutView="55" workbookViewId="0">
      <pane ySplit="2" topLeftCell="A3" activePane="bottomLeft" state="frozen"/>
      <selection pane="bottomLeft" activeCell="B29" sqref="B29"/>
    </sheetView>
  </sheetViews>
  <sheetFormatPr defaultRowHeight="15" x14ac:dyDescent="0.25"/>
  <cols>
    <col min="1" max="1" width="6.5703125" style="5" bestFit="1" customWidth="1"/>
    <col min="2" max="2" width="102.7109375" style="2" customWidth="1"/>
    <col min="3" max="3" width="13.140625" style="2" customWidth="1"/>
    <col min="4" max="4" width="14.85546875" style="2" customWidth="1"/>
    <col min="5" max="5" width="21.85546875" style="2" bestFit="1" customWidth="1"/>
    <col min="6" max="6" width="30.28515625" style="2" bestFit="1" customWidth="1"/>
    <col min="7" max="7" width="9.140625" style="2" customWidth="1"/>
    <col min="8" max="8" width="24.5703125" style="86" customWidth="1"/>
    <col min="9" max="16384" width="9.140625" style="2"/>
  </cols>
  <sheetData>
    <row r="1" spans="1:10" customFormat="1" ht="141.75" customHeight="1" thickBot="1" x14ac:dyDescent="0.3">
      <c r="A1" s="186" t="s">
        <v>663</v>
      </c>
      <c r="B1" s="187"/>
      <c r="C1" s="187"/>
      <c r="D1" s="187"/>
      <c r="E1" s="188" t="s">
        <v>0</v>
      </c>
      <c r="F1" s="189"/>
      <c r="H1" s="82"/>
    </row>
    <row r="2" spans="1:10" customFormat="1" ht="22.5" customHeight="1" thickBot="1" x14ac:dyDescent="0.4">
      <c r="A2" s="119"/>
      <c r="B2" s="120"/>
      <c r="C2" s="120"/>
      <c r="D2" s="120"/>
      <c r="E2" s="121"/>
      <c r="F2" s="122">
        <v>45282</v>
      </c>
      <c r="H2" s="82"/>
      <c r="J2" s="2"/>
    </row>
    <row r="3" spans="1:10" s="3" customFormat="1" ht="38.25" customHeight="1" x14ac:dyDescent="0.35">
      <c r="A3" s="194" t="s">
        <v>833</v>
      </c>
      <c r="B3" s="195"/>
      <c r="C3" s="195"/>
      <c r="D3" s="195"/>
      <c r="E3" s="195"/>
      <c r="F3" s="196"/>
      <c r="H3" s="84"/>
    </row>
    <row r="4" spans="1:10" s="3" customFormat="1" ht="23.25" x14ac:dyDescent="0.35">
      <c r="A4" s="23"/>
      <c r="B4" s="24" t="s">
        <v>123</v>
      </c>
      <c r="C4" s="24"/>
      <c r="D4" s="24"/>
      <c r="E4" s="24"/>
      <c r="F4" s="25"/>
      <c r="H4" s="84"/>
      <c r="I4" s="4"/>
    </row>
    <row r="5" spans="1:10" s="10" customFormat="1" ht="23.25" x14ac:dyDescent="0.3">
      <c r="A5" s="114">
        <v>1</v>
      </c>
      <c r="B5" s="65" t="s">
        <v>702</v>
      </c>
      <c r="C5" s="90" t="s">
        <v>19</v>
      </c>
      <c r="D5" s="90">
        <v>42</v>
      </c>
      <c r="E5" s="91">
        <f>50+30</f>
        <v>80</v>
      </c>
      <c r="F5" s="92">
        <f t="shared" ref="F5" si="0">D5*E5</f>
        <v>3360</v>
      </c>
      <c r="H5" s="85"/>
      <c r="I5" s="11"/>
    </row>
    <row r="6" spans="1:10" ht="24" thickBot="1" x14ac:dyDescent="0.3">
      <c r="A6" s="38"/>
      <c r="B6" s="39"/>
      <c r="C6" s="39"/>
      <c r="D6" s="39"/>
      <c r="E6" s="40" t="s">
        <v>16</v>
      </c>
      <c r="F6" s="35">
        <f>SUM(F5:F5)</f>
        <v>3360</v>
      </c>
      <c r="I6" s="6"/>
    </row>
    <row r="7" spans="1:10" ht="26.25" thickBot="1" x14ac:dyDescent="0.3">
      <c r="A7" s="123"/>
      <c r="B7" s="124"/>
      <c r="C7" s="124"/>
      <c r="D7" s="124"/>
      <c r="E7" s="125" t="s">
        <v>21</v>
      </c>
      <c r="F7" s="12">
        <f>F6</f>
        <v>3360</v>
      </c>
    </row>
    <row r="8" spans="1:10" s="3" customFormat="1" ht="38.25" customHeight="1" x14ac:dyDescent="0.35">
      <c r="A8" s="194" t="s">
        <v>834</v>
      </c>
      <c r="B8" s="195"/>
      <c r="C8" s="195"/>
      <c r="D8" s="195"/>
      <c r="E8" s="195"/>
      <c r="F8" s="196"/>
      <c r="H8" s="84"/>
    </row>
    <row r="9" spans="1:10" s="3" customFormat="1" ht="23.25" x14ac:dyDescent="0.35">
      <c r="A9" s="23"/>
      <c r="B9" s="24" t="s">
        <v>43</v>
      </c>
      <c r="C9" s="24"/>
      <c r="D9" s="24"/>
      <c r="E9" s="24"/>
      <c r="F9" s="25"/>
      <c r="H9" s="84"/>
      <c r="I9" s="4"/>
    </row>
    <row r="10" spans="1:10" s="10" customFormat="1" ht="46.5" x14ac:dyDescent="0.3">
      <c r="A10" s="26">
        <v>1</v>
      </c>
      <c r="B10" s="36" t="s">
        <v>703</v>
      </c>
      <c r="C10" s="32" t="s">
        <v>19</v>
      </c>
      <c r="D10" s="32">
        <v>22</v>
      </c>
      <c r="E10" s="118">
        <v>30</v>
      </c>
      <c r="F10" s="30">
        <f>D10*E10</f>
        <v>660</v>
      </c>
      <c r="H10" s="85"/>
      <c r="I10" s="11"/>
    </row>
    <row r="11" spans="1:10" ht="23.25" x14ac:dyDescent="0.25">
      <c r="A11" s="69"/>
      <c r="B11" s="67"/>
      <c r="C11" s="67"/>
      <c r="D11" s="67"/>
      <c r="E11" s="68" t="s">
        <v>16</v>
      </c>
      <c r="F11" s="34">
        <f>SUM(F10:F10)</f>
        <v>660</v>
      </c>
      <c r="I11" s="6"/>
    </row>
    <row r="12" spans="1:10" ht="26.25" thickBot="1" x14ac:dyDescent="0.3">
      <c r="A12" s="123"/>
      <c r="B12" s="124"/>
      <c r="C12" s="124"/>
      <c r="D12" s="124"/>
      <c r="E12" s="125" t="s">
        <v>21</v>
      </c>
      <c r="F12" s="12">
        <f>F11</f>
        <v>660</v>
      </c>
    </row>
    <row r="13" spans="1:10" s="3" customFormat="1" ht="38.25" customHeight="1" x14ac:dyDescent="0.35">
      <c r="A13" s="194" t="s">
        <v>28</v>
      </c>
      <c r="B13" s="195"/>
      <c r="C13" s="195"/>
      <c r="D13" s="195"/>
      <c r="E13" s="195"/>
      <c r="F13" s="196"/>
      <c r="H13" s="84">
        <f>F26</f>
        <v>-55999.199999999983</v>
      </c>
    </row>
    <row r="14" spans="1:10" s="3" customFormat="1" ht="23.25" x14ac:dyDescent="0.35">
      <c r="A14" s="23"/>
      <c r="B14" s="24" t="s">
        <v>121</v>
      </c>
      <c r="C14" s="24"/>
      <c r="D14" s="24"/>
      <c r="E14" s="24"/>
      <c r="F14" s="25"/>
      <c r="H14" s="84">
        <f>F36</f>
        <v>0</v>
      </c>
      <c r="I14" s="4"/>
    </row>
    <row r="15" spans="1:10" s="10" customFormat="1" ht="23.25" x14ac:dyDescent="0.3">
      <c r="A15" s="26">
        <v>9</v>
      </c>
      <c r="B15" s="27" t="s">
        <v>40</v>
      </c>
      <c r="C15" s="28" t="s">
        <v>27</v>
      </c>
      <c r="D15" s="146">
        <v>-4</v>
      </c>
      <c r="E15" s="51">
        <f>6*2.4*500*1.2</f>
        <v>8639.9999999999982</v>
      </c>
      <c r="F15" s="147">
        <f t="shared" ref="F15:F16" si="1">D15*E15</f>
        <v>-34559.999999999993</v>
      </c>
      <c r="H15" s="85"/>
      <c r="I15" s="11"/>
    </row>
    <row r="16" spans="1:10" s="10" customFormat="1" ht="23.25" x14ac:dyDescent="0.3">
      <c r="A16" s="26">
        <v>10</v>
      </c>
      <c r="B16" s="27" t="s">
        <v>149</v>
      </c>
      <c r="C16" s="28" t="s">
        <v>27</v>
      </c>
      <c r="D16" s="146">
        <v>-4</v>
      </c>
      <c r="E16" s="51">
        <f>6*2.4*360*1.2</f>
        <v>6220.7999999999984</v>
      </c>
      <c r="F16" s="147">
        <f t="shared" si="1"/>
        <v>-24883.199999999993</v>
      </c>
      <c r="H16" s="85"/>
      <c r="I16" s="11"/>
    </row>
    <row r="17" spans="1:9" ht="23.25" x14ac:dyDescent="0.25">
      <c r="A17" s="44"/>
      <c r="B17" s="42"/>
      <c r="C17" s="42"/>
      <c r="D17" s="42"/>
      <c r="E17" s="43" t="s">
        <v>15</v>
      </c>
      <c r="F17" s="148">
        <f>SUM(F15:F16)</f>
        <v>-59443.199999999983</v>
      </c>
      <c r="I17" s="6"/>
    </row>
    <row r="18" spans="1:9" ht="23.25" x14ac:dyDescent="0.25">
      <c r="A18" s="44"/>
      <c r="B18" s="42"/>
      <c r="C18" s="42"/>
      <c r="D18" s="42"/>
      <c r="E18" s="80">
        <v>-0.2</v>
      </c>
      <c r="F18" s="148">
        <f>F17-F19</f>
        <v>-9907.1999999999971</v>
      </c>
      <c r="I18" s="6"/>
    </row>
    <row r="19" spans="1:9" ht="23.25" x14ac:dyDescent="0.25">
      <c r="A19" s="44"/>
      <c r="B19" s="42"/>
      <c r="C19" s="42"/>
      <c r="D19" s="42"/>
      <c r="E19" s="43" t="s">
        <v>16</v>
      </c>
      <c r="F19" s="148">
        <f>F17/1.2</f>
        <v>-49535.999999999985</v>
      </c>
      <c r="I19" s="6"/>
    </row>
    <row r="20" spans="1:9" s="3" customFormat="1" ht="23.25" x14ac:dyDescent="0.35">
      <c r="A20" s="23"/>
      <c r="B20" s="24" t="s">
        <v>120</v>
      </c>
      <c r="C20" s="24"/>
      <c r="D20" s="24"/>
      <c r="E20" s="24"/>
      <c r="F20" s="25"/>
      <c r="H20" s="84">
        <f>F22</f>
        <v>-1150</v>
      </c>
      <c r="I20" s="4"/>
    </row>
    <row r="21" spans="1:9" s="10" customFormat="1" ht="23.25" x14ac:dyDescent="0.3">
      <c r="A21" s="26">
        <v>1</v>
      </c>
      <c r="B21" s="94" t="s">
        <v>191</v>
      </c>
      <c r="C21" s="48" t="s">
        <v>19</v>
      </c>
      <c r="D21" s="89">
        <f>250+900</f>
        <v>1150</v>
      </c>
      <c r="E21" s="153">
        <v>-1</v>
      </c>
      <c r="F21" s="147">
        <f>D21*E21</f>
        <v>-1150</v>
      </c>
      <c r="H21" s="85"/>
      <c r="I21" s="11"/>
    </row>
    <row r="22" spans="1:9" ht="24" thickBot="1" x14ac:dyDescent="0.3">
      <c r="A22" s="26"/>
      <c r="B22" s="39"/>
      <c r="C22" s="39"/>
      <c r="D22" s="39"/>
      <c r="E22" s="40" t="s">
        <v>16</v>
      </c>
      <c r="F22" s="149">
        <f>SUM(F21:F21)</f>
        <v>-1150</v>
      </c>
      <c r="I22" s="6"/>
    </row>
    <row r="23" spans="1:9" ht="26.25" thickBot="1" x14ac:dyDescent="0.3">
      <c r="A23" s="123"/>
      <c r="B23" s="124"/>
      <c r="C23" s="124"/>
      <c r="D23" s="124"/>
      <c r="E23" s="125" t="s">
        <v>21</v>
      </c>
      <c r="F23" s="150">
        <f>F19+F22</f>
        <v>-50685.999999999985</v>
      </c>
    </row>
    <row r="24" spans="1:9" ht="26.25" thickBot="1" x14ac:dyDescent="0.3">
      <c r="A24" s="190" t="s">
        <v>662</v>
      </c>
      <c r="B24" s="191"/>
      <c r="C24" s="191"/>
      <c r="D24" s="191"/>
      <c r="E24" s="191"/>
      <c r="F24" s="151">
        <f>SUMIF(E1:E1597,"TOPLAM",F1:F1597)*1.2</f>
        <v>-55999.199999999983</v>
      </c>
    </row>
    <row r="25" spans="1:9" ht="26.25" thickBot="1" x14ac:dyDescent="0.3">
      <c r="A25" s="71"/>
      <c r="B25" s="72"/>
      <c r="C25" s="72"/>
      <c r="D25" s="72"/>
      <c r="E25" s="126" t="s">
        <v>17</v>
      </c>
      <c r="F25" s="152">
        <v>0</v>
      </c>
    </row>
    <row r="26" spans="1:9" ht="26.25" thickBot="1" x14ac:dyDescent="0.3">
      <c r="A26" s="192" t="s">
        <v>662</v>
      </c>
      <c r="B26" s="193"/>
      <c r="C26" s="193"/>
      <c r="D26" s="193"/>
      <c r="E26" s="193"/>
      <c r="F26" s="150">
        <f>F24-F25</f>
        <v>-55999.199999999983</v>
      </c>
    </row>
  </sheetData>
  <mergeCells count="7">
    <mergeCell ref="A1:D1"/>
    <mergeCell ref="E1:F1"/>
    <mergeCell ref="A24:E24"/>
    <mergeCell ref="A26:E26"/>
    <mergeCell ref="A13:F13"/>
    <mergeCell ref="A3:F3"/>
    <mergeCell ref="A8:F8"/>
  </mergeCells>
  <pageMargins left="0.23622047244094488" right="0.23622047244094488" top="0.24799978127734032" bottom="0.24803040244969379" header="0.31496062992125984" footer="0.31496062992125984"/>
  <pageSetup paperSize="9" scale="5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158</vt:i4>
      </vt:variant>
      <vt:variant>
        <vt:lpstr>Named Ranges</vt:lpstr>
      </vt:variant>
      <vt:variant>
        <vt:i4>157</vt:i4>
      </vt:variant>
    </vt:vector>
  </HeadingPairs>
  <TitlesOfParts>
    <vt:vector size="315" baseType="lpstr">
      <vt:lpstr>TOTAL</vt:lpstr>
      <vt:lpstr>Hesabat</vt:lpstr>
      <vt:lpstr>3</vt:lpstr>
      <vt:lpstr>10</vt:lpstr>
      <vt:lpstr>13</vt:lpstr>
      <vt:lpstr>15</vt:lpstr>
      <vt:lpstr>17</vt:lpstr>
      <vt:lpstr>21</vt:lpstr>
      <vt:lpstr>23</vt:lpstr>
      <vt:lpstr>24</vt:lpstr>
      <vt:lpstr>25</vt:lpstr>
      <vt:lpstr>26</vt:lpstr>
      <vt:lpstr>31</vt:lpstr>
      <vt:lpstr>33</vt:lpstr>
      <vt:lpstr>39</vt:lpstr>
      <vt:lpstr>42</vt:lpstr>
      <vt:lpstr>43</vt:lpstr>
      <vt:lpstr>48</vt:lpstr>
      <vt:lpstr>51</vt:lpstr>
      <vt:lpstr>52</vt:lpstr>
      <vt:lpstr>55</vt:lpstr>
      <vt:lpstr>57</vt:lpstr>
      <vt:lpstr>59</vt:lpstr>
      <vt:lpstr>60</vt:lpstr>
      <vt:lpstr>62</vt:lpstr>
      <vt:lpstr>63</vt:lpstr>
      <vt:lpstr>79</vt:lpstr>
      <vt:lpstr>81</vt:lpstr>
      <vt:lpstr>145</vt:lpstr>
      <vt:lpstr>174</vt:lpstr>
      <vt:lpstr>176</vt:lpstr>
      <vt:lpstr>177</vt:lpstr>
      <vt:lpstr>181</vt:lpstr>
      <vt:lpstr>186</vt:lpstr>
      <vt:lpstr>187</vt:lpstr>
      <vt:lpstr>188</vt:lpstr>
      <vt:lpstr>190</vt:lpstr>
      <vt:lpstr>195</vt:lpstr>
      <vt:lpstr>199</vt:lpstr>
      <vt:lpstr>200</vt:lpstr>
      <vt:lpstr>207</vt:lpstr>
      <vt:lpstr>208</vt:lpstr>
      <vt:lpstr>260</vt:lpstr>
      <vt:lpstr>267</vt:lpstr>
      <vt:lpstr>271</vt:lpstr>
      <vt:lpstr>345</vt:lpstr>
      <vt:lpstr>351</vt:lpstr>
      <vt:lpstr>355</vt:lpstr>
      <vt:lpstr>359</vt:lpstr>
      <vt:lpstr>361</vt:lpstr>
      <vt:lpstr>363</vt:lpstr>
      <vt:lpstr>365</vt:lpstr>
      <vt:lpstr>373</vt:lpstr>
      <vt:lpstr>374</vt:lpstr>
      <vt:lpstr>375</vt:lpstr>
      <vt:lpstr>376</vt:lpstr>
      <vt:lpstr>380</vt:lpstr>
      <vt:lpstr>406</vt:lpstr>
      <vt:lpstr>428</vt:lpstr>
      <vt:lpstr>430</vt:lpstr>
      <vt:lpstr>434</vt:lpstr>
      <vt:lpstr>436</vt:lpstr>
      <vt:lpstr>437</vt:lpstr>
      <vt:lpstr>441</vt:lpstr>
      <vt:lpstr>445</vt:lpstr>
      <vt:lpstr>458</vt:lpstr>
      <vt:lpstr>459</vt:lpstr>
      <vt:lpstr>461</vt:lpstr>
      <vt:lpstr>462</vt:lpstr>
      <vt:lpstr>464</vt:lpstr>
      <vt:lpstr>469</vt:lpstr>
      <vt:lpstr>470</vt:lpstr>
      <vt:lpstr>472</vt:lpstr>
      <vt:lpstr>481</vt:lpstr>
      <vt:lpstr>484</vt:lpstr>
      <vt:lpstr>486</vt:lpstr>
      <vt:lpstr>487</vt:lpstr>
      <vt:lpstr>516</vt:lpstr>
      <vt:lpstr>522</vt:lpstr>
      <vt:lpstr>525</vt:lpstr>
      <vt:lpstr>527</vt:lpstr>
      <vt:lpstr>528</vt:lpstr>
      <vt:lpstr>537</vt:lpstr>
      <vt:lpstr>538</vt:lpstr>
      <vt:lpstr>550</vt:lpstr>
      <vt:lpstr>551</vt:lpstr>
      <vt:lpstr>552</vt:lpstr>
      <vt:lpstr>561</vt:lpstr>
      <vt:lpstr>562</vt:lpstr>
      <vt:lpstr>569</vt:lpstr>
      <vt:lpstr>575</vt:lpstr>
      <vt:lpstr>577</vt:lpstr>
      <vt:lpstr>601</vt:lpstr>
      <vt:lpstr>609</vt:lpstr>
      <vt:lpstr>610</vt:lpstr>
      <vt:lpstr>623</vt:lpstr>
      <vt:lpstr>636</vt:lpstr>
      <vt:lpstr>644</vt:lpstr>
      <vt:lpstr>659</vt:lpstr>
      <vt:lpstr>681</vt:lpstr>
      <vt:lpstr>691</vt:lpstr>
      <vt:lpstr>692</vt:lpstr>
      <vt:lpstr>693</vt:lpstr>
      <vt:lpstr>694</vt:lpstr>
      <vt:lpstr>698</vt:lpstr>
      <vt:lpstr>699</vt:lpstr>
      <vt:lpstr>701</vt:lpstr>
      <vt:lpstr>702</vt:lpstr>
      <vt:lpstr>703</vt:lpstr>
      <vt:lpstr>704</vt:lpstr>
      <vt:lpstr>706</vt:lpstr>
      <vt:lpstr>712</vt:lpstr>
      <vt:lpstr>713</vt:lpstr>
      <vt:lpstr>714</vt:lpstr>
      <vt:lpstr>720</vt:lpstr>
      <vt:lpstr>723</vt:lpstr>
      <vt:lpstr>724</vt:lpstr>
      <vt:lpstr>725</vt:lpstr>
      <vt:lpstr>728</vt:lpstr>
      <vt:lpstr>729</vt:lpstr>
      <vt:lpstr>735</vt:lpstr>
      <vt:lpstr>742</vt:lpstr>
      <vt:lpstr>746</vt:lpstr>
      <vt:lpstr>749</vt:lpstr>
      <vt:lpstr>751</vt:lpstr>
      <vt:lpstr>755</vt:lpstr>
      <vt:lpstr>759</vt:lpstr>
      <vt:lpstr>761</vt:lpstr>
      <vt:lpstr>766</vt:lpstr>
      <vt:lpstr>767</vt:lpstr>
      <vt:lpstr>769</vt:lpstr>
      <vt:lpstr>770</vt:lpstr>
      <vt:lpstr>772</vt:lpstr>
      <vt:lpstr>778</vt:lpstr>
      <vt:lpstr>779</vt:lpstr>
      <vt:lpstr>784</vt:lpstr>
      <vt:lpstr>786</vt:lpstr>
      <vt:lpstr>787</vt:lpstr>
      <vt:lpstr>788</vt:lpstr>
      <vt:lpstr>789</vt:lpstr>
      <vt:lpstr>790</vt:lpstr>
      <vt:lpstr>792</vt:lpstr>
      <vt:lpstr>793</vt:lpstr>
      <vt:lpstr>794</vt:lpstr>
      <vt:lpstr>795</vt:lpstr>
      <vt:lpstr>796</vt:lpstr>
      <vt:lpstr>797</vt:lpstr>
      <vt:lpstr>798</vt:lpstr>
      <vt:lpstr>799</vt:lpstr>
      <vt:lpstr>832</vt:lpstr>
      <vt:lpstr>844</vt:lpstr>
      <vt:lpstr>Gil fabriki və ətrafı</vt:lpstr>
      <vt:lpstr>Berg</vt:lpstr>
      <vt:lpstr>Çay qırağı</vt:lpstr>
      <vt:lpstr>Tine House</vt:lpstr>
      <vt:lpstr>Ümumi ərazi</vt:lpstr>
      <vt:lpstr>Ümumi işlər</vt:lpstr>
      <vt:lpstr>Haftalik</vt:lpstr>
      <vt:lpstr>'10'!Print_Area</vt:lpstr>
      <vt:lpstr>'13'!Print_Area</vt:lpstr>
      <vt:lpstr>'145'!Print_Area</vt:lpstr>
      <vt:lpstr>'15'!Print_Area</vt:lpstr>
      <vt:lpstr>'17'!Print_Area</vt:lpstr>
      <vt:lpstr>'174'!Print_Area</vt:lpstr>
      <vt:lpstr>'176'!Print_Area</vt:lpstr>
      <vt:lpstr>'177'!Print_Area</vt:lpstr>
      <vt:lpstr>'181'!Print_Area</vt:lpstr>
      <vt:lpstr>'186'!Print_Area</vt:lpstr>
      <vt:lpstr>'187'!Print_Area</vt:lpstr>
      <vt:lpstr>'188'!Print_Area</vt:lpstr>
      <vt:lpstr>'190'!Print_Area</vt:lpstr>
      <vt:lpstr>'195'!Print_Area</vt:lpstr>
      <vt:lpstr>'199'!Print_Area</vt:lpstr>
      <vt:lpstr>'200'!Print_Area</vt:lpstr>
      <vt:lpstr>'207'!Print_Area</vt:lpstr>
      <vt:lpstr>'208'!Print_Area</vt:lpstr>
      <vt:lpstr>'21'!Print_Area</vt:lpstr>
      <vt:lpstr>'23'!Print_Area</vt:lpstr>
      <vt:lpstr>'24'!Print_Area</vt:lpstr>
      <vt:lpstr>'25'!Print_Area</vt:lpstr>
      <vt:lpstr>'26'!Print_Area</vt:lpstr>
      <vt:lpstr>'260'!Print_Area</vt:lpstr>
      <vt:lpstr>'267'!Print_Area</vt:lpstr>
      <vt:lpstr>'271'!Print_Area</vt:lpstr>
      <vt:lpstr>'3'!Print_Area</vt:lpstr>
      <vt:lpstr>'31'!Print_Area</vt:lpstr>
      <vt:lpstr>'33'!Print_Area</vt:lpstr>
      <vt:lpstr>'345'!Print_Area</vt:lpstr>
      <vt:lpstr>'351'!Print_Area</vt:lpstr>
      <vt:lpstr>'355'!Print_Area</vt:lpstr>
      <vt:lpstr>'359'!Print_Area</vt:lpstr>
      <vt:lpstr>'361'!Print_Area</vt:lpstr>
      <vt:lpstr>'363'!Print_Area</vt:lpstr>
      <vt:lpstr>'365'!Print_Area</vt:lpstr>
      <vt:lpstr>'373'!Print_Area</vt:lpstr>
      <vt:lpstr>'374'!Print_Area</vt:lpstr>
      <vt:lpstr>'375'!Print_Area</vt:lpstr>
      <vt:lpstr>'376'!Print_Area</vt:lpstr>
      <vt:lpstr>'380'!Print_Area</vt:lpstr>
      <vt:lpstr>'39'!Print_Area</vt:lpstr>
      <vt:lpstr>'406'!Print_Area</vt:lpstr>
      <vt:lpstr>'42'!Print_Area</vt:lpstr>
      <vt:lpstr>'428'!Print_Area</vt:lpstr>
      <vt:lpstr>'43'!Print_Area</vt:lpstr>
      <vt:lpstr>'430'!Print_Area</vt:lpstr>
      <vt:lpstr>'434'!Print_Area</vt:lpstr>
      <vt:lpstr>'436'!Print_Area</vt:lpstr>
      <vt:lpstr>'437'!Print_Area</vt:lpstr>
      <vt:lpstr>'441'!Print_Area</vt:lpstr>
      <vt:lpstr>'445'!Print_Area</vt:lpstr>
      <vt:lpstr>'458'!Print_Area</vt:lpstr>
      <vt:lpstr>'459'!Print_Area</vt:lpstr>
      <vt:lpstr>'461'!Print_Area</vt:lpstr>
      <vt:lpstr>'462'!Print_Area</vt:lpstr>
      <vt:lpstr>'464'!Print_Area</vt:lpstr>
      <vt:lpstr>'469'!Print_Area</vt:lpstr>
      <vt:lpstr>'470'!Print_Area</vt:lpstr>
      <vt:lpstr>'472'!Print_Area</vt:lpstr>
      <vt:lpstr>'48'!Print_Area</vt:lpstr>
      <vt:lpstr>'481'!Print_Area</vt:lpstr>
      <vt:lpstr>'484'!Print_Area</vt:lpstr>
      <vt:lpstr>'486'!Print_Area</vt:lpstr>
      <vt:lpstr>'487'!Print_Area</vt:lpstr>
      <vt:lpstr>'51'!Print_Area</vt:lpstr>
      <vt:lpstr>'516'!Print_Area</vt:lpstr>
      <vt:lpstr>'52'!Print_Area</vt:lpstr>
      <vt:lpstr>'522'!Print_Area</vt:lpstr>
      <vt:lpstr>'525'!Print_Area</vt:lpstr>
      <vt:lpstr>'527'!Print_Area</vt:lpstr>
      <vt:lpstr>'528'!Print_Area</vt:lpstr>
      <vt:lpstr>'537'!Print_Area</vt:lpstr>
      <vt:lpstr>'538'!Print_Area</vt:lpstr>
      <vt:lpstr>'55'!Print_Area</vt:lpstr>
      <vt:lpstr>'550'!Print_Area</vt:lpstr>
      <vt:lpstr>'551'!Print_Area</vt:lpstr>
      <vt:lpstr>'552'!Print_Area</vt:lpstr>
      <vt:lpstr>'561'!Print_Area</vt:lpstr>
      <vt:lpstr>'562'!Print_Area</vt:lpstr>
      <vt:lpstr>'569'!Print_Area</vt:lpstr>
      <vt:lpstr>'57'!Print_Area</vt:lpstr>
      <vt:lpstr>'575'!Print_Area</vt:lpstr>
      <vt:lpstr>'577'!Print_Area</vt:lpstr>
      <vt:lpstr>'59'!Print_Area</vt:lpstr>
      <vt:lpstr>'60'!Print_Area</vt:lpstr>
      <vt:lpstr>'601'!Print_Area</vt:lpstr>
      <vt:lpstr>'609'!Print_Area</vt:lpstr>
      <vt:lpstr>'610'!Print_Area</vt:lpstr>
      <vt:lpstr>'62'!Print_Area</vt:lpstr>
      <vt:lpstr>'623'!Print_Area</vt:lpstr>
      <vt:lpstr>'63'!Print_Area</vt:lpstr>
      <vt:lpstr>'636'!Print_Area</vt:lpstr>
      <vt:lpstr>'644'!Print_Area</vt:lpstr>
      <vt:lpstr>'659'!Print_Area</vt:lpstr>
      <vt:lpstr>'681'!Print_Area</vt:lpstr>
      <vt:lpstr>'691'!Print_Area</vt:lpstr>
      <vt:lpstr>'692'!Print_Area</vt:lpstr>
      <vt:lpstr>'693'!Print_Area</vt:lpstr>
      <vt:lpstr>'694'!Print_Area</vt:lpstr>
      <vt:lpstr>'698'!Print_Area</vt:lpstr>
      <vt:lpstr>'699'!Print_Area</vt:lpstr>
      <vt:lpstr>'701'!Print_Area</vt:lpstr>
      <vt:lpstr>'702'!Print_Area</vt:lpstr>
      <vt:lpstr>'703'!Print_Area</vt:lpstr>
      <vt:lpstr>'704'!Print_Area</vt:lpstr>
      <vt:lpstr>'706'!Print_Area</vt:lpstr>
      <vt:lpstr>'712'!Print_Area</vt:lpstr>
      <vt:lpstr>'713'!Print_Area</vt:lpstr>
      <vt:lpstr>'714'!Print_Area</vt:lpstr>
      <vt:lpstr>'720'!Print_Area</vt:lpstr>
      <vt:lpstr>'723'!Print_Area</vt:lpstr>
      <vt:lpstr>'724'!Print_Area</vt:lpstr>
      <vt:lpstr>'725'!Print_Area</vt:lpstr>
      <vt:lpstr>'728'!Print_Area</vt:lpstr>
      <vt:lpstr>'729'!Print_Area</vt:lpstr>
      <vt:lpstr>'735'!Print_Area</vt:lpstr>
      <vt:lpstr>'742'!Print_Area</vt:lpstr>
      <vt:lpstr>'746'!Print_Area</vt:lpstr>
      <vt:lpstr>'749'!Print_Area</vt:lpstr>
      <vt:lpstr>'751'!Print_Area</vt:lpstr>
      <vt:lpstr>'755'!Print_Area</vt:lpstr>
      <vt:lpstr>'759'!Print_Area</vt:lpstr>
      <vt:lpstr>'761'!Print_Area</vt:lpstr>
      <vt:lpstr>'766'!Print_Area</vt:lpstr>
      <vt:lpstr>'767'!Print_Area</vt:lpstr>
      <vt:lpstr>'769'!Print_Area</vt:lpstr>
      <vt:lpstr>'770'!Print_Area</vt:lpstr>
      <vt:lpstr>'772'!Print_Area</vt:lpstr>
      <vt:lpstr>'778'!Print_Area</vt:lpstr>
      <vt:lpstr>'779'!Print_Area</vt:lpstr>
      <vt:lpstr>'784'!Print_Area</vt:lpstr>
      <vt:lpstr>'786'!Print_Area</vt:lpstr>
      <vt:lpstr>'787'!Print_Area</vt:lpstr>
      <vt:lpstr>'788'!Print_Area</vt:lpstr>
      <vt:lpstr>'789'!Print_Area</vt:lpstr>
      <vt:lpstr>'79'!Print_Area</vt:lpstr>
      <vt:lpstr>'790'!Print_Area</vt:lpstr>
      <vt:lpstr>'792'!Print_Area</vt:lpstr>
      <vt:lpstr>'793'!Print_Area</vt:lpstr>
      <vt:lpstr>'794'!Print_Area</vt:lpstr>
      <vt:lpstr>'795'!Print_Area</vt:lpstr>
      <vt:lpstr>'796'!Print_Area</vt:lpstr>
      <vt:lpstr>'797'!Print_Area</vt:lpstr>
      <vt:lpstr>'798'!Print_Area</vt:lpstr>
      <vt:lpstr>'799'!Print_Area</vt:lpstr>
      <vt:lpstr>'81'!Print_Area</vt:lpstr>
      <vt:lpstr>'832'!Print_Area</vt:lpstr>
      <vt:lpstr>'844'!Print_Area</vt:lpstr>
      <vt:lpstr>Berg!Print_Area</vt:lpstr>
      <vt:lpstr>'Çay qırağı'!Print_Area</vt:lpstr>
      <vt:lpstr>'Gil fabriki və ətrafı'!Print_Area</vt:lpstr>
      <vt:lpstr>Haftalik!Print_Area</vt:lpstr>
      <vt:lpstr>Hesabat!Print_Area</vt:lpstr>
      <vt:lpstr>'Tine House'!Print_Area</vt:lpstr>
      <vt:lpstr>'Ümumi ərazi'!Print_Area</vt:lpstr>
      <vt:lpstr>'Ümumi işlər'!Print_Area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Orxan</dc:creator>
  <cp:lastModifiedBy>Nurlan Alıyev</cp:lastModifiedBy>
  <cp:lastPrinted>2024-08-04T07:24:09Z</cp:lastPrinted>
  <dcterms:created xsi:type="dcterms:W3CDTF">2017-11-12T20:26:09Z</dcterms:created>
  <dcterms:modified xsi:type="dcterms:W3CDTF">2024-10-26T11:30:08Z</dcterms:modified>
</cp:coreProperties>
</file>