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6" windowWidth="21456" windowHeight="1000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3" i="1" l="1"/>
  <c r="L13" i="1" l="1"/>
  <c r="L14" i="1"/>
  <c r="L15" i="1"/>
  <c r="L16" i="1"/>
  <c r="L17" i="1"/>
  <c r="L18" i="1"/>
  <c r="L12" i="1"/>
  <c r="L37" i="1"/>
  <c r="M37" i="1" s="1"/>
  <c r="K42" i="1" s="1"/>
  <c r="L42" i="1" s="1"/>
  <c r="M42" i="1" s="1"/>
  <c r="M44" i="1" s="1"/>
  <c r="F37" i="1"/>
  <c r="M10" i="1"/>
  <c r="D37" i="1"/>
  <c r="D38" i="1"/>
  <c r="D39" i="1"/>
  <c r="D40" i="1"/>
  <c r="D41" i="1"/>
  <c r="D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B36" i="1"/>
  <c r="C36" i="1"/>
  <c r="A36" i="1"/>
  <c r="F34" i="1"/>
  <c r="F26" i="1"/>
  <c r="I26" i="1"/>
  <c r="H18" i="1"/>
  <c r="I18" i="1"/>
  <c r="J18" i="1"/>
  <c r="L7" i="1"/>
  <c r="E26" i="1" s="1"/>
  <c r="F31" i="1"/>
  <c r="F39" i="1" s="1"/>
  <c r="F32" i="1"/>
  <c r="F40" i="1" s="1"/>
  <c r="F33" i="1"/>
  <c r="F41" i="1" s="1"/>
  <c r="E25" i="1"/>
  <c r="F25" i="1"/>
  <c r="I25" i="1"/>
  <c r="H17" i="1"/>
  <c r="I17" i="1"/>
  <c r="J17" i="1"/>
  <c r="L6" i="1"/>
  <c r="G25" i="1" s="1"/>
  <c r="L5" i="1"/>
  <c r="H24" i="1" s="1"/>
  <c r="F24" i="1"/>
  <c r="I24" i="1"/>
  <c r="H16" i="1"/>
  <c r="I16" i="1"/>
  <c r="J16" i="1"/>
  <c r="F30" i="1"/>
  <c r="L10" i="1"/>
  <c r="H33" i="1" s="1"/>
  <c r="K10" i="1"/>
  <c r="M57" i="1" s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A29" i="1"/>
  <c r="A30" i="1"/>
  <c r="A31" i="1"/>
  <c r="A32" i="1"/>
  <c r="A33" i="1"/>
  <c r="A34" i="1"/>
  <c r="A28" i="1"/>
  <c r="I22" i="1"/>
  <c r="I23" i="1"/>
  <c r="I21" i="1"/>
  <c r="F22" i="1"/>
  <c r="F23" i="1"/>
  <c r="F21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C20" i="1"/>
  <c r="B20" i="1"/>
  <c r="A20" i="1"/>
  <c r="J14" i="1"/>
  <c r="J15" i="1"/>
  <c r="J13" i="1"/>
  <c r="I14" i="1"/>
  <c r="I15" i="1"/>
  <c r="I13" i="1"/>
  <c r="H14" i="1"/>
  <c r="H15" i="1"/>
  <c r="H13" i="1"/>
  <c r="J10" i="1"/>
  <c r="D13" i="1" s="1"/>
  <c r="E13" i="1" s="1"/>
  <c r="K40" i="1" s="1"/>
  <c r="H10" i="1"/>
  <c r="A13" i="1"/>
  <c r="A14" i="1"/>
  <c r="A15" i="1"/>
  <c r="A16" i="1"/>
  <c r="A17" i="1"/>
  <c r="A18" i="1"/>
  <c r="A12" i="1"/>
  <c r="C13" i="1"/>
  <c r="C14" i="1"/>
  <c r="C15" i="1"/>
  <c r="C16" i="1"/>
  <c r="C17" i="1"/>
  <c r="C18" i="1"/>
  <c r="C12" i="1"/>
  <c r="B15" i="1"/>
  <c r="B16" i="1"/>
  <c r="B17" i="1"/>
  <c r="B18" i="1"/>
  <c r="B13" i="1"/>
  <c r="B14" i="1"/>
  <c r="B12" i="1"/>
  <c r="L3" i="1"/>
  <c r="H22" i="1" s="1"/>
  <c r="L4" i="1"/>
  <c r="G23" i="1" s="1"/>
  <c r="L2" i="1"/>
  <c r="D21" i="1" s="1"/>
  <c r="G10" i="1"/>
  <c r="M58" i="1" l="1"/>
  <c r="M56" i="1"/>
  <c r="K13" i="1"/>
  <c r="K17" i="1"/>
  <c r="D25" i="1"/>
  <c r="L21" i="1"/>
  <c r="K14" i="1"/>
  <c r="G24" i="1"/>
  <c r="H25" i="1"/>
  <c r="H30" i="1"/>
  <c r="E24" i="1"/>
  <c r="K15" i="1"/>
  <c r="D24" i="1"/>
  <c r="H32" i="1"/>
  <c r="L23" i="1"/>
  <c r="H29" i="1"/>
  <c r="K16" i="1"/>
  <c r="L26" i="1"/>
  <c r="L22" i="1"/>
  <c r="D14" i="1"/>
  <c r="F13" i="1"/>
  <c r="D15" i="1"/>
  <c r="E15" i="1" s="1"/>
  <c r="E21" i="1"/>
  <c r="G22" i="1"/>
  <c r="H31" i="1"/>
  <c r="D18" i="1"/>
  <c r="E18" i="1" s="1"/>
  <c r="H26" i="1"/>
  <c r="K26" i="1" s="1"/>
  <c r="D26" i="1"/>
  <c r="E23" i="1"/>
  <c r="H21" i="1"/>
  <c r="D16" i="1"/>
  <c r="E16" i="1" s="1"/>
  <c r="D17" i="1"/>
  <c r="E17" i="1" s="1"/>
  <c r="G26" i="1"/>
  <c r="H34" i="1"/>
  <c r="D23" i="1"/>
  <c r="J23" i="1" s="1"/>
  <c r="E22" i="1"/>
  <c r="K22" i="1" s="1"/>
  <c r="G21" i="1"/>
  <c r="J21" i="1" s="1"/>
  <c r="H23" i="1"/>
  <c r="D22" i="1"/>
  <c r="F42" i="1"/>
  <c r="F38" i="1"/>
  <c r="K18" i="1"/>
  <c r="L25" i="1"/>
  <c r="J25" i="1"/>
  <c r="K25" i="1"/>
  <c r="L24" i="1"/>
  <c r="J24" i="1"/>
  <c r="K24" i="1"/>
  <c r="J22" i="1" l="1"/>
  <c r="M22" i="1" s="1"/>
  <c r="K21" i="1"/>
  <c r="D29" i="1" s="1"/>
  <c r="G29" i="1" s="1"/>
  <c r="D31" i="1"/>
  <c r="G31" i="1" s="1"/>
  <c r="N31" i="1" s="1"/>
  <c r="P31" i="1" s="1"/>
  <c r="F16" i="1"/>
  <c r="F15" i="1"/>
  <c r="E29" i="1"/>
  <c r="F17" i="1"/>
  <c r="F14" i="1"/>
  <c r="E14" i="1"/>
  <c r="D30" i="1"/>
  <c r="G30" i="1" s="1"/>
  <c r="N30" i="1" s="1"/>
  <c r="P30" i="1" s="1"/>
  <c r="J26" i="1"/>
  <c r="F18" i="1"/>
  <c r="M25" i="1"/>
  <c r="E32" i="1"/>
  <c r="O32" i="1" s="1"/>
  <c r="Q32" i="1" s="1"/>
  <c r="E31" i="1"/>
  <c r="E30" i="1"/>
  <c r="D33" i="1"/>
  <c r="G33" i="1" s="1"/>
  <c r="N33" i="1" s="1"/>
  <c r="P33" i="1" s="1"/>
  <c r="E33" i="1"/>
  <c r="M24" i="1"/>
  <c r="D32" i="1"/>
  <c r="G32" i="1" s="1"/>
  <c r="N32" i="1" s="1"/>
  <c r="P32" i="1" s="1"/>
  <c r="M21" i="1" l="1"/>
  <c r="O33" i="1"/>
  <c r="Q33" i="1" s="1"/>
  <c r="M23" i="1"/>
  <c r="I31" i="1"/>
  <c r="K31" i="1" s="1"/>
  <c r="I39" i="1" s="1"/>
  <c r="O31" i="1"/>
  <c r="Q31" i="1" s="1"/>
  <c r="I29" i="1"/>
  <c r="K29" i="1" s="1"/>
  <c r="I37" i="1" s="1"/>
  <c r="O29" i="1"/>
  <c r="Q29" i="1" s="1"/>
  <c r="N29" i="1"/>
  <c r="P29" i="1" s="1"/>
  <c r="J29" i="1"/>
  <c r="O30" i="1"/>
  <c r="Q30" i="1" s="1"/>
  <c r="M26" i="1"/>
  <c r="E34" i="1"/>
  <c r="I30" i="1"/>
  <c r="K30" i="1" s="1"/>
  <c r="J30" i="1"/>
  <c r="D34" i="1"/>
  <c r="G34" i="1" s="1"/>
  <c r="J31" i="1"/>
  <c r="I33" i="1"/>
  <c r="J33" i="1"/>
  <c r="L33" i="1" s="1"/>
  <c r="I59" i="1" s="1"/>
  <c r="J59" i="1" s="1"/>
  <c r="J32" i="1"/>
  <c r="L32" i="1" s="1"/>
  <c r="I58" i="1" s="1"/>
  <c r="J58" i="1" s="1"/>
  <c r="I32" i="1"/>
  <c r="M31" i="1" l="1"/>
  <c r="I49" i="1" s="1"/>
  <c r="K72" i="1"/>
  <c r="K65" i="1"/>
  <c r="K58" i="1"/>
  <c r="K59" i="1"/>
  <c r="K73" i="1"/>
  <c r="K66" i="1"/>
  <c r="L31" i="1"/>
  <c r="I57" i="1" s="1"/>
  <c r="J57" i="1" s="1"/>
  <c r="I64" i="1" s="1"/>
  <c r="I34" i="1"/>
  <c r="K34" i="1" s="1"/>
  <c r="I42" i="1" s="1"/>
  <c r="O34" i="1"/>
  <c r="Q34" i="1" s="1"/>
  <c r="J34" i="1"/>
  <c r="N34" i="1"/>
  <c r="P34" i="1" s="1"/>
  <c r="M29" i="1"/>
  <c r="I47" i="1" s="1"/>
  <c r="L30" i="1"/>
  <c r="I56" i="1" s="1"/>
  <c r="J56" i="1" s="1"/>
  <c r="L29" i="1"/>
  <c r="I55" i="1" s="1"/>
  <c r="J55" i="1" s="1"/>
  <c r="I38" i="1"/>
  <c r="M30" i="1"/>
  <c r="I48" i="1" s="1"/>
  <c r="K33" i="1"/>
  <c r="I41" i="1" s="1"/>
  <c r="K32" i="1"/>
  <c r="I40" i="1" s="1"/>
  <c r="K69" i="1" l="1"/>
  <c r="K55" i="1"/>
  <c r="K62" i="1"/>
  <c r="K56" i="1"/>
  <c r="K70" i="1"/>
  <c r="K63" i="1"/>
  <c r="I62" i="1"/>
  <c r="J62" i="1"/>
  <c r="I63" i="1"/>
  <c r="J63" i="1"/>
  <c r="K71" i="1"/>
  <c r="K64" i="1"/>
  <c r="K57" i="1"/>
  <c r="J64" i="1"/>
  <c r="L34" i="1"/>
  <c r="I60" i="1" s="1"/>
  <c r="J60" i="1" s="1"/>
  <c r="M34" i="1"/>
  <c r="I52" i="1" s="1"/>
  <c r="M32" i="1"/>
  <c r="I50" i="1" s="1"/>
  <c r="M33" i="1"/>
  <c r="I51" i="1" s="1"/>
  <c r="I67" i="1" l="1"/>
  <c r="J67" i="1"/>
  <c r="K60" i="1"/>
  <c r="M47" i="1" s="1"/>
  <c r="K67" i="1"/>
  <c r="M48" i="1" s="1"/>
  <c r="K74" i="1"/>
  <c r="I65" i="1"/>
  <c r="J65" i="1"/>
  <c r="J66" i="1"/>
  <c r="I66" i="1"/>
  <c r="M49" i="1"/>
  <c r="M51" i="1" l="1"/>
  <c r="M50" i="1"/>
  <c r="M52" i="1"/>
  <c r="M55" i="1" l="1"/>
  <c r="M59" i="1" s="1"/>
  <c r="M54" i="1"/>
  <c r="M60" i="1" s="1"/>
</calcChain>
</file>

<file path=xl/sharedStrings.xml><?xml version="1.0" encoding="utf-8"?>
<sst xmlns="http://schemas.openxmlformats.org/spreadsheetml/2006/main" count="105" uniqueCount="102">
  <si>
    <t>SV</t>
  </si>
  <si>
    <t>Az</t>
  </si>
  <si>
    <t>El</t>
  </si>
  <si>
    <t>carrier phase</t>
  </si>
  <si>
    <t>range rate</t>
  </si>
  <si>
    <t>lat</t>
  </si>
  <si>
    <t>long</t>
  </si>
  <si>
    <t>week</t>
  </si>
  <si>
    <t>minutes</t>
  </si>
  <si>
    <t>toa</t>
  </si>
  <si>
    <t>e</t>
  </si>
  <si>
    <r>
      <t>d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/dt</t>
    </r>
  </si>
  <si>
    <t>sqrt a</t>
  </si>
  <si>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 xml:space="preserve"> at week</t>
    </r>
  </si>
  <si>
    <t>w</t>
  </si>
  <si>
    <t>M</t>
  </si>
  <si>
    <t>i</t>
  </si>
  <si>
    <t>t - seconds</t>
  </si>
  <si>
    <t>t - toa</t>
  </si>
  <si>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 xml:space="preserve"> at t</t>
    </r>
  </si>
  <si>
    <t>sec per week</t>
  </si>
  <si>
    <t>M at t</t>
  </si>
  <si>
    <t>m</t>
  </si>
  <si>
    <t>T period of sat</t>
  </si>
  <si>
    <r>
      <t xml:space="preserve">sqrt </t>
    </r>
    <r>
      <rPr>
        <sz val="11"/>
        <color theme="1"/>
        <rFont val="Symbol"/>
        <family val="1"/>
        <charset val="2"/>
      </rPr>
      <t>m</t>
    </r>
  </si>
  <si>
    <t>T - hours</t>
  </si>
  <si>
    <t>guess for E</t>
  </si>
  <si>
    <t>M = E - e sin E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</si>
  <si>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</si>
  <si>
    <r>
      <t>y</t>
    </r>
    <r>
      <rPr>
        <vertAlign val="subscript"/>
        <sz val="11"/>
        <color theme="1"/>
        <rFont val="Calibri"/>
        <family val="2"/>
        <scheme val="minor"/>
      </rPr>
      <t>0</t>
    </r>
  </si>
  <si>
    <t>recalc sqrt a</t>
  </si>
  <si>
    <t>Px</t>
  </si>
  <si>
    <t>Py</t>
  </si>
  <si>
    <t>Pz</t>
  </si>
  <si>
    <t>Qx</t>
  </si>
  <si>
    <t>Qy</t>
  </si>
  <si>
    <t>Qz</t>
  </si>
  <si>
    <t>x</t>
  </si>
  <si>
    <t>y</t>
  </si>
  <si>
    <t>z</t>
  </si>
  <si>
    <t>lat - rad</t>
  </si>
  <si>
    <t>long - rad</t>
  </si>
  <si>
    <t>RA</t>
  </si>
  <si>
    <t>declination</t>
  </si>
  <si>
    <t>RA offset</t>
  </si>
  <si>
    <r>
      <rPr>
        <sz val="11"/>
        <color theme="1"/>
        <rFont val="Symbol"/>
        <family val="1"/>
        <charset val="2"/>
      </rPr>
      <t>f</t>
    </r>
    <r>
      <rPr>
        <vertAlign val="subscript"/>
        <sz val="11"/>
        <color theme="1"/>
        <rFont val="Calibri"/>
        <family val="2"/>
        <scheme val="minor"/>
      </rPr>
      <t>s</t>
    </r>
  </si>
  <si>
    <r>
      <t>f</t>
    </r>
    <r>
      <rPr>
        <vertAlign val="subscript"/>
        <sz val="11"/>
        <color theme="1"/>
        <rFont val="Calibri"/>
        <family val="2"/>
      </rPr>
      <t>e</t>
    </r>
  </si>
  <si>
    <r>
      <rPr>
        <sz val="11"/>
        <color theme="1"/>
        <rFont val="Symbol"/>
        <family val="1"/>
        <charset val="2"/>
      </rPr>
      <t>h</t>
    </r>
    <r>
      <rPr>
        <vertAlign val="subscript"/>
        <sz val="11"/>
        <color theme="1"/>
        <rFont val="Calibri"/>
        <family val="2"/>
        <scheme val="minor"/>
      </rPr>
      <t>s</t>
    </r>
  </si>
  <si>
    <t>Rearth</t>
  </si>
  <si>
    <t>Az - computed</t>
  </si>
  <si>
    <t>El  - computed</t>
  </si>
  <si>
    <t>r</t>
  </si>
  <si>
    <t>Az - corrected</t>
  </si>
  <si>
    <t>El - computed</t>
  </si>
  <si>
    <t>computed range</t>
  </si>
  <si>
    <t>pseudorange</t>
  </si>
  <si>
    <t>RA off. deg</t>
  </si>
  <si>
    <t>sidereal day hrs</t>
  </si>
  <si>
    <t>t - hours</t>
  </si>
  <si>
    <t>time mod 23.9344</t>
  </si>
  <si>
    <t>fractional day</t>
  </si>
  <si>
    <t>long offset</t>
  </si>
  <si>
    <t>offset - rads</t>
  </si>
  <si>
    <t>numerator</t>
  </si>
  <si>
    <t>denom</t>
  </si>
  <si>
    <t>flag 1</t>
  </si>
  <si>
    <t>flag 2</t>
  </si>
  <si>
    <t>twice sat period</t>
  </si>
  <si>
    <t>Az corrections:</t>
  </si>
  <si>
    <t>Computation</t>
  </si>
  <si>
    <t>P1</t>
  </si>
  <si>
    <t>P2</t>
  </si>
  <si>
    <t>P3</t>
  </si>
  <si>
    <t>P4</t>
  </si>
  <si>
    <t>P5</t>
  </si>
  <si>
    <t>P6</t>
  </si>
  <si>
    <t>Z1</t>
  </si>
  <si>
    <t>Z2</t>
  </si>
  <si>
    <t>Z3</t>
  </si>
  <si>
    <t>Z4</t>
  </si>
  <si>
    <t>Z5</t>
  </si>
  <si>
    <t>Z6</t>
  </si>
  <si>
    <t>degrees</t>
  </si>
  <si>
    <t>A</t>
  </si>
  <si>
    <t>B</t>
  </si>
  <si>
    <t>C</t>
  </si>
  <si>
    <t>D</t>
  </si>
  <si>
    <t>E</t>
  </si>
  <si>
    <t>G</t>
  </si>
  <si>
    <t>rads</t>
  </si>
  <si>
    <t>cos^2 Z</t>
  </si>
  <si>
    <t>cosZsinZ</t>
  </si>
  <si>
    <t>sin^2</t>
  </si>
  <si>
    <t>P COS Z</t>
  </si>
  <si>
    <t>P SIN Z</t>
  </si>
  <si>
    <t>AE - BD</t>
  </si>
  <si>
    <t>CD - BE</t>
  </si>
  <si>
    <r>
      <t>cos B</t>
    </r>
    <r>
      <rPr>
        <b/>
        <vertAlign val="subscript"/>
        <sz val="11"/>
        <color theme="1"/>
        <rFont val="Calibri"/>
        <family val="2"/>
        <scheme val="minor"/>
      </rPr>
      <t>F</t>
    </r>
  </si>
  <si>
    <t>Lat new</t>
  </si>
  <si>
    <t>Long new</t>
  </si>
  <si>
    <r>
      <t>B</t>
    </r>
    <r>
      <rPr>
        <vertAlign val="subscript"/>
        <sz val="11"/>
        <color theme="1"/>
        <rFont val="Calibri"/>
        <family val="2"/>
        <scheme val="minor"/>
      </rPr>
      <t>F</t>
    </r>
  </si>
  <si>
    <r>
      <t>L</t>
    </r>
    <r>
      <rPr>
        <vertAlign val="subscript"/>
        <sz val="11"/>
        <color theme="1"/>
        <rFont val="Calibri"/>
        <family val="2"/>
        <scheme val="minor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</si>
</sst>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0.000"/>
    <numFmt numFmtId="165" formatCode="0.0000000000"/>
    <numFmt numFmtId="166" formatCode="0.00000E+00"/>
    <numFmt numFmtId="167" formatCode="0.000000000E+00"/>
    <numFmt numFmtId="168" formatCode="0.000000"/>
    <numFmt numFmtId="169" formatCode="0.00000000"/>
    <numFmt numFmtId="170" formatCode="0.000000000"/>
    <numFmt numFmtId="171" formatCode="0.0000"/>
    <numFmt numFmtId="172" formatCode="0.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5" fillId="0" borderId="0" xfId="0" applyFont="1"/>
    <xf numFmtId="172" fontId="0" fillId="0" borderId="0" xfId="0" applyNumberFormat="1"/>
    <xf numFmtId="2" fontId="6" fillId="0" borderId="0" xfId="0" applyNumberFormat="1" applyFont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8" fontId="0" fillId="2" borderId="0" xfId="0" applyNumberForma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167" fontId="0" fillId="2" borderId="0" xfId="1" applyNumberFormat="1" applyFont="1" applyFill="1"/>
    <xf numFmtId="167" fontId="0" fillId="2" borderId="0" xfId="0" applyNumberFormat="1" applyFill="1"/>
    <xf numFmtId="168" fontId="0" fillId="2" borderId="0" xfId="0" applyNumberFormat="1" applyFill="1"/>
    <xf numFmtId="170" fontId="0" fillId="2" borderId="0" xfId="0" applyNumberFormat="1" applyFill="1"/>
    <xf numFmtId="167" fontId="2" fillId="2" borderId="0" xfId="0" applyNumberFormat="1" applyFont="1" applyFill="1"/>
    <xf numFmtId="2" fontId="0" fillId="2" borderId="0" xfId="0" applyNumberFormat="1" applyFill="1"/>
    <xf numFmtId="0" fontId="2" fillId="2" borderId="0" xfId="0" applyFont="1" applyFill="1"/>
    <xf numFmtId="0" fontId="5" fillId="2" borderId="0" xfId="0" applyFont="1" applyFill="1"/>
    <xf numFmtId="167" fontId="6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abSelected="1" workbookViewId="0">
      <pane ySplit="1" topLeftCell="A2" activePane="bottomLeft" state="frozen"/>
      <selection activeCell="C1" sqref="C1"/>
      <selection pane="bottomLeft" activeCell="B14" sqref="B14"/>
    </sheetView>
  </sheetViews>
  <sheetFormatPr defaultRowHeight="14.4" x14ac:dyDescent="0.3"/>
  <cols>
    <col min="1" max="1" width="6" customWidth="1"/>
    <col min="3" max="3" width="6.88671875" customWidth="1"/>
    <col min="4" max="4" width="14.109375" style="2" customWidth="1"/>
    <col min="5" max="5" width="10.33203125" style="2" customWidth="1"/>
    <col min="6" max="6" width="10.5546875" bestFit="1" customWidth="1"/>
    <col min="7" max="7" width="12.44140625" customWidth="1"/>
    <col min="8" max="8" width="15.5546875" style="5" customWidth="1"/>
    <col min="9" max="9" width="16.6640625" style="5" customWidth="1"/>
    <col min="10" max="10" width="17.33203125" style="6" customWidth="1"/>
    <col min="11" max="12" width="16.33203125" style="5" customWidth="1"/>
    <col min="13" max="13" width="12.5546875" style="8" customWidth="1"/>
    <col min="14" max="14" width="16.6640625" style="5" customWidth="1"/>
  </cols>
  <sheetData>
    <row r="1" spans="1:16" s="13" customFormat="1" ht="15" x14ac:dyDescent="0.25">
      <c r="A1" s="13" t="s">
        <v>0</v>
      </c>
      <c r="B1" s="13" t="s">
        <v>1</v>
      </c>
      <c r="C1" s="13" t="s">
        <v>2</v>
      </c>
      <c r="D1" s="14" t="s">
        <v>3</v>
      </c>
      <c r="E1" s="14" t="s">
        <v>4</v>
      </c>
      <c r="F1" s="13" t="s">
        <v>9</v>
      </c>
      <c r="G1" s="13" t="s">
        <v>16</v>
      </c>
      <c r="H1" s="15" t="s">
        <v>10</v>
      </c>
      <c r="I1" s="15" t="s">
        <v>11</v>
      </c>
      <c r="J1" s="16" t="s">
        <v>12</v>
      </c>
      <c r="K1" s="15" t="s">
        <v>13</v>
      </c>
      <c r="L1" s="15" t="s">
        <v>19</v>
      </c>
      <c r="M1" s="17" t="s">
        <v>14</v>
      </c>
      <c r="N1" s="15" t="s">
        <v>15</v>
      </c>
    </row>
    <row r="2" spans="1:16" ht="15" x14ac:dyDescent="0.25">
      <c r="A2" s="18">
        <v>2</v>
      </c>
      <c r="B2" s="18">
        <v>19</v>
      </c>
      <c r="C2" s="18">
        <v>69</v>
      </c>
      <c r="D2" s="19">
        <v>20116078.328000002</v>
      </c>
      <c r="E2" s="19">
        <v>33.777999999999999</v>
      </c>
      <c r="F2" s="18">
        <v>319488</v>
      </c>
      <c r="G2" s="20">
        <v>0.94054222109999996</v>
      </c>
      <c r="H2" s="21">
        <v>9.0665817260000003E-3</v>
      </c>
      <c r="I2" s="22">
        <v>-8.2363840189999996E-9</v>
      </c>
      <c r="J2" s="23">
        <v>5153.6215819999998</v>
      </c>
      <c r="K2" s="22">
        <v>-1.663788676</v>
      </c>
      <c r="L2" s="5">
        <f>K2+I2*$F$10</f>
        <v>-1.6646398156057756</v>
      </c>
      <c r="M2" s="24">
        <v>2.8750334980000001</v>
      </c>
      <c r="N2" s="22">
        <v>-1.083742499</v>
      </c>
    </row>
    <row r="3" spans="1:16" ht="15" x14ac:dyDescent="0.25">
      <c r="A3" s="18">
        <v>4</v>
      </c>
      <c r="B3" s="18">
        <v>69</v>
      </c>
      <c r="C3" s="18">
        <v>40</v>
      </c>
      <c r="D3" s="19">
        <v>21986394.065000001</v>
      </c>
      <c r="E3" s="19">
        <v>416.31400000000002</v>
      </c>
      <c r="F3" s="18">
        <v>319488</v>
      </c>
      <c r="G3" s="20">
        <v>0.93973922730000004</v>
      </c>
      <c r="H3" s="21">
        <v>8.6464881899999992E-3</v>
      </c>
      <c r="I3" s="22">
        <v>-8.2509359340000001E-9</v>
      </c>
      <c r="J3" s="23">
        <v>5153.7114259999998</v>
      </c>
      <c r="K3" s="22">
        <v>-1.645491719</v>
      </c>
      <c r="L3" s="5">
        <f t="shared" ref="L3:L7" si="0">K3+I3*$F$10</f>
        <v>-1.6463443623859744</v>
      </c>
      <c r="M3" s="24">
        <v>0.49928224100000002</v>
      </c>
      <c r="N3" s="22">
        <v>1.780311346</v>
      </c>
    </row>
    <row r="4" spans="1:16" ht="15" x14ac:dyDescent="0.25">
      <c r="A4" s="18">
        <v>12</v>
      </c>
      <c r="B4" s="18">
        <v>250</v>
      </c>
      <c r="C4" s="18">
        <v>37</v>
      </c>
      <c r="D4" s="19">
        <v>22267112.041999999</v>
      </c>
      <c r="E4" s="19">
        <v>312.04000000000002</v>
      </c>
      <c r="F4" s="18">
        <v>319448</v>
      </c>
      <c r="G4" s="20">
        <v>0.96788406370000002</v>
      </c>
      <c r="H4" s="22">
        <v>3.1743049619999998E-3</v>
      </c>
      <c r="I4" s="22">
        <v>-7.8616722019999996E-9</v>
      </c>
      <c r="J4" s="23">
        <v>5153.5615230000003</v>
      </c>
      <c r="K4" s="22">
        <v>2.545034051</v>
      </c>
      <c r="L4" s="5">
        <f t="shared" si="0"/>
        <v>2.5442216337349342</v>
      </c>
      <c r="M4" s="24">
        <v>-0.62209510800000001</v>
      </c>
      <c r="N4" s="22">
        <v>-2.7705112700000001</v>
      </c>
    </row>
    <row r="5" spans="1:16" ht="15" x14ac:dyDescent="0.25">
      <c r="A5" s="18">
        <v>10</v>
      </c>
      <c r="B5" s="18">
        <v>213</v>
      </c>
      <c r="C5" s="18">
        <v>60</v>
      </c>
      <c r="D5" s="19">
        <v>20627799.677000001</v>
      </c>
      <c r="E5" s="19">
        <v>-355.83100000000002</v>
      </c>
      <c r="F5" s="18">
        <v>319448</v>
      </c>
      <c r="G5" s="20">
        <v>0.95734977720000003</v>
      </c>
      <c r="H5" s="22">
        <v>8.5682868959999995E-3</v>
      </c>
      <c r="I5" s="22">
        <v>-7.8071025199999993E-9</v>
      </c>
      <c r="J5" s="23">
        <v>5153.5942379999997</v>
      </c>
      <c r="K5" s="22">
        <v>-0.57871901989999996</v>
      </c>
      <c r="L5" s="5">
        <f t="shared" si="0"/>
        <v>-0.5795257979892432</v>
      </c>
      <c r="M5" s="24">
        <v>0.62453770600000003</v>
      </c>
      <c r="N5" s="22">
        <v>-8.1346631050000007E-2</v>
      </c>
    </row>
    <row r="6" spans="1:16" ht="15" x14ac:dyDescent="0.25">
      <c r="A6" s="18">
        <v>13</v>
      </c>
      <c r="B6" s="18">
        <v>55</v>
      </c>
      <c r="C6" s="18">
        <v>22</v>
      </c>
      <c r="D6" s="19">
        <v>23405440.116999999</v>
      </c>
      <c r="E6" s="19">
        <v>147.16800000000001</v>
      </c>
      <c r="F6" s="18">
        <v>319448</v>
      </c>
      <c r="G6" s="20">
        <v>0.99487876890000004</v>
      </c>
      <c r="H6" s="22">
        <v>4.1041374210000004E-3</v>
      </c>
      <c r="I6" s="22">
        <v>-7.4505805969999999E-9</v>
      </c>
      <c r="J6" s="23">
        <v>5153.6347660000001</v>
      </c>
      <c r="K6" s="22">
        <v>0.50388908389999998</v>
      </c>
      <c r="L6" s="5">
        <f t="shared" si="0"/>
        <v>0.50311914842619243</v>
      </c>
      <c r="M6" s="24">
        <v>1.640797257</v>
      </c>
      <c r="N6" s="22">
        <v>-0.48693931099999999</v>
      </c>
    </row>
    <row r="7" spans="1:16" ht="15" x14ac:dyDescent="0.25">
      <c r="A7" s="18">
        <v>30</v>
      </c>
      <c r="B7" s="18">
        <v>285</v>
      </c>
      <c r="C7" s="18">
        <v>29</v>
      </c>
      <c r="D7" s="19">
        <v>24373715.416000001</v>
      </c>
      <c r="E7" s="19">
        <v>40.454999999999998</v>
      </c>
      <c r="F7" s="18">
        <v>319448</v>
      </c>
      <c r="G7" s="20">
        <v>0.95294570919999999</v>
      </c>
      <c r="H7" s="22">
        <v>1.174354553E-2</v>
      </c>
      <c r="I7" s="22">
        <v>-8.0290192270000005E-9</v>
      </c>
      <c r="J7" s="23">
        <v>5153.5146480000003</v>
      </c>
      <c r="K7" s="22">
        <v>2.4961537119999999</v>
      </c>
      <c r="L7" s="5">
        <f t="shared" si="0"/>
        <v>2.4953240012623912</v>
      </c>
      <c r="M7" s="24">
        <v>1.435623646</v>
      </c>
      <c r="N7" s="22">
        <v>1.0203207729999999</v>
      </c>
    </row>
    <row r="8" spans="1:16" ht="15" x14ac:dyDescent="0.25">
      <c r="G8" s="3"/>
    </row>
    <row r="9" spans="1:16" s="18" customFormat="1" ht="15" x14ac:dyDescent="0.25">
      <c r="A9" s="18" t="s">
        <v>5</v>
      </c>
      <c r="B9" s="18" t="s">
        <v>8</v>
      </c>
      <c r="C9" s="18" t="s">
        <v>6</v>
      </c>
      <c r="D9" s="13" t="s">
        <v>8</v>
      </c>
      <c r="E9" s="18" t="s">
        <v>7</v>
      </c>
      <c r="F9" s="19" t="s">
        <v>17</v>
      </c>
      <c r="G9" s="20" t="s">
        <v>18</v>
      </c>
      <c r="H9" s="22" t="s">
        <v>20</v>
      </c>
      <c r="I9" s="25" t="s">
        <v>22</v>
      </c>
      <c r="J9" s="23" t="s">
        <v>24</v>
      </c>
      <c r="K9" s="22" t="s">
        <v>40</v>
      </c>
      <c r="L9" s="22" t="s">
        <v>41</v>
      </c>
      <c r="M9" s="24" t="s">
        <v>48</v>
      </c>
      <c r="N9" s="22"/>
    </row>
    <row r="10" spans="1:16" ht="15" x14ac:dyDescent="0.25">
      <c r="A10" s="18">
        <v>39.15</v>
      </c>
      <c r="B10" s="18">
        <v>0</v>
      </c>
      <c r="C10" s="18">
        <v>-77.53</v>
      </c>
      <c r="D10" s="19">
        <v>0</v>
      </c>
      <c r="E10" s="19">
        <v>519</v>
      </c>
      <c r="F10" s="19">
        <v>103338.99</v>
      </c>
      <c r="G10" s="1">
        <f>F10-F2</f>
        <v>-216149.01</v>
      </c>
      <c r="H10" s="1">
        <f>60*60*24*7</f>
        <v>604800</v>
      </c>
      <c r="I10" s="22">
        <v>398600441800000</v>
      </c>
      <c r="J10" s="4">
        <f>SQRT(I10)</f>
        <v>19964980.385665298</v>
      </c>
      <c r="K10" s="6">
        <f>(2*PI()/360)*(A10+B10/60)</f>
        <v>0.68329640215578002</v>
      </c>
      <c r="L10" s="6">
        <f>(2*PI()/360)*(C10+D10/60)</f>
        <v>-1.3531537690712037</v>
      </c>
      <c r="M10" s="26">
        <f>6378000</f>
        <v>6378000</v>
      </c>
    </row>
    <row r="11" spans="1:16" ht="15" x14ac:dyDescent="0.25">
      <c r="G11" s="1"/>
    </row>
    <row r="12" spans="1:16" s="18" customFormat="1" ht="18" x14ac:dyDescent="0.35">
      <c r="A12" s="18" t="str">
        <f>A1</f>
        <v>SV</v>
      </c>
      <c r="B12" s="18" t="str">
        <f>B1</f>
        <v>Az</v>
      </c>
      <c r="C12" s="18" t="str">
        <f>C1</f>
        <v>El</v>
      </c>
      <c r="D12" s="18" t="s">
        <v>23</v>
      </c>
      <c r="E12" s="18" t="s">
        <v>25</v>
      </c>
      <c r="F12" s="14" t="s">
        <v>21</v>
      </c>
      <c r="G12" s="19" t="s">
        <v>26</v>
      </c>
      <c r="H12" s="18" t="s">
        <v>27</v>
      </c>
      <c r="I12" s="18" t="s">
        <v>28</v>
      </c>
      <c r="J12" s="22" t="s">
        <v>29</v>
      </c>
      <c r="K12" s="22" t="s">
        <v>30</v>
      </c>
      <c r="L12" s="20" t="str">
        <f>N1</f>
        <v>M</v>
      </c>
      <c r="M12" s="22"/>
      <c r="N12" s="22"/>
      <c r="O12" s="24"/>
      <c r="P12" s="22"/>
    </row>
    <row r="13" spans="1:16" ht="15" x14ac:dyDescent="0.25">
      <c r="A13">
        <f t="shared" ref="A13:A18" si="1">A2</f>
        <v>2</v>
      </c>
      <c r="B13">
        <f t="shared" ref="B13:C18" si="2">B2</f>
        <v>19</v>
      </c>
      <c r="C13" s="18">
        <f t="shared" si="2"/>
        <v>69</v>
      </c>
      <c r="D13">
        <f>(2*PI()/$J$10)*J2^3</f>
        <v>43077.30836199841</v>
      </c>
      <c r="E13">
        <f>D13/3600</f>
        <v>11.965918989444003</v>
      </c>
      <c r="F13" s="2">
        <f>N2+$G$10*2*PI()/D13</f>
        <v>-32.610881390330896</v>
      </c>
      <c r="G13" s="19">
        <v>-32.619</v>
      </c>
      <c r="H13" s="2">
        <f>G13-H2*SIN(G13)</f>
        <v>-32.610539533989574</v>
      </c>
      <c r="I13" s="5">
        <f>J2^2*(COS(G13-H2))</f>
        <v>9322929.0171410721</v>
      </c>
      <c r="J13" s="5">
        <f>J2^2*(1-H2^2)^0.5*SIN(G13)</f>
        <v>-24783229.918623444</v>
      </c>
      <c r="K13" s="6">
        <f>(I13^2+J13^2)^0.25</f>
        <v>5145.7530393582902</v>
      </c>
      <c r="L13" s="20">
        <f t="shared" ref="L13:L18" si="3">N2</f>
        <v>-1.083742499</v>
      </c>
      <c r="M13" s="5"/>
      <c r="O13" s="8"/>
      <c r="P13" s="5"/>
    </row>
    <row r="14" spans="1:16" ht="15" x14ac:dyDescent="0.25">
      <c r="A14">
        <f t="shared" si="1"/>
        <v>4</v>
      </c>
      <c r="B14">
        <f t="shared" si="2"/>
        <v>69</v>
      </c>
      <c r="C14" s="18">
        <f t="shared" si="2"/>
        <v>40</v>
      </c>
      <c r="D14">
        <f t="shared" ref="D14:D15" si="4">(2*PI()/$J$10)*J3^3</f>
        <v>43079.56132436778</v>
      </c>
      <c r="E14">
        <f t="shared" ref="E14:E18" si="5">D14/3600</f>
        <v>11.966544812324383</v>
      </c>
      <c r="F14" s="2">
        <f t="shared" ref="F14:F15" si="6">N3+$G$10*2*PI()/D14</f>
        <v>-29.745178748190149</v>
      </c>
      <c r="G14" s="19">
        <v>-29.736000000000001</v>
      </c>
      <c r="H14" s="2">
        <f t="shared" ref="H14:H18" si="7">G14-H3*SIN(G14)</f>
        <v>-29.744595052014056</v>
      </c>
      <c r="I14" s="5">
        <f t="shared" ref="I14:I15" si="8">J3^2*(COS(G14-H3))</f>
        <v>-2664433.057845898</v>
      </c>
      <c r="J14" s="5">
        <f t="shared" ref="J14:J15" si="9">J3^2*(1-H3^2)^0.5*SIN(G14)</f>
        <v>26401750.110508315</v>
      </c>
      <c r="K14" s="6">
        <f t="shared" ref="K14:K15" si="10">(I14^2+J14^2)^0.25</f>
        <v>5151.2964604094914</v>
      </c>
      <c r="L14" s="20">
        <f t="shared" si="3"/>
        <v>1.780311346</v>
      </c>
      <c r="M14" s="5"/>
      <c r="O14" s="8"/>
      <c r="P14" s="5"/>
    </row>
    <row r="15" spans="1:16" ht="15" x14ac:dyDescent="0.25">
      <c r="A15">
        <f t="shared" si="1"/>
        <v>12</v>
      </c>
      <c r="B15">
        <f t="shared" si="2"/>
        <v>250</v>
      </c>
      <c r="C15" s="18">
        <f t="shared" si="2"/>
        <v>37</v>
      </c>
      <c r="D15">
        <f t="shared" si="4"/>
        <v>43075.802343441457</v>
      </c>
      <c r="E15">
        <f t="shared" si="5"/>
        <v>11.96550065095596</v>
      </c>
      <c r="F15" s="2">
        <f t="shared" si="6"/>
        <v>-34.298752414884746</v>
      </c>
      <c r="G15" s="19">
        <v>-34.299999999999997</v>
      </c>
      <c r="H15" s="2">
        <f t="shared" si="7"/>
        <v>-34.299191560607113</v>
      </c>
      <c r="I15" s="5">
        <f t="shared" si="8"/>
        <v>-25704742.879991904</v>
      </c>
      <c r="J15" s="5">
        <f t="shared" si="9"/>
        <v>-6764124.011685973</v>
      </c>
      <c r="K15" s="6">
        <f t="shared" si="10"/>
        <v>5155.5626816084086</v>
      </c>
      <c r="L15" s="20">
        <f t="shared" si="3"/>
        <v>-2.7705112700000001</v>
      </c>
      <c r="M15" s="5"/>
      <c r="O15" s="8"/>
      <c r="P15" s="5"/>
    </row>
    <row r="16" spans="1:16" ht="15" x14ac:dyDescent="0.25">
      <c r="A16">
        <f t="shared" si="1"/>
        <v>10</v>
      </c>
      <c r="B16">
        <f t="shared" si="2"/>
        <v>213</v>
      </c>
      <c r="C16" s="18">
        <f t="shared" si="2"/>
        <v>60</v>
      </c>
      <c r="D16">
        <f t="shared" ref="D16" si="11">(2*PI()/$J$10)*J5^3</f>
        <v>43076.622689029558</v>
      </c>
      <c r="E16">
        <f t="shared" si="5"/>
        <v>11.965728524730434</v>
      </c>
      <c r="F16" s="2">
        <f t="shared" ref="F16" si="12">N5+$G$10*2*PI()/D16</f>
        <v>-31.608987356219611</v>
      </c>
      <c r="G16" s="19">
        <v>-31.611000000000001</v>
      </c>
      <c r="H16" s="2">
        <f t="shared" si="7"/>
        <v>-31.609339135210337</v>
      </c>
      <c r="I16" s="5">
        <f t="shared" ref="I16" si="13">J5^2*(COS(G16-H5))</f>
        <v>26010722.672412843</v>
      </c>
      <c r="J16" s="5">
        <f t="shared" ref="J16" si="14">J5^2*(1-H5^2)^0.5*SIN(G16)</f>
        <v>-5148073.9844782976</v>
      </c>
      <c r="K16" s="6">
        <f t="shared" ref="K16" si="15">(I16^2+J16^2)^0.25</f>
        <v>5149.2995054785897</v>
      </c>
      <c r="L16" s="20">
        <f t="shared" si="3"/>
        <v>-8.1346631050000007E-2</v>
      </c>
      <c r="M16" s="5"/>
      <c r="O16" s="8"/>
      <c r="P16" s="5"/>
    </row>
    <row r="17" spans="1:17" ht="15" x14ac:dyDescent="0.25">
      <c r="A17">
        <f t="shared" si="1"/>
        <v>13</v>
      </c>
      <c r="B17">
        <f t="shared" si="2"/>
        <v>55</v>
      </c>
      <c r="C17" s="18">
        <f t="shared" si="2"/>
        <v>22</v>
      </c>
      <c r="D17">
        <f t="shared" ref="D17" si="16">(2*PI()/$J$10)*J6^3</f>
        <v>43077.63896408704</v>
      </c>
      <c r="E17">
        <f t="shared" si="5"/>
        <v>11.966010823357511</v>
      </c>
      <c r="F17" s="2">
        <f t="shared" ref="F17" si="17">N6+$G$10*2*PI()/D17</f>
        <v>-32.013836245292005</v>
      </c>
      <c r="G17" s="19">
        <v>-32.015999999999998</v>
      </c>
      <c r="H17" s="2">
        <f t="shared" si="7"/>
        <v>-32.013682380857432</v>
      </c>
      <c r="I17" s="5">
        <f t="shared" ref="I17" si="18">J6^2*(COS(G17-H6))</f>
        <v>21858031.661823381</v>
      </c>
      <c r="J17" s="5">
        <f t="shared" ref="J17" si="19">J6^2*(1-H6^2)^0.5*SIN(G17)</f>
        <v>-14998360.635497766</v>
      </c>
      <c r="K17" s="6">
        <f t="shared" ref="K17" si="20">(I17^2+J17^2)^0.25</f>
        <v>5148.684187648576</v>
      </c>
      <c r="L17" s="20">
        <f t="shared" si="3"/>
        <v>-0.48693931099999999</v>
      </c>
      <c r="M17" s="5"/>
      <c r="O17" s="8"/>
      <c r="P17" s="5"/>
    </row>
    <row r="18" spans="1:17" ht="15" x14ac:dyDescent="0.25">
      <c r="A18">
        <f t="shared" si="1"/>
        <v>30</v>
      </c>
      <c r="B18">
        <f t="shared" si="2"/>
        <v>285</v>
      </c>
      <c r="C18" s="18">
        <f t="shared" si="2"/>
        <v>29</v>
      </c>
      <c r="D18">
        <f t="shared" ref="D18" si="21">(2*PI()/$J$10)*J7^3</f>
        <v>43074.626946663819</v>
      </c>
      <c r="E18">
        <f t="shared" si="5"/>
        <v>11.965174151851061</v>
      </c>
      <c r="F18" s="2">
        <f t="shared" ref="F18" si="22">N7+$G$10*2*PI()/D18</f>
        <v>-30.508780697224118</v>
      </c>
      <c r="G18" s="19">
        <v>-30.5</v>
      </c>
      <c r="H18" s="2">
        <f t="shared" si="7"/>
        <v>-30.509314125847649</v>
      </c>
      <c r="I18" s="5">
        <f t="shared" ref="I18" si="23">J7^2*(COS(G18-H7))</f>
        <v>16421993.127708016</v>
      </c>
      <c r="J18" s="5">
        <f t="shared" ref="J18" si="24">J7^2*(1-H7^2)^0.5*SIN(G18)</f>
        <v>21062986.34784558</v>
      </c>
      <c r="K18" s="6">
        <f t="shared" ref="K18" si="25">(I18^2+J18^2)^0.25</f>
        <v>5168.0036639996997</v>
      </c>
      <c r="L18" s="20">
        <f t="shared" si="3"/>
        <v>1.0203207729999999</v>
      </c>
      <c r="M18" s="5"/>
      <c r="O18" s="8"/>
      <c r="P18" s="5"/>
    </row>
    <row r="20" spans="1:17" s="18" customFormat="1" ht="15" x14ac:dyDescent="0.25">
      <c r="A20" s="18" t="str">
        <f>A1</f>
        <v>SV</v>
      </c>
      <c r="B20" s="18" t="str">
        <f>B1</f>
        <v>Az</v>
      </c>
      <c r="C20" s="18" t="str">
        <f>C1</f>
        <v>El</v>
      </c>
      <c r="D20" s="19" t="s">
        <v>31</v>
      </c>
      <c r="E20" s="19" t="s">
        <v>32</v>
      </c>
      <c r="F20" s="18" t="s">
        <v>33</v>
      </c>
      <c r="G20" s="18" t="s">
        <v>34</v>
      </c>
      <c r="H20" s="22" t="s">
        <v>35</v>
      </c>
      <c r="I20" s="22" t="s">
        <v>36</v>
      </c>
      <c r="J20" s="23" t="s">
        <v>37</v>
      </c>
      <c r="K20" s="22" t="s">
        <v>38</v>
      </c>
      <c r="L20" s="22" t="s">
        <v>39</v>
      </c>
      <c r="M20" s="24" t="s">
        <v>51</v>
      </c>
      <c r="N20" s="22"/>
    </row>
    <row r="21" spans="1:17" ht="15" x14ac:dyDescent="0.25">
      <c r="A21">
        <f t="shared" ref="A21:C21" si="26">A2</f>
        <v>2</v>
      </c>
      <c r="B21">
        <f t="shared" si="26"/>
        <v>19</v>
      </c>
      <c r="C21" s="18">
        <f t="shared" si="26"/>
        <v>69</v>
      </c>
      <c r="D21" s="2">
        <f>COS(M2)*COS(L2)-SIN(M2)*SIN(L2)*COS(G2)</f>
        <v>0.24495618699911326</v>
      </c>
      <c r="E21" s="2">
        <f>COS(M2)*SIN(L2)+SIN(M2)*COS(L2)*COS(G2)</f>
        <v>0.94589113988089435</v>
      </c>
      <c r="F21" s="2">
        <f>SIN(M2)*SIN(G2)</f>
        <v>0.21280605711698619</v>
      </c>
      <c r="G21" s="2">
        <f>-1*SIN(M2)*COS(L2)-COS(M2)*SIN(L2)*COS(G2)</f>
        <v>-0.54135098011864569</v>
      </c>
      <c r="H21" s="2">
        <f>-1*SIN(M2)*SIN(L2)+COS(M2)*COS(L2)*COS(G2)</f>
        <v>0.3155297630890973</v>
      </c>
      <c r="I21" s="2">
        <f>COS(M2)*SIN(G2)</f>
        <v>-0.77934593405593633</v>
      </c>
      <c r="J21" s="2">
        <f>D21*I13+G21*J13</f>
        <v>15700134.950654812</v>
      </c>
      <c r="K21" s="2">
        <f>E21*I13+H21*J13</f>
        <v>998629.29024635069</v>
      </c>
      <c r="L21" s="2">
        <f>F21*I13+I21*J13</f>
        <v>21298685.234771945</v>
      </c>
      <c r="M21" s="2">
        <f>(J21^2+K21^2+L21^2)^0.5</f>
        <v>26478774.342065062</v>
      </c>
    </row>
    <row r="22" spans="1:17" x14ac:dyDescent="0.3">
      <c r="A22">
        <f t="shared" ref="A22:C22" si="27">A3</f>
        <v>4</v>
      </c>
      <c r="B22">
        <f t="shared" si="27"/>
        <v>69</v>
      </c>
      <c r="C22" s="18">
        <f t="shared" si="27"/>
        <v>40</v>
      </c>
      <c r="D22" s="2">
        <f t="shared" ref="D22:D25" si="28">COS(M3)*COS(L3)-SIN(M3)*SIN(L3)*COS(G3)</f>
        <v>0.21542037130413</v>
      </c>
      <c r="E22" s="2">
        <f t="shared" ref="E22:E23" si="29">COS(M3)*SIN(L3)+SIN(M3)*COS(L3)*COS(G3)</f>
        <v>-0.89674342404066298</v>
      </c>
      <c r="F22" s="2">
        <f t="shared" ref="F22:F23" si="30">SIN(M3)*SIN(G3)</f>
        <v>0.38658155034483804</v>
      </c>
      <c r="G22" s="2">
        <f t="shared" ref="G22:G23" si="31">-1*SIN(M3)*COS(L3)-COS(M3)*SIN(L3)*COS(G3)</f>
        <v>0.55263556142546644</v>
      </c>
      <c r="H22" s="2">
        <f t="shared" ref="H22:H23" si="32">-1*SIN(M3)*SIN(L3)+COS(M3)*COS(L3)*COS(G3)</f>
        <v>0.43833500012328208</v>
      </c>
      <c r="I22" s="2">
        <f t="shared" ref="I22:I23" si="33">COS(M3)*SIN(G3)</f>
        <v>0.70884156474834481</v>
      </c>
      <c r="J22" s="2">
        <f t="shared" ref="J22:J23" si="34">D22*I14+G22*J14</f>
        <v>14016572.836299472</v>
      </c>
      <c r="K22" s="2">
        <f t="shared" ref="K22" si="35">E22*I14+H22*J14</f>
        <v>13962123.961364388</v>
      </c>
      <c r="L22" s="2">
        <f t="shared" ref="L22:L23" si="36">F22*I14+I22*J14</f>
        <v>17684637.198135395</v>
      </c>
      <c r="M22" s="2">
        <f t="shared" ref="M22:M23" si="37">(J22^2+K22^2+L22^2)^0.5</f>
        <v>26535855.223027352</v>
      </c>
    </row>
    <row r="23" spans="1:17" x14ac:dyDescent="0.3">
      <c r="A23">
        <f t="shared" ref="A23:C23" si="38">A4</f>
        <v>12</v>
      </c>
      <c r="B23">
        <f t="shared" si="38"/>
        <v>250</v>
      </c>
      <c r="C23" s="18">
        <f t="shared" si="38"/>
        <v>37</v>
      </c>
      <c r="D23" s="2">
        <f t="shared" si="28"/>
        <v>-0.48605873699155355</v>
      </c>
      <c r="E23" s="2">
        <f t="shared" si="29"/>
        <v>0.7303093189152039</v>
      </c>
      <c r="F23" s="2">
        <f t="shared" si="30"/>
        <v>-0.47999500299460085</v>
      </c>
      <c r="G23" s="2">
        <f t="shared" si="31"/>
        <v>-0.7410126788439142</v>
      </c>
      <c r="H23" s="2">
        <f t="shared" si="32"/>
        <v>-5.3234729146201143E-2</v>
      </c>
      <c r="I23" s="2">
        <f t="shared" si="33"/>
        <v>0.6693775268152472</v>
      </c>
      <c r="J23" s="2">
        <f t="shared" si="34"/>
        <v>17506316.512873359</v>
      </c>
      <c r="K23" s="2">
        <f>E23*I15+H23*J15</f>
        <v>-18412326.955903906</v>
      </c>
      <c r="L23" s="2">
        <f t="shared" si="36"/>
        <v>7810395.5336431749</v>
      </c>
      <c r="M23" s="2">
        <f t="shared" si="37"/>
        <v>26579826.563993249</v>
      </c>
    </row>
    <row r="24" spans="1:17" x14ac:dyDescent="0.3">
      <c r="A24">
        <f t="shared" ref="A24:C24" si="39">A5</f>
        <v>10</v>
      </c>
      <c r="B24">
        <f t="shared" si="39"/>
        <v>213</v>
      </c>
      <c r="C24" s="18">
        <f t="shared" si="39"/>
        <v>60</v>
      </c>
      <c r="D24" s="2">
        <f t="shared" si="28"/>
        <v>0.86311857515340495</v>
      </c>
      <c r="E24" s="2">
        <f t="shared" ref="E24" si="40">COS(M5)*SIN(L5)+SIN(M5)*COS(L5)*COS(G5)</f>
        <v>-0.16259755645010843</v>
      </c>
      <c r="F24" s="2">
        <f t="shared" ref="F24" si="41">SIN(M5)*SIN(G5)</f>
        <v>0.47810915057297304</v>
      </c>
      <c r="G24" s="2">
        <f t="shared" ref="G24" si="42">-1*SIN(M5)*COS(L5)-COS(M5)*SIN(L5)*COS(G5)</f>
        <v>-0.23349837784984401</v>
      </c>
      <c r="H24" s="2">
        <f t="shared" ref="H24" si="43">-1*SIN(M5)*SIN(L5)+COS(M5)*COS(L5)*COS(G5)</f>
        <v>0.71097447434469285</v>
      </c>
      <c r="I24" s="2">
        <f t="shared" ref="I24" si="44">COS(M5)*SIN(G5)</f>
        <v>0.66332028792415154</v>
      </c>
      <c r="J24" s="2">
        <f t="shared" ref="J24" si="45">D24*I16+G24*J16</f>
        <v>23652404.816150002</v>
      </c>
      <c r="K24" s="2">
        <f t="shared" ref="K24" si="46">E24*I16+H24*J16</f>
        <v>-7889429.1430378091</v>
      </c>
      <c r="L24" s="2">
        <f t="shared" ref="L24" si="47">F24*I16+I24*J16</f>
        <v>9021142.6050574966</v>
      </c>
      <c r="M24" s="2">
        <f t="shared" ref="M24" si="48">(J24^2+K24^2+L24^2)^0.5</f>
        <v>26515285.397122048</v>
      </c>
    </row>
    <row r="25" spans="1:17" x14ac:dyDescent="0.3">
      <c r="A25">
        <f t="shared" ref="A25:C25" si="49">A6</f>
        <v>13</v>
      </c>
      <c r="B25">
        <f t="shared" si="49"/>
        <v>55</v>
      </c>
      <c r="C25" s="18">
        <f t="shared" si="49"/>
        <v>22</v>
      </c>
      <c r="D25" s="2">
        <f t="shared" si="28"/>
        <v>-0.32322027108864732</v>
      </c>
      <c r="E25" s="2">
        <f t="shared" ref="E25" si="50">COS(M6)*SIN(L6)+SIN(M6)*COS(L6)*COS(G6)</f>
        <v>0.44222612681260431</v>
      </c>
      <c r="F25" s="2">
        <f t="shared" ref="F25" si="51">SIN(M6)*SIN(G6)</f>
        <v>0.83663893593455474</v>
      </c>
      <c r="G25" s="2">
        <f t="shared" ref="G25" si="52">-1*SIN(M6)*COS(L6)-COS(M6)*SIN(L6)*COS(G6)</f>
        <v>-0.85557099868788711</v>
      </c>
      <c r="H25" s="2">
        <f t="shared" ref="H25" si="53">-1*SIN(M6)*SIN(L6)+COS(M6)*COS(L6)*COS(G6)</f>
        <v>-0.51435115639405993</v>
      </c>
      <c r="I25" s="2">
        <f t="shared" ref="I25" si="54">COS(M6)*SIN(G6)</f>
        <v>-5.8661351163309262E-2</v>
      </c>
      <c r="J25" s="2">
        <f t="shared" ref="J25" si="55">D25*I17+G25*J17</f>
        <v>5767203.4683951261</v>
      </c>
      <c r="K25" s="2">
        <f t="shared" ref="K25" si="56">E25*I17+H25*J17</f>
        <v>17380616.81843885</v>
      </c>
      <c r="L25" s="2">
        <f t="shared" ref="L25" si="57">F25*I17+I25*J17</f>
        <v>19167104.45128461</v>
      </c>
      <c r="M25" s="2">
        <f t="shared" ref="M25" si="58">(J25^2+K25^2+L25^2)^0.5</f>
        <v>26508948.864142511</v>
      </c>
    </row>
    <row r="26" spans="1:17" x14ac:dyDescent="0.3">
      <c r="A26">
        <f t="shared" ref="A26:C26" si="59">A7</f>
        <v>30</v>
      </c>
      <c r="B26">
        <f t="shared" si="59"/>
        <v>285</v>
      </c>
      <c r="C26" s="18">
        <f t="shared" si="59"/>
        <v>29</v>
      </c>
      <c r="D26" s="2">
        <f t="shared" ref="D26" si="60">COS(M7)*COS(L7)-SIN(M7)*SIN(L7)*COS(G7)</f>
        <v>-0.45325466009940407</v>
      </c>
      <c r="E26" s="2">
        <f t="shared" ref="E26" si="61">COS(M7)*SIN(L7)+SIN(M7)*COS(L7)*COS(G7)</f>
        <v>-0.37709042793942732</v>
      </c>
      <c r="F26" s="2">
        <f t="shared" ref="F26" si="62">SIN(M7)*SIN(G7)</f>
        <v>0.80768992952409235</v>
      </c>
      <c r="G26" s="2">
        <f t="shared" ref="G26" si="63">-1*SIN(M7)*COS(L7)-COS(M7)*SIN(L7)*COS(G7)</f>
        <v>0.74404226886011815</v>
      </c>
      <c r="H26" s="2">
        <f t="shared" ref="H26" si="64">-1*SIN(M7)*SIN(L7)+COS(M7)*COS(L7)*COS(G7)</f>
        <v>-0.65904069484694516</v>
      </c>
      <c r="I26" s="2">
        <f t="shared" ref="I26" si="65">COS(M7)*SIN(G7)</f>
        <v>0.10984746098633105</v>
      </c>
      <c r="J26" s="2">
        <f t="shared" ref="J26" si="66">D26*I18+G26*J18</f>
        <v>8228407.2379666744</v>
      </c>
      <c r="K26" s="2">
        <f t="shared" ref="K26" si="67">E26*I18+H26*J18</f>
        <v>-20073941.57438162</v>
      </c>
      <c r="L26" s="2">
        <f t="shared" ref="L26" si="68">F26*I18+I26*J18</f>
        <v>15577594.043064207</v>
      </c>
      <c r="M26" s="2">
        <f t="shared" ref="M26" si="69">(J26^2+K26^2+L26^2)^0.5</f>
        <v>26708261.871114314</v>
      </c>
    </row>
    <row r="27" spans="1:17" x14ac:dyDescent="0.3">
      <c r="N27" s="5" t="s">
        <v>68</v>
      </c>
    </row>
    <row r="28" spans="1:17" s="18" customFormat="1" ht="15.6" x14ac:dyDescent="0.35">
      <c r="A28" s="18" t="str">
        <f>A1</f>
        <v>SV</v>
      </c>
      <c r="B28" s="18" t="str">
        <f t="shared" ref="B28:C28" si="70">B1</f>
        <v>Az</v>
      </c>
      <c r="C28" s="18" t="str">
        <f t="shared" si="70"/>
        <v>El</v>
      </c>
      <c r="D28" s="14" t="s">
        <v>42</v>
      </c>
      <c r="E28" s="19" t="s">
        <v>43</v>
      </c>
      <c r="F28" s="18" t="s">
        <v>44</v>
      </c>
      <c r="G28" s="18" t="s">
        <v>45</v>
      </c>
      <c r="H28" s="27" t="s">
        <v>46</v>
      </c>
      <c r="I28" s="22" t="s">
        <v>47</v>
      </c>
      <c r="J28" s="23" t="s">
        <v>49</v>
      </c>
      <c r="K28" s="22" t="s">
        <v>50</v>
      </c>
      <c r="L28" s="18" t="s">
        <v>52</v>
      </c>
      <c r="M28" s="24" t="s">
        <v>53</v>
      </c>
      <c r="N28" s="15" t="s">
        <v>63</v>
      </c>
      <c r="O28" s="13" t="s">
        <v>64</v>
      </c>
      <c r="P28" s="13" t="s">
        <v>65</v>
      </c>
      <c r="Q28" s="18" t="s">
        <v>66</v>
      </c>
    </row>
    <row r="29" spans="1:17" x14ac:dyDescent="0.3">
      <c r="A29">
        <f t="shared" ref="A29:C34" si="71">A2</f>
        <v>2</v>
      </c>
      <c r="B29">
        <f t="shared" si="71"/>
        <v>19</v>
      </c>
      <c r="C29" s="18">
        <f t="shared" si="71"/>
        <v>69</v>
      </c>
      <c r="D29" s="2">
        <f>ATAN(K21/J21)</f>
        <v>6.3520842953206938E-2</v>
      </c>
      <c r="E29" s="2">
        <f>ATAN(L21/((J21^2+K21^2)^0.5))</f>
        <v>0.93461137475581779</v>
      </c>
      <c r="F29" s="18">
        <v>1.2524</v>
      </c>
      <c r="G29" s="2">
        <f>D29-F29</f>
        <v>-1.1888791570467929</v>
      </c>
      <c r="H29" s="6">
        <f>$L$10</f>
        <v>-1.3531537690712037</v>
      </c>
      <c r="I29" s="9">
        <f>ASIN(SIN(E29)*SIN($K$10)+COS(E29)*COS($K$10)*COS(H29-G29))</f>
        <v>1.2956422291392444</v>
      </c>
      <c r="J29" s="6">
        <f>360/(2*PI())*ATAN((SIN(G29-H29)/(COS($K$10)*TAN(E29)-SIN($K$10)*COS(G29-H29))))</f>
        <v>20.953790626700691</v>
      </c>
      <c r="K29" s="1">
        <f>ATAN((SIN(I29)-$M$10/M21)/(COS(I29)))*360/(2*PI())</f>
        <v>69.365424783374692</v>
      </c>
      <c r="L29" s="1">
        <f>J29+P29*360-Q29*180</f>
        <v>20.953790626700691</v>
      </c>
      <c r="M29" s="1">
        <f>K29</f>
        <v>69.365424783374692</v>
      </c>
      <c r="N29" s="1">
        <f>SIN(G29-H29)</f>
        <v>0.16353675182558575</v>
      </c>
      <c r="O29">
        <f>COS($K$10)*TAN(E29)-SIN($K$10)*COS(G29-H29)</f>
        <v>0.42705695226147877</v>
      </c>
      <c r="P29">
        <f>IF(N29&gt;0,0,1)</f>
        <v>0</v>
      </c>
      <c r="Q29">
        <f>IF(O29&gt;0,0,1)</f>
        <v>0</v>
      </c>
    </row>
    <row r="30" spans="1:17" x14ac:dyDescent="0.3">
      <c r="A30">
        <f t="shared" si="71"/>
        <v>4</v>
      </c>
      <c r="B30">
        <f t="shared" si="71"/>
        <v>69</v>
      </c>
      <c r="C30" s="18">
        <f t="shared" si="71"/>
        <v>40</v>
      </c>
      <c r="D30" s="2">
        <f t="shared" ref="D30" si="72">ATAN(K22/J22)</f>
        <v>0.78345208254200283</v>
      </c>
      <c r="E30" s="2">
        <f t="shared" ref="E30:E31" si="73">ATAN(L22/((J22^2+K22^2)^0.5))</f>
        <v>0.72942772916730803</v>
      </c>
      <c r="F30" s="18">
        <f>$F$29</f>
        <v>1.2524</v>
      </c>
      <c r="G30" s="2">
        <f t="shared" ref="G30:G31" si="74">D30-F30</f>
        <v>-0.46894791745799713</v>
      </c>
      <c r="H30" s="6">
        <f t="shared" ref="H30:H34" si="75">$L$10</f>
        <v>-1.3531537690712037</v>
      </c>
      <c r="I30" s="9">
        <f t="shared" ref="I30:I31" si="76">ASIN(SIN(E30)*SIN($K$10)+COS(E30)*COS($K$10)*COS(H30-G30))</f>
        <v>0.90636630925248196</v>
      </c>
      <c r="J30" s="6">
        <f t="shared" ref="J30:J31" si="77">360/(2*PI())*ATAN((SIN(G30-H30)/(COS($K$10)*TAN(E30)-SIN($K$10)*COS(G30-H30))))</f>
        <v>69.251982550136717</v>
      </c>
      <c r="K30" s="1">
        <f t="shared" ref="K30:K31" si="78">ATAN((SIN(I30)-$M$10/M22)/(COS(I30)))*360/(2*PI())</f>
        <v>41.572027876676913</v>
      </c>
      <c r="L30" s="1">
        <f t="shared" ref="L30:L34" si="79">J30+P30*360-Q30*180</f>
        <v>69.251982550136717</v>
      </c>
      <c r="M30" s="1">
        <f t="shared" ref="M30:M34" si="80">K30</f>
        <v>41.572027876676913</v>
      </c>
      <c r="N30" s="1">
        <f t="shared" ref="N30:N34" si="81">SIN(G30-H30)</f>
        <v>0.77341181730385289</v>
      </c>
      <c r="O30">
        <f t="shared" ref="O30:O34" si="82">COS($K$10)*TAN(E30)-SIN($K$10)*COS(G30-H30)</f>
        <v>0.292988923075232</v>
      </c>
      <c r="P30">
        <f t="shared" ref="P30:Q34" si="83">IF(N30&gt;0,0,1)</f>
        <v>0</v>
      </c>
      <c r="Q30">
        <f t="shared" si="83"/>
        <v>0</v>
      </c>
    </row>
    <row r="31" spans="1:17" x14ac:dyDescent="0.3">
      <c r="A31">
        <f t="shared" si="71"/>
        <v>12</v>
      </c>
      <c r="B31">
        <f t="shared" si="71"/>
        <v>250</v>
      </c>
      <c r="C31" s="18">
        <f t="shared" si="71"/>
        <v>37</v>
      </c>
      <c r="D31" s="2">
        <f>ATAN(K23/J23)</f>
        <v>-0.81061677634344265</v>
      </c>
      <c r="E31" s="2">
        <f t="shared" si="73"/>
        <v>0.29824877536155958</v>
      </c>
      <c r="F31" s="18">
        <f t="shared" ref="F31:F34" si="84">$F$29</f>
        <v>1.2524</v>
      </c>
      <c r="G31" s="2">
        <f t="shared" si="74"/>
        <v>-2.0630167763434426</v>
      </c>
      <c r="H31" s="6">
        <f t="shared" si="75"/>
        <v>-1.3531537690712037</v>
      </c>
      <c r="I31" s="9">
        <f t="shared" si="76"/>
        <v>0.84463704309774168</v>
      </c>
      <c r="J31" s="6">
        <f t="shared" si="77"/>
        <v>69.749018099795848</v>
      </c>
      <c r="K31" s="1">
        <f t="shared" si="78"/>
        <v>37.4057351627957</v>
      </c>
      <c r="L31" s="1">
        <f t="shared" si="79"/>
        <v>249.74901809979588</v>
      </c>
      <c r="M31" s="1">
        <f t="shared" si="80"/>
        <v>37.4057351627957</v>
      </c>
      <c r="N31" s="1">
        <f t="shared" si="81"/>
        <v>-0.65172987484335509</v>
      </c>
      <c r="O31">
        <f t="shared" si="82"/>
        <v>-0.24044853378604936</v>
      </c>
      <c r="P31">
        <f t="shared" si="83"/>
        <v>1</v>
      </c>
      <c r="Q31">
        <f t="shared" si="83"/>
        <v>1</v>
      </c>
    </row>
    <row r="32" spans="1:17" x14ac:dyDescent="0.3">
      <c r="A32">
        <f t="shared" si="71"/>
        <v>10</v>
      </c>
      <c r="B32">
        <f t="shared" si="71"/>
        <v>213</v>
      </c>
      <c r="C32" s="18">
        <f t="shared" si="71"/>
        <v>60</v>
      </c>
      <c r="D32" s="2">
        <f>ATAN(K24/J24)</f>
        <v>-0.32195199116078516</v>
      </c>
      <c r="E32" s="2">
        <f t="shared" ref="E32" si="85">ATAN(L24/((J24^2+K24^2)^0.5))</f>
        <v>0.34715534435576134</v>
      </c>
      <c r="F32" s="18">
        <f t="shared" si="84"/>
        <v>1.2524</v>
      </c>
      <c r="G32" s="2">
        <f t="shared" ref="G32" si="86">D32-F32</f>
        <v>-1.5743519911607851</v>
      </c>
      <c r="H32" s="6">
        <f t="shared" si="75"/>
        <v>-1.3531537690712037</v>
      </c>
      <c r="I32" s="9">
        <f t="shared" ref="I32" si="87">ASIN(SIN(E32)*SIN($K$10)+COS(E32)*COS($K$10)*COS(H32-G32))</f>
        <v>1.1843836861561488</v>
      </c>
      <c r="J32" s="6">
        <f t="shared" ref="J32" si="88">360/(2*PI())*ATAN((SIN(G32-H32)/(COS($K$10)*TAN(E32)-SIN($K$10)*COS(G32-H32))))</f>
        <v>33.191165357955505</v>
      </c>
      <c r="K32" s="1">
        <f t="shared" ref="K32" si="89">ATAN((SIN(I32)-$M$10/M24)/(COS(I32)))*360/(2*PI())</f>
        <v>61.207271886079987</v>
      </c>
      <c r="L32" s="1">
        <f t="shared" si="79"/>
        <v>213.19116535795553</v>
      </c>
      <c r="M32" s="1">
        <f t="shared" si="80"/>
        <v>61.207271886079987</v>
      </c>
      <c r="N32" s="1">
        <f t="shared" si="81"/>
        <v>-0.21939880802194883</v>
      </c>
      <c r="O32">
        <f t="shared" si="82"/>
        <v>-0.3353893802038343</v>
      </c>
      <c r="P32">
        <f t="shared" si="83"/>
        <v>1</v>
      </c>
      <c r="Q32">
        <f t="shared" si="83"/>
        <v>1</v>
      </c>
    </row>
    <row r="33" spans="1:17" x14ac:dyDescent="0.3">
      <c r="A33">
        <f t="shared" si="71"/>
        <v>13</v>
      </c>
      <c r="B33">
        <f t="shared" si="71"/>
        <v>55</v>
      </c>
      <c r="C33" s="18">
        <f t="shared" si="71"/>
        <v>22</v>
      </c>
      <c r="D33" s="2">
        <f>ATAN(K25/J25)</f>
        <v>1.25041009039139</v>
      </c>
      <c r="E33" s="2">
        <f t="shared" ref="E33" si="90">ATAN(L25/((J25^2+K25^2)^0.5))</f>
        <v>0.80819694475359682</v>
      </c>
      <c r="F33" s="18">
        <f t="shared" si="84"/>
        <v>1.2524</v>
      </c>
      <c r="G33" s="2">
        <f t="shared" ref="G33" si="91">D33-F33</f>
        <v>-1.9899096086100077E-3</v>
      </c>
      <c r="H33" s="6">
        <f t="shared" si="75"/>
        <v>-1.3531537690712037</v>
      </c>
      <c r="I33" s="9">
        <f t="shared" ref="I33" si="92">ASIN(SIN(E33)*SIN($K$10)+COS(E33)*COS($K$10)*COS(H33-G33))</f>
        <v>0.6104201819077989</v>
      </c>
      <c r="J33" s="6">
        <f t="shared" ref="J33" si="93">360/(2*PI())*ATAN((SIN(G33-H33)/(COS($K$10)*TAN(E33)-SIN($K$10)*COS(G33-H33))))</f>
        <v>55.366100351725898</v>
      </c>
      <c r="K33" s="1">
        <f t="shared" ref="K33" si="94">ATAN((SIN(I33)-$M$10/M25)/(COS(I33)))*360/(2*PI())</f>
        <v>22.093219003900579</v>
      </c>
      <c r="L33" s="1">
        <f t="shared" si="79"/>
        <v>55.366100351725898</v>
      </c>
      <c r="M33" s="1">
        <f t="shared" si="80"/>
        <v>22.093219003900579</v>
      </c>
      <c r="N33" s="1">
        <f t="shared" si="81"/>
        <v>0.97597758993210049</v>
      </c>
      <c r="O33">
        <f t="shared" si="82"/>
        <v>0.67413444284470292</v>
      </c>
      <c r="P33">
        <f t="shared" si="83"/>
        <v>0</v>
      </c>
      <c r="Q33">
        <f t="shared" si="83"/>
        <v>0</v>
      </c>
    </row>
    <row r="34" spans="1:17" x14ac:dyDescent="0.3">
      <c r="A34">
        <f t="shared" si="71"/>
        <v>30</v>
      </c>
      <c r="B34">
        <f t="shared" si="71"/>
        <v>285</v>
      </c>
      <c r="C34" s="18">
        <f t="shared" si="71"/>
        <v>29</v>
      </c>
      <c r="D34" s="2">
        <f>ATAN(K26/J26)</f>
        <v>-1.1817805031526729</v>
      </c>
      <c r="E34" s="2">
        <f t="shared" ref="E34" si="95">ATAN(L26/((J26^2+K26^2)^0.5))</f>
        <v>0.6227240054948977</v>
      </c>
      <c r="F34" s="18">
        <f t="shared" si="84"/>
        <v>1.2524</v>
      </c>
      <c r="G34" s="2">
        <f t="shared" ref="G34" si="96">D34-F34</f>
        <v>-2.4341805031526729</v>
      </c>
      <c r="H34" s="6">
        <f t="shared" si="75"/>
        <v>-1.3531537690712037</v>
      </c>
      <c r="I34" s="9">
        <f t="shared" ref="I34" si="97">ASIN(SIN(E34)*SIN($K$10)+COS(E34)*COS($K$10)*COS(H34-G34))</f>
        <v>0.7269176719954451</v>
      </c>
      <c r="J34" s="6">
        <f t="shared" ref="J34" si="98">360/(2*PI())*ATAN((SIN(G34-H34)/(COS($K$10)*TAN(E34)-SIN($K$10)*COS(G34-H34))))</f>
        <v>-73.593456205859241</v>
      </c>
      <c r="K34" s="1">
        <f t="shared" ref="K34" si="99">ATAN((SIN(I34)-$M$10/M26)/(COS(I34)))*360/(2*PI())</f>
        <v>29.674345771314279</v>
      </c>
      <c r="L34" s="1">
        <f t="shared" si="79"/>
        <v>286.40654379414076</v>
      </c>
      <c r="M34" s="1">
        <f t="shared" si="80"/>
        <v>29.674345771314279</v>
      </c>
      <c r="N34" s="1">
        <f t="shared" si="81"/>
        <v>-0.88244127082261592</v>
      </c>
      <c r="O34">
        <f t="shared" si="82"/>
        <v>0.25982610785718646</v>
      </c>
      <c r="P34">
        <f t="shared" si="83"/>
        <v>1</v>
      </c>
      <c r="Q34">
        <f t="shared" si="83"/>
        <v>0</v>
      </c>
    </row>
    <row r="36" spans="1:17" s="18" customFormat="1" x14ac:dyDescent="0.3">
      <c r="A36" s="18" t="str">
        <f>A1</f>
        <v>SV</v>
      </c>
      <c r="B36" s="18" t="str">
        <f t="shared" ref="B36:C36" si="100">B1</f>
        <v>Az</v>
      </c>
      <c r="C36" s="18" t="str">
        <f t="shared" si="100"/>
        <v>El</v>
      </c>
      <c r="D36" s="19" t="str">
        <f>D1</f>
        <v>carrier phase</v>
      </c>
      <c r="E36" s="19"/>
      <c r="F36" s="18" t="s">
        <v>56</v>
      </c>
      <c r="H36" s="22" t="s">
        <v>55</v>
      </c>
      <c r="I36" s="22" t="s">
        <v>54</v>
      </c>
      <c r="J36" s="23"/>
      <c r="K36" s="22" t="s">
        <v>57</v>
      </c>
      <c r="L36" s="22" t="s">
        <v>17</v>
      </c>
      <c r="M36" s="24" t="s">
        <v>58</v>
      </c>
      <c r="N36" s="22"/>
    </row>
    <row r="37" spans="1:17" x14ac:dyDescent="0.3">
      <c r="A37">
        <f t="shared" ref="A37:D37" si="101">A2</f>
        <v>2</v>
      </c>
      <c r="B37">
        <f t="shared" si="101"/>
        <v>19</v>
      </c>
      <c r="C37" s="18">
        <f t="shared" si="101"/>
        <v>69</v>
      </c>
      <c r="D37" s="19">
        <f t="shared" si="101"/>
        <v>20116078.328000002</v>
      </c>
      <c r="F37">
        <f>F29*57.3</f>
        <v>71.762519999999995</v>
      </c>
      <c r="H37" s="19">
        <v>20376675.138999999</v>
      </c>
      <c r="I37" s="2">
        <f>(SQRT(M21^2-$M$10^2*((COS(K29/(360/(2*PI())))^2)))-$M$10*SIN(K29/(360/(2*PI()))))</f>
        <v>20414373.706432652</v>
      </c>
      <c r="K37" s="28">
        <v>23.9344696</v>
      </c>
      <c r="L37" s="1">
        <f>F10</f>
        <v>103338.99</v>
      </c>
      <c r="M37" s="8">
        <f>L37/3600</f>
        <v>28.705275</v>
      </c>
    </row>
    <row r="38" spans="1:17" x14ac:dyDescent="0.3">
      <c r="A38">
        <f t="shared" ref="A38:D38" si="102">A3</f>
        <v>4</v>
      </c>
      <c r="B38">
        <f t="shared" si="102"/>
        <v>69</v>
      </c>
      <c r="C38" s="18">
        <f t="shared" si="102"/>
        <v>40</v>
      </c>
      <c r="D38" s="19">
        <f t="shared" si="102"/>
        <v>21986394.065000001</v>
      </c>
      <c r="F38">
        <f t="shared" ref="F38:F42" si="103">F30*57.3</f>
        <v>71.762519999999995</v>
      </c>
      <c r="H38" s="19">
        <v>22055409.213</v>
      </c>
      <c r="I38" s="2">
        <f t="shared" ref="I38:I42" si="104">(SQRT(M22^2-$M$10^2*((COS(K30/(360/(2*PI())))^2)))-$M$10*SIN(K30/(360/(2*PI()))))</f>
        <v>21871144.182536859</v>
      </c>
      <c r="K38" s="10"/>
      <c r="L38" s="1"/>
    </row>
    <row r="39" spans="1:17" x14ac:dyDescent="0.3">
      <c r="A39">
        <f t="shared" ref="A39:D39" si="105">A4</f>
        <v>12</v>
      </c>
      <c r="B39">
        <f t="shared" si="105"/>
        <v>250</v>
      </c>
      <c r="C39" s="18">
        <f t="shared" si="105"/>
        <v>37</v>
      </c>
      <c r="D39" s="19">
        <f t="shared" si="105"/>
        <v>22267112.041999999</v>
      </c>
      <c r="F39">
        <f t="shared" si="103"/>
        <v>71.762519999999995</v>
      </c>
      <c r="H39" s="19">
        <v>22360643.278000001</v>
      </c>
      <c r="I39" s="2">
        <f t="shared" si="104"/>
        <v>22218156.06276891</v>
      </c>
      <c r="K39" s="28" t="s">
        <v>67</v>
      </c>
      <c r="L39" s="1"/>
    </row>
    <row r="40" spans="1:17" x14ac:dyDescent="0.3">
      <c r="A40">
        <f t="shared" ref="A40:D40" si="106">A5</f>
        <v>10</v>
      </c>
      <c r="B40">
        <f t="shared" si="106"/>
        <v>213</v>
      </c>
      <c r="C40" s="18">
        <f t="shared" si="106"/>
        <v>60</v>
      </c>
      <c r="D40" s="19">
        <f t="shared" si="106"/>
        <v>20627799.677000001</v>
      </c>
      <c r="F40">
        <f t="shared" si="103"/>
        <v>71.762519999999995</v>
      </c>
      <c r="H40" s="19">
        <v>20577426.556000002</v>
      </c>
      <c r="I40" s="2">
        <f t="shared" si="104"/>
        <v>20747262.663370438</v>
      </c>
      <c r="K40" s="11">
        <f>2*E13</f>
        <v>23.931837978888005</v>
      </c>
    </row>
    <row r="41" spans="1:17" x14ac:dyDescent="0.3">
      <c r="A41">
        <f t="shared" ref="A41:D41" si="107">A6</f>
        <v>13</v>
      </c>
      <c r="B41">
        <f t="shared" si="107"/>
        <v>55</v>
      </c>
      <c r="C41" s="18">
        <f t="shared" si="107"/>
        <v>22</v>
      </c>
      <c r="D41" s="19">
        <f t="shared" si="107"/>
        <v>23405440.116999999</v>
      </c>
      <c r="F41">
        <f t="shared" si="103"/>
        <v>71.762519999999995</v>
      </c>
      <c r="H41" s="19">
        <v>23317614.199999999</v>
      </c>
      <c r="I41" s="2">
        <f t="shared" si="104"/>
        <v>23442967.805399667</v>
      </c>
      <c r="K41" s="22" t="s">
        <v>59</v>
      </c>
      <c r="L41" s="22" t="s">
        <v>60</v>
      </c>
      <c r="M41" s="24" t="s">
        <v>61</v>
      </c>
    </row>
    <row r="42" spans="1:17" x14ac:dyDescent="0.3">
      <c r="A42">
        <f t="shared" ref="A42:C42" si="108">A7</f>
        <v>30</v>
      </c>
      <c r="B42">
        <f t="shared" si="108"/>
        <v>285</v>
      </c>
      <c r="C42" s="18">
        <f t="shared" si="108"/>
        <v>29</v>
      </c>
      <c r="D42" s="19">
        <v>22635869.094000001</v>
      </c>
      <c r="F42">
        <f t="shared" si="103"/>
        <v>71.762519999999995</v>
      </c>
      <c r="H42" s="19">
        <v>22582519.296999998</v>
      </c>
      <c r="I42" s="2">
        <f t="shared" si="104"/>
        <v>22969491.254652858</v>
      </c>
      <c r="K42" s="9">
        <f>M37-K37</f>
        <v>4.7708054000000004</v>
      </c>
      <c r="L42" s="9">
        <f>K42/K37</f>
        <v>0.1993278096290047</v>
      </c>
      <c r="M42" s="8">
        <f>L42*360</f>
        <v>71.758011466441687</v>
      </c>
    </row>
    <row r="43" spans="1:17" x14ac:dyDescent="0.3">
      <c r="M43" s="24" t="s">
        <v>62</v>
      </c>
    </row>
    <row r="44" spans="1:17" x14ac:dyDescent="0.3">
      <c r="M44" s="9">
        <f>M42*2*PI()/360</f>
        <v>1.2524135647732519</v>
      </c>
    </row>
    <row r="45" spans="1:17" x14ac:dyDescent="0.3">
      <c r="M45" s="7"/>
    </row>
    <row r="46" spans="1:17" x14ac:dyDescent="0.3">
      <c r="H46" s="22" t="s">
        <v>69</v>
      </c>
      <c r="I46" s="22" t="s">
        <v>82</v>
      </c>
    </row>
    <row r="47" spans="1:17" x14ac:dyDescent="0.3">
      <c r="H47" s="22" t="s">
        <v>70</v>
      </c>
      <c r="I47" s="1">
        <f>(C29-M29)</f>
        <v>-0.3654247833746922</v>
      </c>
      <c r="K47" s="6"/>
      <c r="L47" s="22" t="s">
        <v>83</v>
      </c>
      <c r="M47" s="1">
        <f>SUM(K55:K60)</f>
        <v>2.2205130710731686</v>
      </c>
      <c r="N47" s="8"/>
      <c r="O47" s="5"/>
    </row>
    <row r="48" spans="1:17" x14ac:dyDescent="0.3">
      <c r="H48" s="22" t="s">
        <v>71</v>
      </c>
      <c r="I48" s="1">
        <f t="shared" ref="I48:I52" si="109">(C30-M30)</f>
        <v>-1.5720278766769127</v>
      </c>
      <c r="K48" s="6"/>
      <c r="L48" s="22" t="s">
        <v>84</v>
      </c>
      <c r="M48" s="1">
        <f>SUM(K62:K67)</f>
        <v>1.6447788065121192</v>
      </c>
      <c r="N48" s="8"/>
      <c r="O48" s="5"/>
    </row>
    <row r="49" spans="8:15" x14ac:dyDescent="0.3">
      <c r="H49" s="22" t="s">
        <v>72</v>
      </c>
      <c r="I49" s="1">
        <f t="shared" si="109"/>
        <v>-0.40573516279570043</v>
      </c>
      <c r="K49" s="6"/>
      <c r="L49" s="22" t="s">
        <v>85</v>
      </c>
      <c r="M49" s="1">
        <f>SUM(K69:K74)</f>
        <v>3.7794869289268318</v>
      </c>
      <c r="N49" s="8"/>
      <c r="O49" s="5"/>
    </row>
    <row r="50" spans="8:15" x14ac:dyDescent="0.3">
      <c r="H50" s="22" t="s">
        <v>73</v>
      </c>
      <c r="I50" s="1">
        <f t="shared" si="109"/>
        <v>-1.2072718860799867</v>
      </c>
      <c r="K50" s="6"/>
      <c r="L50" s="22" t="s">
        <v>86</v>
      </c>
      <c r="M50" s="1">
        <f>SUM(I62:I67)</f>
        <v>9.1300129968456267E-3</v>
      </c>
      <c r="N50" s="8"/>
      <c r="O50" s="5"/>
    </row>
    <row r="51" spans="8:15" x14ac:dyDescent="0.3">
      <c r="H51" s="22" t="s">
        <v>74</v>
      </c>
      <c r="I51" s="1">
        <f t="shared" si="109"/>
        <v>-9.3219003900578912E-2</v>
      </c>
      <c r="K51" s="6"/>
      <c r="L51" s="22" t="s">
        <v>87</v>
      </c>
      <c r="M51" s="1">
        <f>SUM(J62:J67)</f>
        <v>1.098443674348315E-2</v>
      </c>
      <c r="N51" s="8"/>
      <c r="O51" s="5"/>
    </row>
    <row r="52" spans="8:15" x14ac:dyDescent="0.3">
      <c r="H52" s="22" t="s">
        <v>75</v>
      </c>
      <c r="I52" s="1">
        <f t="shared" si="109"/>
        <v>-0.67434577131427886</v>
      </c>
      <c r="K52" s="6"/>
      <c r="L52" s="22" t="s">
        <v>88</v>
      </c>
      <c r="M52" s="1">
        <f>M47*M49--(M48)^2</f>
        <v>5.6871028052807873</v>
      </c>
      <c r="N52" s="8"/>
      <c r="O52" s="5"/>
    </row>
    <row r="53" spans="8:15" x14ac:dyDescent="0.3">
      <c r="I53" s="1"/>
      <c r="K53" s="6"/>
      <c r="M53" s="5"/>
      <c r="N53" s="8"/>
      <c r="O53" s="5"/>
    </row>
    <row r="54" spans="8:15" x14ac:dyDescent="0.3">
      <c r="I54" s="26" t="s">
        <v>82</v>
      </c>
      <c r="J54" s="23" t="s">
        <v>89</v>
      </c>
      <c r="K54" s="23" t="s">
        <v>90</v>
      </c>
      <c r="L54" s="22" t="s">
        <v>95</v>
      </c>
      <c r="M54" s="1">
        <f>M47*M51-M48*M50</f>
        <v>9.3742334868888409E-3</v>
      </c>
      <c r="N54" s="8"/>
      <c r="O54" s="5"/>
    </row>
    <row r="55" spans="8:15" x14ac:dyDescent="0.3">
      <c r="H55" s="22" t="s">
        <v>76</v>
      </c>
      <c r="I55" s="1">
        <f>L29</f>
        <v>20.953790626700691</v>
      </c>
      <c r="J55" s="6">
        <f>I55*2*PI()/360</f>
        <v>0.36571263720945313</v>
      </c>
      <c r="K55" s="6">
        <f>(COS(J55))^2</f>
        <v>0.87211158677948508</v>
      </c>
      <c r="L55" s="22" t="s">
        <v>96</v>
      </c>
      <c r="M55" s="1">
        <f>M49*M50-M48*M51</f>
        <v>1.643979602535605E-2</v>
      </c>
      <c r="N55" s="8"/>
      <c r="O55" s="5"/>
    </row>
    <row r="56" spans="8:15" ht="15.6" x14ac:dyDescent="0.35">
      <c r="H56" s="22" t="s">
        <v>77</v>
      </c>
      <c r="I56" s="1">
        <f t="shared" ref="I56:I60" si="110">L30</f>
        <v>69.251982550136717</v>
      </c>
      <c r="J56" s="6">
        <f t="shared" ref="J56:J60" si="111">I56*2*PI()/360</f>
        <v>1.2086751090335448</v>
      </c>
      <c r="K56" s="6">
        <f t="shared" ref="K56:K60" si="112">(COS(J56))^2</f>
        <v>0.12549921250513058</v>
      </c>
      <c r="L56" s="22" t="s">
        <v>97</v>
      </c>
      <c r="M56" s="1">
        <f>COS(K10)</f>
        <v>0.77549574317223446</v>
      </c>
      <c r="N56" s="8"/>
      <c r="O56" s="5"/>
    </row>
    <row r="57" spans="8:15" ht="15.6" x14ac:dyDescent="0.35">
      <c r="H57" s="22" t="s">
        <v>78</v>
      </c>
      <c r="I57" s="1">
        <f t="shared" si="110"/>
        <v>249.74901809979588</v>
      </c>
      <c r="J57" s="6">
        <f t="shared" si="111"/>
        <v>4.3589426694643505</v>
      </c>
      <c r="K57" s="6">
        <f t="shared" si="112"/>
        <v>0.11980814726876124</v>
      </c>
      <c r="L57" s="22" t="s">
        <v>100</v>
      </c>
      <c r="M57" s="1">
        <f>360*K10/(2*PI())</f>
        <v>39.15</v>
      </c>
      <c r="N57" s="8"/>
      <c r="O57" s="5"/>
    </row>
    <row r="58" spans="8:15" ht="15.6" x14ac:dyDescent="0.35">
      <c r="H58" s="22" t="s">
        <v>79</v>
      </c>
      <c r="I58" s="1">
        <f t="shared" si="110"/>
        <v>213.19116535795553</v>
      </c>
      <c r="J58" s="6">
        <f t="shared" si="111"/>
        <v>3.7208877716599993</v>
      </c>
      <c r="K58" s="6">
        <f t="shared" si="112"/>
        <v>0.70031580401840876</v>
      </c>
      <c r="L58" s="22" t="s">
        <v>101</v>
      </c>
      <c r="M58" s="1">
        <f>360*L10/(2*PI())</f>
        <v>-77.53</v>
      </c>
      <c r="N58" s="8"/>
      <c r="O58" s="5"/>
    </row>
    <row r="59" spans="8:15" x14ac:dyDescent="0.3">
      <c r="H59" s="22" t="s">
        <v>80</v>
      </c>
      <c r="I59" s="1">
        <f t="shared" si="110"/>
        <v>55.366100351725898</v>
      </c>
      <c r="J59" s="6">
        <f t="shared" si="111"/>
        <v>0.96632074512720756</v>
      </c>
      <c r="K59" s="6">
        <f t="shared" si="112"/>
        <v>0.32299974238255091</v>
      </c>
      <c r="L59" s="29" t="s">
        <v>98</v>
      </c>
      <c r="M59" s="12">
        <f>M57+M55/M52</f>
        <v>39.152890715464132</v>
      </c>
      <c r="N59" s="8"/>
      <c r="O59" s="5"/>
    </row>
    <row r="60" spans="8:15" x14ac:dyDescent="0.3">
      <c r="H60" s="22" t="s">
        <v>81</v>
      </c>
      <c r="I60" s="1">
        <f t="shared" si="110"/>
        <v>286.40654379414076</v>
      </c>
      <c r="J60" s="6">
        <f t="shared" si="111"/>
        <v>4.9987371884650882</v>
      </c>
      <c r="K60" s="6">
        <f t="shared" si="112"/>
        <v>7.9778578118831919E-2</v>
      </c>
      <c r="L60" s="29" t="s">
        <v>99</v>
      </c>
      <c r="M60" s="12">
        <f>M58+M54/(M52*M56)</f>
        <v>-77.527874479640985</v>
      </c>
      <c r="N60" s="8"/>
      <c r="O60" s="5"/>
    </row>
    <row r="61" spans="8:15" x14ac:dyDescent="0.3">
      <c r="I61" s="22" t="s">
        <v>93</v>
      </c>
      <c r="J61" s="23" t="s">
        <v>94</v>
      </c>
      <c r="K61" s="22" t="s">
        <v>91</v>
      </c>
    </row>
    <row r="62" spans="8:15" x14ac:dyDescent="0.3">
      <c r="I62" s="1">
        <f>I47*COS(J55)</f>
        <v>-0.34125893134166674</v>
      </c>
      <c r="J62" s="1">
        <f>I47*SIN(J55)</f>
        <v>-0.13068134558529881</v>
      </c>
      <c r="K62" s="1">
        <f>COS(J55)*SIN(J55)</f>
        <v>0.33396551765781712</v>
      </c>
    </row>
    <row r="63" spans="8:15" x14ac:dyDescent="0.3">
      <c r="I63" s="1">
        <f t="shared" ref="I63:I67" si="113">I48*COS(J56)</f>
        <v>-0.5569045208471094</v>
      </c>
      <c r="J63" s="1">
        <f t="shared" ref="J63:J67" si="114">I48*SIN(J56)</f>
        <v>-1.4700778889941084</v>
      </c>
      <c r="K63" s="1">
        <f t="shared" ref="K63:K67" si="115">COS(J56)*SIN(J56)</f>
        <v>0.33128410792810853</v>
      </c>
    </row>
    <row r="64" spans="8:15" x14ac:dyDescent="0.3">
      <c r="I64" s="1">
        <f t="shared" si="113"/>
        <v>0.14043838395078931</v>
      </c>
      <c r="J64" s="1">
        <f t="shared" si="114"/>
        <v>0.38065480772235655</v>
      </c>
      <c r="K64" s="1">
        <f t="shared" si="115"/>
        <v>0.32473705534907482</v>
      </c>
    </row>
    <row r="65" spans="9:11" x14ac:dyDescent="0.3">
      <c r="I65" s="1">
        <f t="shared" si="113"/>
        <v>1.0103039497635093</v>
      </c>
      <c r="J65" s="1">
        <f t="shared" si="114"/>
        <v>0.66090191103626028</v>
      </c>
      <c r="K65" s="1">
        <f t="shared" si="115"/>
        <v>0.45811961173961807</v>
      </c>
    </row>
    <row r="66" spans="9:11" x14ac:dyDescent="0.3">
      <c r="I66" s="1">
        <f t="shared" si="113"/>
        <v>-5.2979218280889778E-2</v>
      </c>
      <c r="J66" s="1">
        <f t="shared" si="114"/>
        <v>-7.6700620066346148E-2</v>
      </c>
      <c r="K66" s="1">
        <f t="shared" si="115"/>
        <v>0.46762261365694952</v>
      </c>
    </row>
    <row r="67" spans="9:11" x14ac:dyDescent="0.3">
      <c r="I67" s="1">
        <f t="shared" si="113"/>
        <v>-0.19046965024778714</v>
      </c>
      <c r="J67" s="1">
        <f t="shared" si="114"/>
        <v>0.64688757263061969</v>
      </c>
      <c r="K67" s="1">
        <f t="shared" si="115"/>
        <v>-0.27095009981944895</v>
      </c>
    </row>
    <row r="68" spans="9:11" x14ac:dyDescent="0.3">
      <c r="K68" s="22" t="s">
        <v>92</v>
      </c>
    </row>
    <row r="69" spans="9:11" x14ac:dyDescent="0.3">
      <c r="K69" s="1">
        <f>(SIN(J55))^2</f>
        <v>0.12788841322051495</v>
      </c>
    </row>
    <row r="70" spans="9:11" x14ac:dyDescent="0.3">
      <c r="K70" s="1">
        <f t="shared" ref="K70:K74" si="116">(SIN(J56))^2</f>
        <v>0.87450078749486948</v>
      </c>
    </row>
    <row r="71" spans="9:11" x14ac:dyDescent="0.3">
      <c r="K71" s="1">
        <f t="shared" si="116"/>
        <v>0.8801918527312389</v>
      </c>
    </row>
    <row r="72" spans="9:11" x14ac:dyDescent="0.3">
      <c r="K72" s="1">
        <f t="shared" si="116"/>
        <v>0.29968419598159118</v>
      </c>
    </row>
    <row r="73" spans="9:11" x14ac:dyDescent="0.3">
      <c r="K73" s="1">
        <f t="shared" si="116"/>
        <v>0.67700025761744909</v>
      </c>
    </row>
    <row r="74" spans="9:11" x14ac:dyDescent="0.3">
      <c r="K74" s="1">
        <f t="shared" si="116"/>
        <v>0.92022142188116807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jablodg1</cp:lastModifiedBy>
  <cp:lastPrinted>2013-07-05T18:31:01Z</cp:lastPrinted>
  <dcterms:created xsi:type="dcterms:W3CDTF">2013-07-05T13:50:50Z</dcterms:created>
  <dcterms:modified xsi:type="dcterms:W3CDTF">2015-04-08T05:03:35Z</dcterms:modified>
</cp:coreProperties>
</file>